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lient\github\ICTVonlineDbLoad\"/>
    </mc:Choice>
  </mc:AlternateContent>
  <bookViews>
    <workbookView xWindow="0" yWindow="-21135" windowWidth="38400" windowHeight="21135" activeTab="2"/>
  </bookViews>
  <sheets>
    <sheet name="Version" sheetId="2" r:id="rId1"/>
    <sheet name="Column Definitions" sheetId="3" r:id="rId2"/>
    <sheet name="ICTV Master Species List 35" sheetId="1"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 Master Species List 35'!$1:$1</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W5562" i="1"/>
  <c r="W5563" i="1"/>
  <c r="W5564" i="1"/>
  <c r="W5565" i="1"/>
  <c r="W5566" i="1"/>
  <c r="W5567" i="1"/>
  <c r="W5568" i="1"/>
  <c r="W5569" i="1"/>
  <c r="W5570" i="1"/>
  <c r="W5571" i="1"/>
  <c r="W5572" i="1"/>
  <c r="W5573" i="1"/>
  <c r="W5574" i="1"/>
  <c r="W5575" i="1"/>
  <c r="W5576" i="1"/>
  <c r="W5577" i="1"/>
  <c r="W5578" i="1"/>
  <c r="W5579" i="1"/>
  <c r="W5580" i="1"/>
  <c r="W5581" i="1"/>
  <c r="W5582" i="1"/>
  <c r="W5583" i="1"/>
  <c r="W5584" i="1"/>
  <c r="W5585" i="1"/>
  <c r="W5586" i="1"/>
  <c r="W5587" i="1"/>
  <c r="W5588" i="1"/>
  <c r="W5589" i="1"/>
  <c r="W5590" i="1"/>
  <c r="W5591" i="1"/>
  <c r="W5592" i="1"/>
  <c r="W5593" i="1"/>
  <c r="W5594" i="1"/>
  <c r="W5595" i="1"/>
  <c r="W5596" i="1"/>
  <c r="W5597" i="1"/>
  <c r="W5598" i="1"/>
  <c r="W5599" i="1"/>
  <c r="W5600" i="1"/>
  <c r="W5601" i="1"/>
  <c r="W5602" i="1"/>
  <c r="W5603" i="1"/>
  <c r="W5604" i="1"/>
  <c r="W5605" i="1"/>
  <c r="W5606" i="1"/>
  <c r="W5607" i="1"/>
  <c r="W5608" i="1"/>
  <c r="W5609" i="1"/>
  <c r="W5610" i="1"/>
  <c r="W5611" i="1"/>
  <c r="W5612" i="1"/>
  <c r="W5613" i="1"/>
  <c r="W5614" i="1"/>
  <c r="W5615" i="1"/>
  <c r="W5616" i="1"/>
  <c r="W5617" i="1"/>
  <c r="W5618" i="1"/>
  <c r="W5619" i="1"/>
  <c r="W5620" i="1"/>
  <c r="W5621" i="1"/>
  <c r="W5622" i="1"/>
  <c r="W5623" i="1"/>
  <c r="W5624" i="1"/>
  <c r="W5625" i="1"/>
  <c r="W5626" i="1"/>
  <c r="W5627" i="1"/>
  <c r="W5628" i="1"/>
  <c r="W5629" i="1"/>
  <c r="W5630" i="1"/>
  <c r="W5631" i="1"/>
  <c r="W5632" i="1"/>
  <c r="W5633" i="1"/>
  <c r="W5634" i="1"/>
  <c r="W5635" i="1"/>
  <c r="W5636" i="1"/>
  <c r="W5637" i="1"/>
  <c r="W5638" i="1"/>
  <c r="W5639" i="1"/>
  <c r="W5640" i="1"/>
  <c r="W5641" i="1"/>
  <c r="W5642" i="1"/>
  <c r="W5643" i="1"/>
  <c r="W5644" i="1"/>
  <c r="W5645" i="1"/>
  <c r="W5646" i="1"/>
  <c r="W5647" i="1"/>
  <c r="W5648" i="1"/>
  <c r="W5649" i="1"/>
  <c r="W5650" i="1"/>
  <c r="W5651" i="1"/>
  <c r="W5652" i="1"/>
  <c r="W5653" i="1"/>
  <c r="W5654" i="1"/>
  <c r="W5655" i="1"/>
  <c r="W5656" i="1"/>
  <c r="W5657" i="1"/>
  <c r="W5658" i="1"/>
  <c r="W5659" i="1"/>
  <c r="W5660" i="1"/>
  <c r="W5661" i="1"/>
  <c r="W5662" i="1"/>
  <c r="W5663" i="1"/>
  <c r="W5664" i="1"/>
  <c r="W5665" i="1"/>
  <c r="W5666" i="1"/>
  <c r="W5667" i="1"/>
  <c r="W5668" i="1"/>
  <c r="W5669" i="1"/>
  <c r="W5670" i="1"/>
  <c r="W5671" i="1"/>
  <c r="W5672" i="1"/>
  <c r="W5673" i="1"/>
  <c r="W5674" i="1"/>
  <c r="W5675" i="1"/>
  <c r="W5676" i="1"/>
  <c r="W5677" i="1"/>
  <c r="W5678" i="1"/>
  <c r="W5679" i="1"/>
  <c r="W5680" i="1"/>
  <c r="W5681" i="1"/>
  <c r="W5682" i="1"/>
  <c r="W5683" i="1"/>
  <c r="W5684" i="1"/>
  <c r="W5685" i="1"/>
  <c r="W5686" i="1"/>
  <c r="W5687" i="1"/>
  <c r="W5688" i="1"/>
  <c r="W5689" i="1"/>
  <c r="W5690" i="1"/>
  <c r="W5691" i="1"/>
  <c r="W5692" i="1"/>
  <c r="W5693" i="1"/>
  <c r="W5694" i="1"/>
  <c r="W5695" i="1"/>
  <c r="W5696" i="1"/>
  <c r="W5697" i="1"/>
  <c r="W5698" i="1"/>
  <c r="W5699" i="1"/>
  <c r="W5700" i="1"/>
  <c r="W5701" i="1"/>
  <c r="W5702" i="1"/>
  <c r="W5703" i="1"/>
  <c r="W5704" i="1"/>
  <c r="W5705" i="1"/>
  <c r="W5706" i="1"/>
  <c r="W5707" i="1"/>
  <c r="W5708" i="1"/>
  <c r="W5709" i="1"/>
  <c r="W5710" i="1"/>
  <c r="W5711" i="1"/>
  <c r="W5712" i="1"/>
  <c r="W5713" i="1"/>
  <c r="W5714" i="1"/>
  <c r="W5715" i="1"/>
  <c r="W5716" i="1"/>
  <c r="W5717" i="1"/>
  <c r="W5718" i="1"/>
  <c r="W5719" i="1"/>
  <c r="W5720" i="1"/>
  <c r="W5721" i="1"/>
  <c r="W5722" i="1"/>
  <c r="W5723" i="1"/>
  <c r="W5724" i="1"/>
  <c r="W5725" i="1"/>
  <c r="W5726" i="1"/>
  <c r="W5727" i="1"/>
  <c r="W5728" i="1"/>
  <c r="W5729" i="1"/>
  <c r="W5730" i="1"/>
  <c r="W5731" i="1"/>
  <c r="W5732" i="1"/>
  <c r="W5733" i="1"/>
  <c r="W5734" i="1"/>
  <c r="W5735" i="1"/>
  <c r="W5736" i="1"/>
  <c r="W5737" i="1"/>
  <c r="W5738" i="1"/>
  <c r="W5739" i="1"/>
  <c r="W5740" i="1"/>
  <c r="W5741" i="1"/>
  <c r="W5742" i="1"/>
  <c r="W5743" i="1"/>
  <c r="W5744" i="1"/>
  <c r="W5745" i="1"/>
  <c r="W5746" i="1"/>
  <c r="W5747" i="1"/>
  <c r="W5748" i="1"/>
  <c r="W5749" i="1"/>
  <c r="W5750" i="1"/>
  <c r="W5751" i="1"/>
  <c r="W5752" i="1"/>
  <c r="W5753" i="1"/>
  <c r="W5754" i="1"/>
  <c r="W5755" i="1"/>
  <c r="W5756" i="1"/>
  <c r="W5757" i="1"/>
  <c r="W5758" i="1"/>
  <c r="W5759" i="1"/>
  <c r="W5760" i="1"/>
  <c r="W5761" i="1"/>
  <c r="W5762" i="1"/>
  <c r="W5763" i="1"/>
  <c r="W5764" i="1"/>
  <c r="W5765" i="1"/>
  <c r="W5766" i="1"/>
  <c r="W5767" i="1"/>
  <c r="W5768" i="1"/>
  <c r="W5769" i="1"/>
  <c r="W5770" i="1"/>
  <c r="W5771" i="1"/>
  <c r="W5772" i="1"/>
  <c r="W5773" i="1"/>
  <c r="W5774" i="1"/>
  <c r="W5775" i="1"/>
  <c r="W5776" i="1"/>
  <c r="W5777" i="1"/>
  <c r="W5778" i="1"/>
  <c r="W5779" i="1"/>
  <c r="W5780" i="1"/>
  <c r="W5781" i="1"/>
  <c r="W5782" i="1"/>
  <c r="W5783" i="1"/>
  <c r="W5784" i="1"/>
  <c r="W5785" i="1"/>
  <c r="W5786" i="1"/>
  <c r="W5787" i="1"/>
  <c r="W5788" i="1"/>
  <c r="W5789" i="1"/>
  <c r="W5790" i="1"/>
  <c r="W5791" i="1"/>
  <c r="W5792" i="1"/>
  <c r="W5793" i="1"/>
  <c r="W5794" i="1"/>
  <c r="W5795" i="1"/>
  <c r="W5796" i="1"/>
  <c r="W5797" i="1"/>
  <c r="W5798" i="1"/>
  <c r="W5799" i="1"/>
  <c r="W5800" i="1"/>
  <c r="W5801" i="1"/>
  <c r="W5802" i="1"/>
  <c r="W5803" i="1"/>
  <c r="W5804" i="1"/>
  <c r="W5805" i="1"/>
  <c r="W5806" i="1"/>
  <c r="W5807" i="1"/>
  <c r="W5808" i="1"/>
  <c r="W5809" i="1"/>
  <c r="W5810" i="1"/>
  <c r="W5811" i="1"/>
  <c r="W5812" i="1"/>
  <c r="W5813" i="1"/>
  <c r="W5814" i="1"/>
  <c r="W5815" i="1"/>
  <c r="W5816" i="1"/>
  <c r="W5817" i="1"/>
  <c r="W5818" i="1"/>
  <c r="W5819" i="1"/>
  <c r="W5820" i="1"/>
  <c r="W5821" i="1"/>
  <c r="W5822" i="1"/>
  <c r="W5823" i="1"/>
  <c r="W5824" i="1"/>
  <c r="W5825" i="1"/>
  <c r="W5826" i="1"/>
  <c r="W5827" i="1"/>
  <c r="W5828" i="1"/>
  <c r="W5829" i="1"/>
  <c r="W5830" i="1"/>
  <c r="W5831" i="1"/>
  <c r="W5832" i="1"/>
  <c r="W5833" i="1"/>
  <c r="W5834" i="1"/>
  <c r="W5835" i="1"/>
  <c r="W5836" i="1"/>
  <c r="W5837" i="1"/>
  <c r="W5838" i="1"/>
  <c r="W5839" i="1"/>
  <c r="W5840" i="1"/>
  <c r="W5841" i="1"/>
  <c r="W5842" i="1"/>
  <c r="W5843" i="1"/>
  <c r="W5844" i="1"/>
  <c r="W5845" i="1"/>
  <c r="W5846" i="1"/>
  <c r="W5847" i="1"/>
  <c r="W5848" i="1"/>
  <c r="W5849" i="1"/>
  <c r="W5850" i="1"/>
  <c r="W5851" i="1"/>
  <c r="W5852" i="1"/>
  <c r="W5853" i="1"/>
  <c r="W5854" i="1"/>
  <c r="W5855" i="1"/>
  <c r="W5856" i="1"/>
  <c r="W5857" i="1"/>
  <c r="W5858" i="1"/>
  <c r="W5859" i="1"/>
  <c r="W5860" i="1"/>
  <c r="W5861" i="1"/>
  <c r="W5862" i="1"/>
  <c r="W5863" i="1"/>
  <c r="W5864" i="1"/>
  <c r="W5865" i="1"/>
  <c r="W5866" i="1"/>
  <c r="W5867" i="1"/>
  <c r="W5868" i="1"/>
  <c r="W5869" i="1"/>
  <c r="W5870" i="1"/>
  <c r="W5871" i="1"/>
  <c r="W5872" i="1"/>
  <c r="W5873" i="1"/>
  <c r="W5874" i="1"/>
  <c r="W5875" i="1"/>
  <c r="W5876" i="1"/>
  <c r="W5877" i="1"/>
  <c r="W5878" i="1"/>
  <c r="W5879" i="1"/>
  <c r="W5880" i="1"/>
  <c r="W5881" i="1"/>
  <c r="W5882" i="1"/>
  <c r="W5883" i="1"/>
  <c r="W5884" i="1"/>
  <c r="W5885" i="1"/>
  <c r="W5886" i="1"/>
  <c r="W5887" i="1"/>
  <c r="W5888" i="1"/>
  <c r="W5889" i="1"/>
  <c r="W5890" i="1"/>
  <c r="W5891" i="1"/>
  <c r="W5892" i="1"/>
  <c r="W5893" i="1"/>
  <c r="W5894" i="1"/>
  <c r="W5895" i="1"/>
  <c r="W5896" i="1"/>
  <c r="W5897" i="1"/>
  <c r="W5898" i="1"/>
  <c r="W5899" i="1"/>
  <c r="W5900" i="1"/>
  <c r="W5901" i="1"/>
  <c r="W5902" i="1"/>
  <c r="W5903" i="1"/>
  <c r="W5904" i="1"/>
  <c r="W5905" i="1"/>
  <c r="W5906" i="1"/>
  <c r="W5907" i="1"/>
  <c r="W5908" i="1"/>
  <c r="W5909" i="1"/>
  <c r="W5910" i="1"/>
  <c r="W5911" i="1"/>
  <c r="W5912" i="1"/>
  <c r="W5913" i="1"/>
  <c r="W5914" i="1"/>
  <c r="W5915" i="1"/>
  <c r="W5916" i="1"/>
  <c r="W5917" i="1"/>
  <c r="W5918" i="1"/>
  <c r="W5919" i="1"/>
  <c r="W5920" i="1"/>
  <c r="W5921" i="1"/>
  <c r="W5922" i="1"/>
  <c r="W5923" i="1"/>
  <c r="W5924" i="1"/>
  <c r="W5925" i="1"/>
  <c r="W5926" i="1"/>
  <c r="W5927" i="1"/>
  <c r="W5928" i="1"/>
  <c r="W5929" i="1"/>
  <c r="W5930" i="1"/>
  <c r="W5931" i="1"/>
  <c r="W5932" i="1"/>
  <c r="W5933" i="1"/>
  <c r="W5934" i="1"/>
  <c r="W5935" i="1"/>
  <c r="W5936" i="1"/>
  <c r="W5937" i="1"/>
  <c r="W5938" i="1"/>
  <c r="W5939" i="1"/>
  <c r="W5940" i="1"/>
  <c r="W5941" i="1"/>
  <c r="W5942" i="1"/>
  <c r="W5943" i="1"/>
  <c r="W5944" i="1"/>
  <c r="W5945" i="1"/>
  <c r="W5946" i="1"/>
  <c r="W5947" i="1"/>
  <c r="W5948" i="1"/>
  <c r="W5949" i="1"/>
  <c r="W5950" i="1"/>
  <c r="W5951" i="1"/>
  <c r="W5952" i="1"/>
  <c r="W5953" i="1"/>
  <c r="W5954" i="1"/>
  <c r="W5955" i="1"/>
  <c r="W5956" i="1"/>
  <c r="W5957" i="1"/>
  <c r="W5958" i="1"/>
  <c r="W5959" i="1"/>
  <c r="W5960" i="1"/>
  <c r="W5961" i="1"/>
  <c r="W5962" i="1"/>
  <c r="W5963" i="1"/>
  <c r="W5964" i="1"/>
  <c r="W5965" i="1"/>
  <c r="W5966" i="1"/>
  <c r="W5967" i="1"/>
  <c r="W5968" i="1"/>
  <c r="W5969" i="1"/>
  <c r="W5970" i="1"/>
  <c r="W5971" i="1"/>
  <c r="W5972" i="1"/>
  <c r="W5973" i="1"/>
  <c r="W5974" i="1"/>
  <c r="W5975" i="1"/>
  <c r="W5976" i="1"/>
  <c r="W5977" i="1"/>
  <c r="W5978" i="1"/>
  <c r="W5979" i="1"/>
  <c r="W5980" i="1"/>
  <c r="W5981" i="1"/>
  <c r="W5982" i="1"/>
  <c r="W5983" i="1"/>
  <c r="W5984" i="1"/>
  <c r="W5985" i="1"/>
  <c r="W5986" i="1"/>
  <c r="W5987" i="1"/>
  <c r="W5988" i="1"/>
  <c r="W5989" i="1"/>
  <c r="W5990" i="1"/>
  <c r="W5991" i="1"/>
  <c r="W5992" i="1"/>
  <c r="W5993" i="1"/>
  <c r="W5994" i="1"/>
  <c r="W5995" i="1"/>
  <c r="W5996" i="1"/>
  <c r="W5997" i="1"/>
  <c r="W5998" i="1"/>
  <c r="W5999" i="1"/>
  <c r="W6000" i="1"/>
  <c r="W6001" i="1"/>
  <c r="W6002" i="1"/>
  <c r="W6003" i="1"/>
  <c r="W6004" i="1"/>
  <c r="W6005" i="1"/>
  <c r="W6006" i="1"/>
  <c r="W6007" i="1"/>
  <c r="W6008" i="1"/>
  <c r="W6009" i="1"/>
  <c r="W6010" i="1"/>
  <c r="W6011" i="1"/>
  <c r="W6012" i="1"/>
  <c r="W6013" i="1"/>
  <c r="W6014" i="1"/>
  <c r="W6015" i="1"/>
  <c r="W6016" i="1"/>
  <c r="W6017" i="1"/>
  <c r="W6018" i="1"/>
  <c r="W6019" i="1"/>
  <c r="W6020" i="1"/>
  <c r="W6021" i="1"/>
  <c r="W6022" i="1"/>
  <c r="W6023" i="1"/>
  <c r="W6024" i="1"/>
  <c r="W6025" i="1"/>
  <c r="W6026" i="1"/>
  <c r="W6027" i="1"/>
  <c r="W6028" i="1"/>
  <c r="W6029" i="1"/>
  <c r="W6030" i="1"/>
  <c r="W6031" i="1"/>
  <c r="W6032" i="1"/>
  <c r="W6033" i="1"/>
  <c r="W6034" i="1"/>
  <c r="W6035" i="1"/>
  <c r="W6036" i="1"/>
  <c r="W6037" i="1"/>
  <c r="W6038" i="1"/>
  <c r="W6039" i="1"/>
  <c r="W6040" i="1"/>
  <c r="W6041" i="1"/>
  <c r="W6042" i="1"/>
  <c r="W6043" i="1"/>
  <c r="W6044" i="1"/>
  <c r="W6045" i="1"/>
  <c r="W6046" i="1"/>
  <c r="W6047" i="1"/>
  <c r="W6048" i="1"/>
  <c r="W6049" i="1"/>
  <c r="W6050" i="1"/>
  <c r="W6051" i="1"/>
  <c r="W6052" i="1"/>
  <c r="W6053" i="1"/>
  <c r="W6054" i="1"/>
  <c r="W6055" i="1"/>
  <c r="W6056" i="1"/>
  <c r="W6057" i="1"/>
  <c r="W6058" i="1"/>
  <c r="W6059" i="1"/>
  <c r="W6060" i="1"/>
  <c r="W6061" i="1"/>
  <c r="W6062" i="1"/>
  <c r="W6063" i="1"/>
  <c r="W6064" i="1"/>
  <c r="W6065" i="1"/>
  <c r="W6066" i="1"/>
  <c r="W6067" i="1"/>
  <c r="W6068" i="1"/>
  <c r="W6069" i="1"/>
  <c r="W6070" i="1"/>
  <c r="W6071" i="1"/>
  <c r="W6072" i="1"/>
  <c r="W6073" i="1"/>
  <c r="W6074" i="1"/>
  <c r="W6075" i="1"/>
  <c r="W6076" i="1"/>
  <c r="W6077" i="1"/>
  <c r="W6078" i="1"/>
  <c r="W6079" i="1"/>
  <c r="W6080" i="1"/>
  <c r="W6081" i="1"/>
  <c r="W6082" i="1"/>
  <c r="W6083" i="1"/>
  <c r="W6084" i="1"/>
  <c r="W6085" i="1"/>
  <c r="W6086" i="1"/>
  <c r="W6087" i="1"/>
  <c r="W6088" i="1"/>
  <c r="W6089" i="1"/>
  <c r="W6090" i="1"/>
  <c r="W6091" i="1"/>
  <c r="W6092" i="1"/>
  <c r="W6093" i="1"/>
  <c r="W6094" i="1"/>
  <c r="W6095" i="1"/>
  <c r="W6096" i="1"/>
  <c r="W6097" i="1"/>
  <c r="W6098" i="1"/>
  <c r="W6099" i="1"/>
  <c r="W6100" i="1"/>
  <c r="W6101" i="1"/>
  <c r="W6102" i="1"/>
  <c r="W6103" i="1"/>
  <c r="W6104" i="1"/>
  <c r="W6105" i="1"/>
  <c r="W6106" i="1"/>
  <c r="W6107" i="1"/>
  <c r="W6108" i="1"/>
  <c r="W6109" i="1"/>
  <c r="W6110" i="1"/>
  <c r="W6111" i="1"/>
  <c r="W6112" i="1"/>
  <c r="W6113" i="1"/>
  <c r="W6114" i="1"/>
  <c r="W6115" i="1"/>
  <c r="W6116" i="1"/>
  <c r="W6117" i="1"/>
  <c r="W6118" i="1"/>
  <c r="W6119" i="1"/>
  <c r="W6120" i="1"/>
  <c r="W6121" i="1"/>
  <c r="W6122" i="1"/>
  <c r="W6123" i="1"/>
  <c r="W6124" i="1"/>
  <c r="W6125" i="1"/>
  <c r="W6126" i="1"/>
  <c r="W6127" i="1"/>
  <c r="W6128" i="1"/>
  <c r="W6129" i="1"/>
  <c r="W6130" i="1"/>
  <c r="W6131" i="1"/>
  <c r="W6132" i="1"/>
  <c r="W6133" i="1"/>
  <c r="W6134" i="1"/>
  <c r="W6135" i="1"/>
  <c r="W6136" i="1"/>
  <c r="W6137" i="1"/>
  <c r="W6138" i="1"/>
  <c r="W6139" i="1"/>
  <c r="W6140" i="1"/>
  <c r="W6141" i="1"/>
  <c r="W6142" i="1"/>
  <c r="W6143" i="1"/>
  <c r="W6144" i="1"/>
  <c r="W6145" i="1"/>
  <c r="W6146" i="1"/>
  <c r="W6147" i="1"/>
  <c r="W6148" i="1"/>
  <c r="W6149" i="1"/>
  <c r="W6150" i="1"/>
  <c r="W6151" i="1"/>
  <c r="W6152" i="1"/>
  <c r="W6153" i="1"/>
  <c r="W6154" i="1"/>
  <c r="W6155" i="1"/>
  <c r="W6156" i="1"/>
  <c r="W6157" i="1"/>
  <c r="W6158" i="1"/>
  <c r="W6159" i="1"/>
  <c r="W6160" i="1"/>
  <c r="W6161" i="1"/>
  <c r="W6162" i="1"/>
  <c r="W6163" i="1"/>
  <c r="W6164" i="1"/>
  <c r="W6165" i="1"/>
  <c r="W6166" i="1"/>
  <c r="W6167" i="1"/>
  <c r="W6168" i="1"/>
  <c r="W6169" i="1"/>
  <c r="W6170" i="1"/>
  <c r="W6171" i="1"/>
  <c r="W6172" i="1"/>
  <c r="W6173" i="1"/>
  <c r="W6174" i="1"/>
  <c r="W6175" i="1"/>
  <c r="W6176" i="1"/>
  <c r="W6177" i="1"/>
  <c r="W6178" i="1"/>
  <c r="W6179" i="1"/>
  <c r="W6180" i="1"/>
  <c r="W6181" i="1"/>
  <c r="W6182" i="1"/>
  <c r="W6183" i="1"/>
  <c r="W6184" i="1"/>
  <c r="W6185" i="1"/>
  <c r="W6186" i="1"/>
  <c r="W6187" i="1"/>
  <c r="W6188" i="1"/>
  <c r="W6189" i="1"/>
  <c r="W6190" i="1"/>
  <c r="W6191" i="1"/>
  <c r="W6192" i="1"/>
  <c r="W6193" i="1"/>
  <c r="W6194" i="1"/>
  <c r="W6195" i="1"/>
  <c r="W6196" i="1"/>
  <c r="W6197" i="1"/>
  <c r="W6198" i="1"/>
  <c r="W6199" i="1"/>
  <c r="W6200" i="1"/>
  <c r="W6201" i="1"/>
  <c r="W6202" i="1"/>
  <c r="W6203" i="1"/>
  <c r="W6204" i="1"/>
  <c r="W6205" i="1"/>
  <c r="W6206" i="1"/>
  <c r="W6207" i="1"/>
  <c r="W6208" i="1"/>
  <c r="W6209" i="1"/>
  <c r="W6210" i="1"/>
  <c r="W6211" i="1"/>
  <c r="W6212" i="1"/>
  <c r="W6213" i="1"/>
  <c r="W6214" i="1"/>
  <c r="W6215" i="1"/>
  <c r="W6216" i="1"/>
  <c r="W6217" i="1"/>
  <c r="W6218" i="1"/>
  <c r="W6219" i="1"/>
  <c r="W6220" i="1"/>
  <c r="W6221" i="1"/>
  <c r="W6222" i="1"/>
  <c r="W6223" i="1"/>
  <c r="W6224" i="1"/>
  <c r="W6225" i="1"/>
  <c r="W6226" i="1"/>
  <c r="W6227" i="1"/>
  <c r="W6228" i="1"/>
  <c r="W6229" i="1"/>
  <c r="W6230" i="1"/>
  <c r="W6231" i="1"/>
  <c r="W6232" i="1"/>
  <c r="W6233" i="1"/>
  <c r="W6234" i="1"/>
  <c r="W6235" i="1"/>
  <c r="W6236" i="1"/>
  <c r="W6237" i="1"/>
  <c r="W6238" i="1"/>
  <c r="W6239" i="1"/>
  <c r="W6240" i="1"/>
  <c r="W6241" i="1"/>
  <c r="W6242" i="1"/>
  <c r="W6243" i="1"/>
  <c r="W6244" i="1"/>
  <c r="W6245" i="1"/>
  <c r="W6246" i="1"/>
  <c r="W6247" i="1"/>
  <c r="W6248" i="1"/>
  <c r="W6249" i="1"/>
  <c r="W6250" i="1"/>
  <c r="W6251" i="1"/>
  <c r="W6252" i="1"/>
  <c r="W6253" i="1"/>
  <c r="W6254" i="1"/>
  <c r="W6255" i="1"/>
  <c r="W6256" i="1"/>
  <c r="W6257" i="1"/>
  <c r="W6258" i="1"/>
  <c r="W6259" i="1"/>
  <c r="W6260" i="1"/>
  <c r="W6261" i="1"/>
  <c r="W6262" i="1"/>
  <c r="W6263" i="1"/>
  <c r="W6264" i="1"/>
  <c r="W6265" i="1"/>
  <c r="W6266" i="1"/>
  <c r="W6267" i="1"/>
  <c r="W6268" i="1"/>
  <c r="W6269" i="1"/>
  <c r="W6270" i="1"/>
  <c r="W6271" i="1"/>
  <c r="W6272" i="1"/>
  <c r="W6273" i="1"/>
  <c r="W6274" i="1"/>
  <c r="W6275" i="1"/>
  <c r="W6276" i="1"/>
  <c r="W6277" i="1"/>
  <c r="W6278" i="1"/>
  <c r="W6279" i="1"/>
  <c r="W6280" i="1"/>
  <c r="W6281" i="1"/>
  <c r="W6282" i="1"/>
  <c r="W6283" i="1"/>
  <c r="W6284" i="1"/>
  <c r="W6285" i="1"/>
  <c r="W6286" i="1"/>
  <c r="W6287" i="1"/>
  <c r="W6288" i="1"/>
  <c r="W6289" i="1"/>
  <c r="W6290" i="1"/>
  <c r="W6291" i="1"/>
  <c r="W6292" i="1"/>
  <c r="W6293" i="1"/>
  <c r="W6294" i="1"/>
  <c r="W6295" i="1"/>
  <c r="W6296" i="1"/>
  <c r="W6297" i="1"/>
  <c r="W6298" i="1"/>
  <c r="W6299" i="1"/>
  <c r="W6300" i="1"/>
  <c r="W6301" i="1"/>
  <c r="W6302" i="1"/>
  <c r="W6303" i="1"/>
  <c r="W6304" i="1"/>
  <c r="W6305" i="1"/>
  <c r="W6306" i="1"/>
  <c r="W6307" i="1"/>
  <c r="W6308" i="1"/>
  <c r="W6309" i="1"/>
  <c r="W6310" i="1"/>
  <c r="W6311" i="1"/>
  <c r="W6312" i="1"/>
  <c r="W6313" i="1"/>
  <c r="W6314" i="1"/>
  <c r="W6315" i="1"/>
  <c r="W6316" i="1"/>
  <c r="W6317" i="1"/>
  <c r="W6318" i="1"/>
  <c r="W6319" i="1"/>
  <c r="W6320" i="1"/>
  <c r="W6321" i="1"/>
  <c r="W6322" i="1"/>
  <c r="W6323" i="1"/>
  <c r="W6324" i="1"/>
  <c r="W6325" i="1"/>
  <c r="W6326" i="1"/>
  <c r="W6327" i="1"/>
  <c r="W6328" i="1"/>
  <c r="W6329" i="1"/>
  <c r="W6330" i="1"/>
  <c r="W6331" i="1"/>
  <c r="W6332" i="1"/>
  <c r="W6333" i="1"/>
  <c r="W6334" i="1"/>
  <c r="W6335" i="1"/>
  <c r="W6336" i="1"/>
  <c r="W6337" i="1"/>
  <c r="W6338" i="1"/>
  <c r="W6339" i="1"/>
  <c r="W6340" i="1"/>
  <c r="W6341" i="1"/>
  <c r="W6342" i="1"/>
  <c r="W6343" i="1"/>
  <c r="W6344" i="1"/>
  <c r="W6345" i="1"/>
  <c r="W6346" i="1"/>
  <c r="W6347" i="1"/>
  <c r="W6348" i="1"/>
  <c r="W6349" i="1"/>
  <c r="W6350" i="1"/>
  <c r="W6351" i="1"/>
  <c r="W6352" i="1"/>
  <c r="W6353" i="1"/>
  <c r="W6354" i="1"/>
  <c r="W6355" i="1"/>
  <c r="W6356" i="1"/>
  <c r="W6357" i="1"/>
  <c r="W6358" i="1"/>
  <c r="W6359" i="1"/>
  <c r="W6360" i="1"/>
  <c r="W6361" i="1"/>
  <c r="W6362" i="1"/>
  <c r="W6363" i="1"/>
  <c r="W6364" i="1"/>
  <c r="W6365" i="1"/>
  <c r="W6366" i="1"/>
  <c r="W6367" i="1"/>
  <c r="W6368" i="1"/>
  <c r="W6369" i="1"/>
  <c r="W6370" i="1"/>
  <c r="W6371" i="1"/>
  <c r="W6372" i="1"/>
  <c r="W6373" i="1"/>
  <c r="W6374" i="1"/>
  <c r="W6375" i="1"/>
  <c r="W6376" i="1"/>
  <c r="W6377" i="1"/>
  <c r="W6378" i="1"/>
  <c r="W6379" i="1"/>
  <c r="W6380" i="1"/>
  <c r="W6381" i="1"/>
  <c r="W6382" i="1"/>
  <c r="W6383" i="1"/>
  <c r="W6384" i="1"/>
  <c r="W6385" i="1"/>
  <c r="W6386" i="1"/>
  <c r="W6387" i="1"/>
  <c r="W6388" i="1"/>
  <c r="W6389" i="1"/>
  <c r="W6390" i="1"/>
  <c r="W6391" i="1"/>
  <c r="W6392" i="1"/>
  <c r="W6393" i="1"/>
  <c r="W6394" i="1"/>
  <c r="W6395" i="1"/>
  <c r="W6396" i="1"/>
  <c r="W6397" i="1"/>
  <c r="W6398" i="1"/>
  <c r="W6399" i="1"/>
  <c r="W6400" i="1"/>
  <c r="W6401" i="1"/>
  <c r="W6402" i="1"/>
  <c r="W6403" i="1"/>
  <c r="W6404" i="1"/>
  <c r="W6405" i="1"/>
  <c r="W6406" i="1"/>
  <c r="W6407" i="1"/>
  <c r="W6408" i="1"/>
  <c r="W6409" i="1"/>
  <c r="W6410" i="1"/>
  <c r="W6411" i="1"/>
  <c r="W6412" i="1"/>
  <c r="W6413" i="1"/>
  <c r="W6414" i="1"/>
  <c r="W6415" i="1"/>
  <c r="W6416" i="1"/>
  <c r="W6417" i="1"/>
  <c r="W6418" i="1"/>
  <c r="W6419" i="1"/>
  <c r="W6420" i="1"/>
  <c r="W6421" i="1"/>
  <c r="W6422" i="1"/>
  <c r="W6423" i="1"/>
  <c r="W6424" i="1"/>
  <c r="W6425" i="1"/>
  <c r="W6426" i="1"/>
  <c r="W6427" i="1"/>
  <c r="W6428" i="1"/>
  <c r="W6429" i="1"/>
  <c r="W6430" i="1"/>
  <c r="W6431" i="1"/>
  <c r="W6432" i="1"/>
  <c r="W6433" i="1"/>
  <c r="W6434" i="1"/>
  <c r="W6435" i="1"/>
  <c r="W6436" i="1"/>
  <c r="W6437" i="1"/>
  <c r="W6438" i="1"/>
  <c r="W6439" i="1"/>
  <c r="W6440" i="1"/>
  <c r="W6441" i="1"/>
  <c r="W6442" i="1"/>
  <c r="W6443" i="1"/>
  <c r="W6444" i="1"/>
  <c r="W6445" i="1"/>
  <c r="W6446" i="1"/>
  <c r="W6447" i="1"/>
  <c r="W6448" i="1"/>
  <c r="W6449" i="1"/>
  <c r="W6450" i="1"/>
  <c r="W6451" i="1"/>
  <c r="W6452" i="1"/>
  <c r="W6453" i="1"/>
  <c r="W6454" i="1"/>
  <c r="W6455" i="1"/>
  <c r="W6456" i="1"/>
  <c r="W6457" i="1"/>
  <c r="W6458" i="1"/>
  <c r="W6459" i="1"/>
  <c r="W6460" i="1"/>
  <c r="W6461" i="1"/>
  <c r="W6462" i="1"/>
  <c r="W6463" i="1"/>
  <c r="W6464" i="1"/>
  <c r="W6465" i="1"/>
  <c r="W6466" i="1"/>
  <c r="W6467" i="1"/>
  <c r="W6468" i="1"/>
  <c r="W6469" i="1"/>
  <c r="W6470" i="1"/>
  <c r="W6471" i="1"/>
  <c r="W6472" i="1"/>
  <c r="W6473" i="1"/>
  <c r="W6474" i="1"/>
  <c r="W6475" i="1"/>
  <c r="W6476" i="1"/>
  <c r="W6477" i="1"/>
  <c r="W6478" i="1"/>
  <c r="W6479" i="1"/>
  <c r="W6480" i="1"/>
  <c r="W6481" i="1"/>
  <c r="W6482" i="1"/>
  <c r="W6483" i="1"/>
  <c r="W6484" i="1"/>
  <c r="W6485" i="1"/>
  <c r="W6486" i="1"/>
  <c r="W6487" i="1"/>
  <c r="W6488" i="1"/>
  <c r="W6489" i="1"/>
  <c r="W6490" i="1"/>
  <c r="W6491" i="1"/>
  <c r="W6492" i="1"/>
  <c r="W6493" i="1"/>
  <c r="W6494" i="1"/>
  <c r="W6495" i="1"/>
  <c r="W6496" i="1"/>
  <c r="W6497" i="1"/>
  <c r="W6498" i="1"/>
  <c r="W6499" i="1"/>
  <c r="W6500" i="1"/>
  <c r="W6501" i="1"/>
  <c r="W6502" i="1"/>
  <c r="W6503" i="1"/>
  <c r="W6504" i="1"/>
  <c r="W6505" i="1"/>
  <c r="W6506" i="1"/>
  <c r="W6507" i="1"/>
  <c r="W6508" i="1"/>
  <c r="W6509" i="1"/>
  <c r="W6510" i="1"/>
  <c r="W6511" i="1"/>
  <c r="W6512" i="1"/>
  <c r="W6513" i="1"/>
  <c r="W6514" i="1"/>
  <c r="W6515" i="1"/>
  <c r="W6516" i="1"/>
  <c r="W6517" i="1"/>
  <c r="W6518" i="1"/>
  <c r="W6519" i="1"/>
  <c r="W6520" i="1"/>
  <c r="W6521" i="1"/>
  <c r="W6522" i="1"/>
  <c r="W6523" i="1"/>
  <c r="W6524" i="1"/>
  <c r="W6525" i="1"/>
  <c r="W6526" i="1"/>
  <c r="W6527" i="1"/>
  <c r="W6528" i="1"/>
  <c r="W6529" i="1"/>
  <c r="W6530" i="1"/>
  <c r="W6531" i="1"/>
  <c r="W6532" i="1"/>
  <c r="W6533" i="1"/>
  <c r="W6534" i="1"/>
  <c r="W6535" i="1"/>
  <c r="W6536" i="1"/>
  <c r="W6537" i="1"/>
  <c r="W6538" i="1"/>
  <c r="W6539" i="1"/>
  <c r="W6540" i="1"/>
  <c r="W6541" i="1"/>
  <c r="W6542" i="1"/>
  <c r="W6543" i="1"/>
  <c r="W6544" i="1"/>
  <c r="W6545" i="1"/>
  <c r="W6546" i="1"/>
  <c r="W6547" i="1"/>
  <c r="W6548" i="1"/>
  <c r="W6549" i="1"/>
  <c r="W6550" i="1"/>
  <c r="W6551" i="1"/>
  <c r="W6552" i="1"/>
  <c r="W6553" i="1"/>
  <c r="W6554" i="1"/>
  <c r="W6555" i="1"/>
  <c r="W6556" i="1"/>
  <c r="W6557" i="1"/>
  <c r="W6558" i="1"/>
  <c r="W6559" i="1"/>
  <c r="W6560" i="1"/>
  <c r="W6561" i="1"/>
  <c r="W6562" i="1"/>
  <c r="W6563" i="1"/>
  <c r="W6564" i="1"/>
  <c r="W6565" i="1"/>
  <c r="W6566" i="1"/>
  <c r="W6567" i="1"/>
  <c r="W6568" i="1"/>
  <c r="W6569" i="1"/>
  <c r="W6570" i="1"/>
  <c r="W6571" i="1"/>
  <c r="W6572" i="1"/>
  <c r="W6573" i="1"/>
  <c r="W6574" i="1"/>
  <c r="W6575" i="1"/>
  <c r="W6576" i="1"/>
  <c r="W6577" i="1"/>
  <c r="W6578" i="1"/>
  <c r="W6579" i="1"/>
  <c r="W6580" i="1"/>
  <c r="W6581" i="1"/>
  <c r="W6582" i="1"/>
  <c r="W6583" i="1"/>
  <c r="W6584" i="1"/>
  <c r="W6585" i="1"/>
  <c r="W6586" i="1"/>
  <c r="W6587" i="1"/>
  <c r="W6588" i="1"/>
  <c r="W6589" i="1"/>
  <c r="W6590" i="1"/>
  <c r="W6591" i="1"/>
  <c r="W6592" i="1"/>
  <c r="E8" i="2" l="1"/>
  <c r="E4" i="2" l="1"/>
</calcChain>
</file>

<file path=xl/sharedStrings.xml><?xml version="1.0" encoding="utf-8"?>
<sst xmlns="http://schemas.openxmlformats.org/spreadsheetml/2006/main" count="82312" uniqueCount="16971">
  <si>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</si>
  <si>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</si>
  <si>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</si>
  <si>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</si>
  <si>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</si>
  <si>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</si>
  <si>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</si>
  <si>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</si>
  <si>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</si>
  <si>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</si>
  <si>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</si>
  <si>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</si>
  <si>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</si>
  <si>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</si>
  <si>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</si>
  <si>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</si>
  <si>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</si>
  <si>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</si>
  <si>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</si>
  <si>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</si>
  <si>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</si>
  <si>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</si>
  <si>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</si>
  <si>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</si>
  <si>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</si>
  <si>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</si>
  <si>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</si>
  <si>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</si>
  <si>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</si>
  <si>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</si>
  <si>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</si>
  <si>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</si>
  <si>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</si>
  <si>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</si>
  <si>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</si>
  <si>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</si>
  <si>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</si>
  <si>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</si>
  <si>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</si>
  <si>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</si>
  <si>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</si>
  <si>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</si>
  <si>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</si>
  <si>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</si>
  <si>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</si>
  <si>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</si>
  <si>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</si>
  <si>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</si>
  <si>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</si>
  <si>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</si>
  <si>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</si>
  <si>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</si>
  <si>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</si>
  <si>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</si>
  <si>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</si>
  <si>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</si>
  <si>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</si>
  <si>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</si>
  <si>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</si>
  <si>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</si>
  <si>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</si>
  <si>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</si>
  <si>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</si>
  <si>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</si>
  <si>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</si>
  <si>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</si>
  <si>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</si>
  <si>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</si>
  <si>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</si>
  <si>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</si>
  <si>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</si>
  <si>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</si>
  <si>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</si>
  <si>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</si>
  <si>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</si>
  <si>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</si>
  <si>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</si>
  <si>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</si>
  <si>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</si>
  <si>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</si>
  <si>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</si>
  <si>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</si>
  <si>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</si>
  <si>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</si>
  <si>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</si>
  <si>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</si>
  <si>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</si>
  <si>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</si>
  <si>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</si>
  <si>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</si>
  <si>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</si>
  <si>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</si>
  <si>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</si>
  <si>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</si>
  <si>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</si>
  <si>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</si>
  <si>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</si>
  <si>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</si>
  <si>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Muscavirus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</si>
  <si>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</si>
  <si>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</si>
  <si>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</si>
  <si>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</si>
  <si>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</si>
  <si>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</si>
  <si>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</si>
  <si>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</si>
  <si>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</si>
  <si>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</si>
  <si>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</si>
  <si>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</si>
  <si>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</si>
  <si>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</si>
  <si>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</si>
  <si>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</si>
  <si>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</si>
  <si>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</si>
  <si>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</si>
  <si>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</si>
  <si>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</si>
  <si>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</si>
  <si>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</si>
  <si>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</si>
  <si>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</si>
  <si>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</si>
  <si>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</si>
  <si>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</si>
  <si>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</si>
  <si>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</si>
  <si>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</si>
  <si>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</si>
  <si>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</si>
  <si>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</si>
  <si>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</si>
  <si>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</si>
  <si>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</si>
  <si>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</si>
  <si>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</si>
  <si>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</si>
  <si>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</si>
  <si>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</si>
  <si>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</si>
  <si>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</si>
  <si>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</si>
  <si>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</si>
  <si>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</si>
  <si>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</si>
  <si>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</si>
  <si>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</si>
  <si>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</si>
  <si>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</si>
  <si>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</si>
  <si>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</si>
  <si>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</si>
  <si>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</si>
  <si>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</si>
  <si>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</si>
  <si>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</si>
  <si>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</si>
  <si>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</si>
  <si>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</si>
  <si>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</si>
  <si>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</si>
  <si>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</si>
  <si>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</si>
  <si>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</si>
  <si>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</si>
  <si>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</si>
  <si>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</si>
  <si>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</si>
  <si>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</si>
  <si>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</si>
  <si>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</si>
  <si>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</si>
  <si>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</si>
  <si>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</si>
  <si>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</si>
  <si>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</si>
  <si>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</si>
  <si>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</si>
  <si>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</si>
  <si>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</si>
  <si>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</si>
  <si>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</si>
  <si>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</si>
  <si>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</si>
  <si>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</si>
  <si>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</si>
  <si>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</si>
  <si>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</si>
  <si>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</si>
  <si>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</si>
  <si>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</si>
  <si>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</si>
  <si>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</si>
  <si>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</si>
  <si>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</si>
  <si>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</si>
  <si>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</si>
  <si>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</si>
  <si>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</si>
  <si>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</si>
  <si>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</si>
  <si>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</si>
  <si>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</si>
  <si>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</si>
  <si>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</si>
  <si>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</si>
  <si>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</si>
  <si>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</si>
  <si>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</si>
  <si>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</si>
  <si>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</si>
  <si>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</si>
  <si>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</si>
  <si>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</si>
  <si>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</si>
  <si>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</si>
  <si>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</si>
  <si>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</si>
  <si>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</si>
  <si>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</si>
  <si>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</si>
  <si>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</si>
  <si>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</si>
  <si>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</si>
  <si>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</si>
  <si>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</si>
  <si>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</si>
  <si>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</si>
  <si>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</si>
  <si>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</si>
  <si>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</si>
  <si>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</si>
  <si>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</si>
  <si>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</si>
  <si>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</si>
  <si>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</si>
  <si>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</si>
  <si>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</si>
  <si>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</si>
  <si>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</si>
  <si>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</si>
  <si>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</si>
  <si>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</si>
  <si>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</si>
  <si>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</si>
  <si>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</si>
  <si>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</si>
  <si>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</si>
  <si>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</si>
  <si>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</si>
  <si>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</si>
  <si>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</si>
  <si>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</si>
  <si>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</si>
  <si>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</si>
  <si>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</si>
  <si>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</si>
  <si>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</si>
  <si>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</si>
  <si>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</si>
  <si>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</si>
  <si>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</si>
  <si>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</si>
  <si>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</si>
  <si>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</si>
  <si>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</si>
  <si>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</si>
  <si>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</si>
  <si>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</si>
  <si>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</si>
  <si>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</si>
  <si>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</si>
  <si>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</si>
  <si>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</si>
  <si>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</si>
  <si>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</si>
  <si>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</si>
  <si>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</si>
  <si>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</si>
  <si>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</si>
  <si>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</si>
  <si>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</si>
  <si>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</si>
  <si>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</si>
  <si>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</si>
  <si>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</si>
  <si>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</si>
  <si>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</si>
  <si>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</si>
  <si>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</si>
  <si>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</si>
  <si>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</si>
  <si>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</si>
  <si>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</si>
  <si>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</si>
  <si>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</si>
  <si>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</si>
  <si>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</si>
  <si>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</si>
  <si>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</si>
  <si>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</si>
  <si>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</si>
  <si>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</si>
  <si>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</si>
  <si>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</si>
  <si>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</si>
  <si>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</si>
  <si>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</si>
  <si>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</si>
  <si>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</si>
  <si>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</si>
  <si>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</si>
  <si>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</si>
  <si>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</si>
  <si>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</si>
  <si>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</si>
  <si>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</si>
  <si>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</si>
  <si>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</si>
  <si>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</si>
  <si>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</si>
  <si>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</si>
  <si>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</si>
  <si>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</si>
  <si>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</si>
  <si>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</si>
  <si>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</si>
  <si>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</si>
  <si>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</si>
  <si>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</si>
  <si>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</si>
  <si>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</si>
  <si>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</si>
  <si>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</si>
  <si>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</si>
  <si>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</si>
  <si>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</si>
  <si>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</si>
  <si>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</si>
  <si>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</si>
  <si>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</si>
  <si>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</si>
  <si>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</si>
  <si>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</si>
  <si>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</si>
  <si>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</si>
  <si>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</si>
  <si>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</si>
  <si>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</si>
  <si>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</si>
  <si>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</si>
  <si>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</si>
  <si>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</si>
  <si>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</si>
  <si>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</si>
  <si>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</si>
  <si>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</si>
  <si>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</si>
  <si>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</si>
  <si>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</si>
  <si>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</si>
  <si>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</si>
  <si>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</si>
  <si>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</si>
  <si>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</si>
  <si>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</si>
  <si>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</si>
  <si>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</si>
  <si>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</si>
  <si>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</si>
  <si>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</si>
  <si>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</si>
  <si>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</si>
  <si>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</si>
  <si>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</si>
  <si>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</si>
  <si>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</si>
  <si>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</si>
  <si>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</si>
  <si>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</si>
  <si>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</si>
  <si>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</si>
  <si>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</si>
  <si>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</si>
  <si>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</si>
  <si>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</si>
  <si>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</si>
  <si>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</si>
  <si>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</si>
  <si>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</si>
  <si>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</si>
  <si>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</si>
  <si>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</si>
  <si>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</si>
  <si>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</si>
  <si>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</si>
  <si>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</si>
  <si>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</si>
  <si>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</si>
  <si>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</si>
  <si>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</si>
  <si>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</si>
  <si>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</si>
  <si>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</si>
  <si>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</si>
  <si>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</si>
  <si>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</si>
  <si>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</si>
  <si>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</si>
  <si>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</si>
  <si>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</si>
  <si>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</si>
  <si>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</si>
  <si>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</si>
  <si>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</si>
  <si>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</si>
  <si>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</si>
  <si>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</si>
  <si>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</si>
  <si>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</si>
  <si>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</si>
  <si>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</si>
  <si>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</si>
  <si>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</si>
  <si>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</si>
  <si>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</si>
  <si>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</si>
  <si>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</si>
  <si>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</si>
  <si>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</si>
  <si>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</si>
  <si>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</si>
  <si>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</si>
  <si>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</si>
  <si>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</si>
  <si>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</si>
  <si>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</si>
  <si>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</si>
  <si>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</si>
  <si>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</si>
  <si>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</si>
  <si>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</si>
  <si>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</si>
  <si>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</si>
  <si>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</si>
  <si>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</si>
  <si>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</si>
  <si>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</si>
  <si>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</si>
  <si>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</si>
  <si>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</si>
  <si>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</si>
  <si>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</si>
  <si>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</si>
  <si>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</si>
  <si>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</si>
  <si>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</si>
  <si>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</si>
  <si>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</si>
  <si>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</si>
  <si>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</si>
  <si>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</si>
  <si>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</si>
  <si>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</si>
  <si>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</si>
  <si>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</si>
  <si>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</si>
  <si>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</si>
  <si>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</si>
  <si>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</si>
  <si>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</si>
  <si>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</si>
  <si>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</si>
  <si>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</si>
  <si>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</si>
  <si>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</si>
  <si>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</si>
  <si>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</si>
  <si>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</si>
  <si>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</si>
  <si>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</si>
  <si>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</si>
  <si>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</si>
  <si>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</si>
  <si>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</si>
  <si>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</si>
  <si>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</si>
  <si>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</si>
  <si>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</si>
  <si>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</si>
  <si>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</si>
  <si>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</si>
  <si>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</si>
  <si>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</si>
  <si>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</si>
  <si>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</si>
  <si>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</si>
  <si>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</si>
  <si>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</si>
  <si>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</si>
  <si>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</si>
  <si>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</si>
  <si>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</si>
  <si>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</si>
  <si>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</si>
  <si>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</si>
  <si>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</si>
  <si>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</si>
  <si>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</si>
  <si>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</si>
  <si>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</si>
  <si>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</si>
  <si>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</si>
  <si>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</si>
  <si>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</si>
  <si>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</si>
  <si>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</si>
  <si>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</si>
  <si>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</si>
  <si>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</si>
  <si>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</si>
  <si>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</si>
  <si>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</si>
  <si>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</si>
  <si>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</si>
  <si>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</si>
  <si>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</si>
  <si>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</si>
  <si>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</si>
  <si>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</si>
  <si>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</si>
  <si>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</si>
  <si>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</si>
  <si>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</si>
  <si>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</si>
  <si>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</si>
  <si>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</si>
  <si>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</si>
  <si>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</si>
  <si>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</si>
  <si>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</si>
  <si>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</si>
  <si>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</si>
  <si>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</si>
  <si>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</si>
  <si>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</si>
  <si>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</si>
  <si>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</si>
  <si>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</si>
  <si>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</si>
  <si>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</si>
  <si>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</si>
  <si>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</si>
  <si>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</si>
  <si>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</si>
  <si>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</si>
  <si>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</si>
  <si>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</si>
  <si>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</si>
  <si>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</si>
  <si>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</si>
  <si>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</si>
  <si>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</si>
  <si>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</si>
  <si>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</si>
  <si>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</si>
  <si>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</si>
  <si>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</si>
  <si>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</si>
  <si>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</si>
  <si>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</si>
  <si>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</si>
  <si>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</si>
  <si>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</si>
  <si>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</si>
  <si>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</si>
  <si>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</si>
  <si>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</si>
  <si>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</si>
  <si>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</si>
  <si>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</si>
  <si>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</si>
  <si>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</si>
  <si>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</si>
  <si>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</si>
  <si>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</si>
  <si>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</si>
  <si>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</si>
  <si>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</si>
  <si>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</si>
  <si>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</si>
  <si>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</si>
  <si>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</si>
  <si>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</si>
  <si>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</si>
  <si>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</si>
  <si>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</si>
  <si>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</si>
  <si>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</si>
  <si>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</si>
  <si>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</si>
  <si>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</si>
  <si>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</si>
  <si>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</si>
  <si>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</si>
  <si>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</si>
  <si>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</si>
  <si>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</si>
  <si>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</si>
  <si>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</si>
  <si>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</si>
  <si>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</si>
  <si>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</si>
  <si>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</si>
  <si>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</si>
  <si>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</si>
  <si>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</si>
  <si>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</si>
  <si>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</si>
  <si>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</si>
  <si>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</si>
  <si>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</si>
  <si>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</si>
  <si>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</si>
  <si>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</si>
  <si>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</si>
  <si>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</si>
  <si>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</si>
  <si>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</si>
  <si>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</si>
  <si>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</si>
  <si>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</si>
  <si>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</si>
  <si>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</si>
  <si>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</si>
  <si>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</si>
  <si>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</si>
  <si>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</si>
  <si>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</si>
  <si>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</si>
  <si>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</si>
  <si>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</si>
  <si>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</si>
  <si>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</si>
  <si>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</si>
  <si>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</si>
  <si>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</si>
  <si>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</si>
  <si>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</si>
  <si>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</si>
  <si>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</si>
  <si>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</si>
  <si>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</si>
  <si>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</si>
  <si>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</si>
  <si>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</si>
  <si>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</si>
  <si>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</si>
  <si>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</si>
  <si>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</si>
  <si>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</si>
  <si>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</si>
  <si>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</si>
  <si>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</si>
  <si>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</si>
  <si>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</si>
  <si>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</si>
  <si>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</si>
  <si>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</si>
  <si>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</si>
  <si>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</si>
  <si>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</si>
  <si>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</si>
  <si>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</si>
  <si>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</si>
  <si>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</si>
  <si>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</si>
  <si>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</si>
  <si>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</si>
  <si>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</si>
  <si>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</si>
  <si>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</si>
  <si>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</si>
  <si>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</si>
  <si>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</si>
  <si>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</si>
  <si>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</si>
  <si>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</si>
  <si>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</si>
  <si>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</si>
  <si>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</si>
  <si>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</si>
  <si>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</si>
  <si>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</si>
  <si>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</si>
  <si>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</si>
  <si>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</si>
  <si>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</si>
  <si>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</si>
  <si>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</si>
  <si>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</si>
  <si>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</si>
  <si>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</si>
  <si>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</si>
  <si>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</si>
  <si>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</si>
  <si>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</si>
  <si>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</si>
  <si>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</si>
  <si>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</si>
  <si>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</si>
  <si>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</si>
  <si>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</si>
  <si>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</si>
  <si>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</si>
  <si>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</si>
  <si>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</si>
  <si>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</si>
  <si>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</si>
  <si>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</si>
  <si>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</si>
  <si>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</si>
  <si>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</si>
  <si>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</si>
  <si>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</si>
  <si>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</si>
  <si>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</si>
  <si>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</si>
  <si>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</si>
  <si>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</si>
  <si>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</si>
  <si>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</si>
  <si>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</si>
  <si>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</si>
  <si>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</si>
  <si>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</si>
  <si>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</si>
  <si>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</si>
  <si>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</si>
  <si>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</si>
  <si>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</si>
  <si>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</si>
  <si>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</si>
  <si>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</si>
  <si>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</si>
  <si>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</si>
  <si>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</si>
  <si>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</si>
  <si>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</si>
  <si>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</si>
  <si>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</si>
  <si>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</si>
  <si>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</si>
  <si>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</si>
  <si>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</si>
  <si>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</si>
  <si>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</si>
  <si>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</si>
  <si>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</si>
  <si>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</si>
  <si>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</si>
  <si>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</si>
  <si>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</si>
  <si>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</si>
  <si>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</si>
  <si>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</si>
  <si>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</si>
  <si>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</si>
  <si>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</si>
  <si>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</si>
  <si>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</si>
  <si>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</si>
  <si>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</si>
  <si>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</si>
  <si>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</si>
  <si>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</si>
  <si>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</si>
  <si>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</si>
  <si>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</si>
  <si>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</si>
  <si>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</si>
  <si>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</si>
  <si>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</si>
  <si>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</si>
  <si>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</si>
  <si>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</si>
  <si>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</si>
  <si>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</si>
  <si>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</si>
  <si>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</si>
  <si>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</si>
  <si>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</si>
  <si>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</si>
  <si>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</si>
  <si>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</si>
  <si>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</si>
  <si>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</si>
  <si>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</si>
  <si>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</si>
  <si>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</si>
  <si>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</si>
  <si>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</si>
  <si>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</si>
  <si>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</si>
  <si>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</si>
  <si>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</si>
  <si>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</si>
  <si>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</si>
  <si>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</si>
  <si>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</si>
  <si>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</si>
  <si>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</si>
  <si>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</si>
  <si>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</si>
  <si>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</si>
  <si>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</si>
  <si>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</si>
  <si>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</si>
  <si>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</si>
  <si>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</si>
  <si>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</si>
  <si>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</si>
  <si>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</si>
  <si>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</si>
  <si>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</si>
  <si>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</si>
  <si>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</si>
  <si>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</si>
  <si>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</si>
  <si>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</si>
  <si>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</si>
  <si>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</si>
  <si>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</si>
  <si>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</si>
  <si>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</si>
  <si>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</si>
  <si>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</si>
  <si>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</si>
  <si>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</si>
  <si>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</si>
  <si>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</si>
  <si>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</si>
  <si>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</si>
  <si>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</si>
  <si>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</si>
  <si>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</si>
  <si>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</si>
  <si>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</si>
  <si>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</si>
  <si>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</si>
  <si>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</si>
  <si>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</si>
  <si>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</si>
  <si>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</si>
  <si>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</si>
  <si>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</si>
  <si>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</si>
  <si>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</si>
  <si>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</si>
  <si>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</si>
  <si>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</si>
  <si>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</si>
  <si>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</si>
  <si>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</si>
  <si>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</si>
  <si>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</si>
  <si>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</si>
  <si>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</si>
  <si>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</si>
  <si>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</si>
  <si>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</si>
  <si>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</si>
  <si>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</si>
  <si>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</si>
  <si>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</si>
  <si>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</si>
  <si>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</si>
  <si>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</si>
  <si>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</si>
  <si>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</si>
  <si>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</si>
  <si>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</si>
  <si>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</si>
  <si>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</si>
  <si>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</si>
  <si>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</si>
  <si>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</si>
  <si>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</si>
  <si>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</si>
  <si>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</si>
  <si>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</si>
  <si>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</si>
  <si>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</si>
  <si>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</si>
  <si>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</si>
  <si>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</si>
  <si>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</si>
  <si>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</si>
  <si>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</si>
  <si>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</si>
  <si>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</si>
  <si>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</si>
  <si>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</si>
  <si>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</si>
  <si>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</si>
  <si>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</si>
  <si>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</si>
  <si>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</si>
  <si>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</si>
  <si>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</si>
  <si>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</si>
  <si>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</si>
  <si>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</si>
  <si>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</si>
  <si>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</si>
  <si>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</si>
  <si>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</si>
  <si>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</si>
  <si>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</si>
  <si>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</si>
  <si>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</si>
  <si>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</si>
  <si>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</si>
  <si>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</si>
  <si>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</si>
  <si>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</si>
  <si>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</si>
  <si>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</si>
  <si>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</si>
  <si>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</si>
  <si>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</si>
  <si>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</si>
  <si>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</si>
  <si>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</si>
  <si>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</si>
  <si>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</si>
  <si>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</si>
  <si>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</si>
  <si>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</si>
  <si>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</si>
  <si>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</si>
  <si>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</si>
  <si>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</si>
  <si>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</si>
  <si>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</si>
  <si>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</si>
  <si>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</si>
  <si>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</si>
  <si>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</si>
  <si>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</si>
  <si>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</si>
  <si>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</si>
  <si>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</si>
  <si>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</si>
  <si>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</si>
  <si>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</si>
  <si>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</si>
  <si>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</si>
  <si>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</si>
  <si>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</si>
  <si>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</si>
  <si>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</si>
  <si>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</si>
  <si>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</si>
  <si>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</si>
  <si>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</si>
  <si>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</si>
  <si>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</si>
  <si>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</si>
  <si>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</si>
  <si>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</si>
  <si>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</si>
  <si>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</si>
  <si>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</si>
  <si>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</si>
  <si>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</si>
  <si>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</si>
  <si>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</si>
  <si>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</si>
  <si>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</si>
  <si>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</si>
  <si>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</si>
  <si>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</si>
  <si>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</si>
  <si>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</si>
  <si>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</si>
  <si>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</si>
  <si>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</si>
  <si>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</si>
  <si>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</si>
  <si>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</si>
  <si>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</si>
  <si>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</si>
  <si>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</si>
  <si>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</si>
  <si>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</si>
  <si>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</si>
  <si>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</si>
  <si>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</si>
  <si>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</si>
  <si>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</si>
  <si>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</si>
  <si>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</si>
  <si>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</si>
  <si>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</si>
  <si>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</si>
  <si>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</si>
  <si>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</si>
  <si>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</si>
  <si>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</si>
  <si>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</si>
  <si>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</si>
  <si>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</si>
  <si>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</si>
  <si>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</si>
  <si>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</si>
  <si>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</si>
  <si>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</si>
  <si>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</si>
  <si>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</si>
  <si>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</si>
  <si>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</si>
  <si>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</si>
  <si>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</si>
  <si>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</si>
  <si>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</si>
  <si>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</si>
  <si>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</si>
  <si>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</si>
  <si>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</si>
  <si>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</si>
  <si>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</si>
  <si>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</si>
  <si>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</si>
  <si>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</si>
  <si>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</si>
  <si>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</si>
  <si>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</si>
  <si>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</si>
  <si>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</si>
  <si>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</si>
  <si>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</si>
  <si>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</si>
  <si>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</si>
  <si>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</si>
  <si>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</si>
  <si>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</si>
  <si>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</si>
  <si>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</si>
  <si>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</si>
  <si>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</si>
  <si>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</si>
  <si>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</si>
  <si>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</si>
  <si>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</si>
  <si>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</si>
  <si>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</si>
  <si>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</si>
  <si>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</si>
  <si>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</si>
  <si>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</si>
  <si>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</si>
  <si>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</si>
  <si>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</si>
  <si>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</si>
  <si>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</si>
  <si>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</si>
  <si>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</si>
  <si>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</si>
  <si>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</si>
  <si>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</si>
  <si>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</si>
  <si>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</si>
  <si>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</si>
  <si>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</si>
  <si>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</si>
  <si>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</si>
  <si>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</si>
  <si>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</si>
  <si>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</si>
  <si>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</si>
  <si>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</si>
  <si>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</si>
  <si>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</si>
  <si>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</si>
  <si>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</si>
  <si>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</si>
  <si>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</si>
  <si>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</si>
  <si>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</si>
  <si>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</si>
  <si>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</si>
  <si>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</si>
  <si>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</si>
  <si>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</si>
  <si>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</si>
  <si>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</si>
  <si>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</si>
  <si>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</si>
  <si>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</si>
  <si>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</si>
  <si>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</si>
  <si>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</si>
  <si>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</si>
  <si>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</si>
  <si>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</si>
  <si>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</si>
  <si>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</si>
  <si>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</si>
  <si>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</si>
  <si>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</si>
  <si>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</si>
  <si>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</si>
  <si>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</si>
  <si>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</si>
  <si>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</si>
  <si>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</si>
  <si>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</si>
  <si>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</si>
  <si>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</si>
  <si>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</si>
  <si>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</si>
  <si>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</si>
  <si>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</si>
  <si>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</si>
  <si>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</si>
  <si>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</si>
  <si>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</si>
  <si>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</si>
  <si>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</si>
  <si>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</si>
  <si>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</si>
  <si>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</si>
  <si>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</si>
  <si>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</si>
  <si>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</si>
  <si>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</si>
  <si>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</si>
  <si>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</si>
  <si>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</si>
  <si>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</si>
  <si>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</si>
  <si>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</si>
  <si>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</si>
  <si>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</si>
  <si>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</si>
  <si>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</si>
  <si>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</si>
  <si>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</si>
  <si>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</si>
  <si>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</si>
  <si>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</si>
  <si>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</si>
  <si>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</si>
  <si>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</si>
  <si>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</si>
  <si>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</si>
  <si>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</si>
  <si>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</si>
  <si>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</si>
  <si>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</si>
  <si>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</si>
  <si>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</si>
  <si>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</si>
  <si>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</si>
  <si>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</si>
  <si>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</si>
  <si>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</si>
  <si>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</si>
  <si>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</si>
  <si>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</si>
  <si>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</si>
  <si>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</si>
  <si>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</si>
  <si>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</si>
  <si>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</si>
  <si>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</si>
  <si>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</si>
  <si>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</si>
  <si>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</si>
  <si>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</si>
  <si>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</si>
  <si>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</si>
  <si>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</si>
  <si>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</si>
  <si>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</si>
  <si>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</si>
  <si>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</si>
  <si>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</si>
  <si>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</si>
  <si>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</si>
  <si>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</si>
  <si>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</si>
  <si>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</si>
  <si>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</si>
  <si>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</si>
  <si>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</si>
  <si>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</si>
  <si>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</si>
  <si>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</si>
  <si>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</si>
  <si>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</si>
  <si>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</si>
  <si>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</si>
  <si>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</si>
  <si>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</si>
  <si>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</si>
  <si>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</si>
  <si>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</si>
  <si>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</si>
  <si>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</si>
  <si>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</si>
  <si>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</si>
  <si>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</si>
  <si>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</si>
  <si>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</si>
  <si>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</si>
  <si>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</si>
  <si>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</si>
  <si>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</si>
  <si>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</si>
  <si>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</si>
  <si>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</si>
  <si>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</si>
  <si>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</si>
  <si>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</si>
  <si>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</si>
  <si>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</si>
  <si>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</si>
  <si>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</si>
  <si>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</si>
  <si>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</si>
  <si>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</si>
  <si>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</si>
  <si>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</si>
  <si>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</si>
  <si>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</si>
  <si>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</si>
  <si>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</si>
  <si>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</si>
  <si>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</si>
  <si>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</si>
  <si>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</si>
  <si>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</si>
  <si>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</si>
  <si>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</si>
  <si>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</si>
  <si>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</si>
  <si>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</si>
  <si>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</si>
  <si>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</si>
  <si>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</si>
  <si>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</si>
  <si>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</si>
  <si>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</si>
  <si>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</si>
  <si>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</si>
  <si>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</si>
  <si>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</si>
  <si>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</si>
  <si>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</si>
  <si>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</si>
  <si>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</si>
  <si>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</si>
  <si>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</si>
  <si>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</si>
  <si>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</si>
  <si>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</si>
  <si>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</si>
  <si>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</si>
  <si>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</si>
  <si>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</si>
  <si>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</si>
  <si>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</si>
  <si>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</si>
  <si>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</si>
  <si>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</si>
  <si>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</si>
  <si>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</si>
  <si>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</si>
  <si>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</si>
  <si>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</si>
  <si>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</si>
  <si>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</si>
  <si>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</si>
  <si>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</si>
  <si>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</si>
  <si>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</si>
  <si>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</si>
  <si>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</si>
  <si>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</si>
  <si>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</si>
  <si>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</si>
  <si>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</si>
  <si>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</si>
  <si>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</si>
  <si>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</si>
  <si>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</si>
  <si>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</si>
  <si>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</si>
  <si>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</si>
  <si>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</si>
  <si>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</si>
  <si>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</si>
  <si>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</si>
  <si>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</si>
  <si>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</si>
  <si>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</si>
  <si>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</si>
  <si>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</si>
  <si>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</si>
  <si>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</si>
  <si>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</si>
  <si>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</si>
  <si>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</si>
  <si>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</si>
  <si>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</si>
  <si>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</si>
  <si>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</si>
  <si>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</si>
  <si>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</si>
  <si>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</si>
  <si>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</si>
  <si>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</si>
  <si>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</si>
  <si>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</si>
  <si>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</si>
  <si>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</si>
  <si>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</si>
  <si>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</si>
  <si>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</si>
  <si>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</si>
  <si>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</si>
  <si>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</si>
  <si>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</si>
  <si>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</si>
  <si>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</si>
  <si>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</si>
  <si>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</si>
  <si>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Ictalurivirus</t>
  </si>
  <si>
    <t>Phycodnaviridae</t>
  </si>
  <si>
    <t>Chlorovirus</t>
  </si>
  <si>
    <t>Hydra viridis Chlorella virus 1</t>
  </si>
  <si>
    <t>Paramecium bursaria Chlorella virus 1</t>
  </si>
  <si>
    <t>Paramecium bursaria Chlorella virus A1</t>
  </si>
  <si>
    <t>Paramecium bursaria Chlorella virus AL1A</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</si>
  <si>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</si>
  <si>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</si>
  <si>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</si>
  <si>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</si>
  <si>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</si>
  <si>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</si>
  <si>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</si>
  <si>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</si>
  <si>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</si>
  <si>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</si>
  <si>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</si>
  <si>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</si>
  <si>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</si>
  <si>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</si>
  <si>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</si>
  <si>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</si>
  <si>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</si>
  <si>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</si>
  <si>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</si>
  <si>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</si>
  <si>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</si>
  <si>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</si>
  <si>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</si>
  <si>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</si>
  <si>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</si>
  <si>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</si>
  <si>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</si>
  <si>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</si>
  <si>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</si>
  <si>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</si>
  <si>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</si>
  <si>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</si>
  <si>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</si>
  <si>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</si>
  <si>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</si>
  <si>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</si>
  <si>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</si>
  <si>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</si>
  <si>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</si>
  <si>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</si>
  <si>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</si>
  <si>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</si>
  <si>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</si>
  <si>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</si>
  <si>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</si>
  <si>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</si>
  <si>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</si>
  <si>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</si>
  <si>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</si>
  <si>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</si>
  <si>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</si>
  <si>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</si>
  <si>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</si>
  <si>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</si>
  <si>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</si>
  <si>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</si>
  <si>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</si>
  <si>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</si>
  <si>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</si>
  <si>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</si>
  <si>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</si>
  <si>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</si>
  <si>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</si>
  <si>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</si>
  <si>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</si>
  <si>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</si>
  <si>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</si>
  <si>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</si>
  <si>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</si>
  <si>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</si>
  <si>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</si>
  <si>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</si>
  <si>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</si>
  <si>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</si>
  <si>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</si>
  <si>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</si>
  <si>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</si>
  <si>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</si>
  <si>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</si>
  <si>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</si>
  <si>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</si>
  <si>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</si>
  <si>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</si>
  <si>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</si>
  <si>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</si>
  <si>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</si>
  <si>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</si>
  <si>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</si>
  <si>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</si>
  <si>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</si>
  <si>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</si>
  <si>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</si>
  <si>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</si>
  <si>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</si>
  <si>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</si>
  <si>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</si>
  <si>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</si>
  <si>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</si>
  <si>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</si>
  <si>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</si>
  <si>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</si>
  <si>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</si>
  <si>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</si>
  <si>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</si>
  <si>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</si>
  <si>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</si>
  <si>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</si>
  <si>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</si>
  <si>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</si>
  <si>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</si>
  <si>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</si>
  <si>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</si>
  <si>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</si>
  <si>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</si>
  <si>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</si>
  <si>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</si>
  <si>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</si>
  <si>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</si>
  <si>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</si>
  <si>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</si>
  <si>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</si>
  <si>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</si>
  <si>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</si>
  <si>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</si>
  <si>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</si>
  <si>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</si>
  <si>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</si>
  <si>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</si>
  <si>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</si>
  <si>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</si>
  <si>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</si>
  <si>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</si>
  <si>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</si>
  <si>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</si>
  <si>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</si>
  <si>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</si>
  <si>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</si>
  <si>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</si>
  <si>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</si>
  <si>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</si>
  <si>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</si>
  <si>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</si>
  <si>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</si>
  <si>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</si>
  <si>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</si>
  <si>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</si>
  <si>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</si>
  <si>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</si>
  <si>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</si>
  <si>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</si>
  <si>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</si>
  <si>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</si>
  <si>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</si>
  <si>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</si>
  <si>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</si>
  <si>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</si>
  <si>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</si>
  <si>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</si>
  <si>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</si>
  <si>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</si>
  <si>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</si>
  <si>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</si>
  <si>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</si>
  <si>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</si>
  <si>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</si>
  <si>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</si>
  <si>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</si>
  <si>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</si>
  <si>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</si>
  <si>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</si>
  <si>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</si>
  <si>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</si>
  <si>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</si>
  <si>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</si>
  <si>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</si>
  <si>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</si>
  <si>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</si>
  <si>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</si>
  <si>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</si>
  <si>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</si>
  <si>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</si>
  <si>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</si>
  <si>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</si>
  <si>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</si>
  <si>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</si>
  <si>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</si>
  <si>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</si>
  <si>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</si>
  <si>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</si>
  <si>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</si>
  <si>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</si>
  <si>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</si>
  <si>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</si>
  <si>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</si>
  <si>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</si>
  <si>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</si>
  <si>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</si>
  <si>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</si>
  <si>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</si>
  <si>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</si>
  <si>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</si>
  <si>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</si>
  <si>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</si>
  <si>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</si>
  <si>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</si>
  <si>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</si>
  <si>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</si>
  <si>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</si>
  <si>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</si>
  <si>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</si>
  <si>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</si>
  <si>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</si>
  <si>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</si>
  <si>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</si>
  <si>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</si>
  <si>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</si>
  <si>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</si>
  <si>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</si>
  <si>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</si>
  <si>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</si>
  <si>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</si>
  <si>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</si>
  <si>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</si>
  <si>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</si>
  <si>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</si>
  <si>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</si>
  <si>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</si>
  <si>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</si>
  <si>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</si>
  <si>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</si>
  <si>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</si>
  <si>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</si>
  <si>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</si>
  <si>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</si>
  <si>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</si>
  <si>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</si>
  <si>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</si>
  <si>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</si>
  <si>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</si>
  <si>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</si>
  <si>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</si>
  <si>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</si>
  <si>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</si>
  <si>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</si>
  <si>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</si>
  <si>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</si>
  <si>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</si>
  <si>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</si>
  <si>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</si>
  <si>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</si>
  <si>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</si>
  <si>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</si>
  <si>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</si>
  <si>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</si>
  <si>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</si>
  <si>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</si>
  <si>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</si>
  <si>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</si>
  <si>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</si>
  <si>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</si>
  <si>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</si>
  <si>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</si>
  <si>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</si>
  <si>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</si>
  <si>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</si>
  <si>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</si>
  <si>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</si>
  <si>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</si>
  <si>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</si>
  <si>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</si>
  <si>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</si>
  <si>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</si>
  <si>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</si>
  <si>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</si>
  <si>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</si>
  <si>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</si>
  <si>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</si>
  <si>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</si>
  <si>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</si>
  <si>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</si>
  <si>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</si>
  <si>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</si>
  <si>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</si>
  <si>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</si>
  <si>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</si>
  <si>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</si>
  <si>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</si>
  <si>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</si>
  <si>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</si>
  <si>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</si>
  <si>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</si>
  <si>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</si>
  <si>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</si>
  <si>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</si>
  <si>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</si>
  <si>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</si>
  <si>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</si>
  <si>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</si>
  <si>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</si>
  <si>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</si>
  <si>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</si>
  <si>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</si>
  <si>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</si>
  <si>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</si>
  <si>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</si>
  <si>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</si>
  <si>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</si>
  <si>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</si>
  <si>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</si>
  <si>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</si>
  <si>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</si>
  <si>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</si>
  <si>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</si>
  <si>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</si>
  <si>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</si>
  <si>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</si>
  <si>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</si>
  <si>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</si>
  <si>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</si>
  <si>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</si>
  <si>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</si>
  <si>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</si>
  <si>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</si>
  <si>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</si>
  <si>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</si>
  <si>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</si>
  <si>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</si>
  <si>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</si>
  <si>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</si>
  <si>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</si>
  <si>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</si>
  <si>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</si>
  <si>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</si>
  <si>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</si>
  <si>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</si>
  <si>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</si>
  <si>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</si>
  <si>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</si>
  <si>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</si>
  <si>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</si>
  <si>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</si>
  <si>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</si>
  <si>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</si>
  <si>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</si>
  <si>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</si>
  <si>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</si>
  <si>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</si>
  <si>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</si>
  <si>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</si>
  <si>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</si>
  <si>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</si>
  <si>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</si>
  <si>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</si>
  <si>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</si>
  <si>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</si>
  <si>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</si>
  <si>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</si>
  <si>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</si>
  <si>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</si>
  <si>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</si>
  <si>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</si>
  <si>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</si>
  <si>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</si>
  <si>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</si>
  <si>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</si>
  <si>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</si>
  <si>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</si>
  <si>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</si>
  <si>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</si>
  <si>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</si>
  <si>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</si>
  <si>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</si>
  <si>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</si>
  <si>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</si>
  <si>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</si>
  <si>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</si>
  <si>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</si>
  <si>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</si>
  <si>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</si>
  <si>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</si>
  <si>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</si>
  <si>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</si>
  <si>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</si>
  <si>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</si>
  <si>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</si>
  <si>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</si>
  <si>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</si>
  <si>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</si>
  <si>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</si>
  <si>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</si>
  <si>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</si>
  <si>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</si>
  <si>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</si>
  <si>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</si>
  <si>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</si>
  <si>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</si>
  <si>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</si>
  <si>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</si>
  <si>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</si>
  <si>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</si>
  <si>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</si>
  <si>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</si>
  <si>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</si>
  <si>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</si>
  <si>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</si>
  <si>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</si>
  <si>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</si>
  <si>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</si>
  <si>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</si>
  <si>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</si>
  <si>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</si>
  <si>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</si>
  <si>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</si>
  <si>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</si>
  <si>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</si>
  <si>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</si>
  <si>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</si>
  <si>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</si>
  <si>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</si>
  <si>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</si>
  <si>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</si>
  <si>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</si>
  <si>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</si>
  <si>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</si>
  <si>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</si>
  <si>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</si>
  <si>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</si>
  <si>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</si>
  <si>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</si>
  <si>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</si>
  <si>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</si>
  <si>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</si>
  <si>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</si>
  <si>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</si>
  <si>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</si>
  <si>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</si>
  <si>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</si>
  <si>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</si>
  <si>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</si>
  <si>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</si>
  <si>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</si>
  <si>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</si>
  <si>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</si>
  <si>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</si>
  <si>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</si>
  <si>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</si>
  <si>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</si>
  <si>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</si>
  <si>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</si>
  <si>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</si>
  <si>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</si>
  <si>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</si>
  <si>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</si>
  <si>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</si>
  <si>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</si>
  <si>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</si>
  <si>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</si>
  <si>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</si>
  <si>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</si>
  <si>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</si>
  <si>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</si>
  <si>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</si>
  <si>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</si>
  <si>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</si>
  <si>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</si>
  <si>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</si>
  <si>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</si>
  <si>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</si>
  <si>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</si>
  <si>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</si>
  <si>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</si>
  <si>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</si>
  <si>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</si>
  <si>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</si>
  <si>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</si>
  <si>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</si>
  <si>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</si>
  <si>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</si>
  <si>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</si>
  <si>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</si>
  <si>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</si>
  <si>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</si>
  <si>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</si>
  <si>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</si>
  <si>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</si>
  <si>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</si>
  <si>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</si>
  <si>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</si>
  <si>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</si>
  <si>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</si>
  <si>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</si>
  <si>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</si>
  <si>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</si>
  <si>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</si>
  <si>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</si>
  <si>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</si>
  <si>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</si>
  <si>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</si>
  <si>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</si>
  <si>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</si>
  <si>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</si>
  <si>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</si>
  <si>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</si>
  <si>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</si>
  <si>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</si>
  <si>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</si>
  <si>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</si>
  <si>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</si>
  <si>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</si>
  <si>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</si>
  <si>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</si>
  <si>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</si>
  <si>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</si>
  <si>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</si>
  <si>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</si>
  <si>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</si>
  <si>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</si>
  <si>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</si>
  <si>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</si>
  <si>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</si>
  <si>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</si>
  <si>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</si>
  <si>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</si>
  <si>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</si>
  <si>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</si>
  <si>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</si>
  <si>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</si>
  <si>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</si>
  <si>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</si>
  <si>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</si>
  <si>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</si>
  <si>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</si>
  <si>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</si>
  <si>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</si>
  <si>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</si>
  <si>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</si>
  <si>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</si>
  <si>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</si>
  <si>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</si>
  <si>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</si>
  <si>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</si>
  <si>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</si>
  <si>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</si>
  <si>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</si>
  <si>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</si>
  <si>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</si>
  <si>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</si>
  <si>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</si>
  <si>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</si>
  <si>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</si>
  <si>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</si>
  <si>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</si>
  <si>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</si>
  <si>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</si>
  <si>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</si>
  <si>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</si>
  <si>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</si>
  <si>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</si>
  <si>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</si>
  <si>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</si>
  <si>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</si>
  <si>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</si>
  <si>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</si>
  <si>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</si>
  <si>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</si>
  <si>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</si>
  <si>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</si>
  <si>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</si>
  <si>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</si>
  <si>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</si>
  <si>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</si>
  <si>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</si>
  <si>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</si>
  <si>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</si>
  <si>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</si>
  <si>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</si>
  <si>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</si>
  <si>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</si>
  <si>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</si>
  <si>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</si>
  <si>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</si>
  <si>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</si>
  <si>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</si>
  <si>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</si>
  <si>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</si>
  <si>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</si>
  <si>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</si>
  <si>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</si>
  <si>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</si>
  <si>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</si>
  <si>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</si>
  <si>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</si>
  <si>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</si>
  <si>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</si>
  <si>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</si>
  <si>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</si>
  <si>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</si>
  <si>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</si>
  <si>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</si>
  <si>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</si>
  <si>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</si>
  <si>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</si>
  <si>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</si>
  <si>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</si>
  <si>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</si>
  <si>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</si>
  <si>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</si>
  <si>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</si>
  <si>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</si>
  <si>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</si>
  <si>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</si>
  <si>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</si>
  <si>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</si>
  <si>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</si>
  <si>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</si>
  <si>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</si>
  <si>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</si>
  <si>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</si>
  <si>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</si>
  <si>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</si>
  <si>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</si>
  <si>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</si>
  <si>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</si>
  <si>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</si>
  <si>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</si>
  <si>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</si>
  <si>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</si>
  <si>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</si>
  <si>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</si>
  <si>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</si>
  <si>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</si>
  <si>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</si>
  <si>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</si>
  <si>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</si>
  <si>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</si>
  <si>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</si>
  <si>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</si>
  <si>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</si>
  <si>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</si>
  <si>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</si>
  <si>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</si>
  <si>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</si>
  <si>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</si>
  <si>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</si>
  <si>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</si>
  <si>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</si>
  <si>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</si>
  <si>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</si>
  <si>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</si>
  <si>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</si>
  <si>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</si>
  <si>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</si>
  <si>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</si>
  <si>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</si>
  <si>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</si>
  <si>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</si>
  <si>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</si>
  <si>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</si>
  <si>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</si>
  <si>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</si>
  <si>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</si>
  <si>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</si>
  <si>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</si>
  <si>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</si>
  <si>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</si>
  <si>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</si>
  <si>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</si>
  <si>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</si>
  <si>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</si>
  <si>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</si>
  <si>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</si>
  <si>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</si>
  <si>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</si>
  <si>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</si>
  <si>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</si>
  <si>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</si>
  <si>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</si>
  <si>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</si>
  <si>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</si>
  <si>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</si>
  <si>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</si>
  <si>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</si>
  <si>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</si>
  <si>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</si>
  <si>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</si>
  <si>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</si>
  <si>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</si>
  <si>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</si>
  <si>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</si>
  <si>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</si>
  <si>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</si>
  <si>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</si>
  <si>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</si>
  <si>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</si>
  <si>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</si>
  <si>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</si>
  <si>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</si>
  <si>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</si>
  <si>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</si>
  <si>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</si>
  <si>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</si>
  <si>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</si>
  <si>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</si>
  <si>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</si>
  <si>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</si>
  <si>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</si>
  <si>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</si>
  <si>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</si>
  <si>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</si>
  <si>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</si>
  <si>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</si>
  <si>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</si>
  <si>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</si>
  <si>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</si>
  <si>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</si>
  <si>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</si>
  <si>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</si>
  <si>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</si>
  <si>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</si>
  <si>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</si>
  <si>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</si>
  <si>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</si>
  <si>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</si>
  <si>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</si>
  <si>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</si>
  <si>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</si>
  <si>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</si>
  <si>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</si>
  <si>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</si>
  <si>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</si>
  <si>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</si>
  <si>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</si>
  <si>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</si>
  <si>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</si>
  <si>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</si>
  <si>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</si>
  <si>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</si>
  <si>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</si>
  <si>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</si>
  <si>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</si>
  <si>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</si>
  <si>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</si>
  <si>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</si>
  <si>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</si>
  <si>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</si>
  <si>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</si>
  <si>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</si>
  <si>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</si>
  <si>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</si>
  <si>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</si>
  <si>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</si>
  <si>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</si>
  <si>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</si>
  <si>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</si>
  <si>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</si>
  <si>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</si>
  <si>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</si>
  <si>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</si>
  <si>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</si>
  <si>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</si>
  <si>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</si>
  <si>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</si>
  <si>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</si>
  <si>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</si>
  <si>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</si>
  <si>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</si>
  <si>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</si>
  <si>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</si>
  <si>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</si>
  <si>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</si>
  <si>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</si>
  <si>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</si>
  <si>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</si>
  <si>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</si>
  <si>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</si>
  <si>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</si>
  <si>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</si>
  <si>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</si>
  <si>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</si>
  <si>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</si>
  <si>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</si>
  <si>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</si>
  <si>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</si>
  <si>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</si>
  <si>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</si>
  <si>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</si>
  <si>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</si>
  <si>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</si>
  <si>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</si>
  <si>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</si>
  <si>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</si>
  <si>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</si>
  <si>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</si>
  <si>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</si>
  <si>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</si>
  <si>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</si>
  <si>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</si>
  <si>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</si>
  <si>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</si>
  <si>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</si>
  <si>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</si>
  <si>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</si>
  <si>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</si>
  <si>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</si>
  <si>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</si>
  <si>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</si>
  <si>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</si>
  <si>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</si>
  <si>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</si>
  <si>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</si>
  <si>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</si>
  <si>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</si>
  <si>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</si>
  <si>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</si>
  <si>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</si>
  <si>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</si>
  <si>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</si>
  <si>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</si>
  <si>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</si>
  <si>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</si>
  <si>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</si>
  <si>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</si>
  <si>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</si>
  <si>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</si>
  <si>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</si>
  <si>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</si>
  <si>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</si>
  <si>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</si>
  <si>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</si>
  <si>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</si>
  <si>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</si>
  <si>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</si>
  <si>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</si>
  <si>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</si>
  <si>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</si>
  <si>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</si>
  <si>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</si>
  <si>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</si>
  <si>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</si>
  <si>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</si>
  <si>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</si>
  <si>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</si>
  <si>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</si>
  <si>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</si>
  <si>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</si>
  <si>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</si>
  <si>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</si>
  <si>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</si>
  <si>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</si>
  <si>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</si>
  <si>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</si>
  <si>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</si>
  <si>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</si>
  <si>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</si>
  <si>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</si>
  <si>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</si>
  <si>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</si>
  <si>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</si>
  <si>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</si>
  <si>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</si>
  <si>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</si>
  <si>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</si>
  <si>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</si>
  <si>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</si>
  <si>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</si>
  <si>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</si>
  <si>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</si>
  <si>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</si>
  <si>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</si>
  <si>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</si>
  <si>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</si>
  <si>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</si>
  <si>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</si>
  <si>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</si>
  <si>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</si>
  <si>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</si>
  <si>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</si>
  <si>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</si>
  <si>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</si>
  <si>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</si>
  <si>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</si>
  <si>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</si>
  <si>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</si>
  <si>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</si>
  <si>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</si>
  <si>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</si>
  <si>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</si>
  <si>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</si>
  <si>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</si>
  <si>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</si>
  <si>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</si>
  <si>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</si>
  <si>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</si>
  <si>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</si>
  <si>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</si>
  <si>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</si>
  <si>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</si>
  <si>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</si>
  <si>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</si>
  <si>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</si>
  <si>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</si>
  <si>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</si>
  <si>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</si>
  <si>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</si>
  <si>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</si>
  <si>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</si>
  <si>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</si>
  <si>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</si>
  <si>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</si>
  <si>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</si>
  <si>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</si>
  <si>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</si>
  <si>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</si>
  <si>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</si>
  <si>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</si>
  <si>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</si>
  <si>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</si>
  <si>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</si>
  <si>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</si>
  <si>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</si>
  <si>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</si>
  <si>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</si>
  <si>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</si>
  <si>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</si>
  <si>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</si>
  <si>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</si>
  <si>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</si>
  <si>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</si>
  <si>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</si>
  <si>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</si>
  <si>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</si>
  <si>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</si>
  <si>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</si>
  <si>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</si>
  <si>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</si>
  <si>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</si>
  <si>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</si>
  <si>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</si>
  <si>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</si>
  <si>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</si>
  <si>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</si>
  <si>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</si>
  <si>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</si>
  <si>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</si>
  <si>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</si>
  <si>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</si>
  <si>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</si>
  <si>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</si>
  <si>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</si>
  <si>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</si>
  <si>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</si>
  <si>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</si>
  <si>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</si>
  <si>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</si>
  <si>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</si>
  <si>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</si>
  <si>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</si>
  <si>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</si>
  <si>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</si>
  <si>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</si>
  <si>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</si>
  <si>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</si>
  <si>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</si>
  <si>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</si>
  <si>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</si>
  <si>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</si>
  <si>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</si>
  <si>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</si>
  <si>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</si>
  <si>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</si>
  <si>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</si>
  <si>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</si>
  <si>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</si>
  <si>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</si>
  <si>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</si>
  <si>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</si>
  <si>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</si>
  <si>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</si>
  <si>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</si>
  <si>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</si>
  <si>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</si>
  <si>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</si>
  <si>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</si>
  <si>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</si>
  <si>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</si>
  <si>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</si>
  <si>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</si>
  <si>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</si>
  <si>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</si>
  <si>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</si>
  <si>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</si>
  <si>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</si>
  <si>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</si>
  <si>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</si>
  <si>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</si>
  <si>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</si>
  <si>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</si>
  <si>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</si>
  <si>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</si>
  <si>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</si>
  <si>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</si>
  <si>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</si>
  <si>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</si>
  <si>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</si>
  <si>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</si>
  <si>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</si>
  <si>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</si>
  <si>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</si>
  <si>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</si>
  <si>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</si>
  <si>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</si>
  <si>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</si>
  <si>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</si>
  <si>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</si>
  <si>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</si>
  <si>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</si>
  <si>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</si>
  <si>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</si>
  <si>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</si>
  <si>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</si>
  <si>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</si>
  <si>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</si>
  <si>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</si>
  <si>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</si>
  <si>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</si>
  <si>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</si>
  <si>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</si>
  <si>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</si>
  <si>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</si>
  <si>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</si>
  <si>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</si>
  <si>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</si>
  <si>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</si>
  <si>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</si>
  <si>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</si>
  <si>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</si>
  <si>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</si>
  <si>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</si>
  <si>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</si>
  <si>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</si>
  <si>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</si>
  <si>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</si>
  <si>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</si>
  <si>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</si>
  <si>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</si>
  <si>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</si>
  <si>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</si>
  <si>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</si>
  <si>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</si>
  <si>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</si>
  <si>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</si>
  <si>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</si>
  <si>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</si>
  <si>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</si>
  <si>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</si>
  <si>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</si>
  <si>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</si>
  <si>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</si>
  <si>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</si>
  <si>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</si>
  <si>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</si>
  <si>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</si>
  <si>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</si>
  <si>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</si>
  <si>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</si>
  <si>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</si>
  <si>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</si>
  <si>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</si>
  <si>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</si>
  <si>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</si>
  <si>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</si>
  <si>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</si>
  <si>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</si>
  <si>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</si>
  <si>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</si>
  <si>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</si>
  <si>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</si>
  <si>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</si>
  <si>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</si>
  <si>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</si>
  <si>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</si>
  <si>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</si>
  <si>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</si>
  <si>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</si>
  <si>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</si>
  <si>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</si>
  <si>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</si>
  <si>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</si>
  <si>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</si>
  <si>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</si>
  <si>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</si>
  <si>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</si>
  <si>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</si>
  <si>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</si>
  <si>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</si>
  <si>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</si>
  <si>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</si>
  <si>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</si>
  <si>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</si>
  <si>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</si>
  <si>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</si>
  <si>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</si>
  <si>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</si>
  <si>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</si>
  <si>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</si>
  <si>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</si>
  <si>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</si>
  <si>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</si>
  <si>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</si>
  <si>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</si>
  <si>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</si>
  <si>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</si>
  <si>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</si>
  <si>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</si>
  <si>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</si>
  <si>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</si>
  <si>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</si>
  <si>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</si>
  <si>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</si>
  <si>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</si>
  <si>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</si>
  <si>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</si>
  <si>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</si>
  <si>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</si>
  <si>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</si>
  <si>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</si>
  <si>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</si>
  <si>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</si>
  <si>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</si>
  <si>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</si>
  <si>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</si>
  <si>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</si>
  <si>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</si>
  <si>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</si>
  <si>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</si>
  <si>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</si>
  <si>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</si>
  <si>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</si>
  <si>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</si>
  <si>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</si>
  <si>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</si>
  <si>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</si>
  <si>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</si>
  <si>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</si>
  <si>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</si>
  <si>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</si>
  <si>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</si>
  <si>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</si>
  <si>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</si>
  <si>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</si>
  <si>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</si>
  <si>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</si>
  <si>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</si>
  <si>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</si>
  <si>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</si>
  <si>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</si>
  <si>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</si>
  <si>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</si>
  <si>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</si>
  <si>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</si>
  <si>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</si>
  <si>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</si>
  <si>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</si>
  <si>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</si>
  <si>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</si>
  <si>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</si>
  <si>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</si>
  <si>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</si>
  <si>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</si>
  <si>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</si>
  <si>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</si>
  <si>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</si>
  <si>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</si>
  <si>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Iteradensovirus</t>
  </si>
  <si>
    <t>Lepidopteran iteradensovirus 1</t>
  </si>
  <si>
    <t>Lepidopteran iteradensovirus 2</t>
  </si>
  <si>
    <t>Lepidopteran iteradensovirus 3</t>
  </si>
  <si>
    <t>Lepidopteran iteradensovirus 4</t>
  </si>
  <si>
    <t>Lepidopteran iteradensovirus 5</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</si>
  <si>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</si>
  <si>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</si>
  <si>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</si>
  <si>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</si>
  <si>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</si>
  <si>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</si>
  <si>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</si>
  <si>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</si>
  <si>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</si>
  <si>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</si>
  <si>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</si>
  <si>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</si>
  <si>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</si>
  <si>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</si>
  <si>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</si>
  <si>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</si>
  <si>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</si>
  <si>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</si>
  <si>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</si>
  <si>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</si>
  <si>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</si>
  <si>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</si>
  <si>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</si>
  <si>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</si>
  <si>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</si>
  <si>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</si>
  <si>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</si>
  <si>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</si>
  <si>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</si>
  <si>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</si>
  <si>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</si>
  <si>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</si>
  <si>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</si>
  <si>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</si>
  <si>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</si>
  <si>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</si>
  <si>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</si>
  <si>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</si>
  <si>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</si>
  <si>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</si>
  <si>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</si>
  <si>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</si>
  <si>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</si>
  <si>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</si>
  <si>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</si>
  <si>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</si>
  <si>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</si>
  <si>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</si>
  <si>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</si>
  <si>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</si>
  <si>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</si>
  <si>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</si>
  <si>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</si>
  <si>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</si>
  <si>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</si>
  <si>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</si>
  <si>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</si>
  <si>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</si>
  <si>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</si>
  <si>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</si>
  <si>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</si>
  <si>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</si>
  <si>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</si>
  <si>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</si>
  <si>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</si>
  <si>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</si>
  <si>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</si>
  <si>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</si>
  <si>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</si>
  <si>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</si>
  <si>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</si>
  <si>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</si>
  <si>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</si>
  <si>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</si>
  <si>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</si>
  <si>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</si>
  <si>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</si>
  <si>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</si>
  <si>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</si>
  <si>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</si>
  <si>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</si>
  <si>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</si>
  <si>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</si>
  <si>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</si>
  <si>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</si>
  <si>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</si>
  <si>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</si>
  <si>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</si>
  <si>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</si>
  <si>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</si>
  <si>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</si>
  <si>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</si>
  <si>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</si>
  <si>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</si>
  <si>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</si>
  <si>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</si>
  <si>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</si>
  <si>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</si>
  <si>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</si>
  <si>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</si>
  <si>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</si>
  <si>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</si>
  <si>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</si>
  <si>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</si>
  <si>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</si>
  <si>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</si>
  <si>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</si>
  <si>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</si>
  <si>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</si>
  <si>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</si>
  <si>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</si>
  <si>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</si>
  <si>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</si>
  <si>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</si>
  <si>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</si>
  <si>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</si>
  <si>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</si>
  <si>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</si>
  <si>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</si>
  <si>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</si>
  <si>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</si>
  <si>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</si>
  <si>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</si>
  <si>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</si>
  <si>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</si>
  <si>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</si>
  <si>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</si>
  <si>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</si>
  <si>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</si>
  <si>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</si>
  <si>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</si>
  <si>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</si>
  <si>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</si>
  <si>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</si>
  <si>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</si>
  <si>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</si>
  <si>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</si>
  <si>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</si>
  <si>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</si>
  <si>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</si>
  <si>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</si>
  <si>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</si>
  <si>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</si>
  <si>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</si>
  <si>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</si>
  <si>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</si>
  <si>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</si>
  <si>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</si>
  <si>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</si>
  <si>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</si>
  <si>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</si>
  <si>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</si>
  <si>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</si>
  <si>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</si>
  <si>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</si>
  <si>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</si>
  <si>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</si>
  <si>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</si>
  <si>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</si>
  <si>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</si>
  <si>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</si>
  <si>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</si>
  <si>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</si>
  <si>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</si>
  <si>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</si>
  <si>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</si>
  <si>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</si>
  <si>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</si>
  <si>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</si>
  <si>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</si>
  <si>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</si>
  <si>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</si>
  <si>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</si>
  <si>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</si>
  <si>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</si>
  <si>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</si>
  <si>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</si>
  <si>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</si>
  <si>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</si>
  <si>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</si>
  <si>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</si>
  <si>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</si>
  <si>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</si>
  <si>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</si>
  <si>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</si>
  <si>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</si>
  <si>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</si>
  <si>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</si>
  <si>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</si>
  <si>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</si>
  <si>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</si>
  <si>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</si>
  <si>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</si>
  <si>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</si>
  <si>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</si>
  <si>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</si>
  <si>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</si>
  <si>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</si>
  <si>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</si>
  <si>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</si>
  <si>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</si>
  <si>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</si>
  <si>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</si>
  <si>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</si>
  <si>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</si>
  <si>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</si>
  <si>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</si>
  <si>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</si>
  <si>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</si>
  <si>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</si>
  <si>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</si>
  <si>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</si>
  <si>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</si>
  <si>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</si>
  <si>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</si>
  <si>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</si>
  <si>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</si>
  <si>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</si>
  <si>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</si>
  <si>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</si>
  <si>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</si>
  <si>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</si>
  <si>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</si>
  <si>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</si>
  <si>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</si>
  <si>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</si>
  <si>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</si>
  <si>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</si>
  <si>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</si>
  <si>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</si>
  <si>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</si>
  <si>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</si>
  <si>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</si>
  <si>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</si>
  <si>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</si>
  <si>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</si>
  <si>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</si>
  <si>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</si>
  <si>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</si>
  <si>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</si>
  <si>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</si>
  <si>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</si>
  <si>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</si>
  <si>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</si>
  <si>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</si>
  <si>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</si>
  <si>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</si>
  <si>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</si>
  <si>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</si>
  <si>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</si>
  <si>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</si>
  <si>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</si>
  <si>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</si>
  <si>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</si>
  <si>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</si>
  <si>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</si>
  <si>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</si>
  <si>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</si>
  <si>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</si>
  <si>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</si>
  <si>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</si>
  <si>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</si>
  <si>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</si>
  <si>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</si>
  <si>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</si>
  <si>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</si>
  <si>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</si>
  <si>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</si>
  <si>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</si>
  <si>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</si>
  <si>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</si>
  <si>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</si>
  <si>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</si>
  <si>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</si>
  <si>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</si>
  <si>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</si>
  <si>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</si>
  <si>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</si>
  <si>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</si>
  <si>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</si>
  <si>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</si>
  <si>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</si>
  <si>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</si>
  <si>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</si>
  <si>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</si>
  <si>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</si>
  <si>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</si>
  <si>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</si>
  <si>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</si>
  <si>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</si>
  <si>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</si>
  <si>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</si>
  <si>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</si>
  <si>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</si>
  <si>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</si>
  <si>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</si>
  <si>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</si>
  <si>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</si>
  <si>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</si>
  <si>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</si>
  <si>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</si>
  <si>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</si>
  <si>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</si>
  <si>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</si>
  <si>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</si>
  <si>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</si>
  <si>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</si>
  <si>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</si>
  <si>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</si>
  <si>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</si>
  <si>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</si>
  <si>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</si>
  <si>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</si>
  <si>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</si>
  <si>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</si>
  <si>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</si>
  <si>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</si>
  <si>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</si>
  <si>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</si>
  <si>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</si>
  <si>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</si>
  <si>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</si>
  <si>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</si>
  <si>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</si>
  <si>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</si>
  <si>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</si>
  <si>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</si>
  <si>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</si>
  <si>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</si>
  <si>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</si>
  <si>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</si>
  <si>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</si>
  <si>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</si>
  <si>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</si>
  <si>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</si>
  <si>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</si>
  <si>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</si>
  <si>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</si>
  <si>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</si>
  <si>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</si>
  <si>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</si>
  <si>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</si>
  <si>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</si>
  <si>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</si>
  <si>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</si>
  <si>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</si>
  <si>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</si>
  <si>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</si>
  <si>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</si>
  <si>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</si>
  <si>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</si>
  <si>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</si>
  <si>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</si>
  <si>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</si>
  <si>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</si>
  <si>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</si>
  <si>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</si>
  <si>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</si>
  <si>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</si>
  <si>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</si>
  <si>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</si>
  <si>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</si>
  <si>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</si>
  <si>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</si>
  <si>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</si>
  <si>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</si>
  <si>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</si>
  <si>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</si>
  <si>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</si>
  <si>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</si>
  <si>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</si>
  <si>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</si>
  <si>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</si>
  <si>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</si>
  <si>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</si>
  <si>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</si>
  <si>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</si>
  <si>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</si>
  <si>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</si>
  <si>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</si>
  <si>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</si>
  <si>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</si>
  <si>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</si>
  <si>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</si>
  <si>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</si>
  <si>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</si>
  <si>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</si>
  <si>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</si>
  <si>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</si>
  <si>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</si>
  <si>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</si>
  <si>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</si>
  <si>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</si>
  <si>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</si>
  <si>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</si>
  <si>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</si>
  <si>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</si>
  <si>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</si>
  <si>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</si>
  <si>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</si>
  <si>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</si>
  <si>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</si>
  <si>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</si>
  <si>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</si>
  <si>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</si>
  <si>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</si>
  <si>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</si>
  <si>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</si>
  <si>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</si>
  <si>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</si>
  <si>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</si>
  <si>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</si>
  <si>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</si>
  <si>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</si>
  <si>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</si>
  <si>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</si>
  <si>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</si>
  <si>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</si>
  <si>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Pseudomonas virus LKA1</t>
  </si>
  <si>
    <t>Pseudomonas virus phiKMV</t>
  </si>
  <si>
    <t>Erwinia virus Era103</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</si>
  <si>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</si>
  <si>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</si>
  <si>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</si>
  <si>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</si>
  <si>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</si>
  <si>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</si>
  <si>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</si>
  <si>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</si>
  <si>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</si>
  <si>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</si>
  <si>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</si>
  <si>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</si>
  <si>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</si>
  <si>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</si>
  <si>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</si>
  <si>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</si>
  <si>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</si>
  <si>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</si>
  <si>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</si>
  <si>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</si>
  <si>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</si>
  <si>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</si>
  <si>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</si>
  <si>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</si>
  <si>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</si>
  <si>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</si>
  <si>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</si>
  <si>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</si>
  <si>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</si>
  <si>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</si>
  <si>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</si>
  <si>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</si>
  <si>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</si>
  <si>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</si>
  <si>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</si>
  <si>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</si>
  <si>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</si>
  <si>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</si>
  <si>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</si>
  <si>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</si>
  <si>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</si>
  <si>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</si>
  <si>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</si>
  <si>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</si>
  <si>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</si>
  <si>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</si>
  <si>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</si>
  <si>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</si>
  <si>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</si>
  <si>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</si>
  <si>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</si>
  <si>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</si>
  <si>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</si>
  <si>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</si>
  <si>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</si>
  <si>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</si>
  <si>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</si>
  <si>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</si>
  <si>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</si>
  <si>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</si>
  <si>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</si>
  <si>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</si>
  <si>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</si>
  <si>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</si>
  <si>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</si>
  <si>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</si>
  <si>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</si>
  <si>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</si>
  <si>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</si>
  <si>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</si>
  <si>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</si>
  <si>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</si>
  <si>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</si>
  <si>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</si>
  <si>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</si>
  <si>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</si>
  <si>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</si>
  <si>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</si>
  <si>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</si>
  <si>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</si>
  <si>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</si>
  <si>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</si>
  <si>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</si>
  <si>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</si>
  <si>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</si>
  <si>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</si>
  <si>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</si>
  <si>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</si>
  <si>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</si>
  <si>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</si>
  <si>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</si>
  <si>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</si>
  <si>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</si>
  <si>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</si>
  <si>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</si>
  <si>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</si>
  <si>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</si>
  <si>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</si>
  <si>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</si>
  <si>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</si>
  <si>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</si>
  <si>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</si>
  <si>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</si>
  <si>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</si>
  <si>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</si>
  <si>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</si>
  <si>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</si>
  <si>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</si>
  <si>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</si>
  <si>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</si>
  <si>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</si>
  <si>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</si>
  <si>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</si>
  <si>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</si>
  <si>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</si>
  <si>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</si>
  <si>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</si>
  <si>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</si>
  <si>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</si>
  <si>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</si>
  <si>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</si>
  <si>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</si>
  <si>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</si>
  <si>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</si>
  <si>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</si>
  <si>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</si>
  <si>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</si>
  <si>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</si>
  <si>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</si>
  <si>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</si>
  <si>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</si>
  <si>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</si>
  <si>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</si>
  <si>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</si>
  <si>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</si>
  <si>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</si>
  <si>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</si>
  <si>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</si>
  <si>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</si>
  <si>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</si>
  <si>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</si>
  <si>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</si>
  <si>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</si>
  <si>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</si>
  <si>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</si>
  <si>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</si>
  <si>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</si>
  <si>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</si>
  <si>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</si>
  <si>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</si>
  <si>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</si>
  <si>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</si>
  <si>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</si>
  <si>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</si>
  <si>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</si>
  <si>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</si>
  <si>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</si>
  <si>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</si>
  <si>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</si>
  <si>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</si>
  <si>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</si>
  <si>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</si>
  <si>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</si>
  <si>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</si>
  <si>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Dlane</t>
  </si>
  <si>
    <t>Mycobacterium virus Dorothy</t>
  </si>
  <si>
    <t>Mycobacterium virus Drago</t>
  </si>
  <si>
    <t>Mycobacterium virus Fruitloop</t>
  </si>
  <si>
    <t>Mycobacterium virus Ibhubesi</t>
  </si>
  <si>
    <t>Mycobacterium virus Llij</t>
  </si>
  <si>
    <t>Mycobacterium virus Mozy</t>
  </si>
  <si>
    <t>Mycobacterium virus Mutaforma13</t>
  </si>
  <si>
    <t>Mycobacterium virus Pacc40</t>
  </si>
  <si>
    <t>Mycobacterium virus PMC</t>
  </si>
  <si>
    <t>Mycobacterium virus Ramsey</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</si>
  <si>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</si>
  <si>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</si>
  <si>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</si>
  <si>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</si>
  <si>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</si>
  <si>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</si>
  <si>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</si>
  <si>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</si>
  <si>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</si>
  <si>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</si>
  <si>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</si>
  <si>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</si>
  <si>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</si>
  <si>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</si>
  <si>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</si>
  <si>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</si>
  <si>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</si>
  <si>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</si>
  <si>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</si>
  <si>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</si>
  <si>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</si>
  <si>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</si>
  <si>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</si>
  <si>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</si>
  <si>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</si>
  <si>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</si>
  <si>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</si>
  <si>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</si>
  <si>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</si>
  <si>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</si>
  <si>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</si>
  <si>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</si>
  <si>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</si>
  <si>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</si>
  <si>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</si>
  <si>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</si>
  <si>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</si>
  <si>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</si>
  <si>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</si>
  <si>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</si>
  <si>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</si>
  <si>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</si>
  <si>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</si>
  <si>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</si>
  <si>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</si>
  <si>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</si>
  <si>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</si>
  <si>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</si>
  <si>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</si>
  <si>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</si>
  <si>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</si>
  <si>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</si>
  <si>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</si>
  <si>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</si>
  <si>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</si>
  <si>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</si>
  <si>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</si>
  <si>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</si>
  <si>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</si>
  <si>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</si>
  <si>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</si>
  <si>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</si>
  <si>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</si>
  <si>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</si>
  <si>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</si>
  <si>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</si>
  <si>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</si>
  <si>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</si>
  <si>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</si>
  <si>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</si>
  <si>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</si>
  <si>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</si>
  <si>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</si>
  <si>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</si>
  <si>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</si>
  <si>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</si>
  <si>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</si>
  <si>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</si>
  <si>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</si>
  <si>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</si>
  <si>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</si>
  <si>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</si>
  <si>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</si>
  <si>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</si>
  <si>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</si>
  <si>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</si>
  <si>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</si>
  <si>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</si>
  <si>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</si>
  <si>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</si>
  <si>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</si>
  <si>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</si>
  <si>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</si>
  <si>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</si>
  <si>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</si>
  <si>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</si>
  <si>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</si>
  <si>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</si>
  <si>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</si>
  <si>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</si>
  <si>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</si>
  <si>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</si>
  <si>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</si>
  <si>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</si>
  <si>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</si>
  <si>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</si>
  <si>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</si>
  <si>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</si>
  <si>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</si>
  <si>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</si>
  <si>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</si>
  <si>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</si>
  <si>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</si>
  <si>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</si>
  <si>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</si>
  <si>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</si>
  <si>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</si>
  <si>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</si>
  <si>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</si>
  <si>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</si>
  <si>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</si>
  <si>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</si>
  <si>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</si>
  <si>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</si>
  <si>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</si>
  <si>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</si>
  <si>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</si>
  <si>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</si>
  <si>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</si>
  <si>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</si>
  <si>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</si>
  <si>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</si>
  <si>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</si>
  <si>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</si>
  <si>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</si>
  <si>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</si>
  <si>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</si>
  <si>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</si>
  <si>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</si>
  <si>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</si>
  <si>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</si>
  <si>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</si>
  <si>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</si>
  <si>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</si>
  <si>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</si>
  <si>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</si>
  <si>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</si>
  <si>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</si>
  <si>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</si>
  <si>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</si>
  <si>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</si>
  <si>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Caulobacter virus phiCbK</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</si>
  <si>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</si>
  <si>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</si>
  <si>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</si>
  <si>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</si>
  <si>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</si>
  <si>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</si>
  <si>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</si>
  <si>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</si>
  <si>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</si>
  <si>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</si>
  <si>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</si>
  <si>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</si>
  <si>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</si>
  <si>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</si>
  <si>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</si>
  <si>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</si>
  <si>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</si>
  <si>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</si>
  <si>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</si>
  <si>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</si>
  <si>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</si>
  <si>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</si>
  <si>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</si>
  <si>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</si>
  <si>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</si>
  <si>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</si>
  <si>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</si>
  <si>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</si>
  <si>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</si>
  <si>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</si>
  <si>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</si>
  <si>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</si>
  <si>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</si>
  <si>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</si>
  <si>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</si>
  <si>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</si>
  <si>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</si>
  <si>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</si>
  <si>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</si>
  <si>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</si>
  <si>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</si>
  <si>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</si>
  <si>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</si>
  <si>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</si>
  <si>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</si>
  <si>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</si>
  <si>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</si>
  <si>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</si>
  <si>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</si>
  <si>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</si>
  <si>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</si>
  <si>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</si>
  <si>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</si>
  <si>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</si>
  <si>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</si>
  <si>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</si>
  <si>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</si>
  <si>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</si>
  <si>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</si>
  <si>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</si>
  <si>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</si>
  <si>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</si>
  <si>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</si>
  <si>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</si>
  <si>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</si>
  <si>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</si>
  <si>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</si>
  <si>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</si>
  <si>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</si>
  <si>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</si>
  <si>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</si>
  <si>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</si>
  <si>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</si>
  <si>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</si>
  <si>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</si>
  <si>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</si>
  <si>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</si>
  <si>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</si>
  <si>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</si>
  <si>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</si>
  <si>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</si>
  <si>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</si>
  <si>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</si>
  <si>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</si>
  <si>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</si>
  <si>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</si>
  <si>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</si>
  <si>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</si>
  <si>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</si>
  <si>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</si>
  <si>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</si>
  <si>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</si>
  <si>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</si>
  <si>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</si>
  <si>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</si>
  <si>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</si>
  <si>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</si>
  <si>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</si>
  <si>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</si>
  <si>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</si>
  <si>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</si>
  <si>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</si>
  <si>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</si>
  <si>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</si>
  <si>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</si>
  <si>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</si>
  <si>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</si>
  <si>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</si>
  <si>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</si>
  <si>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</si>
  <si>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</si>
  <si>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</si>
  <si>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</si>
  <si>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</si>
  <si>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</si>
  <si>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</si>
  <si>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Larva</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</si>
  <si>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</si>
  <si>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</si>
  <si>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</si>
  <si>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</si>
  <si>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</si>
  <si>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</si>
  <si>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</si>
  <si>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</si>
  <si>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</si>
  <si>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</si>
  <si>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</si>
  <si>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</si>
  <si>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</si>
  <si>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</si>
  <si>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</si>
  <si>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</si>
  <si>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</si>
  <si>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</si>
  <si>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</si>
  <si>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</si>
  <si>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</si>
  <si>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</si>
  <si>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</si>
  <si>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</si>
  <si>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</si>
  <si>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</si>
  <si>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</si>
  <si>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</si>
  <si>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</si>
  <si>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</si>
  <si>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</si>
  <si>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</si>
  <si>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</si>
  <si>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</si>
  <si>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</si>
  <si>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</si>
  <si>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</si>
  <si>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</si>
  <si>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</si>
  <si>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</si>
  <si>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</si>
  <si>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</si>
  <si>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</si>
  <si>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</si>
  <si>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</si>
  <si>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</si>
  <si>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</si>
  <si>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</si>
  <si>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</si>
  <si>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</si>
  <si>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</si>
  <si>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</si>
  <si>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</si>
  <si>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</si>
  <si>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</si>
  <si>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</si>
  <si>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</si>
  <si>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</si>
  <si>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</si>
  <si>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</si>
  <si>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</si>
  <si>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</si>
  <si>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</si>
  <si>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</si>
  <si>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</si>
  <si>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</si>
  <si>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</si>
  <si>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</si>
  <si>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</si>
  <si>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</si>
  <si>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</si>
  <si>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</si>
  <si>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</si>
  <si>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</si>
  <si>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</si>
  <si>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</si>
  <si>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</si>
  <si>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</si>
  <si>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</si>
  <si>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</si>
  <si>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</si>
  <si>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</si>
  <si>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</si>
  <si>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</si>
  <si>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</si>
  <si>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</si>
  <si>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</si>
  <si>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</si>
  <si>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</si>
  <si>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</si>
  <si>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</si>
  <si>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</si>
  <si>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</si>
  <si>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</si>
  <si>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</si>
  <si>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</si>
  <si>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</si>
  <si>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</si>
  <si>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</si>
  <si>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</si>
  <si>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</si>
  <si>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</si>
  <si>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</si>
  <si>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</si>
  <si>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</si>
  <si>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</si>
  <si>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</si>
  <si>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</si>
  <si>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</si>
  <si>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</si>
  <si>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</si>
  <si>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</si>
  <si>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</si>
  <si>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</si>
  <si>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</si>
  <si>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</si>
  <si>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</si>
  <si>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</si>
  <si>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</si>
  <si>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</si>
  <si>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</si>
  <si>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</si>
  <si>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</si>
  <si>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</si>
  <si>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</si>
  <si>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</si>
  <si>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</si>
  <si>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</si>
  <si>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</si>
  <si>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</si>
  <si>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</si>
  <si>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</si>
  <si>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</si>
  <si>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</si>
  <si>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</si>
  <si>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</si>
  <si>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</si>
  <si>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</si>
  <si>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</si>
  <si>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</si>
  <si>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</si>
  <si>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</si>
  <si>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</si>
  <si>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</si>
  <si>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</si>
  <si>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</si>
  <si>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</si>
  <si>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</si>
  <si>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</si>
  <si>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</si>
  <si>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</si>
  <si>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</si>
  <si>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</si>
  <si>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</si>
  <si>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</si>
  <si>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</si>
  <si>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</si>
  <si>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</si>
  <si>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</si>
  <si>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</si>
  <si>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</si>
  <si>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</si>
  <si>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</si>
  <si>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</si>
  <si>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</si>
  <si>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</si>
  <si>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</si>
  <si>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</si>
  <si>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</si>
  <si>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</si>
  <si>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</si>
  <si>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</si>
  <si>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</si>
  <si>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</si>
  <si>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</si>
  <si>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</si>
  <si>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</si>
  <si>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</si>
  <si>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</si>
  <si>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</si>
  <si>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</si>
  <si>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</si>
  <si>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</si>
  <si>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</si>
  <si>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</si>
  <si>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</si>
  <si>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</si>
  <si>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</si>
  <si>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</si>
  <si>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</si>
  <si>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</si>
  <si>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</si>
  <si>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</si>
  <si>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</si>
  <si>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</si>
  <si>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</si>
  <si>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</si>
  <si>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</si>
  <si>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</si>
  <si>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</si>
  <si>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</si>
  <si>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</si>
  <si>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</si>
  <si>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</si>
  <si>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</si>
  <si>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</si>
  <si>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</si>
  <si>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</si>
  <si>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</si>
  <si>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</si>
  <si>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</si>
  <si>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</si>
  <si>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</si>
  <si>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</si>
  <si>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</si>
  <si>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</si>
  <si>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</si>
  <si>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</si>
  <si>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</si>
  <si>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</si>
  <si>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</si>
  <si>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</si>
  <si>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</si>
  <si>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</si>
  <si>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</si>
  <si>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</si>
  <si>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</si>
  <si>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</si>
  <si>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</si>
  <si>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</si>
  <si>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</si>
  <si>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</si>
  <si>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</si>
  <si>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</si>
  <si>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Torque teno sus virus k2a</t>
  </si>
  <si>
    <t>Torque teno sus virus k2b</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</si>
  <si>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</si>
  <si>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</si>
  <si>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</si>
  <si>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</si>
  <si>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</si>
  <si>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</si>
  <si>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</si>
  <si>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</si>
  <si>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</si>
  <si>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</si>
  <si>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</si>
  <si>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</si>
  <si>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</si>
  <si>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</si>
  <si>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</si>
  <si>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</si>
  <si>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</si>
  <si>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</si>
  <si>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</si>
  <si>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</si>
  <si>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</si>
  <si>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</si>
  <si>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</si>
  <si>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</si>
  <si>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</si>
  <si>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</si>
  <si>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</si>
  <si>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</si>
  <si>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</si>
  <si>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</si>
  <si>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</si>
  <si>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</si>
  <si>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</si>
  <si>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</si>
  <si>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</si>
  <si>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</si>
  <si>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</si>
  <si>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</si>
  <si>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</si>
  <si>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</si>
  <si>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</si>
  <si>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</si>
  <si>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</si>
  <si>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</si>
  <si>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</si>
  <si>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</si>
  <si>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</si>
  <si>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</si>
  <si>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</si>
  <si>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</si>
  <si>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</si>
  <si>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</si>
  <si>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</si>
  <si>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</si>
  <si>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</si>
  <si>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</si>
  <si>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</si>
  <si>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</si>
  <si>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</si>
  <si>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Frijoles phlebovirus</t>
  </si>
  <si>
    <t>Punta Toro phlebovirus</t>
  </si>
  <si>
    <t>Rift Valley fever phlebovirus</t>
  </si>
  <si>
    <t>Salehabad phlebovirus</t>
  </si>
  <si>
    <t>Cacao swollen shoot CD virus</t>
  </si>
  <si>
    <t>Cacao swollen shoot Togo A virus</t>
  </si>
  <si>
    <t>Grapevine Roditis leaf discoloration-associated virus</t>
  </si>
  <si>
    <t>Sugarcane bacilliform Guadeloupe A virus</t>
  </si>
  <si>
    <t>Sugarcane bacilliform Guadeloupe D virus</t>
  </si>
  <si>
    <t>Barbel circovirus</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</si>
  <si>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</si>
  <si>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</si>
  <si>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</si>
  <si>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</si>
  <si>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</si>
  <si>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</si>
  <si>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</si>
  <si>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</si>
  <si>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</si>
  <si>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</si>
  <si>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</si>
  <si>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</si>
  <si>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</si>
  <si>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</si>
  <si>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</si>
  <si>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</si>
  <si>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</si>
  <si>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</si>
  <si>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</si>
  <si>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</si>
  <si>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</si>
  <si>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</si>
  <si>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</si>
  <si>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</si>
  <si>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</si>
  <si>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</si>
  <si>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</si>
  <si>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</si>
  <si>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</si>
  <si>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</si>
  <si>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</si>
  <si>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</si>
  <si>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</si>
  <si>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</si>
  <si>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</si>
  <si>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</si>
  <si>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</si>
  <si>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</si>
  <si>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</si>
  <si>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</si>
  <si>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</si>
  <si>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</si>
  <si>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</si>
  <si>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</si>
  <si>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</si>
  <si>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</si>
  <si>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</si>
  <si>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</si>
  <si>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</si>
  <si>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</si>
  <si>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</si>
  <si>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</si>
  <si>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</si>
  <si>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</si>
  <si>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</si>
  <si>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</si>
  <si>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</si>
  <si>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</si>
  <si>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</si>
  <si>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</si>
  <si>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</si>
  <si>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</si>
  <si>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</si>
  <si>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</si>
  <si>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</si>
  <si>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</si>
  <si>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</si>
  <si>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</si>
  <si>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</si>
  <si>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</si>
  <si>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</si>
  <si>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</si>
  <si>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</si>
  <si>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</si>
  <si>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</si>
  <si>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</si>
  <si>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</si>
  <si>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</si>
  <si>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</si>
  <si>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</si>
  <si>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</si>
  <si>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</si>
  <si>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</si>
  <si>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</si>
  <si>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</si>
  <si>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</si>
  <si>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</si>
  <si>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</si>
  <si>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</si>
  <si>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</si>
  <si>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</si>
  <si>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</si>
  <si>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</si>
  <si>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</si>
  <si>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</si>
  <si>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</si>
  <si>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</si>
  <si>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</si>
  <si>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</si>
  <si>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</si>
  <si>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</si>
  <si>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</si>
  <si>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</si>
  <si>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</si>
  <si>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</si>
  <si>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</si>
  <si>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</si>
  <si>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</si>
  <si>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</si>
  <si>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</si>
  <si>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</si>
  <si>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</si>
  <si>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</si>
  <si>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</si>
  <si>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</si>
  <si>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</si>
  <si>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</si>
  <si>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</si>
  <si>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</si>
  <si>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</si>
  <si>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</si>
  <si>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</si>
  <si>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</si>
  <si>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</si>
  <si>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</si>
  <si>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</si>
  <si>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</si>
  <si>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</si>
  <si>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</si>
  <si>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</si>
  <si>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</si>
  <si>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</si>
  <si>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</si>
  <si>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</si>
  <si>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</si>
  <si>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</si>
  <si>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</si>
  <si>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</si>
  <si>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</si>
  <si>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</si>
  <si>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</si>
  <si>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</si>
  <si>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</si>
  <si>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</si>
  <si>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</si>
  <si>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</si>
  <si>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</si>
  <si>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</si>
  <si>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</si>
  <si>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</si>
  <si>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</si>
  <si>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</si>
  <si>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</si>
  <si>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</si>
  <si>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</si>
  <si>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</si>
  <si>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</si>
  <si>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</si>
  <si>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</si>
  <si>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</si>
  <si>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</si>
  <si>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</si>
  <si>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</si>
  <si>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</si>
  <si>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</si>
  <si>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</si>
  <si>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</si>
  <si>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</si>
  <si>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</si>
  <si>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</si>
  <si>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</si>
  <si>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</si>
  <si>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</si>
  <si>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</si>
  <si>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</si>
  <si>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</si>
  <si>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</si>
  <si>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</si>
  <si>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</si>
  <si>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</si>
  <si>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</si>
  <si>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</si>
  <si>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</si>
  <si>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</si>
  <si>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</si>
  <si>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</si>
  <si>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</si>
  <si>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</si>
  <si>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</si>
  <si>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</si>
  <si>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</si>
  <si>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</si>
  <si>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</si>
  <si>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</si>
  <si>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</si>
  <si>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</si>
  <si>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</si>
  <si>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</si>
  <si>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</si>
  <si>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</si>
  <si>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</si>
  <si>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</si>
  <si>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</si>
  <si>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</si>
  <si>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</si>
  <si>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</si>
  <si>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</si>
  <si>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</si>
  <si>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</si>
  <si>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</si>
  <si>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</si>
  <si>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</si>
  <si>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</si>
  <si>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</si>
  <si>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</si>
  <si>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</si>
  <si>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</si>
  <si>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</si>
  <si>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</si>
  <si>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</si>
  <si>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</si>
  <si>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</si>
  <si>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</si>
  <si>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</si>
  <si>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</si>
  <si>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</si>
  <si>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</si>
  <si>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</si>
  <si>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</si>
  <si>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</si>
  <si>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</si>
  <si>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</si>
  <si>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</si>
  <si>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</si>
  <si>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</si>
  <si>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</si>
  <si>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</si>
  <si>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</si>
  <si>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</si>
  <si>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</si>
  <si>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</si>
  <si>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</si>
  <si>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</si>
  <si>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</si>
  <si>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</si>
  <si>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</si>
  <si>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</si>
  <si>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</si>
  <si>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</si>
  <si>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</si>
  <si>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</si>
  <si>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</si>
  <si>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</si>
  <si>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</si>
  <si>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</si>
  <si>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</si>
  <si>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</si>
  <si>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</si>
  <si>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</si>
  <si>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</si>
  <si>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</si>
  <si>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</si>
  <si>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</si>
  <si>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</si>
  <si>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</si>
  <si>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</si>
  <si>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</si>
  <si>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</si>
  <si>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</si>
  <si>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</si>
  <si>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</si>
  <si>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</si>
  <si>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</si>
  <si>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</si>
  <si>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</si>
  <si>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</si>
  <si>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</si>
  <si>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</si>
  <si>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</si>
  <si>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</si>
  <si>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</si>
  <si>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</si>
  <si>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</si>
  <si>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</si>
  <si>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</si>
  <si>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</si>
  <si>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</si>
  <si>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</si>
  <si>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</si>
  <si>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</si>
  <si>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</si>
  <si>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</si>
  <si>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</si>
  <si>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An 'Order' is the highest taxonomic level into which virus species can be classified. Use of the taxonomic level Order is optional.  If 'Unassigned' has been entered, the taxon has not been assigned to an Order</t>
  </si>
  <si>
    <t>A  'Family' is a level in the taxonomic hierarchy into which virus species can be classified.  If marked 'Unassigned' (which is rare) the lower taxonomic level of 'Genus' has not been assigned to a Family</t>
  </si>
  <si>
    <t>A  'Subfamily' is a level in the taxonomic hierarchy into which virus species can be classified. Use of the taxonomic level Subfamily is optional. If left blank, the lower  taxonomic levels of genus and/or species have not been assigned to a Subfamily</t>
  </si>
  <si>
    <t>A  'Genus' is a level in the taxonomic hierarchy into which virus species can be classified.  If 'Unassigned' (which is rare) that species has not been assigned to a Genus.</t>
  </si>
  <si>
    <r>
      <t xml:space="preserve">A Species is the lowest taxonomic level in the hierarchy approved by the ICTV. While subspecies levels of classification may exist for some viruses species (e.g. </t>
    </r>
    <r>
      <rPr>
        <i/>
        <sz val="12"/>
        <color indexed="8"/>
        <rFont val="Arial"/>
        <family val="2"/>
      </rPr>
      <t>Hepatitis C virus</t>
    </r>
    <r>
      <rPr>
        <sz val="12"/>
        <color indexed="8"/>
        <rFont val="Arial"/>
        <family val="2"/>
      </rPr>
      <t>), the ICTV does not discuss or approve the classification of viruses below the species level.</t>
    </r>
  </si>
  <si>
    <t>One 'Type Species' is chosen for each Genus to serve as an example of a well characterized species for that Genus. If the value in this column is '1', this indicates that this species has been chosen as the type species for its genus.</t>
  </si>
  <si>
    <t>The nature (molecular and genetic composition) of the virus genome packaged into the virion. Possible values are:
- dsDNA
- ssDNA
- ssDNA(-)
- ssDNA(+)
- ssDNA(+/-)
- dsDNA-RT
- ssRNA-RT
- dsRNA
- ssRNA(-)
- ssRNA(+)
- ssRNA(+/-)
- Viroid</t>
  </si>
  <si>
    <t>The last change made to each virus species across the entire history of the taxon. Possible changes include a combination of the following:
- Abolished
- Merged
- Moved
- New
- Promoted
- Renamed
- Split
- Assigned as Type Species</t>
  </si>
  <si>
    <t>The release number of the Master Species List (MSL) where the Last Change occurred. See http://www.ictvonline.org/taxonomyReleases.asp for a list of MSLs and their year of release.</t>
  </si>
  <si>
    <t>The file name of the taxonomic proposal that details the justification for the last change. Proposals can be retrieved by appending the file nameand '.pdf' to the end of the following url: http://www.ictvonline.org/proposals/&lt;replace with file name.pdf&gt;</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</si>
  <si>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</si>
  <si>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</si>
  <si>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</si>
  <si>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</si>
  <si>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</si>
  <si>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</si>
  <si>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</si>
  <si>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</si>
  <si>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</si>
  <si>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</si>
  <si>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</si>
  <si>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</si>
  <si>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</si>
  <si>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</si>
  <si>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</si>
  <si>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</si>
  <si>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</si>
  <si>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</si>
  <si>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</si>
  <si>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</si>
  <si>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</si>
  <si>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</si>
  <si>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</si>
  <si>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</si>
  <si>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</si>
  <si>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</si>
  <si>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</si>
  <si>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</si>
  <si>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</si>
  <si>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</si>
  <si>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</si>
  <si>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</si>
  <si>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</si>
  <si>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</si>
  <si>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</si>
  <si>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</si>
  <si>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</si>
  <si>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</si>
  <si>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</si>
  <si>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</si>
  <si>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</si>
  <si>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</si>
  <si>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</si>
  <si>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</si>
  <si>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</si>
  <si>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</si>
  <si>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</si>
  <si>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</si>
  <si>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</si>
  <si>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</si>
  <si>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</si>
  <si>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</si>
  <si>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</si>
  <si>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</si>
  <si>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</si>
  <si>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</si>
  <si>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</si>
  <si>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</si>
  <si>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</si>
  <si>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</si>
  <si>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</si>
  <si>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</si>
  <si>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</si>
  <si>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</si>
  <si>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</si>
  <si>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</si>
  <si>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</si>
  <si>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</si>
  <si>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</si>
  <si>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</si>
  <si>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</si>
  <si>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</si>
  <si>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</si>
  <si>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</si>
  <si>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</si>
  <si>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</si>
  <si>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</si>
  <si>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</si>
  <si>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</si>
  <si>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</si>
  <si>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</si>
  <si>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</si>
  <si>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</si>
  <si>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</si>
  <si>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</si>
  <si>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</si>
  <si>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</si>
  <si>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</si>
  <si>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</si>
  <si>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</si>
  <si>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</si>
  <si>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</si>
  <si>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</si>
  <si>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</si>
  <si>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</si>
  <si>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</si>
  <si>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</si>
  <si>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</si>
  <si>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</si>
  <si>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</si>
  <si>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</si>
  <si>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</si>
  <si>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</si>
  <si>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</si>
  <si>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</si>
  <si>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</si>
  <si>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</si>
  <si>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</si>
  <si>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</si>
  <si>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</si>
  <si>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</si>
  <si>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</si>
  <si>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</si>
  <si>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</si>
  <si>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</si>
  <si>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</si>
  <si>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</si>
  <si>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</si>
  <si>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</si>
  <si>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</si>
  <si>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</si>
  <si>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</si>
  <si>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</si>
  <si>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</si>
  <si>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</si>
  <si>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</si>
  <si>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</si>
  <si>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</si>
  <si>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</si>
  <si>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</si>
  <si>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</si>
  <si>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</si>
  <si>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</si>
  <si>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</si>
  <si>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</si>
  <si>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</si>
  <si>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</si>
  <si>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</si>
  <si>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</si>
  <si>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</si>
  <si>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</si>
  <si>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</si>
  <si>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</si>
  <si>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</si>
  <si>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</si>
  <si>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</si>
  <si>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</si>
  <si>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</si>
  <si>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</si>
  <si>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</si>
  <si>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</si>
  <si>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</si>
  <si>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</si>
  <si>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</si>
  <si>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</si>
  <si>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</si>
  <si>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</si>
  <si>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</si>
  <si>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</si>
  <si>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</si>
  <si>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</si>
  <si>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</si>
  <si>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</si>
  <si>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</si>
  <si>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</si>
  <si>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</si>
  <si>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</si>
  <si>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</si>
  <si>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</si>
  <si>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</si>
  <si>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</si>
  <si>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</si>
  <si>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</si>
  <si>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</si>
  <si>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</si>
  <si>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</si>
  <si>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</si>
  <si>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</si>
  <si>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</si>
  <si>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</si>
  <si>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</si>
  <si>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</si>
  <si>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</si>
  <si>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</si>
  <si>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</si>
  <si>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</si>
  <si>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</si>
  <si>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</si>
  <si>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</si>
  <si>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</si>
  <si>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</si>
  <si>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</si>
  <si>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</si>
  <si>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</si>
  <si>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</si>
  <si>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</si>
  <si>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</si>
  <si>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</si>
  <si>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</si>
  <si>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</si>
  <si>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</si>
  <si>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</si>
  <si>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</si>
  <si>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</si>
  <si>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</si>
  <si>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</si>
  <si>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</si>
  <si>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</si>
  <si>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</si>
  <si>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</si>
  <si>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</si>
  <si>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</si>
  <si>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</si>
  <si>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</si>
  <si>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</si>
  <si>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</si>
  <si>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</si>
  <si>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</si>
  <si>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</si>
  <si>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</si>
  <si>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</si>
  <si>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</si>
  <si>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</si>
  <si>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</si>
  <si>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</si>
  <si>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</si>
  <si>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</si>
  <si>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</si>
  <si>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</si>
  <si>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</si>
  <si>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</si>
  <si>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</si>
  <si>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</si>
  <si>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</si>
  <si>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</si>
  <si>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</si>
  <si>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</si>
  <si>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</si>
  <si>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</si>
  <si>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</si>
  <si>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</si>
  <si>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</si>
  <si>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</si>
  <si>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</si>
  <si>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</si>
  <si>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</si>
  <si>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</si>
  <si>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</si>
  <si>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</si>
  <si>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</si>
  <si>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</si>
  <si>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</si>
  <si>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</si>
  <si>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</si>
  <si>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</si>
  <si>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</si>
  <si>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</si>
  <si>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</si>
  <si>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</si>
  <si>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</si>
  <si>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</si>
  <si>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</si>
  <si>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</si>
  <si>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</si>
  <si>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</si>
  <si>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</si>
  <si>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</si>
  <si>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</si>
  <si>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</si>
  <si>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</si>
  <si>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</si>
  <si>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</si>
  <si>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</si>
  <si>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</si>
  <si>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</si>
  <si>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</si>
  <si>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</si>
  <si>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</si>
  <si>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</si>
  <si>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</si>
  <si>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</si>
  <si>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</si>
  <si>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</si>
  <si>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</si>
  <si>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</si>
  <si>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</si>
  <si>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</si>
  <si>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</si>
  <si>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</si>
  <si>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</si>
  <si>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</si>
  <si>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</si>
  <si>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</si>
  <si>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</si>
  <si>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</si>
  <si>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</si>
  <si>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</si>
  <si>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</si>
  <si>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</si>
  <si>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</si>
  <si>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</si>
  <si>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</si>
  <si>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</si>
  <si>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</si>
  <si>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</si>
  <si>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</si>
  <si>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</si>
  <si>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</si>
  <si>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</si>
  <si>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</si>
  <si>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</si>
  <si>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</si>
  <si>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</si>
  <si>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</si>
  <si>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</si>
  <si>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</si>
  <si>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</si>
  <si>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</si>
  <si>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</si>
  <si>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</si>
  <si>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</si>
  <si>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</si>
  <si>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</si>
  <si>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</si>
  <si>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</si>
  <si>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</si>
  <si>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</si>
  <si>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</si>
  <si>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</si>
  <si>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</si>
  <si>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</si>
  <si>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</si>
  <si>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</si>
  <si>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</si>
  <si>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</si>
  <si>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</si>
  <si>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</si>
  <si>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</si>
  <si>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</si>
  <si>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</si>
  <si>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</si>
  <si>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</si>
  <si>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</si>
  <si>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</si>
  <si>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</si>
  <si>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</si>
  <si>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</si>
  <si>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</si>
  <si>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</si>
  <si>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</si>
  <si>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</si>
  <si>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</si>
  <si>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</si>
  <si>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</si>
  <si>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</si>
  <si>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</si>
  <si>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</si>
  <si>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</si>
  <si>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</si>
  <si>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</si>
  <si>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</si>
  <si>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</si>
  <si>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</si>
  <si>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</si>
  <si>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</si>
  <si>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</si>
  <si>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</si>
  <si>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</si>
  <si>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</si>
  <si>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</si>
  <si>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</si>
  <si>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</si>
  <si>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</si>
  <si>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</si>
  <si>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</si>
  <si>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</si>
  <si>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</si>
  <si>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</si>
  <si>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</si>
  <si>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</si>
  <si>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</si>
  <si>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</si>
  <si>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</si>
  <si>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</si>
  <si>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</si>
  <si>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</si>
  <si>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</si>
  <si>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</si>
  <si>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</si>
  <si>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</si>
  <si>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</si>
  <si>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</si>
  <si>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</si>
  <si>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</si>
  <si>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</si>
  <si>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</si>
  <si>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</si>
  <si>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</si>
  <si>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</si>
  <si>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</si>
  <si>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</si>
  <si>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</si>
  <si>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</si>
  <si>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</si>
  <si>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</si>
  <si>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</si>
  <si>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</si>
  <si>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</si>
  <si>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</si>
  <si>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</si>
  <si>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</si>
  <si>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</si>
  <si>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</si>
  <si>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</si>
  <si>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</si>
  <si>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</si>
  <si>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</si>
  <si>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</si>
  <si>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</si>
  <si>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</si>
  <si>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</si>
  <si>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</si>
  <si>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</si>
  <si>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</si>
  <si>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</si>
  <si>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</si>
  <si>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</si>
  <si>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</si>
  <si>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</si>
  <si>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</si>
  <si>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</si>
  <si>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</si>
  <si>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</si>
  <si>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</si>
  <si>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</si>
  <si>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</si>
  <si>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</si>
  <si>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</si>
  <si>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</si>
  <si>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</si>
  <si>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</si>
  <si>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</si>
  <si>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</si>
  <si>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</si>
  <si>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</si>
  <si>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</si>
  <si>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</si>
  <si>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</si>
  <si>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</si>
  <si>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</si>
  <si>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</si>
  <si>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</si>
  <si>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</si>
  <si>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</si>
  <si>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</si>
  <si>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</si>
  <si>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</si>
  <si>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</si>
  <si>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</si>
  <si>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</si>
  <si>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</si>
  <si>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</si>
  <si>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</si>
  <si>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</si>
  <si>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</si>
  <si>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</si>
  <si>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</si>
  <si>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</si>
  <si>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</si>
  <si>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</si>
  <si>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</si>
  <si>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</si>
  <si>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</si>
  <si>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</si>
  <si>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</si>
  <si>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</si>
  <si>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</si>
  <si>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</si>
  <si>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</si>
  <si>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</si>
  <si>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</si>
  <si>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</si>
  <si>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</si>
  <si>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</si>
  <si>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</si>
  <si>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</si>
  <si>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</si>
  <si>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</si>
  <si>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</si>
  <si>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</si>
  <si>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</si>
  <si>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</si>
  <si>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</si>
  <si>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</si>
  <si>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</si>
  <si>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</si>
  <si>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</si>
  <si>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</si>
  <si>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</si>
  <si>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</si>
  <si>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</si>
  <si>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</si>
  <si>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</si>
  <si>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</si>
  <si>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</si>
  <si>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</si>
  <si>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</si>
  <si>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</si>
  <si>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</si>
  <si>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</si>
  <si>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</si>
  <si>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</si>
  <si>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</si>
  <si>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</si>
  <si>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</si>
  <si>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</si>
  <si>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</si>
  <si>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</si>
  <si>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</si>
  <si>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</si>
  <si>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</si>
  <si>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</si>
  <si>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</si>
  <si>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</si>
  <si>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</si>
  <si>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</si>
  <si>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</si>
  <si>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</si>
  <si>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</si>
  <si>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</si>
  <si>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</si>
  <si>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</si>
  <si>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</si>
  <si>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</si>
  <si>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</si>
  <si>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</si>
  <si>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</si>
  <si>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</si>
  <si>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</si>
  <si>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</si>
  <si>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</si>
  <si>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</si>
  <si>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</si>
  <si>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</si>
  <si>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</si>
  <si>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</si>
  <si>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</si>
  <si>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</si>
  <si>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</si>
  <si>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</si>
  <si>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</si>
  <si>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</si>
  <si>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</si>
  <si>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</si>
  <si>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</si>
  <si>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</si>
  <si>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</si>
  <si>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</si>
  <si>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</si>
  <si>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</si>
  <si>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</si>
  <si>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</si>
  <si>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</si>
  <si>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</si>
  <si>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</si>
  <si>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</si>
  <si>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</si>
  <si>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</si>
  <si>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</si>
  <si>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</si>
  <si>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</si>
  <si>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</si>
  <si>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</si>
  <si>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</si>
  <si>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</si>
  <si>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</si>
  <si>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</si>
  <si>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</si>
  <si>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</si>
  <si>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</si>
  <si>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</si>
  <si>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</si>
  <si>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</si>
  <si>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</si>
  <si>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</si>
  <si>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</si>
  <si>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</si>
  <si>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</si>
  <si>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</si>
  <si>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</si>
  <si>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</si>
  <si>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</si>
  <si>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</si>
  <si>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</si>
  <si>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</si>
  <si>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</si>
  <si>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</si>
  <si>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</si>
  <si>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</si>
  <si>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</si>
  <si>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</si>
  <si>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</si>
  <si>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</si>
  <si>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</si>
  <si>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</si>
  <si>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</si>
  <si>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</si>
  <si>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</si>
  <si>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</si>
  <si>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</si>
  <si>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</si>
  <si>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</si>
  <si>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</si>
  <si>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</si>
  <si>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</si>
  <si>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</si>
  <si>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</si>
  <si>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</si>
  <si>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</si>
  <si>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</si>
  <si>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</si>
  <si>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</si>
  <si>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</si>
  <si>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</si>
  <si>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</si>
  <si>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</si>
  <si>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</si>
  <si>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</si>
  <si>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</si>
  <si>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</si>
  <si>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</si>
  <si>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</si>
  <si>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</si>
  <si>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</si>
  <si>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</si>
  <si>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</si>
  <si>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</si>
  <si>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</si>
  <si>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</si>
  <si>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</si>
  <si>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</si>
  <si>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</si>
  <si>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</si>
  <si>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</si>
  <si>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</si>
  <si>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</si>
  <si>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</si>
  <si>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</si>
  <si>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</si>
  <si>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</si>
  <si>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</si>
  <si>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</si>
  <si>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</si>
  <si>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</si>
  <si>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</si>
  <si>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</si>
  <si>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</si>
  <si>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</si>
  <si>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</si>
  <si>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</si>
  <si>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</si>
  <si>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</si>
  <si>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</si>
  <si>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</si>
  <si>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</si>
  <si>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</si>
  <si>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</si>
  <si>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</si>
  <si>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</si>
  <si>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</si>
  <si>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</si>
  <si>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</si>
  <si>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</si>
  <si>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</si>
  <si>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</si>
  <si>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</si>
  <si>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</si>
  <si>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</si>
  <si>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</si>
  <si>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</si>
  <si>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</si>
  <si>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</si>
  <si>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</si>
  <si>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</si>
  <si>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</si>
  <si>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</si>
  <si>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</si>
  <si>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</si>
  <si>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</si>
  <si>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</si>
  <si>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</si>
  <si>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</si>
  <si>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</si>
  <si>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</si>
  <si>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</si>
  <si>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</si>
  <si>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</si>
  <si>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</si>
  <si>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</si>
  <si>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</si>
  <si>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</si>
  <si>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</si>
  <si>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</si>
  <si>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</si>
  <si>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</si>
  <si>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</si>
  <si>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</si>
  <si>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</si>
  <si>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</si>
  <si>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</si>
  <si>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</si>
  <si>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</si>
  <si>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</si>
  <si>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</si>
  <si>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</si>
  <si>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</si>
  <si>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</si>
  <si>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</si>
  <si>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</si>
  <si>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</si>
  <si>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</si>
  <si>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</si>
  <si>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</si>
  <si>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</si>
  <si>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</si>
  <si>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</si>
  <si>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</si>
  <si>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</si>
  <si>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</si>
  <si>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</si>
  <si>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</si>
  <si>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</si>
  <si>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</si>
  <si>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</si>
  <si>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</si>
  <si>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</si>
  <si>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</si>
  <si>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</si>
  <si>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</si>
  <si>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</si>
  <si>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</si>
  <si>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</si>
  <si>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</si>
  <si>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</si>
  <si>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</si>
  <si>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</si>
  <si>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</si>
  <si>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</si>
  <si>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</si>
  <si>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</si>
  <si>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</si>
  <si>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</si>
  <si>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</si>
  <si>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</si>
  <si>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</si>
  <si>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</si>
  <si>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</si>
  <si>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</si>
  <si>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</si>
  <si>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</si>
  <si>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</si>
  <si>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</si>
  <si>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</si>
  <si>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</si>
  <si>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</si>
  <si>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</si>
  <si>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</si>
  <si>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</si>
  <si>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</si>
  <si>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</si>
  <si>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</si>
  <si>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</si>
  <si>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</si>
  <si>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</si>
  <si>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</si>
  <si>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</si>
  <si>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</si>
  <si>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</si>
  <si>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</si>
  <si>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</si>
  <si>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</si>
  <si>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</si>
  <si>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</si>
  <si>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</si>
  <si>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</si>
  <si>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</si>
  <si>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</si>
  <si>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</si>
  <si>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</si>
  <si>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</si>
  <si>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</si>
  <si>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</si>
  <si>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</si>
  <si>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</si>
  <si>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</si>
  <si>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</si>
  <si>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</si>
  <si>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</si>
  <si>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</si>
  <si>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</si>
  <si>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</si>
  <si>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</si>
  <si>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</si>
  <si>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</si>
  <si>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</si>
  <si>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</si>
  <si>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</si>
  <si>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</si>
  <si>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</si>
  <si>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</si>
  <si>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</si>
  <si>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</si>
  <si>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</si>
  <si>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</si>
  <si>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</si>
  <si>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</si>
  <si>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</si>
  <si>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</si>
  <si>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</si>
  <si>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</si>
  <si>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</si>
  <si>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</si>
  <si>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</si>
  <si>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</si>
  <si>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</si>
  <si>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</si>
  <si>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</si>
  <si>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</si>
  <si>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</si>
  <si>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</si>
  <si>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</si>
  <si>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</si>
  <si>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</si>
  <si>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</si>
  <si>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</si>
  <si>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</si>
  <si>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</si>
  <si>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</si>
  <si>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</si>
  <si>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</si>
  <si>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</si>
  <si>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</si>
  <si>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</si>
  <si>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</si>
  <si>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</si>
  <si>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</si>
  <si>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</si>
  <si>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</si>
  <si>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</si>
  <si>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</si>
  <si>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</si>
  <si>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</si>
  <si>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</si>
  <si>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</si>
  <si>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</si>
  <si>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</si>
  <si>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</si>
  <si>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</si>
  <si>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</si>
  <si>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</si>
  <si>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</si>
  <si>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</si>
  <si>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</si>
  <si>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</si>
  <si>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</si>
  <si>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</si>
  <si>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</si>
  <si>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Mannheimia virus PHL101</t>
  </si>
  <si>
    <t>Lactobacillus virus Lb338-1</t>
  </si>
  <si>
    <t>Escherichia virus CC31</t>
  </si>
  <si>
    <t>Salmonella virus L13</t>
  </si>
  <si>
    <t>Salmonella virus LSPA1</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</si>
  <si>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</si>
  <si>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</si>
  <si>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</si>
  <si>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</si>
  <si>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</si>
  <si>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</si>
  <si>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</si>
  <si>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</si>
  <si>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</si>
  <si>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</si>
  <si>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</si>
  <si>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</si>
  <si>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</si>
  <si>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</si>
  <si>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</si>
  <si>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</si>
  <si>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</si>
  <si>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</si>
  <si>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</si>
  <si>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</si>
  <si>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</si>
  <si>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</si>
  <si>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</si>
  <si>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</si>
  <si>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</si>
  <si>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</si>
  <si>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</si>
  <si>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</si>
  <si>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</si>
  <si>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</si>
  <si>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</si>
  <si>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</si>
  <si>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</si>
  <si>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</si>
  <si>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</si>
  <si>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</si>
  <si>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</si>
  <si>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</si>
  <si>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</si>
  <si>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</si>
  <si>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</si>
  <si>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</si>
  <si>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</si>
  <si>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</si>
  <si>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</si>
  <si>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</si>
  <si>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</si>
  <si>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</si>
  <si>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</si>
  <si>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</si>
  <si>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</si>
  <si>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</si>
  <si>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</si>
  <si>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Artashat orthonairovirus</t>
  </si>
  <si>
    <t>Chim orthonairovirus</t>
  </si>
  <si>
    <t>Tamdy orthonairovirus</t>
  </si>
  <si>
    <t>Wolkberg orthobunyavirus</t>
  </si>
  <si>
    <t>Ackermannviridae</t>
  </si>
  <si>
    <t>Aglimvirinae</t>
  </si>
  <si>
    <t>Salmonella virus SKML39</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</si>
  <si>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</si>
  <si>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</si>
  <si>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</si>
  <si>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</si>
  <si>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</si>
  <si>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</si>
  <si>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</si>
  <si>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</si>
  <si>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</si>
  <si>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</si>
  <si>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Erwinia virus Asesino</t>
  </si>
  <si>
    <t>Erwinia virus EaH2</t>
  </si>
  <si>
    <t>Machinavirus</t>
  </si>
  <si>
    <t>Erwinia virus Machina</t>
  </si>
  <si>
    <t>Svunavirus</t>
  </si>
  <si>
    <t>Bacillus virus 1</t>
  </si>
  <si>
    <t>Geobacillus virus GBSV1</t>
  </si>
  <si>
    <t>Dinoroseobacter virus DFL12</t>
  </si>
  <si>
    <t>Jwalphavirus</t>
  </si>
  <si>
    <t>Achromobacter virus Axp3</t>
  </si>
  <si>
    <t>Achromobacter virus JWAlpha</t>
  </si>
  <si>
    <t>Salmonella virus BTP1</t>
  </si>
  <si>
    <t>Escherichia virus Pollock</t>
  </si>
  <si>
    <t>Salmonella virus FSL SP-058</t>
  </si>
  <si>
    <t>Salmonella virus FSL SP-076</t>
  </si>
  <si>
    <t>Chebruvirinae</t>
  </si>
  <si>
    <t>Brujitavirus</t>
  </si>
  <si>
    <t>Mycobacterium virus Sbash</t>
  </si>
  <si>
    <t>Dclasvirinae</t>
  </si>
  <si>
    <t>Hawkeyevirus</t>
  </si>
  <si>
    <t>Mycobacterium virus Hawkeye</t>
  </si>
  <si>
    <t>Plotvirus</t>
  </si>
  <si>
    <t>Mycobacterium virus Plot</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</si>
  <si>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</si>
  <si>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</si>
  <si>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</si>
  <si>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</si>
  <si>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</si>
  <si>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</si>
  <si>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</si>
  <si>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</si>
  <si>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</si>
  <si>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</si>
  <si>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</si>
  <si>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</si>
  <si>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</si>
  <si>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Nclasvirinae</t>
  </si>
  <si>
    <t>Buttersvirus</t>
  </si>
  <si>
    <t>Mycobacterium virus Butters</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</si>
  <si>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</si>
  <si>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</si>
  <si>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</si>
  <si>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</si>
  <si>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</si>
  <si>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</si>
  <si>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</si>
  <si>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</si>
  <si>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</si>
  <si>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</si>
  <si>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Gordonia virus Yeezy</t>
  </si>
  <si>
    <t>Nymphadoravirus</t>
  </si>
  <si>
    <t>Gordonia virus Kita</t>
  </si>
  <si>
    <t>Gordonia virus Zirinka</t>
  </si>
  <si>
    <t>Anatolevirus</t>
  </si>
  <si>
    <t>Propionibacterium virus Anatole</t>
  </si>
  <si>
    <t>Propionibacterium virus B3</t>
  </si>
  <si>
    <t>Attisvirus</t>
  </si>
  <si>
    <t>Gordonia virus Attis</t>
  </si>
  <si>
    <t>Doucettevirus</t>
  </si>
  <si>
    <t>Propionibacterium virus B22</t>
  </si>
  <si>
    <t>Propionibacterium virus Doucette</t>
  </si>
  <si>
    <t>Propionibacterium virus E6</t>
  </si>
  <si>
    <t>Propionibacterium virus G4</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</si>
  <si>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</si>
  <si>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</si>
  <si>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</si>
  <si>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</si>
  <si>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</si>
  <si>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</si>
  <si>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</si>
  <si>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</si>
  <si>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</si>
  <si>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Escherichia virus DE3</t>
  </si>
  <si>
    <t>Escherichia virus HK629</t>
  </si>
  <si>
    <t>Escherichia virus HK630</t>
  </si>
  <si>
    <t>Propionibacterium virus PFR1</t>
  </si>
  <si>
    <t>Geobacillus virus Tp84</t>
  </si>
  <si>
    <t>Trigintaduovirus</t>
  </si>
  <si>
    <t>Mycobacterium virus 32HC</t>
  </si>
  <si>
    <t>Wizardvirus</t>
  </si>
  <si>
    <t>Gordonia virus Twister6</t>
  </si>
  <si>
    <t>Gordonia virus Wizard</t>
  </si>
  <si>
    <t>Ranid herpesvirus 3</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</si>
  <si>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</si>
  <si>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</si>
  <si>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</si>
  <si>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</si>
  <si>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</si>
  <si>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</si>
  <si>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</si>
  <si>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</si>
  <si>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</si>
  <si>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</si>
  <si>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</si>
  <si>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</si>
  <si>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</si>
  <si>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Kanyawara ledantevirus</t>
  </si>
  <si>
    <t>Gannoruwa bat lyssavirus</t>
  </si>
  <si>
    <t>Lleida bat lyssavirus</t>
  </si>
  <si>
    <t>Beatrice Hill tibrovirus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</si>
  <si>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</si>
  <si>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</si>
  <si>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</si>
  <si>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</si>
  <si>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</si>
  <si>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</si>
  <si>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</si>
  <si>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</si>
  <si>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</si>
  <si>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</si>
  <si>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</si>
  <si>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</si>
  <si>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</si>
  <si>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</si>
  <si>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</si>
  <si>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</si>
  <si>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</si>
  <si>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</si>
  <si>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</si>
  <si>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</si>
  <si>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</si>
  <si>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</si>
  <si>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</si>
  <si>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</si>
  <si>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</si>
  <si>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</si>
  <si>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</si>
  <si>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</si>
  <si>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</si>
  <si>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</si>
  <si>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</si>
  <si>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</si>
  <si>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</si>
  <si>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</si>
  <si>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</si>
  <si>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</si>
  <si>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</si>
  <si>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</si>
  <si>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</si>
  <si>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</si>
  <si>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</si>
  <si>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</si>
  <si>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</si>
  <si>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</si>
  <si>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</si>
  <si>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</si>
  <si>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</si>
  <si>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</si>
  <si>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</si>
  <si>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</si>
  <si>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</si>
  <si>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</si>
  <si>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</si>
  <si>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</si>
  <si>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</si>
  <si>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</si>
  <si>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</si>
  <si>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</si>
  <si>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</si>
  <si>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</si>
  <si>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</si>
  <si>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</si>
  <si>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</si>
  <si>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</si>
  <si>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</si>
  <si>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</si>
  <si>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</si>
  <si>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</si>
  <si>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</si>
  <si>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</si>
  <si>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</si>
  <si>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</si>
  <si>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</si>
  <si>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</si>
  <si>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</si>
  <si>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</si>
  <si>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</si>
  <si>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</si>
  <si>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</si>
  <si>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</si>
  <si>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</si>
  <si>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</si>
  <si>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</si>
  <si>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</si>
  <si>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</si>
  <si>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</si>
  <si>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</si>
  <si>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</si>
  <si>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</si>
  <si>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</si>
  <si>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</si>
  <si>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</si>
  <si>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</si>
  <si>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</si>
  <si>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</si>
  <si>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</si>
  <si>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</si>
  <si>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</si>
  <si>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</si>
  <si>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</si>
  <si>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</si>
  <si>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</si>
  <si>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</si>
  <si>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</si>
  <si>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</si>
  <si>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</si>
  <si>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</si>
  <si>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</si>
  <si>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</si>
  <si>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</si>
  <si>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</si>
  <si>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</si>
  <si>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</si>
  <si>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</si>
  <si>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</si>
  <si>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</si>
  <si>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</si>
  <si>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</si>
  <si>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</si>
  <si>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</si>
  <si>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</si>
  <si>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</si>
  <si>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</si>
  <si>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</si>
  <si>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</si>
  <si>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</si>
  <si>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</si>
  <si>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</si>
  <si>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</si>
  <si>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</si>
  <si>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</si>
  <si>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</si>
  <si>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</si>
  <si>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</si>
  <si>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</si>
  <si>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</si>
  <si>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</si>
  <si>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</si>
  <si>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</si>
  <si>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</si>
  <si>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</si>
  <si>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</si>
  <si>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</si>
  <si>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</si>
  <si>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</si>
  <si>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</si>
  <si>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</si>
  <si>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</si>
  <si>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</si>
  <si>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</si>
  <si>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</si>
  <si>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</si>
  <si>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</si>
  <si>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</si>
  <si>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</si>
  <si>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</si>
  <si>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</si>
  <si>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</si>
  <si>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</si>
  <si>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</si>
  <si>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</si>
  <si>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</si>
  <si>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</si>
  <si>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</si>
  <si>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</si>
  <si>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</si>
  <si>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</si>
  <si>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</si>
  <si>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</si>
  <si>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</si>
  <si>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</si>
  <si>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</si>
  <si>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</si>
  <si>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</si>
  <si>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</si>
  <si>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</si>
  <si>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</si>
  <si>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</si>
  <si>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</si>
  <si>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</si>
  <si>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</si>
  <si>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</si>
  <si>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</si>
  <si>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</si>
  <si>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</si>
  <si>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</si>
  <si>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</si>
  <si>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</si>
  <si>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</si>
  <si>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</si>
  <si>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</si>
  <si>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</si>
  <si>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</si>
  <si>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</si>
  <si>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</si>
  <si>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</si>
  <si>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</si>
  <si>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</si>
  <si>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</si>
  <si>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</si>
  <si>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</si>
  <si>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</si>
  <si>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</si>
  <si>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</si>
  <si>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</si>
  <si>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</si>
  <si>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</si>
  <si>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</si>
  <si>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</si>
  <si>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</si>
  <si>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</si>
  <si>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</si>
  <si>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</si>
  <si>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</si>
  <si>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</si>
  <si>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</si>
  <si>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</si>
  <si>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</si>
  <si>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</si>
  <si>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</si>
  <si>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</si>
  <si>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</si>
  <si>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</si>
  <si>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Cnaphalocrocis medinalis granulovirus</t>
  </si>
  <si>
    <t>Mythimna unipuncta granulovirus A</t>
  </si>
  <si>
    <t>Mythimna unipuncta granulovirus B</t>
  </si>
  <si>
    <t>Ageratum latent virus</t>
  </si>
  <si>
    <t>Privet ringspot virus</t>
  </si>
  <si>
    <t>Tomato necrotic streak virus</t>
  </si>
  <si>
    <t>Newbury 1 virus</t>
  </si>
  <si>
    <t>Penicillium cyaneofulvum virus</t>
  </si>
  <si>
    <t>Bat associated circovirus 9</t>
  </si>
  <si>
    <t>Porcine circovirus 3</t>
  </si>
  <si>
    <t>Human associated cyclovirus 12</t>
  </si>
  <si>
    <t>Mouse associated cyclovirus 1</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</si>
  <si>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</si>
  <si>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</si>
  <si>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</si>
  <si>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</si>
  <si>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</si>
  <si>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</si>
  <si>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</si>
  <si>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</si>
  <si>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</si>
  <si>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</si>
  <si>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</si>
  <si>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</si>
  <si>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</si>
  <si>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</si>
  <si>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</si>
  <si>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</si>
  <si>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</si>
  <si>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</si>
  <si>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</si>
  <si>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</si>
  <si>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</si>
  <si>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</si>
  <si>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</si>
  <si>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</si>
  <si>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</si>
  <si>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</si>
  <si>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</si>
  <si>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</si>
  <si>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</si>
  <si>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</si>
  <si>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</si>
  <si>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</si>
  <si>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</si>
  <si>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</si>
  <si>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</si>
  <si>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</si>
  <si>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</si>
  <si>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</si>
  <si>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</si>
  <si>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</si>
  <si>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</si>
  <si>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</si>
  <si>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</si>
  <si>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</si>
  <si>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</si>
  <si>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</si>
  <si>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</si>
  <si>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</si>
  <si>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</si>
  <si>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</si>
  <si>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</si>
  <si>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</si>
  <si>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</si>
  <si>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</si>
  <si>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</si>
  <si>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</si>
  <si>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</si>
  <si>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</si>
  <si>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</si>
  <si>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</si>
  <si>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</si>
  <si>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</si>
  <si>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</si>
  <si>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</si>
  <si>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</si>
  <si>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</si>
  <si>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</si>
  <si>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</si>
  <si>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</si>
  <si>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</si>
  <si>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</si>
  <si>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</si>
  <si>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</si>
  <si>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</si>
  <si>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</si>
  <si>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</si>
  <si>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</si>
  <si>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</si>
  <si>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</si>
  <si>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</si>
  <si>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</si>
  <si>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</si>
  <si>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</si>
  <si>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</si>
  <si>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</si>
  <si>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</si>
  <si>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</si>
  <si>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</si>
  <si>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</si>
  <si>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</si>
  <si>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</si>
  <si>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</si>
  <si>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</si>
  <si>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</si>
  <si>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</si>
  <si>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</si>
  <si>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Tibetan frog hepatitis B virus</t>
  </si>
  <si>
    <t>Acholeplasma virus L51</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</si>
  <si>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</si>
  <si>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</si>
  <si>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</si>
  <si>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</si>
  <si>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</si>
  <si>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</si>
  <si>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</si>
  <si>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</si>
  <si>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</si>
  <si>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</si>
  <si>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</si>
  <si>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</si>
  <si>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</si>
  <si>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</si>
  <si>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</si>
  <si>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</si>
  <si>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</si>
  <si>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</si>
  <si>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</si>
  <si>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</si>
  <si>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</si>
  <si>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</si>
  <si>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</si>
  <si>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</si>
  <si>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</si>
  <si>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</si>
  <si>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</si>
  <si>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</si>
  <si>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</si>
  <si>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</si>
  <si>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</si>
  <si>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</si>
  <si>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</si>
  <si>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</si>
  <si>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</si>
  <si>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</si>
  <si>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</si>
  <si>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</si>
  <si>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</si>
  <si>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</si>
  <si>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</si>
  <si>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</si>
  <si>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</si>
  <si>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</si>
  <si>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</si>
  <si>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</si>
  <si>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</si>
  <si>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</si>
  <si>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</si>
  <si>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</si>
  <si>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</si>
  <si>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</si>
  <si>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</si>
  <si>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</si>
  <si>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</si>
  <si>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</si>
  <si>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</si>
  <si>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</si>
  <si>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</si>
  <si>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</si>
  <si>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</si>
  <si>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</si>
  <si>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</si>
  <si>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</si>
  <si>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Chelonus near curvimaculatus bracovirus</t>
  </si>
  <si>
    <t>Piliocolobus badius polyomavirus 1</t>
  </si>
  <si>
    <t>Leptonychotes weddellii polyomavirus 1</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</si>
  <si>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</si>
  <si>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</si>
  <si>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</si>
  <si>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</si>
  <si>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</si>
  <si>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</si>
  <si>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</si>
  <si>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</si>
  <si>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</si>
  <si>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</si>
  <si>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</si>
  <si>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</si>
  <si>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</si>
  <si>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</si>
  <si>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</si>
  <si>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</si>
  <si>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</si>
  <si>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</si>
  <si>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</si>
  <si>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</si>
  <si>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</si>
  <si>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</si>
  <si>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</si>
  <si>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</si>
  <si>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</si>
  <si>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</si>
  <si>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</si>
  <si>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Bovine associated bovismacovirus 1</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</si>
  <si>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</si>
  <si>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</si>
  <si>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</si>
  <si>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</si>
  <si>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</si>
  <si>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</si>
  <si>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</si>
  <si>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</si>
  <si>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</si>
  <si>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</si>
  <si>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</si>
  <si>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</si>
  <si>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</si>
  <si>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</si>
  <si>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</si>
  <si>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</si>
  <si>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</si>
  <si>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</si>
  <si>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</si>
  <si>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</si>
  <si>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</si>
  <si>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</si>
  <si>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</si>
  <si>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</si>
  <si>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</si>
  <si>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</si>
  <si>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</si>
  <si>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</si>
  <si>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</si>
  <si>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</si>
  <si>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</si>
  <si>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</si>
  <si>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</si>
  <si>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</si>
  <si>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</si>
  <si>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</si>
  <si>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</si>
  <si>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</si>
  <si>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</si>
  <si>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</si>
  <si>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</si>
  <si>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</si>
  <si>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</si>
  <si>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</si>
  <si>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</si>
  <si>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</si>
  <si>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</si>
  <si>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Alphatectivirus</t>
  </si>
  <si>
    <t>Pseudomonas virus PR4</t>
  </si>
  <si>
    <t>Pseudomonas virus PRD1</t>
  </si>
  <si>
    <t>Betatectivirus</t>
  </si>
  <si>
    <t>Bacillus virus GIL16</t>
  </si>
  <si>
    <t>Bacillus virus Wip1</t>
  </si>
  <si>
    <t>Onyong-nyong virus</t>
  </si>
  <si>
    <t>Tomato leaf curl Java betasatellite</t>
  </si>
  <si>
    <t>Saccharomyces cerevisiae virus LBCLa</t>
  </si>
  <si>
    <t>Opuntia chlorotic ringspot virus</t>
  </si>
  <si>
    <t>Realm</t>
  </si>
  <si>
    <t>Subrealm</t>
  </si>
  <si>
    <t>Kingdom</t>
  </si>
  <si>
    <t>Subkingdom</t>
  </si>
  <si>
    <t>Phylum</t>
  </si>
  <si>
    <t>Subphylum</t>
  </si>
  <si>
    <t>Class</t>
  </si>
  <si>
    <t>Subclass</t>
  </si>
  <si>
    <t>Suborder</t>
  </si>
  <si>
    <t>Subgenus</t>
  </si>
  <si>
    <t>FYI Abbrev</t>
  </si>
  <si>
    <t>accession</t>
  </si>
  <si>
    <t>isolates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</si>
  <si>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</si>
  <si>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</si>
  <si>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</si>
  <si>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</si>
  <si>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</si>
  <si>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</si>
  <si>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</si>
  <si>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</si>
  <si>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</si>
  <si>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</si>
  <si>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</si>
  <si>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</si>
  <si>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</si>
  <si>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</si>
  <si>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</si>
  <si>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</si>
  <si>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</si>
  <si>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</si>
  <si>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</si>
  <si>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</si>
  <si>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</si>
  <si>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</si>
  <si>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</si>
  <si>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</si>
  <si>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</si>
  <si>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</si>
  <si>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</si>
  <si>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</si>
  <si>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</si>
  <si>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</si>
  <si>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</si>
  <si>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</si>
  <si>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</si>
  <si>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</si>
  <si>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</si>
  <si>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</si>
  <si>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</si>
  <si>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</si>
  <si>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</si>
  <si>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</si>
  <si>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</si>
  <si>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</si>
  <si>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</si>
  <si>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</si>
  <si>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</si>
  <si>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</si>
  <si>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</si>
  <si>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</si>
  <si>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</si>
  <si>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</si>
  <si>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</si>
  <si>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</si>
  <si>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</si>
  <si>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</si>
  <si>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</si>
  <si>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</si>
  <si>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</si>
  <si>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</si>
  <si>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</si>
  <si>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</si>
  <si>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</si>
  <si>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</si>
  <si>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</si>
  <si>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</si>
  <si>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</si>
  <si>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</si>
  <si>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</si>
  <si>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</si>
  <si>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</si>
  <si>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</si>
  <si>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</si>
  <si>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</si>
  <si>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</si>
  <si>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</si>
  <si>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</si>
  <si>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</si>
  <si>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</si>
  <si>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</si>
  <si>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</si>
  <si>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</si>
  <si>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</si>
  <si>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</si>
  <si>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</si>
  <si>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</si>
  <si>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</si>
  <si>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</si>
  <si>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</si>
  <si>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</si>
  <si>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</si>
  <si>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</si>
  <si>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</si>
  <si>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</si>
  <si>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</si>
  <si>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</si>
  <si>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</si>
  <si>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</si>
  <si>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</si>
  <si>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</si>
  <si>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</si>
  <si>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</si>
  <si>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</si>
  <si>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</si>
  <si>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</si>
  <si>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</si>
  <si>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</si>
  <si>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</si>
  <si>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</si>
  <si>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</si>
  <si>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</si>
  <si>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</si>
  <si>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</si>
  <si>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</si>
  <si>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</si>
  <si>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Feravirus</t>
  </si>
  <si>
    <t>Ferak feravirus</t>
  </si>
  <si>
    <t>Jonvirus</t>
  </si>
  <si>
    <t>Jonchet jonvirus</t>
  </si>
  <si>
    <t>Wuhivirus</t>
  </si>
  <si>
    <t>Insect wuhivirus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</si>
  <si>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</si>
  <si>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</si>
  <si>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</si>
  <si>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</si>
  <si>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</si>
  <si>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</si>
  <si>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</si>
  <si>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</si>
  <si>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</si>
  <si>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</si>
  <si>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</si>
  <si>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</si>
  <si>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</si>
  <si>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</si>
  <si>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</si>
  <si>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</si>
  <si>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</si>
  <si>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</si>
  <si>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</si>
  <si>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</si>
  <si>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</si>
  <si>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</si>
  <si>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</si>
  <si>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</si>
  <si>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</si>
  <si>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</si>
  <si>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</si>
  <si>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</si>
  <si>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</si>
  <si>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</si>
  <si>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</si>
  <si>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</si>
  <si>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</si>
  <si>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</si>
  <si>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</si>
  <si>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</si>
  <si>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</si>
  <si>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</si>
  <si>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</si>
  <si>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</si>
  <si>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</si>
  <si>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</si>
  <si>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</si>
  <si>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</si>
  <si>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</si>
  <si>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</si>
  <si>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</si>
  <si>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</si>
  <si>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</si>
  <si>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</si>
  <si>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</si>
  <si>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</si>
  <si>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</si>
  <si>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</si>
  <si>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</si>
  <si>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</si>
  <si>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</si>
  <si>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</si>
  <si>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</si>
  <si>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</si>
  <si>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</si>
  <si>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</si>
  <si>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</si>
  <si>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</si>
  <si>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</si>
  <si>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</si>
  <si>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</si>
  <si>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</si>
  <si>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</si>
  <si>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</si>
  <si>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</si>
  <si>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</si>
  <si>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</si>
  <si>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</si>
  <si>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</si>
  <si>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Orthocoronavirinae</t>
  </si>
  <si>
    <t>Colacovirus</t>
  </si>
  <si>
    <t>Eurpobartevirus</t>
  </si>
  <si>
    <t>Betaarterivirus suid 1</t>
  </si>
  <si>
    <t>Luchacovirus</t>
  </si>
  <si>
    <t>Lucheng Rn rat coronavirus</t>
  </si>
  <si>
    <t>Minacovirus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</si>
  <si>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</si>
  <si>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</si>
  <si>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</si>
  <si>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</si>
  <si>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</si>
  <si>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</si>
  <si>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</si>
  <si>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</si>
  <si>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</si>
  <si>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</si>
  <si>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</si>
  <si>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</si>
  <si>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</si>
  <si>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</si>
  <si>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</si>
  <si>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</si>
  <si>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</si>
  <si>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</si>
  <si>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</si>
  <si>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</si>
  <si>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</si>
  <si>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</si>
  <si>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</si>
  <si>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</si>
  <si>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</si>
  <si>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</si>
  <si>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</si>
  <si>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</si>
  <si>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</si>
  <si>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</si>
  <si>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</si>
  <si>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</si>
  <si>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</si>
  <si>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</si>
  <si>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</si>
  <si>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</si>
  <si>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</si>
  <si>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</si>
  <si>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</si>
  <si>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</si>
  <si>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</si>
  <si>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</si>
  <si>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</si>
  <si>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</si>
  <si>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</si>
  <si>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</si>
  <si>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</si>
  <si>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</si>
  <si>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</si>
  <si>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</si>
  <si>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</si>
  <si>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</si>
  <si>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</si>
  <si>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</si>
  <si>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</si>
  <si>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</si>
  <si>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</si>
  <si>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</si>
  <si>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</si>
  <si>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</si>
  <si>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</si>
  <si>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</si>
  <si>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</si>
  <si>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</si>
  <si>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</si>
  <si>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</si>
  <si>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</si>
  <si>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</si>
  <si>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</si>
  <si>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</si>
  <si>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</si>
  <si>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</si>
  <si>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</si>
  <si>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</si>
  <si>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</si>
  <si>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</si>
  <si>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</si>
  <si>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</si>
  <si>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</si>
  <si>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</si>
  <si>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</si>
  <si>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</si>
  <si>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</si>
  <si>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</si>
  <si>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</si>
  <si>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</si>
  <si>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</si>
  <si>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</si>
  <si>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</si>
  <si>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</si>
  <si>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</si>
  <si>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</si>
  <si>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</si>
  <si>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</si>
  <si>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</si>
  <si>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</si>
  <si>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</si>
  <si>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</si>
  <si>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</si>
  <si>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</si>
  <si>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Genome
Composition
Rank</t>
  </si>
  <si>
    <t>tree_id</t>
  </si>
  <si>
    <t>msl_release_num</t>
  </si>
  <si>
    <t>sort</t>
  </si>
  <si>
    <t>Genome Composition Rank</t>
  </si>
  <si>
    <t>Rank at which this Genome Composition is set. All taxa below that rank have the same genome composition.</t>
  </si>
  <si>
    <t>Sort
(hidden)</t>
  </si>
  <si>
    <t>An arbitrary integer that, when sorted in numeric order, will produce the correct rank and alphabetic sorting of these species in the MSL.</t>
  </si>
  <si>
    <t>NULL</t>
  </si>
  <si>
    <t>Cultervirus</t>
  </si>
  <si>
    <t>Striavirus</t>
  </si>
  <si>
    <t>Xilang striavirus</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</si>
  <si>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</si>
  <si>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</si>
  <si>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</si>
  <si>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</si>
  <si>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</si>
  <si>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</si>
  <si>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</si>
  <si>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</si>
  <si>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</si>
  <si>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</si>
  <si>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</si>
  <si>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</si>
  <si>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</si>
  <si>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</si>
  <si>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</si>
  <si>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</si>
  <si>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</si>
  <si>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</si>
  <si>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</si>
  <si>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</si>
  <si>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</si>
  <si>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</si>
  <si>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</si>
  <si>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</si>
  <si>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</si>
  <si>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</si>
  <si>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</si>
  <si>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</si>
  <si>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</si>
  <si>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</si>
  <si>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</si>
  <si>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</si>
  <si>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</si>
  <si>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</si>
  <si>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</si>
  <si>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</si>
  <si>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</si>
  <si>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</si>
  <si>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</si>
  <si>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</si>
  <si>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</si>
  <si>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</si>
  <si>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</si>
  <si>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</si>
  <si>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</si>
  <si>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</si>
  <si>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</si>
  <si>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</si>
  <si>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</si>
  <si>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</si>
  <si>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</si>
  <si>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</si>
  <si>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</si>
  <si>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</si>
  <si>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</si>
  <si>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</si>
  <si>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</si>
  <si>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</si>
  <si>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</si>
  <si>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</si>
  <si>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</si>
  <si>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</si>
  <si>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</si>
  <si>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Alphanemrhavirus</t>
  </si>
  <si>
    <t>Xingshan alphanemrhavirus</t>
  </si>
  <si>
    <t>Xinzhou alphanemrhavirus</t>
  </si>
  <si>
    <t>Caligrhavirus</t>
  </si>
  <si>
    <t>Caligus caligrhavirus</t>
  </si>
  <si>
    <t>Lepeophtheirus caligrhavirus</t>
  </si>
  <si>
    <t>Salmonlouse caligrhavirus</t>
  </si>
  <si>
    <t>Citrus chlorotic spot dichorhavirus</t>
  </si>
  <si>
    <t>Citrus leprosis N dichorhavirus</t>
  </si>
  <si>
    <t>Clerodendrum chlorotic spot dichorhavirus</t>
  </si>
  <si>
    <t>Vaprio ledantevirus</t>
  </si>
  <si>
    <t>Antennavirus</t>
  </si>
  <si>
    <t>Hairy antennavirus</t>
  </si>
  <si>
    <t>Striated antennavirus</t>
  </si>
  <si>
    <t>Actantavirinae</t>
  </si>
  <si>
    <t>Actinovirus</t>
  </si>
  <si>
    <t>Batfish actinovirus</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</si>
  <si>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</si>
  <si>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</si>
  <si>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</si>
  <si>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</si>
  <si>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</si>
  <si>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</si>
  <si>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</si>
  <si>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</si>
  <si>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</si>
  <si>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</si>
  <si>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</si>
  <si>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</si>
  <si>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</si>
  <si>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</si>
  <si>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Estero Real orthonairovirus</t>
  </si>
  <si>
    <t>Aino orthobunyavirus</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</si>
  <si>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</si>
  <si>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</si>
  <si>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</si>
  <si>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</si>
  <si>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</si>
  <si>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</si>
  <si>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</si>
  <si>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</si>
  <si>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</si>
  <si>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</si>
  <si>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</si>
  <si>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</si>
  <si>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</si>
  <si>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</si>
  <si>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</si>
  <si>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</si>
  <si>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</si>
  <si>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</si>
  <si>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</si>
  <si>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</si>
  <si>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</si>
  <si>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</si>
  <si>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</si>
  <si>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</si>
  <si>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</si>
  <si>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</si>
  <si>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</si>
  <si>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</si>
  <si>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</si>
  <si>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</si>
  <si>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</si>
  <si>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</si>
  <si>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</si>
  <si>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</si>
  <si>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</si>
  <si>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</si>
  <si>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</si>
  <si>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</si>
  <si>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</si>
  <si>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</si>
  <si>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</si>
  <si>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</si>
  <si>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</si>
  <si>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</si>
  <si>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</si>
  <si>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</si>
  <si>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Ganda orthophasmavirus</t>
  </si>
  <si>
    <t>Odonate orthophasmavirus</t>
  </si>
  <si>
    <t>Qingling orthophasmavirus</t>
  </si>
  <si>
    <t>Sawastrivirus</t>
  </si>
  <si>
    <t>Sanxia sawastrivirus</t>
  </si>
  <si>
    <t>Laulavirus</t>
  </si>
  <si>
    <t>Laurel Lake laulavirus</t>
  </si>
  <si>
    <t>Mukawa phlebovirus</t>
  </si>
  <si>
    <t>Wenrivirus</t>
  </si>
  <si>
    <t>Shrimp wenrivirus</t>
  </si>
  <si>
    <t>Tospoviridae</t>
  </si>
  <si>
    <t>Orthotospovirus</t>
  </si>
  <si>
    <t>Bean necrotic mosaic orthotospovirus</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</si>
  <si>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</si>
  <si>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</si>
  <si>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</si>
  <si>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</si>
  <si>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</si>
  <si>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</si>
  <si>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</si>
  <si>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</si>
  <si>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Agtrevirus</t>
  </si>
  <si>
    <t>Kuttervirus</t>
  </si>
  <si>
    <t>Herelleviridae</t>
  </si>
  <si>
    <t>Bastillevirinae</t>
  </si>
  <si>
    <t>Bacillus virus Evoli</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</si>
  <si>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</si>
  <si>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</si>
  <si>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</si>
  <si>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</si>
  <si>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</si>
  <si>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</si>
  <si>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</si>
  <si>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</si>
  <si>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</si>
  <si>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</si>
  <si>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Renamed,Moved,Assigned as Type Species,</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</si>
  <si>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</si>
  <si>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</si>
  <si>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</si>
  <si>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</si>
  <si>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</si>
  <si>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</si>
  <si>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</si>
  <si>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</si>
  <si>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</si>
  <si>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</si>
  <si>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</si>
  <si>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</si>
  <si>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</si>
  <si>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</si>
  <si>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</si>
  <si>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</si>
  <si>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</si>
  <si>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</si>
  <si>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</si>
  <si>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</si>
  <si>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Felixounavirus</t>
  </si>
  <si>
    <t>Escherichia virus Alf5</t>
  </si>
  <si>
    <t>Salmonella virus BPS15Q2</t>
  </si>
  <si>
    <t>Salmonella virus BPS17L1</t>
  </si>
  <si>
    <t>Salmonella virus BPS17W1</t>
  </si>
  <si>
    <t>Salmonella virus Si3</t>
  </si>
  <si>
    <t>Salmonella virus SP116</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</si>
  <si>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</si>
  <si>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</si>
  <si>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</si>
  <si>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</si>
  <si>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</si>
  <si>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</si>
  <si>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</si>
  <si>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</si>
  <si>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</si>
  <si>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</si>
  <si>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</si>
  <si>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</si>
  <si>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</si>
  <si>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</si>
  <si>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</si>
  <si>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</si>
  <si>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</si>
  <si>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</si>
  <si>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</si>
  <si>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</si>
  <si>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</si>
  <si>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</si>
  <si>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</si>
  <si>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</si>
  <si>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</si>
  <si>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</si>
  <si>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</si>
  <si>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</si>
  <si>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</si>
  <si>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</si>
  <si>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</si>
  <si>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</si>
  <si>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</si>
  <si>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</si>
  <si>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</si>
  <si>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</si>
  <si>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</si>
  <si>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</si>
  <si>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</si>
  <si>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</si>
  <si>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</si>
  <si>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</si>
  <si>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</si>
  <si>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</si>
  <si>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</si>
  <si>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Certrevirus</t>
  </si>
  <si>
    <t>Seunavirus</t>
  </si>
  <si>
    <t>Salmonella virus PVPSE1</t>
  </si>
  <si>
    <t>Vequintavirus</t>
  </si>
  <si>
    <t>Escherichia virus APECc02</t>
  </si>
  <si>
    <t>Escherichia virus Murica</t>
  </si>
  <si>
    <t>Escherichia virus slur16</t>
  </si>
  <si>
    <t>Escherichia virus V18</t>
  </si>
  <si>
    <t>Agricanvirus</t>
  </si>
  <si>
    <t>Erwinia virus Desertfox</t>
  </si>
  <si>
    <t>Alcyoneusvirus</t>
  </si>
  <si>
    <t>Klebsiella virus K64-1</t>
  </si>
  <si>
    <t>Klebsiella virus RaK2</t>
  </si>
  <si>
    <t>Aphroditevirus</t>
  </si>
  <si>
    <t>Vibrio virus Aphrodite1</t>
  </si>
  <si>
    <t>Asteriusvirus</t>
  </si>
  <si>
    <t>Escherichia virus 121Q</t>
  </si>
  <si>
    <t>Eschierichia virus PBECO4</t>
  </si>
  <si>
    <t>Bequatrovirus</t>
  </si>
  <si>
    <t>Bixzunavirus</t>
  </si>
  <si>
    <t>Mycobacterium virus Lukilu</t>
  </si>
  <si>
    <t>Brunovirus</t>
  </si>
  <si>
    <t>Salmonella virus SEN34</t>
  </si>
  <si>
    <t>Busanvirus</t>
  </si>
  <si>
    <t>Acidovorax virus ACP17</t>
  </si>
  <si>
    <t>Chakrabartyvirus</t>
  </si>
  <si>
    <t>Pseudomonas virus pf16</t>
  </si>
  <si>
    <t>Chiangmaivirus</t>
  </si>
  <si>
    <t>Emdodecavirus</t>
  </si>
  <si>
    <t>Eneladusvirus</t>
  </si>
  <si>
    <t>Serratia virus BF</t>
  </si>
  <si>
    <t>Yersinia virus Yen9-04</t>
  </si>
  <si>
    <t>Erskinevirus</t>
  </si>
  <si>
    <t>Ficleduovirus</t>
  </si>
  <si>
    <t>Flavobacterium virus FCL2</t>
  </si>
  <si>
    <t>Flavobacterium virus FCV1</t>
  </si>
  <si>
    <t>Flaumdravirus</t>
  </si>
  <si>
    <t>Pseudomonas virus KIL2</t>
  </si>
  <si>
    <t>Pseudomonas virus KIL4</t>
  </si>
  <si>
    <t>Gofduovirus</t>
  </si>
  <si>
    <t>Edwardsiella virus GF2</t>
  </si>
  <si>
    <t>Iapetusvirus</t>
  </si>
  <si>
    <t>Erwinia virus EaH1</t>
  </si>
  <si>
    <t>Iodovirus</t>
  </si>
  <si>
    <t>Iodobacter virus PLPE</t>
  </si>
  <si>
    <t>Ionavirus</t>
  </si>
  <si>
    <t>Jedunavirus</t>
  </si>
  <si>
    <t>Klebsiella virus JD001</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</si>
  <si>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</si>
  <si>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</si>
  <si>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</si>
  <si>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</si>
  <si>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</si>
  <si>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</si>
  <si>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</si>
  <si>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</si>
  <si>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</si>
  <si>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</si>
  <si>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</si>
  <si>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</si>
  <si>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Mieseafarmvirus</t>
  </si>
  <si>
    <t>Mimasvirus</t>
  </si>
  <si>
    <t>Cronobacter virus GAP32</t>
  </si>
  <si>
    <t>Pectinobacterium virus CBB</t>
  </si>
  <si>
    <t>Nankokuvirus</t>
  </si>
  <si>
    <t>Pseudomonas virus G1</t>
  </si>
  <si>
    <t>Pseudomonas virus PS24</t>
  </si>
  <si>
    <t>Nazgulvirus</t>
  </si>
  <si>
    <t>Burkholderia virus BcepNazgul</t>
  </si>
  <si>
    <t>Nitunavirus</t>
  </si>
  <si>
    <t>Noxifervirus</t>
  </si>
  <si>
    <t>Pseudomonas virus Noxifer</t>
  </si>
  <si>
    <t>Obolenskvirus</t>
  </si>
  <si>
    <t>Acinetobacter virus AbP2</t>
  </si>
  <si>
    <t>Acinetobacter virus LZ35</t>
  </si>
  <si>
    <t>Acinetobacter virus WCHABP1</t>
  </si>
  <si>
    <t>Acinetobacter virus WCHABP12</t>
  </si>
  <si>
    <t>Otagovirus</t>
  </si>
  <si>
    <t>Pseudomonas virus Psa374</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</si>
  <si>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</si>
  <si>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</si>
  <si>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</si>
  <si>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</si>
  <si>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</si>
  <si>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</si>
  <si>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</si>
  <si>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</si>
  <si>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</si>
  <si>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</si>
  <si>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</si>
  <si>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</si>
  <si>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</si>
  <si>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</si>
  <si>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</si>
  <si>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Pseudomonas virus SL2</t>
  </si>
  <si>
    <t>Plaisancevirus</t>
  </si>
  <si>
    <t>Pseudomonas virus PMW</t>
  </si>
  <si>
    <t>Polybotosvirus</t>
  </si>
  <si>
    <t>Agrobacterium virus Atuph07</t>
  </si>
  <si>
    <t>Popoffvirus</t>
  </si>
  <si>
    <t>Aeromonas virus 56</t>
  </si>
  <si>
    <t>Punavirus</t>
  </si>
  <si>
    <t>Escherichia virus RCS47</t>
  </si>
  <si>
    <t>Salmonella virus SJ46</t>
  </si>
  <si>
    <t>Radnorvirus</t>
  </si>
  <si>
    <t>Arthrobacter virus Colucci</t>
  </si>
  <si>
    <t>Ripduovirus</t>
  </si>
  <si>
    <t>Ralstonia virus RP12</t>
  </si>
  <si>
    <t>Risingsunvirus</t>
  </si>
  <si>
    <t>Erwinia virus Risingsun</t>
  </si>
  <si>
    <t>Seoulvirus</t>
  </si>
  <si>
    <t>Sepunavirus</t>
  </si>
  <si>
    <t>Shalavirus</t>
  </si>
  <si>
    <t>Bacillus virus Shbh1</t>
  </si>
  <si>
    <t>Siminovitchvirus</t>
  </si>
  <si>
    <t>Tegunavirus</t>
  </si>
  <si>
    <t>Thornevirus</t>
  </si>
  <si>
    <t>Bacillus virus SP15</t>
  </si>
  <si>
    <t>Tidunavirus</t>
  </si>
  <si>
    <t>Vibrio virus pTD1</t>
  </si>
  <si>
    <t>Vibrio virus VP4B</t>
  </si>
  <si>
    <t>Tijeunavirus</t>
  </si>
  <si>
    <t>Tetrasphaera virus TJE1</t>
  </si>
  <si>
    <t>Tulanevirus</t>
  </si>
  <si>
    <t>Aeromonas virus Asgz</t>
  </si>
  <si>
    <t>Viunavirus</t>
  </si>
  <si>
    <t>Winklervirus</t>
  </si>
  <si>
    <t>Serratia virus CHI14</t>
  </si>
  <si>
    <t>Yokohamavirus</t>
  </si>
  <si>
    <t>Drulisvirus</t>
  </si>
  <si>
    <t>Friunavirus</t>
  </si>
  <si>
    <t>Acinetobacter virus AS11</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</si>
  <si>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</si>
  <si>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</si>
  <si>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</si>
  <si>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</si>
  <si>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</si>
  <si>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</si>
  <si>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</si>
  <si>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</si>
  <si>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</si>
  <si>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</si>
  <si>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</si>
  <si>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</si>
  <si>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Phimunavirus</t>
  </si>
  <si>
    <t>Pectobacterium virus CB5</t>
  </si>
  <si>
    <t>Pectobacterium virus fM1</t>
  </si>
  <si>
    <t>Pectobacterium virus Peat1</t>
  </si>
  <si>
    <t>Pectobacterium virus PP90</t>
  </si>
  <si>
    <t>Pollyceevirus</t>
  </si>
  <si>
    <t>Pseudomonas virus PollyC</t>
  </si>
  <si>
    <t>Przondovirus</t>
  </si>
  <si>
    <t>Teseptimavirus</t>
  </si>
  <si>
    <t>Zindervirus</t>
  </si>
  <si>
    <t>Cepunavirus</t>
  </si>
  <si>
    <t>Negarvirus</t>
  </si>
  <si>
    <t>Lactococcus virus WP2</t>
  </si>
  <si>
    <t>Rosenblumvirus</t>
  </si>
  <si>
    <t>Salasvirus</t>
  </si>
  <si>
    <t>Diegovirus</t>
  </si>
  <si>
    <t>Oslovirus</t>
  </si>
  <si>
    <t>Traversvirus</t>
  </si>
  <si>
    <t>Aqualcavirus</t>
  </si>
  <si>
    <t>Aquamicrobium virus P14</t>
  </si>
  <si>
    <t>Baltimorevirus</t>
  </si>
  <si>
    <t>Bifseptvirus</t>
  </si>
  <si>
    <t>Pseudomonas virus Andromeda</t>
  </si>
  <si>
    <t>Pseudomonas virus Bf7</t>
  </si>
  <si>
    <t>Bjornvirus</t>
  </si>
  <si>
    <t>Pseudomonas virus Bjorn</t>
  </si>
  <si>
    <t>Bruynoghevirus</t>
  </si>
  <si>
    <t>Enhodamvirus</t>
  </si>
  <si>
    <t>Enquatrovirus</t>
  </si>
  <si>
    <t>Fipvunavirus</t>
  </si>
  <si>
    <t>Flavobacterium virus Fpv1</t>
  </si>
  <si>
    <t>Flavobacterium virus Fpv4</t>
  </si>
  <si>
    <t>Gamaleyavirus</t>
  </si>
  <si>
    <t>Hollowayvirus</t>
  </si>
  <si>
    <t>Ithacavirus</t>
  </si>
  <si>
    <t>Jasminevirus</t>
  </si>
  <si>
    <t>Arthrobacter virus Adat</t>
  </si>
  <si>
    <t>Arthrobacter virus Jasmine</t>
  </si>
  <si>
    <t>Johnsonvirus</t>
  </si>
  <si>
    <t>Kafunavirus</t>
  </si>
  <si>
    <t>Kochitakasuvirus</t>
  </si>
  <si>
    <t>Krylovvirus</t>
  </si>
  <si>
    <t>Pseudomonas virus tf</t>
  </si>
  <si>
    <t>Kuravirus</t>
  </si>
  <si>
    <t>Lederbergvirus</t>
  </si>
  <si>
    <t>Salmonella virus SE1Spa</t>
  </si>
  <si>
    <t>Lessievirus</t>
  </si>
  <si>
    <t>Lightbulbvirus</t>
  </si>
  <si>
    <t>Litunavirus</t>
  </si>
  <si>
    <t>Luzseptimavirus</t>
  </si>
  <si>
    <t>Myxoctovirus</t>
  </si>
  <si>
    <t>Myxococcus virus Mx8</t>
  </si>
  <si>
    <t>Perisivirus</t>
  </si>
  <si>
    <t>Rauchvirus</t>
  </si>
  <si>
    <t>Schmidvirus</t>
  </si>
  <si>
    <t>Tabernariusvirus</t>
  </si>
  <si>
    <t>Pseudomonas virus tabernarius</t>
  </si>
  <si>
    <t>Uetakevirus</t>
  </si>
  <si>
    <t>Vicosavirus</t>
  </si>
  <si>
    <t>Pseudomonas virus NV1</t>
  </si>
  <si>
    <t>Pseudomonas virus UFVP2</t>
  </si>
  <si>
    <t>Arequatrovirus</t>
  </si>
  <si>
    <t>Pegunavirus</t>
  </si>
  <si>
    <t>Mycobacterium virus TA17a</t>
  </si>
  <si>
    <t>Cornellvirus</t>
  </si>
  <si>
    <t>Kagunavirus</t>
  </si>
  <si>
    <t>Esherichia virus Golestan</t>
  </si>
  <si>
    <t>Limdunavirus</t>
  </si>
  <si>
    <t>Unaquatrovirus</t>
  </si>
  <si>
    <t>Gordonia virus Nymphadora</t>
  </si>
  <si>
    <t>Renamed,</t>
  </si>
  <si>
    <t>Eclunavirus</t>
  </si>
  <si>
    <t>Enterobacter virus EcL1</t>
  </si>
  <si>
    <t>Hanrivervirus</t>
  </si>
  <si>
    <t>Shigella virus pSf1</t>
  </si>
  <si>
    <t>Rogunavirus</t>
  </si>
  <si>
    <t>Sertoctavirus</t>
  </si>
  <si>
    <t>Escherichia virus SRT8</t>
  </si>
  <si>
    <t>Tunavirus</t>
  </si>
  <si>
    <t>Shigella virus ISF002</t>
  </si>
  <si>
    <t>Webervirus</t>
  </si>
  <si>
    <t>Abidjanvirus</t>
  </si>
  <si>
    <t>Ahduovirus</t>
  </si>
  <si>
    <t>Burkholderia virus AH2</t>
  </si>
  <si>
    <t>Arthrobacteria virus Molivia</t>
  </si>
  <si>
    <t>Bantamvirus</t>
  </si>
  <si>
    <t>Gordonia virus Bantam</t>
  </si>
  <si>
    <t>Beetrevirus</t>
  </si>
  <si>
    <t>Pseudomonas virus B3</t>
  </si>
  <si>
    <t>Pseudomonas virus JBD67</t>
  </si>
  <si>
    <t>Pseudomonas virus JD18</t>
  </si>
  <si>
    <t>Pseudomonas virus PM105</t>
  </si>
  <si>
    <t>Bendigovirus</t>
  </si>
  <si>
    <t>Gordonia virus GMA6</t>
  </si>
  <si>
    <t>Bernalvirus</t>
  </si>
  <si>
    <t>Betterkatzvirus</t>
  </si>
  <si>
    <t>Gordonia virus BetterKatz</t>
  </si>
  <si>
    <t>Bingvirus</t>
  </si>
  <si>
    <t>Streptomyces virus Bing</t>
  </si>
  <si>
    <t>Bowservirus</t>
  </si>
  <si>
    <t>Gordonia virus Bowser</t>
  </si>
  <si>
    <t>Britbratvirus</t>
  </si>
  <si>
    <t>Gordonia virus Britbrat</t>
  </si>
  <si>
    <t>Brussowvirus</t>
  </si>
  <si>
    <t>Casadabanvirus</t>
  </si>
  <si>
    <t>Ceduovirus</t>
  </si>
  <si>
    <t>Ceetrepovirus</t>
  </si>
  <si>
    <t>Corynebacterium virus C3PO</t>
  </si>
  <si>
    <t>Corynebacterium virus Darwin</t>
  </si>
  <si>
    <t>Corynebacterium virus Zion</t>
  </si>
  <si>
    <t>Cequinquevirus</t>
  </si>
  <si>
    <t>Cetovirus</t>
  </si>
  <si>
    <t>Vibrio virus Ceto</t>
  </si>
  <si>
    <t>Vibrio virus pVp1</t>
  </si>
  <si>
    <t>Vibrio virus Thalassa</t>
  </si>
  <si>
    <t>Chenonavirus</t>
  </si>
  <si>
    <t>Cheoctovirus</t>
  </si>
  <si>
    <t>Chunghsingvirus</t>
  </si>
  <si>
    <t>Corynebacterium virus P1201</t>
  </si>
  <si>
    <t>Cimpunavirus</t>
  </si>
  <si>
    <t>Clavibacter virus CMP1</t>
  </si>
  <si>
    <t>Cinunavirus</t>
  </si>
  <si>
    <t>Clavibacter virus CN1A</t>
  </si>
  <si>
    <t>Coetzeevirus</t>
  </si>
  <si>
    <t>Delepquintavirus</t>
  </si>
  <si>
    <t>Stenotrophomonas virus DLP5</t>
  </si>
  <si>
    <t>Detrevirus</t>
  </si>
  <si>
    <t>Dhillonvirus</t>
  </si>
  <si>
    <t>Dismasvirus</t>
  </si>
  <si>
    <t>Microbacterium virus Dismas</t>
  </si>
  <si>
    <t>Efquatrovirus</t>
  </si>
  <si>
    <t>Enterococcus virus AL2</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</si>
  <si>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</si>
  <si>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</si>
  <si>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</si>
  <si>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</si>
  <si>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</si>
  <si>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</si>
  <si>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</si>
  <si>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</si>
  <si>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</si>
  <si>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</si>
  <si>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</si>
  <si>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</si>
  <si>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</si>
  <si>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</si>
  <si>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</si>
  <si>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Moved,Assigned as Type Species,</t>
  </si>
  <si>
    <t>Elerivirus</t>
  </si>
  <si>
    <t>Microbacterium virus Eleri</t>
  </si>
  <si>
    <t>Emalynvirus</t>
  </si>
  <si>
    <t>Gordonia virus Cozz</t>
  </si>
  <si>
    <t>Gordonia virus Emalyn</t>
  </si>
  <si>
    <t>Gordonia virus GTE2</t>
  </si>
  <si>
    <t>Gordonia virus Troje</t>
  </si>
  <si>
    <t>Eyrevirus</t>
  </si>
  <si>
    <t>Gordonia virus Eyre</t>
  </si>
  <si>
    <t>Farahnazvirus</t>
  </si>
  <si>
    <t>Microbacterium virus ISF9</t>
  </si>
  <si>
    <t>Fromanvirus</t>
  </si>
  <si>
    <t>Mycobacterium virus BPBiebs31</t>
  </si>
  <si>
    <t>Galaxyvirus</t>
  </si>
  <si>
    <t>Arthrobacter virus Abidatro</t>
  </si>
  <si>
    <t>Arthrobacter virus Galaxy</t>
  </si>
  <si>
    <t>Galunavirus</t>
  </si>
  <si>
    <t>Gordonia virus GAL1</t>
  </si>
  <si>
    <t>Gamtrevirus</t>
  </si>
  <si>
    <t>Gordonia virus GMA3</t>
  </si>
  <si>
    <t>Gesputvirus</t>
  </si>
  <si>
    <t>Gordonia virus Gsput1</t>
  </si>
  <si>
    <t>Getseptimavirus</t>
  </si>
  <si>
    <t>Gordonia virus GMA7</t>
  </si>
  <si>
    <t>Gordonia virus GTE7</t>
  </si>
  <si>
    <t>Ghobesvirus</t>
  </si>
  <si>
    <t>Gordonia virus Ghobes</t>
  </si>
  <si>
    <t>Gorganvirus</t>
  </si>
  <si>
    <t>Proteus virus Isfahan</t>
  </si>
  <si>
    <t>Gorjumvirus</t>
  </si>
  <si>
    <t>Gordonia virus Jumbo</t>
  </si>
  <si>
    <t>Gustavvirus</t>
  </si>
  <si>
    <t>Gordonia virus Gustav</t>
  </si>
  <si>
    <t>Gordonia virus Mahdia</t>
  </si>
  <si>
    <t>Hedwigvirus</t>
  </si>
  <si>
    <t>Gordonia virus Hedwig</t>
  </si>
  <si>
    <t>Helsingorvirus</t>
  </si>
  <si>
    <t>Hendrixvirus</t>
  </si>
  <si>
    <t>Holosalinivirus</t>
  </si>
  <si>
    <t>Salinibacter virus M1EM1</t>
  </si>
  <si>
    <t>Salinibacter virus M8CR30-2</t>
  </si>
  <si>
    <t>Homburgvirus</t>
  </si>
  <si>
    <t>Ikedavirus</t>
  </si>
  <si>
    <t>Corynebacterium virus phi673</t>
  </si>
  <si>
    <t>Corynebacterium virus phi674</t>
  </si>
  <si>
    <t>Ilzatvirus</t>
  </si>
  <si>
    <t>Microbacterium virus Hamlet</t>
  </si>
  <si>
    <t>Microbacterium virus Ilzat</t>
  </si>
  <si>
    <t>Incheonvrus</t>
  </si>
  <si>
    <t>Inhavirus</t>
  </si>
  <si>
    <t>Jesfedecavirus</t>
  </si>
  <si>
    <t>Vibrio virus JSF10</t>
  </si>
  <si>
    <t>Vibrio virus phi3</t>
  </si>
  <si>
    <t>Kairosalinivirus</t>
  </si>
  <si>
    <t>Salinibacter virus M31CR41-2</t>
  </si>
  <si>
    <t>Salinibacter virus SRUTV1</t>
  </si>
  <si>
    <t>Klementvirus</t>
  </si>
  <si>
    <t>Kojivirus</t>
  </si>
  <si>
    <t>Microbacterium virus Golden</t>
  </si>
  <si>
    <t>Microbacterium virus Koji</t>
  </si>
  <si>
    <t>Kostyavirus</t>
  </si>
  <si>
    <t>Kryptosalinivirus</t>
  </si>
  <si>
    <t>Salinibacter virus M8CC19</t>
  </si>
  <si>
    <t>Salinibacter virus M8CRM1</t>
  </si>
  <si>
    <t>Lacusarxvirus</t>
  </si>
  <si>
    <t>Sphingobium virus Lacusarx</t>
  </si>
  <si>
    <t>Lilyvirus</t>
  </si>
  <si>
    <t>Paenibacillus virus Lily</t>
  </si>
  <si>
    <t>Lokivirus</t>
  </si>
  <si>
    <t>Acinetobacter virus IMEAB3</t>
  </si>
  <si>
    <t>Acinetobacter virus Loki</t>
  </si>
  <si>
    <t>Lomovskayavirus</t>
  </si>
  <si>
    <t>Lwoffvirus</t>
  </si>
  <si>
    <t>Magadivirus</t>
  </si>
  <si>
    <t>Bacillus virus Mgbh1</t>
  </si>
  <si>
    <t>Mapvirus</t>
  </si>
  <si>
    <t>Mardecavirus</t>
  </si>
  <si>
    <t>Minunavirus</t>
  </si>
  <si>
    <t>Microbacterium virus Min1</t>
  </si>
  <si>
    <t>Moineauvirus</t>
  </si>
  <si>
    <t>Myunavirus</t>
  </si>
  <si>
    <t>Pectobacterium virus My1</t>
  </si>
  <si>
    <t>Nanhaivirus</t>
  </si>
  <si>
    <t>Dinoroseobacter virus D5C</t>
  </si>
  <si>
    <t>Nickievirus</t>
  </si>
  <si>
    <t>Pseudomonas virus nickie</t>
  </si>
  <si>
    <t>Nipunavirus</t>
  </si>
  <si>
    <t>Salmonella virus SE1Kor</t>
  </si>
  <si>
    <t>Novosibvirus</t>
  </si>
  <si>
    <t>Proteus virus PM135</t>
  </si>
  <si>
    <t>Nyceiraevirus</t>
  </si>
  <si>
    <t>Gordonia virus Nyceirae</t>
  </si>
  <si>
    <t>Orchidvirus</t>
  </si>
  <si>
    <t>Gordonia virus Orchid</t>
  </si>
  <si>
    <t>Oshimavirus</t>
  </si>
  <si>
    <t>Pahexavirus</t>
  </si>
  <si>
    <t>Pamexvirus</t>
  </si>
  <si>
    <t>Papyrusvirus</t>
  </si>
  <si>
    <t>Pepyhexavirus</t>
  </si>
  <si>
    <t>Pikminvirus</t>
  </si>
  <si>
    <t>Microbacterium virus Pikmin</t>
  </si>
  <si>
    <t>Poushouvirus</t>
  </si>
  <si>
    <t>Corynebacterium virus Poushou</t>
  </si>
  <si>
    <t>Priunavirus</t>
  </si>
  <si>
    <t>Providencia virus PR1</t>
  </si>
  <si>
    <t>Pulverervirus</t>
  </si>
  <si>
    <t>Ravinvirus</t>
  </si>
  <si>
    <t>Rerduovirus</t>
  </si>
  <si>
    <t>Rigallicvirus</t>
  </si>
  <si>
    <t>Rhizobium virus P106B</t>
  </si>
  <si>
    <t>Rimavirus</t>
  </si>
  <si>
    <t>Strepomyces virus Drgrey</t>
  </si>
  <si>
    <t>Strepomyces virus Rima</t>
  </si>
  <si>
    <t>Roufvirus</t>
  </si>
  <si>
    <t>Samistivirus</t>
  </si>
  <si>
    <t>Streptomyces virus Jay2Jay</t>
  </si>
  <si>
    <t>Streptomyces virus Mildred21</t>
  </si>
  <si>
    <t>Streptomyces virus NootNoot</t>
  </si>
  <si>
    <t>Streptomyces virus Paradiddles</t>
  </si>
  <si>
    <t>Streptomyces virus Peebs</t>
  </si>
  <si>
    <t>Streptomyces virus Samisti12</t>
  </si>
  <si>
    <t>Samunavirus</t>
  </si>
  <si>
    <t>Pseudomonas virus SM1</t>
  </si>
  <si>
    <t>Sanovirus</t>
  </si>
  <si>
    <t>Xylella virus Salvo</t>
  </si>
  <si>
    <t>Xylella virus Sano</t>
  </si>
  <si>
    <t>Saphexavirus</t>
  </si>
  <si>
    <t>Sasvirus</t>
  </si>
  <si>
    <t>Corynebacterium virus BFK20</t>
  </si>
  <si>
    <t>Saundersvirus</t>
  </si>
  <si>
    <t>Scapunavirus</t>
  </si>
  <si>
    <t>Streptomyces virus Scap1</t>
  </si>
  <si>
    <t>Septimatrevirus</t>
  </si>
  <si>
    <t>Skunavirus</t>
  </si>
  <si>
    <t>Gordonia virus Strosahl</t>
  </si>
  <si>
    <t>Gordonia virus Wait</t>
  </si>
  <si>
    <t>Sourvirus</t>
  </si>
  <si>
    <t>Gordonia virus Sour</t>
  </si>
  <si>
    <t>Stanholtvirus</t>
  </si>
  <si>
    <t>Steinhofvirus</t>
  </si>
  <si>
    <t>Sugarlandvirus</t>
  </si>
  <si>
    <t>Klebsiella virus IME260</t>
  </si>
  <si>
    <t>Klebsiella virus Sugarland</t>
  </si>
  <si>
    <t>Tequintavirus</t>
  </si>
  <si>
    <t>Timquatrovirus</t>
  </si>
  <si>
    <t>Mycobacterium virus Fionnbharth</t>
  </si>
  <si>
    <t>Tinduovirus</t>
  </si>
  <si>
    <t>Tortellinivirus</t>
  </si>
  <si>
    <t>Mycobacterium virus Tortellini</t>
  </si>
  <si>
    <t>Trinavirus</t>
  </si>
  <si>
    <t>Rhodococcus virus Trina</t>
  </si>
  <si>
    <t>Trippvirus</t>
  </si>
  <si>
    <t>Paenibacillus virus Tripp</t>
  </si>
  <si>
    <t>Unahavirus</t>
  </si>
  <si>
    <t>Flavobacterium virus 1H</t>
  </si>
  <si>
    <t>Flavobacterium virus 23T</t>
  </si>
  <si>
    <t>Flavobacterium virus 2A</t>
  </si>
  <si>
    <t>Flavobacterium virus 6H</t>
  </si>
  <si>
    <t>Vhulanivirus</t>
  </si>
  <si>
    <t>Paracoccus virus Shpa</t>
  </si>
  <si>
    <t>Vidquintavirus</t>
  </si>
  <si>
    <t>Pantoea virus Vid5</t>
  </si>
  <si>
    <t>Vieuvirus</t>
  </si>
  <si>
    <t>Acinetobacter virus B1251</t>
  </si>
  <si>
    <t>Acinetobacter virus R3177</t>
  </si>
  <si>
    <t>Vividuovirus</t>
  </si>
  <si>
    <t>Gordonia virus Brandonk123</t>
  </si>
  <si>
    <t>Gordonia virus Lennon</t>
  </si>
  <si>
    <t>Gordonia virus Vivi2</t>
  </si>
  <si>
    <t>Weaselvirus</t>
  </si>
  <si>
    <t>Rhodococcus virus Weasel</t>
  </si>
  <si>
    <t>Wilnyevirus</t>
  </si>
  <si>
    <t>Gordonia virus Billnye</t>
  </si>
  <si>
    <t>Woodruffvirus</t>
  </si>
  <si>
    <t>Xiamenvirus</t>
  </si>
  <si>
    <t>Xipdecavirus</t>
  </si>
  <si>
    <t>Yvonnevirus</t>
  </si>
  <si>
    <t>Gordonia virus Yvonnetastic</t>
  </si>
  <si>
    <t>Spheniscid alphaherpesvirus 1</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</si>
  <si>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</si>
  <si>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</si>
  <si>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</si>
  <si>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</si>
  <si>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</si>
  <si>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</si>
  <si>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</si>
  <si>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</si>
  <si>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</si>
  <si>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</si>
  <si>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</si>
  <si>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</si>
  <si>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</si>
  <si>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</si>
  <si>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</si>
  <si>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</si>
  <si>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</si>
  <si>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</si>
  <si>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</si>
  <si>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</si>
  <si>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</si>
  <si>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</si>
  <si>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</si>
  <si>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</si>
  <si>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</si>
  <si>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</si>
  <si>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</si>
  <si>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</si>
  <si>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</si>
  <si>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</si>
  <si>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</si>
  <si>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</si>
  <si>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Cynomolgus macaque simian foamy virus</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</si>
  <si>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</si>
  <si>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</si>
  <si>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</si>
  <si>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</si>
  <si>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</si>
  <si>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</si>
  <si>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</si>
  <si>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</si>
  <si>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</si>
  <si>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</si>
  <si>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</si>
  <si>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</si>
  <si>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</si>
  <si>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</si>
  <si>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</si>
  <si>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</si>
  <si>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</si>
  <si>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</si>
  <si>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</si>
  <si>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</si>
  <si>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</si>
  <si>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Anativirus</t>
  </si>
  <si>
    <t>Anativirus A</t>
  </si>
  <si>
    <t>Cadicivirus B</t>
  </si>
  <si>
    <t>Livupivirus</t>
  </si>
  <si>
    <t>Livupivirus A</t>
  </si>
  <si>
    <t>Malagasivirus</t>
  </si>
  <si>
    <t>Malagasivirus A</t>
  </si>
  <si>
    <t>Malagasivirus B</t>
  </si>
  <si>
    <t>Mischivirus D</t>
  </si>
  <si>
    <t>Passerivirus B</t>
  </si>
  <si>
    <t>Poecivirus</t>
  </si>
  <si>
    <t>Poecivirus A</t>
  </si>
  <si>
    <t>Rabovirus B</t>
  </si>
  <si>
    <t>Rabovirus C</t>
  </si>
  <si>
    <t>Rabovirus D</t>
  </si>
  <si>
    <t>Rafivirus</t>
  </si>
  <si>
    <t>Rafivirus A</t>
  </si>
  <si>
    <t>Rafivirus B</t>
  </si>
  <si>
    <t>Rosavirus B</t>
  </si>
  <si>
    <t>Rosavirus C</t>
  </si>
  <si>
    <t>Tottorivirus</t>
  </si>
  <si>
    <t>Tottorivirus A</t>
  </si>
  <si>
    <t>Grapevine virus T</t>
  </si>
  <si>
    <t>Currant virus A</t>
  </si>
  <si>
    <t>Mume virus A</t>
  </si>
  <si>
    <t>Actinidia seed borne latent virus</t>
  </si>
  <si>
    <t>Blackberry virus A</t>
  </si>
  <si>
    <t>Grapevine virus G</t>
  </si>
  <si>
    <t>Grapevine virus H</t>
  </si>
  <si>
    <t>Grapevine virus I</t>
  </si>
  <si>
    <t>Grapevine virus J</t>
  </si>
  <si>
    <t>Wamavirus</t>
  </si>
  <si>
    <t>Watermelon virus A</t>
  </si>
  <si>
    <t>Whitefly associated Guatemala alphasatellite 1</t>
  </si>
  <si>
    <t>Sophora yellow stunt alphasatellite 1</t>
  </si>
  <si>
    <t>Allium cepa amalgavirus 1</t>
  </si>
  <si>
    <t>Allium cepa amalgavirus 2</t>
  </si>
  <si>
    <t>Spinach amalgavirus 1</t>
  </si>
  <si>
    <t>Zoostera marina amalgavirus 1</t>
  </si>
  <si>
    <t>Zoostera marina amalgavirus 2</t>
  </si>
  <si>
    <t>Zybavirus</t>
  </si>
  <si>
    <t>Zygosaccharomyces bailii virus Z</t>
  </si>
  <si>
    <t>Torque teno seal virus 1</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</si>
  <si>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</si>
  <si>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</si>
  <si>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</si>
  <si>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</si>
  <si>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</si>
  <si>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</si>
  <si>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</si>
  <si>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</si>
  <si>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</si>
  <si>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</si>
  <si>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Lonomia obliqua nucleopolyhedrovirus</t>
  </si>
  <si>
    <t>Operophtera brumata nucleopolyhedrovirus</t>
  </si>
  <si>
    <t>Oxyplax ochracea nucleopolyhedrovirus</t>
  </si>
  <si>
    <t>Peridroma saucia nucleopolyhedrovirus</t>
  </si>
  <si>
    <t>Perigonia lusca nucleopolyhedrovirus</t>
  </si>
  <si>
    <t>Mocis latipes granulovirus</t>
  </si>
  <si>
    <t>Botourmiaviridae</t>
  </si>
  <si>
    <t>Botoulivirus</t>
  </si>
  <si>
    <t>Botrytis botoulivirus</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</si>
  <si>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</si>
  <si>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</si>
  <si>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</si>
  <si>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</si>
  <si>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</si>
  <si>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</si>
  <si>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</si>
  <si>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</si>
  <si>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</si>
  <si>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</si>
  <si>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Minovirus</t>
  </si>
  <si>
    <t>Minovirus A</t>
  </si>
  <si>
    <t>Nacovirus</t>
  </si>
  <si>
    <t>Nacovirus A</t>
  </si>
  <si>
    <t>Recovirus</t>
  </si>
  <si>
    <t>Recovirus A</t>
  </si>
  <si>
    <t>Salovirus</t>
  </si>
  <si>
    <t>Nordland virus</t>
  </si>
  <si>
    <t>Valovirus</t>
  </si>
  <si>
    <t>Saint Valerien virus</t>
  </si>
  <si>
    <t>Alphachrysovirus</t>
  </si>
  <si>
    <t>Anthurium mosaic-associated chrysovirus</t>
  </si>
  <si>
    <t>Brassica campestris chrysovirus</t>
  </si>
  <si>
    <t>Colletotrichum gloeosporioides chrysovirus</t>
  </si>
  <si>
    <t>Helminthosporium victoriae virus 145S</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</si>
  <si>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</si>
  <si>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</si>
  <si>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</si>
  <si>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</si>
  <si>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</si>
  <si>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</si>
  <si>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</si>
  <si>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</si>
  <si>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</si>
  <si>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</si>
  <si>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</si>
  <si>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</si>
  <si>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</si>
  <si>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</si>
  <si>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Bat associated circovirus 10</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</si>
  <si>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</si>
  <si>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</si>
  <si>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</si>
  <si>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</si>
  <si>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</si>
  <si>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</si>
  <si>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</si>
  <si>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</si>
  <si>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</si>
  <si>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</si>
  <si>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Rodent associated cyclovirus 1</t>
  </si>
  <si>
    <t>Rodent associated cyclovirus 2</t>
  </si>
  <si>
    <t>Air potato ampelovirus 1</t>
  </si>
  <si>
    <t>Actinidia virus 1</t>
  </si>
  <si>
    <t>Pseudoalteromonas virus Cr39582</t>
  </si>
  <si>
    <t>Exomis microphylla latent virus</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</si>
  <si>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</si>
  <si>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</si>
  <si>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</si>
  <si>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</si>
  <si>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</si>
  <si>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</si>
  <si>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</si>
  <si>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</si>
  <si>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</si>
  <si>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</si>
  <si>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</si>
  <si>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</si>
  <si>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</si>
  <si>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</si>
  <si>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</si>
  <si>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</si>
  <si>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</si>
  <si>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</si>
  <si>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</si>
  <si>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</si>
  <si>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</si>
  <si>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</si>
  <si>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</si>
  <si>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</si>
  <si>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</si>
  <si>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</si>
  <si>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</si>
  <si>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</si>
  <si>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</si>
  <si>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</si>
  <si>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</si>
  <si>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</si>
  <si>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Thermus virus OH3</t>
  </si>
  <si>
    <t>Xanthomonas virus Xf109</t>
  </si>
  <si>
    <t>Lymphocystis disease virus 2</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</si>
  <si>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</si>
  <si>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</si>
  <si>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</si>
  <si>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</si>
  <si>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</si>
  <si>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</si>
  <si>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</si>
  <si>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</si>
  <si>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Invertebrate iridescent virus 31</t>
  </si>
  <si>
    <t>Kitaviridae</t>
  </si>
  <si>
    <t>Citrus vein enation virus</t>
  </si>
  <si>
    <t>Grapevine enamovirus 1</t>
  </si>
  <si>
    <t>Cherry associated luteovirus</t>
  </si>
  <si>
    <t>Nectarine stem pitting associated virus</t>
  </si>
  <si>
    <t>Pepper vein yellows virus 1</t>
  </si>
  <si>
    <t>Pepper vein yellows virus 2</t>
  </si>
  <si>
    <t>Pepper vein yellows virus 3</t>
  </si>
  <si>
    <t>Pepper vein yellows virus 4</t>
  </si>
  <si>
    <t>Pepper vein yellows virus 5</t>
  </si>
  <si>
    <t>Pepper vein yellows virus 6</t>
  </si>
  <si>
    <t>Matonaviridae</t>
  </si>
  <si>
    <t>Alphatrevirus</t>
  </si>
  <si>
    <t>Gequatrovirus</t>
  </si>
  <si>
    <t>Sinsheimervirus</t>
  </si>
  <si>
    <t>Ovaliviridae</t>
  </si>
  <si>
    <t>Alphaovalivirus</t>
  </si>
  <si>
    <t>Sulfolobus ellipsoid virus 1</t>
  </si>
  <si>
    <t>Squamate dependoparvovirus 2</t>
  </si>
  <si>
    <t>Miniopterus schreibersii polyomavirus 1</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</si>
  <si>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</si>
  <si>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</si>
  <si>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</si>
  <si>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</si>
  <si>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</si>
  <si>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</si>
  <si>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</si>
  <si>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</si>
  <si>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</si>
  <si>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</si>
  <si>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African eggplant mosaic virus</t>
  </si>
  <si>
    <t>Cucurbit vein banding virus</t>
  </si>
  <si>
    <t>Mediterranean ruda virus</t>
  </si>
  <si>
    <t>Paris mosaic necrosis virus</t>
  </si>
  <si>
    <t>Saffron latent virus</t>
  </si>
  <si>
    <t>Sudan watermelon mosaic virus</t>
  </si>
  <si>
    <t>Wild melon banding virus</t>
  </si>
  <si>
    <t>Common reed chlorotic stripe virus</t>
  </si>
  <si>
    <t>Longan witches broom-associated virus</t>
  </si>
  <si>
    <t>Gammatectivirus</t>
  </si>
  <si>
    <t>Gluconobacter virus GC1</t>
  </si>
  <si>
    <t>Calvusvirinae</t>
  </si>
  <si>
    <t>Procedovirinae</t>
  </si>
  <si>
    <t>Potato necrosis virus</t>
  </si>
  <si>
    <t>Clematis chlorotic mottle virus</t>
  </si>
  <si>
    <t>Cucumber Bulgarian latent virus</t>
  </si>
  <si>
    <t>Regressovirinae</t>
  </si>
  <si>
    <t>Privet idaeovirus</t>
  </si>
  <si>
    <t>Riboviria</t>
  </si>
  <si>
    <t>Updates approved during EC 51, Berlin, Germany, July 2019; Email ratification March 2020 (MSL #35)</t>
  </si>
  <si>
    <t>and ratified by the ICTV membership in 2020</t>
  </si>
  <si>
    <t>New MSL including all taxa updates since the 2018 release</t>
  </si>
  <si>
    <t>ICTV 2019 Master Species List (MSL35)</t>
  </si>
  <si>
    <t>phylum</t>
  </si>
  <si>
    <t>class</t>
  </si>
  <si>
    <t>order</t>
  </si>
  <si>
    <t>family</t>
  </si>
  <si>
    <t>genus</t>
  </si>
  <si>
    <t>species</t>
  </si>
  <si>
    <t>Duplodnaviria</t>
  </si>
  <si>
    <t>Heunggongvirae</t>
  </si>
  <si>
    <t>Peploviricota</t>
  </si>
  <si>
    <t>Herviviricetes</t>
  </si>
  <si>
    <t>dsDNA</t>
  </si>
  <si>
    <t>SpAHV1</t>
  </si>
  <si>
    <t>LT608135</t>
  </si>
  <si>
    <t>sphenicid [sic] alphaherpesvirus 1 lib01004</t>
  </si>
  <si>
    <t>TeAHV3</t>
  </si>
  <si>
    <t>KM924292</t>
  </si>
  <si>
    <t>tortoise herpesvirus 3</t>
  </si>
  <si>
    <t>JQ360576</t>
  </si>
  <si>
    <t>Chimpanzee herpesvirus strain 105640</t>
  </si>
  <si>
    <t>PtAHV1</t>
  </si>
  <si>
    <t>AB825953</t>
  </si>
  <si>
    <t>fruit bat alphaherpesvirus 1 nk</t>
  </si>
  <si>
    <t>MoAHV1</t>
  </si>
  <si>
    <t>MF678601</t>
  </si>
  <si>
    <t>beluga whale alphaherpesvirus 1 LN3131-1</t>
  </si>
  <si>
    <t>McBHV8</t>
  </si>
  <si>
    <t>JN227533</t>
  </si>
  <si>
    <t>cynomolgus macaque cytomegalovirus Ottawa</t>
  </si>
  <si>
    <t>MdBHV1</t>
  </si>
  <si>
    <t>KR297253</t>
  </si>
  <si>
    <t>drill monkey cytomegalovirus OCOM6-2</t>
  </si>
  <si>
    <t>PaBHV4</t>
  </si>
  <si>
    <t>KR351281</t>
  </si>
  <si>
    <t>chacma baboon cytomegalovirus OCOM4-52</t>
  </si>
  <si>
    <t>ElBHV4</t>
  </si>
  <si>
    <t>KT832477</t>
  </si>
  <si>
    <t>elephant endotheliotropic herpesvirus 4 NAP69</t>
  </si>
  <si>
    <t>ElBHV5</t>
  </si>
  <si>
    <t>KF921519</t>
  </si>
  <si>
    <t>elephant endotheliotropic herpesvirus 5 Vijay</t>
  </si>
  <si>
    <t>McBHV9</t>
  </si>
  <si>
    <t>KU351741</t>
  </si>
  <si>
    <t>Macaca nemestrina herpesvirus 7 nk</t>
  </si>
  <si>
    <t>MuBHV3</t>
  </si>
  <si>
    <t>KY355735</t>
  </si>
  <si>
    <t>mouse thymic virus YOK1</t>
  </si>
  <si>
    <t>SuBHV2</t>
  </si>
  <si>
    <t>KF017583</t>
  </si>
  <si>
    <t>porcine cytomegalovirus BJ09</t>
  </si>
  <si>
    <t>McGHV10</t>
  </si>
  <si>
    <t>KP676001</t>
  </si>
  <si>
    <t>cynomolgus lymphocryptovirus pfe-lcl-E3</t>
  </si>
  <si>
    <t>FeGHV1</t>
  </si>
  <si>
    <t>KT595939</t>
  </si>
  <si>
    <t>Felis catus gammaherpesvirus 1</t>
  </si>
  <si>
    <t>PhGHV3</t>
  </si>
  <si>
    <t>KP136799</t>
  </si>
  <si>
    <t>harp seal herpesvirus FMV04-1493874</t>
  </si>
  <si>
    <t>VeGHV1</t>
  </si>
  <si>
    <t>KU220026</t>
  </si>
  <si>
    <t>bat gammaherpesvirus 8 My-HV8/Myotis velifer incautus/USA/FCGHV/2011</t>
  </si>
  <si>
    <t>McGHV8</t>
  </si>
  <si>
    <t>KF703446</t>
  </si>
  <si>
    <t>retroperitoneal fibromatosis-associated herpesvirus Macaca nemestrina RFHVMnM78114</t>
  </si>
  <si>
    <t>McGHV11</t>
  </si>
  <si>
    <t>AY528864</t>
  </si>
  <si>
    <t>Japanese macaque rhadinovirus</t>
  </si>
  <si>
    <t>McGHV12</t>
  </si>
  <si>
    <t>KP265674</t>
  </si>
  <si>
    <t>pig-tailed macaque rhadinovirus 2 J97167</t>
  </si>
  <si>
    <t>Uroviricota</t>
  </si>
  <si>
    <t>Caudoviricetes</t>
  </si>
  <si>
    <t>KP797973</t>
  </si>
  <si>
    <t>Salmonella phage Det7</t>
  </si>
  <si>
    <t>KJ174318</t>
  </si>
  <si>
    <t>Salmonella phage vB_SalM_SJ3</t>
  </si>
  <si>
    <t>Taipeivirus</t>
  </si>
  <si>
    <t>Escherichia virus KWBSE43-6</t>
  </si>
  <si>
    <t>2019.090B.zip</t>
  </si>
  <si>
    <t>MK373783</t>
  </si>
  <si>
    <t>AB797215</t>
  </si>
  <si>
    <t>Klebsiella virus KpS110</t>
  </si>
  <si>
    <t>MG770379</t>
  </si>
  <si>
    <t>Klebsiella virus May</t>
  </si>
  <si>
    <t>MG428991</t>
  </si>
  <si>
    <t>Klebsiella virus Menlow</t>
  </si>
  <si>
    <t>MG428990</t>
  </si>
  <si>
    <t>KX147096</t>
  </si>
  <si>
    <t>Autographiviridae</t>
  </si>
  <si>
    <t>Beijerinckvirinae</t>
  </si>
  <si>
    <t>Daemvirus</t>
  </si>
  <si>
    <t>Acinetobacter virus Acibel007</t>
  </si>
  <si>
    <t>2019.103B.zip</t>
  </si>
  <si>
    <t>KJ473423</t>
  </si>
  <si>
    <t>KC311669</t>
  </si>
  <si>
    <t>Acinetobacter phage AB3</t>
  </si>
  <si>
    <t>Acinetobacter virus AbKT21III</t>
  </si>
  <si>
    <t>MK278859</t>
  </si>
  <si>
    <t>JX658790</t>
  </si>
  <si>
    <t>Acinetobacter phage Abp1</t>
  </si>
  <si>
    <t>Acinetobacter virus Aci07</t>
  </si>
  <si>
    <t>MH800200</t>
  </si>
  <si>
    <t>Acinetobacter virus Aci08</t>
  </si>
  <si>
    <t>MH763831</t>
  </si>
  <si>
    <t>KY268296.1</t>
  </si>
  <si>
    <t>Acinteobacter phage vB_AbaP_AS11</t>
  </si>
  <si>
    <t>KY268295.1</t>
  </si>
  <si>
    <t>Acinteobacter phage vB_AbaP_AS12</t>
  </si>
  <si>
    <t>KR149290</t>
  </si>
  <si>
    <t>Acinetobacter phage Fri1</t>
  </si>
  <si>
    <t>KT804908</t>
  </si>
  <si>
    <t>Acinetobacter phage IME-200</t>
  </si>
  <si>
    <t>KT388102</t>
  </si>
  <si>
    <t>Acinetobacter phage vB_AbaP_PD-6A3</t>
  </si>
  <si>
    <t>KT388103</t>
  </si>
  <si>
    <t>Acinetobacter phage vB_AbaP_PD-AB9</t>
  </si>
  <si>
    <t>HQ186308</t>
  </si>
  <si>
    <t>Acinetobacter phage phiAB1</t>
  </si>
  <si>
    <t>KY082667.1</t>
  </si>
  <si>
    <t>Acinteobacter phage SH-Ab 15519</t>
  </si>
  <si>
    <t>Acinetobacter virus SWHAb1</t>
  </si>
  <si>
    <t>MG459218</t>
  </si>
  <si>
    <t>Acinetobacter virus SWHAb3</t>
  </si>
  <si>
    <t>MG599035</t>
  </si>
  <si>
    <t>KY888680.2</t>
  </si>
  <si>
    <t>Acinteobacter phage WCHABP5</t>
  </si>
  <si>
    <t>MF033347.1</t>
  </si>
  <si>
    <t>Acinteobacter phage vB_AbaP_B1</t>
  </si>
  <si>
    <t>MF033348.1</t>
  </si>
  <si>
    <t>Acinteobacter phage vB_AbaP_B2</t>
  </si>
  <si>
    <t>MF033349.1</t>
  </si>
  <si>
    <t>Acinteobacter phage vB_AbaP_B5</t>
  </si>
  <si>
    <t>MH042230.1</t>
  </si>
  <si>
    <t>Acinteobacter phage vB_AbaP_D2</t>
  </si>
  <si>
    <t>MF033350.1</t>
  </si>
  <si>
    <t>Acinteobacter phage vB_ApiP_P1</t>
  </si>
  <si>
    <t>MF033351.1</t>
  </si>
  <si>
    <t>Acinteobacter phage vB_ApiP_P2</t>
  </si>
  <si>
    <t>KT339321.1</t>
  </si>
  <si>
    <t>Acinteobacter phage phiAb6</t>
  </si>
  <si>
    <t>Pettyvirus</t>
  </si>
  <si>
    <t>Acinetobacter virus Petty</t>
  </si>
  <si>
    <t>KF669656</t>
  </si>
  <si>
    <t>Colwellvirinae</t>
  </si>
  <si>
    <t>Gutovirus</t>
  </si>
  <si>
    <t>Vibrio virus Vc1</t>
  </si>
  <si>
    <t>KJ502657</t>
  </si>
  <si>
    <t>Kaohsiungvirus</t>
  </si>
  <si>
    <t>Vibrio virus A318</t>
  </si>
  <si>
    <t>KF322026</t>
  </si>
  <si>
    <t>Vibrio virus AS51</t>
  </si>
  <si>
    <t>KF800937</t>
  </si>
  <si>
    <t>Vibrio virus Vp670</t>
  </si>
  <si>
    <t>KY290756</t>
  </si>
  <si>
    <t>Murciavirus</t>
  </si>
  <si>
    <t>Marinomonas virus CB5A</t>
  </si>
  <si>
    <t>MF481197</t>
  </si>
  <si>
    <t>Marinomonas virus CPP1m</t>
  </si>
  <si>
    <t>KY626176</t>
  </si>
  <si>
    <t>Trungvirus</t>
  </si>
  <si>
    <t>Vibrio virus VEN</t>
  </si>
  <si>
    <t>MG545917</t>
  </si>
  <si>
    <t>Uliginvirus</t>
  </si>
  <si>
    <t>Pseudomonas virus Achelous</t>
  </si>
  <si>
    <t>MH113814</t>
  </si>
  <si>
    <t>Pseudomonas virus Alpheus</t>
  </si>
  <si>
    <t>MH113815</t>
  </si>
  <si>
    <t>Pseudomonas virus Nerthus</t>
  </si>
  <si>
    <t>MH113813</t>
  </si>
  <si>
    <t>Pseudomonas virus Njord</t>
  </si>
  <si>
    <t>MH113812</t>
  </si>
  <si>
    <t>Pseudomonas virus uligo</t>
  </si>
  <si>
    <t>MG018929</t>
  </si>
  <si>
    <t>Corkvirinae</t>
  </si>
  <si>
    <t>Kantovirus</t>
  </si>
  <si>
    <t>Pseudomonas virus C171</t>
  </si>
  <si>
    <t>KU310944</t>
  </si>
  <si>
    <t>Kotilavirus</t>
  </si>
  <si>
    <t>Pectobacterium virus PP16</t>
  </si>
  <si>
    <t>KX278418</t>
  </si>
  <si>
    <t>Pectobacterium virus PPWS1</t>
  </si>
  <si>
    <t>LC063634</t>
  </si>
  <si>
    <t>Pectobacterium virus PPWS2</t>
  </si>
  <si>
    <t>LC375533</t>
  </si>
  <si>
    <t>KY953156</t>
  </si>
  <si>
    <t>Pectobacterium phage vB_PatP_CB5</t>
  </si>
  <si>
    <t>Pectobacterium virus Clickz</t>
  </si>
  <si>
    <t>MK095193</t>
  </si>
  <si>
    <t>JX290549</t>
  </si>
  <si>
    <t>Pectobacterium phage φM1</t>
  </si>
  <si>
    <t>Pectobacterium virus Gaspode</t>
  </si>
  <si>
    <t>MH807811</t>
  </si>
  <si>
    <t>Pectobacterium virus Khlen</t>
  </si>
  <si>
    <t>MK095202</t>
  </si>
  <si>
    <t>Pectobacterium virus Koot</t>
  </si>
  <si>
    <t>MK095203</t>
  </si>
  <si>
    <t>Pectobacterium virus Lelidair</t>
  </si>
  <si>
    <t>MH807814</t>
  </si>
  <si>
    <t>Pectobacterium virus Nobby</t>
  </si>
  <si>
    <t>MH807818</t>
  </si>
  <si>
    <t>KR604693</t>
  </si>
  <si>
    <t>Pectobacterium phage Peat1</t>
  </si>
  <si>
    <t>Pectobacterium virus Phoria</t>
  </si>
  <si>
    <t>MK095209</t>
  </si>
  <si>
    <t>KX278419</t>
  </si>
  <si>
    <t>Pectobacterium phage PP90</t>
  </si>
  <si>
    <t>Pectobacterium virus Zenivior</t>
  </si>
  <si>
    <t>MK095210</t>
  </si>
  <si>
    <t>Stompvirus</t>
  </si>
  <si>
    <t>Dickeya virus BF25-12</t>
  </si>
  <si>
    <t>KT240186</t>
  </si>
  <si>
    <t>Krylovirinae</t>
  </si>
  <si>
    <t>Kirikabuvirus</t>
  </si>
  <si>
    <t>Pseudomonas virus NV3</t>
  </si>
  <si>
    <t>MG845683</t>
  </si>
  <si>
    <t>Pseudomonas virus 130-113</t>
  </si>
  <si>
    <t>MH107770</t>
  </si>
  <si>
    <t>Pseudomonas virus 15pyo</t>
  </si>
  <si>
    <t>LN610580</t>
  </si>
  <si>
    <t>Pseudomonas virus Ab05</t>
  </si>
  <si>
    <t>LN610574</t>
  </si>
  <si>
    <t>Pseudomonas virus ABTNL</t>
  </si>
  <si>
    <t>KM067278</t>
  </si>
  <si>
    <t>Pseudomonas virus DL62</t>
  </si>
  <si>
    <t>KR054031</t>
  </si>
  <si>
    <t>Pseudomonas virus kF77</t>
  </si>
  <si>
    <t>FN263372</t>
  </si>
  <si>
    <t>Pseudomonas virus LKD16</t>
  </si>
  <si>
    <t>AM265638</t>
  </si>
  <si>
    <t>Pseudomonas virus LUZ19</t>
  </si>
  <si>
    <t>AM910651</t>
  </si>
  <si>
    <t>Pseudomonas virus MPK6</t>
  </si>
  <si>
    <t>JX997978</t>
  </si>
  <si>
    <t>Pseudomonas virus MPK7</t>
  </si>
  <si>
    <t>JX501340</t>
  </si>
  <si>
    <t>Pseudomonas virus NFS</t>
  </si>
  <si>
    <t>KU743887</t>
  </si>
  <si>
    <t>Pseudomonas virus PAXYB1</t>
  </si>
  <si>
    <t>KY618819</t>
  </si>
  <si>
    <t>Pseudomonas virus PT2</t>
  </si>
  <si>
    <t>EU236438</t>
  </si>
  <si>
    <t>Pseudomonas virus PT5</t>
  </si>
  <si>
    <t>EU056923</t>
  </si>
  <si>
    <t>Pseudomonas virus RLP</t>
  </si>
  <si>
    <t>MH979674</t>
  </si>
  <si>
    <t>Stubburvirus</t>
  </si>
  <si>
    <t>AM265639</t>
  </si>
  <si>
    <t>Tunggulviirus</t>
  </si>
  <si>
    <t>Pseudomonas virus f2</t>
  </si>
  <si>
    <t>FN594518</t>
  </si>
  <si>
    <t>Melnykvirinae</t>
  </si>
  <si>
    <t>Aerosvirus</t>
  </si>
  <si>
    <t>Aeromonas virus 25AhydR2PP</t>
  </si>
  <si>
    <t>MH179473</t>
  </si>
  <si>
    <t>Aeromonas virus AS7</t>
  </si>
  <si>
    <t>JN651747</t>
  </si>
  <si>
    <t>Aeromonas virus ZPAH7</t>
  </si>
  <si>
    <t>MH992513</t>
  </si>
  <si>
    <t>Aghbyvirus</t>
  </si>
  <si>
    <t>Yersinia virus ISAO8</t>
  </si>
  <si>
    <t>KT184661</t>
  </si>
  <si>
    <t>Ahphunavirus</t>
  </si>
  <si>
    <t>Aeromonas virus Ahp1</t>
  </si>
  <si>
    <t>KT949345</t>
  </si>
  <si>
    <t>Aeromonas virus CF7</t>
  </si>
  <si>
    <t>MF683623</t>
  </si>
  <si>
    <t>Cronosvirus</t>
  </si>
  <si>
    <t>Cronobacter virus DevCD23823</t>
  </si>
  <si>
    <t>LN878149</t>
  </si>
  <si>
    <t>Cronobacter virus GAP227</t>
  </si>
  <si>
    <t>KC107834</t>
  </si>
  <si>
    <t>Panjvirus</t>
  </si>
  <si>
    <t>Salmonella virus Spp16</t>
  </si>
  <si>
    <t>MG878892</t>
  </si>
  <si>
    <t>Pienvirus</t>
  </si>
  <si>
    <t>Yersinia virus R8-01</t>
  </si>
  <si>
    <t>HE956707</t>
  </si>
  <si>
    <t>Pokrovskaiavirus</t>
  </si>
  <si>
    <t>Yersinia virus fHeYen301</t>
  </si>
  <si>
    <t>KY318515</t>
  </si>
  <si>
    <t>Yersinia virus Phi80-18</t>
  </si>
  <si>
    <t>HE956710</t>
  </si>
  <si>
    <t>Wanjuvirus</t>
  </si>
  <si>
    <t>Pectobacterium virus Arno160</t>
  </si>
  <si>
    <t>MK053931</t>
  </si>
  <si>
    <t>Pectobacterium virus PP2</t>
  </si>
  <si>
    <t>KX756572</t>
  </si>
  <si>
    <t>Molineuxvirinae</t>
  </si>
  <si>
    <t>Acadevirus</t>
  </si>
  <si>
    <t>Proteus virus PM85</t>
  </si>
  <si>
    <t>KM819695</t>
  </si>
  <si>
    <t>Proteus virus PM93</t>
  </si>
  <si>
    <t>KM819696</t>
  </si>
  <si>
    <t>Proteus virus PM116</t>
  </si>
  <si>
    <t>KU946962</t>
  </si>
  <si>
    <t>Proteus virus Pm5460</t>
  </si>
  <si>
    <t>KP890822</t>
  </si>
  <si>
    <t>Axomammavirus</t>
  </si>
  <si>
    <t>Pectobacterium virus PP1</t>
  </si>
  <si>
    <t>JQ837901</t>
  </si>
  <si>
    <t>Eracentumvirus</t>
  </si>
  <si>
    <t>EF160123</t>
  </si>
  <si>
    <t>Erwinia virus S2</t>
  </si>
  <si>
    <t>MG736918</t>
  </si>
  <si>
    <t>Tuodvirus</t>
  </si>
  <si>
    <t>Lelliottia virus phD2B</t>
  </si>
  <si>
    <t>KM370384</t>
  </si>
  <si>
    <t>Vectrevirus</t>
  </si>
  <si>
    <t>Citrobacter CrRp3</t>
  </si>
  <si>
    <t>MG775042</t>
  </si>
  <si>
    <t>Escherchia virus LL11</t>
  </si>
  <si>
    <t>MH729818</t>
  </si>
  <si>
    <t>Escherichia virus AAPEc6</t>
  </si>
  <si>
    <t>KX279892</t>
  </si>
  <si>
    <t>Escherichia virus ACGC91</t>
  </si>
  <si>
    <t>JN986844</t>
  </si>
  <si>
    <t>Escherichia virus B</t>
  </si>
  <si>
    <t>KY295891</t>
  </si>
  <si>
    <t>Escherichia virus C</t>
  </si>
  <si>
    <t>KY295892</t>
  </si>
  <si>
    <t>Escherichia virus K</t>
  </si>
  <si>
    <t>KY295897</t>
  </si>
  <si>
    <t>AY370674</t>
  </si>
  <si>
    <t>AM084415; KY435490</t>
  </si>
  <si>
    <t>Escherichia virus mutPK1A2</t>
  </si>
  <si>
    <t>MG004687</t>
  </si>
  <si>
    <t>Escherichia virus VEc3</t>
  </si>
  <si>
    <t>MG251390</t>
  </si>
  <si>
    <t>Escherichia virus UAB78</t>
  </si>
  <si>
    <t>GU595417</t>
  </si>
  <si>
    <t>Salmonella virus BP12B</t>
  </si>
  <si>
    <t>KM366097</t>
  </si>
  <si>
    <t>Okabevirinae</t>
  </si>
  <si>
    <t>Ampunavirus</t>
  </si>
  <si>
    <t>Burkholderia virus BpAMP1</t>
  </si>
  <si>
    <t>HG793132</t>
  </si>
  <si>
    <t>Ralstonia virus RSPI1</t>
  </si>
  <si>
    <t>KY464836</t>
  </si>
  <si>
    <t>Higashivirus</t>
  </si>
  <si>
    <t>Ralstonia virus RSB1</t>
  </si>
  <si>
    <t>AB451219</t>
  </si>
  <si>
    <t>Ralstonia virus RsoP1IDN</t>
  </si>
  <si>
    <t>MG652450</t>
  </si>
  <si>
    <t>Mguuvirus</t>
  </si>
  <si>
    <t>Burkholderia virus JG068</t>
  </si>
  <si>
    <t>KC853746</t>
  </si>
  <si>
    <t>Risjevirus</t>
  </si>
  <si>
    <t>Ralstonia virus RSJ2</t>
  </si>
  <si>
    <t>AB920995</t>
  </si>
  <si>
    <t>Ralstonia virus RSJ5</t>
  </si>
  <si>
    <t>AB983711</t>
  </si>
  <si>
    <t>Sukuvirus</t>
  </si>
  <si>
    <t>Ralstonia virus RSPII1</t>
  </si>
  <si>
    <t>KY316062</t>
  </si>
  <si>
    <t>Slopekvirinae</t>
  </si>
  <si>
    <t>Bucovirus</t>
  </si>
  <si>
    <t>Shigella virus Buco</t>
  </si>
  <si>
    <t>MK562503</t>
  </si>
  <si>
    <t>Escherichia virus Minorna</t>
  </si>
  <si>
    <t>MK598851</t>
  </si>
  <si>
    <t>Klebsiella virus AltoGao</t>
  </si>
  <si>
    <t>MF612071</t>
  </si>
  <si>
    <t>Klebsiella virus BO1E</t>
  </si>
  <si>
    <t>KM576124</t>
  </si>
  <si>
    <t>KF765493.2</t>
  </si>
  <si>
    <t>Klebsiella phage F19</t>
  </si>
  <si>
    <t>AB716666</t>
  </si>
  <si>
    <t>Klebsiella phage NTUH-K2044-K1-1</t>
  </si>
  <si>
    <t>KT367886</t>
  </si>
  <si>
    <t>Klebsiella phage Kp2</t>
  </si>
  <si>
    <t>GQ413938.2</t>
  </si>
  <si>
    <t>Klebsiella phage KP34</t>
  </si>
  <si>
    <t>Klebsiella virus KPRio2015</t>
  </si>
  <si>
    <t>KX856662</t>
  </si>
  <si>
    <t>Klebsiella virus KpS2</t>
  </si>
  <si>
    <t>KX587949</t>
  </si>
  <si>
    <t>KT964103</t>
  </si>
  <si>
    <t>Klebsiella phage KpV41</t>
  </si>
  <si>
    <t>Klebsiella virus KpV48</t>
  </si>
  <si>
    <t>KX237514</t>
  </si>
  <si>
    <t>KU666550</t>
  </si>
  <si>
    <t>Klebsiella phage KpV71</t>
  </si>
  <si>
    <t>Klebsiella virus KpV74</t>
  </si>
  <si>
    <t>KY385423</t>
  </si>
  <si>
    <t>KX211991</t>
  </si>
  <si>
    <t>Klebsiella phage KpV475</t>
  </si>
  <si>
    <t>Klebsiella virus KPV811</t>
  </si>
  <si>
    <t>KY000081</t>
  </si>
  <si>
    <t>Klebsiella virus myPSH1235</t>
  </si>
  <si>
    <t>MG972768</t>
  </si>
  <si>
    <t>KP708985</t>
  </si>
  <si>
    <t>Klebsiella phage vB_KpnP_SU503</t>
  </si>
  <si>
    <t>KP708986</t>
  </si>
  <si>
    <t>Klebsiella phage vB_KpnP_SU552A</t>
  </si>
  <si>
    <t>Shigella virus SFN6B</t>
  </si>
  <si>
    <t>KY684082</t>
  </si>
  <si>
    <t>Koutsourovirus</t>
  </si>
  <si>
    <t>Enterobacter virus KDA1</t>
  </si>
  <si>
    <t>JQ267518</t>
  </si>
  <si>
    <t>Novosibovirus</t>
  </si>
  <si>
    <t>Proteus virus PM16</t>
  </si>
  <si>
    <t>KF319020</t>
  </si>
  <si>
    <t>Proteus virus PM75</t>
  </si>
  <si>
    <t>KM819694</t>
  </si>
  <si>
    <t>Studiervirinae</t>
  </si>
  <si>
    <t>Aarhusvirus</t>
  </si>
  <si>
    <t>Dickeya virus Dagda</t>
  </si>
  <si>
    <t>MH059632</t>
  </si>
  <si>
    <t>Dickeya virus Katbat</t>
  </si>
  <si>
    <t>MH807813</t>
  </si>
  <si>
    <t>Dickeya virus Luksen</t>
  </si>
  <si>
    <t>MH807815</t>
  </si>
  <si>
    <t>Dickeya virus Mysterion</t>
  </si>
  <si>
    <t>MH807817</t>
  </si>
  <si>
    <t>Apdecimavirus</t>
  </si>
  <si>
    <t>Yersinia virus AP10</t>
  </si>
  <si>
    <t>KT852574</t>
  </si>
  <si>
    <t>Berlinvirus</t>
  </si>
  <si>
    <t>Erwinia virus FE44</t>
  </si>
  <si>
    <t>KF700371</t>
  </si>
  <si>
    <t>Escherichia virus 285P</t>
  </si>
  <si>
    <t>GQ468526</t>
  </si>
  <si>
    <t>Escherichia virus BA14</t>
  </si>
  <si>
    <t>EU734171</t>
  </si>
  <si>
    <t>Escherichia virus P483</t>
  </si>
  <si>
    <t>KP090453</t>
  </si>
  <si>
    <t>Escherichia virus P694</t>
  </si>
  <si>
    <t>KP090454</t>
  </si>
  <si>
    <t>Escherichia virus S523</t>
  </si>
  <si>
    <t>MH031343</t>
  </si>
  <si>
    <t>FJ194439</t>
  </si>
  <si>
    <t>Pectobacterium virus PP74</t>
  </si>
  <si>
    <t>KY084243</t>
  </si>
  <si>
    <t>Salmonella virus BP12A</t>
  </si>
  <si>
    <t>KM366096</t>
  </si>
  <si>
    <t>Salmonella virus BSP161</t>
  </si>
  <si>
    <t>MG471392</t>
  </si>
  <si>
    <t>Shigella virus A7</t>
  </si>
  <si>
    <t>MK685668</t>
  </si>
  <si>
    <t>Yersinia virus Berlin</t>
  </si>
  <si>
    <t>AM183667</t>
  </si>
  <si>
    <t>Yersinia virus PYPS50</t>
  </si>
  <si>
    <t>MH809534</t>
  </si>
  <si>
    <t>Yersinia virus Yepe2</t>
  </si>
  <si>
    <t>EU734170</t>
  </si>
  <si>
    <t>Yersinia virus Yepf</t>
  </si>
  <si>
    <t>HQ333270</t>
  </si>
  <si>
    <t>Caroctavirus</t>
  </si>
  <si>
    <t>Citrobacter virus CR8</t>
  </si>
  <si>
    <t>HG818824</t>
  </si>
  <si>
    <t>Chatterjeevirus</t>
  </si>
  <si>
    <t>Vibrio virus ICP3</t>
  </si>
  <si>
    <t>HQ641340</t>
  </si>
  <si>
    <t>Vibrio virus N4</t>
  </si>
  <si>
    <t>FJ409640</t>
  </si>
  <si>
    <t>Vibrio virus VP4</t>
  </si>
  <si>
    <t>DQ029335</t>
  </si>
  <si>
    <t>Eapunavirus</t>
  </si>
  <si>
    <t>Enterobacter virus Eap1</t>
  </si>
  <si>
    <t>KT321314</t>
  </si>
  <si>
    <t>Elunavirus</t>
  </si>
  <si>
    <t>Erwinia virus L1</t>
  </si>
  <si>
    <t>HQ728265</t>
  </si>
  <si>
    <t>Foetvirus</t>
  </si>
  <si>
    <t>Escherichia virus SRT7</t>
  </si>
  <si>
    <t>MH370477</t>
  </si>
  <si>
    <t>Ghunavirus</t>
  </si>
  <si>
    <t>Pseudomonas virus 17A</t>
  </si>
  <si>
    <t>LN889995</t>
  </si>
  <si>
    <t>AF493143</t>
  </si>
  <si>
    <t>Pseudomonas virus Henninger</t>
  </si>
  <si>
    <t>MG775258</t>
  </si>
  <si>
    <t>Pseudomonas virus KNP</t>
  </si>
  <si>
    <t>KY798121</t>
  </si>
  <si>
    <t>Pseudomonas virus Pf1ERZ2017</t>
  </si>
  <si>
    <t>MG250485</t>
  </si>
  <si>
    <t>Pseudomonas virus PhiPSA2</t>
  </si>
  <si>
    <t>KJ507099</t>
  </si>
  <si>
    <t>Pseudomonas virus PhiPsa17</t>
  </si>
  <si>
    <t>KR091952</t>
  </si>
  <si>
    <t>Pseudomonas virus PPPL1</t>
  </si>
  <si>
    <t>KU064779</t>
  </si>
  <si>
    <t>Pseudomonas virus shl2</t>
  </si>
  <si>
    <t>LN889756</t>
  </si>
  <si>
    <t>Pseudomonas virus WRT</t>
  </si>
  <si>
    <t>KY798120</t>
  </si>
  <si>
    <t>Helsettvirus</t>
  </si>
  <si>
    <t>Yersinia virus fPS9</t>
  </si>
  <si>
    <t>LT960606</t>
  </si>
  <si>
    <t>Yersinia virus fPS53</t>
  </si>
  <si>
    <t>LT962379</t>
  </si>
  <si>
    <t>Yersinia virus fPS59</t>
  </si>
  <si>
    <t>LT961845</t>
  </si>
  <si>
    <t>Yersinia virus fPS54ocr</t>
  </si>
  <si>
    <t>LT962475</t>
  </si>
  <si>
    <t>Jarilovirus</t>
  </si>
  <si>
    <t>Pectobacterium virus Jarilo</t>
  </si>
  <si>
    <t>MH059637</t>
  </si>
  <si>
    <t>Kayfunavirus</t>
  </si>
  <si>
    <t>Citrobacter virus CR44b</t>
  </si>
  <si>
    <t>HG818823</t>
  </si>
  <si>
    <t>Citrobacter virus SH3</t>
  </si>
  <si>
    <t>KU687349</t>
  </si>
  <si>
    <t>Citrobacter virus SH4</t>
  </si>
  <si>
    <t>KU687350</t>
  </si>
  <si>
    <t>Cronobacter virus Dev2</t>
  </si>
  <si>
    <t>HG813241</t>
  </si>
  <si>
    <t>Cronobacter virus GW1</t>
  </si>
  <si>
    <t>MH491167</t>
  </si>
  <si>
    <t>Enterobacter virus EcpYZU01</t>
  </si>
  <si>
    <t>MK033136</t>
  </si>
  <si>
    <t>Escherichia virus EcoDS1</t>
  </si>
  <si>
    <t>EU734172</t>
  </si>
  <si>
    <t>Escherichia virus F</t>
  </si>
  <si>
    <t>KY295894</t>
  </si>
  <si>
    <t>Escherichia virus GA2A</t>
  </si>
  <si>
    <t>KT990215</t>
  </si>
  <si>
    <t>Escherichia virus IMM002</t>
  </si>
  <si>
    <t>MF630921</t>
  </si>
  <si>
    <t>Escherichia virus K1F</t>
  </si>
  <si>
    <t>AM084414</t>
  </si>
  <si>
    <t>Escherichia virus LM33P1</t>
  </si>
  <si>
    <t>LT594300</t>
  </si>
  <si>
    <t>Escherichia virus PE3-1</t>
  </si>
  <si>
    <t>KJ748011</t>
  </si>
  <si>
    <t>Escherichia virus Ro45lw</t>
  </si>
  <si>
    <t>MK301532</t>
  </si>
  <si>
    <t>Escherichia virus ST31</t>
  </si>
  <si>
    <t>KY962008</t>
  </si>
  <si>
    <t>Escherichia virus Vec13</t>
  </si>
  <si>
    <t>MH400309</t>
  </si>
  <si>
    <t>Escherichia virus YZ1</t>
  </si>
  <si>
    <t>MG845865</t>
  </si>
  <si>
    <t>Escherichia virus ZG49</t>
  </si>
  <si>
    <t>KX669227.5</t>
  </si>
  <si>
    <t>Shigella virus SFPH2</t>
  </si>
  <si>
    <t>MH464253</t>
  </si>
  <si>
    <t>Minipunavirus</t>
  </si>
  <si>
    <t>Morganella virus MmP1</t>
  </si>
  <si>
    <t>EU652770</t>
  </si>
  <si>
    <t>Morganella virus MP2</t>
  </si>
  <si>
    <t>KX078568</t>
  </si>
  <si>
    <t>Ningirsuvirus</t>
  </si>
  <si>
    <t>Dickeya virus JA10</t>
  </si>
  <si>
    <t>MH460459</t>
  </si>
  <si>
    <t>Dickeya virus Ninurta</t>
  </si>
  <si>
    <t>MH059639</t>
  </si>
  <si>
    <t>Pektosvirus</t>
  </si>
  <si>
    <t>Pectobacterium virus PP47</t>
  </si>
  <si>
    <t>KY250035</t>
  </si>
  <si>
    <t>Pectobacterium virus PP81</t>
  </si>
  <si>
    <t>KY124276</t>
  </si>
  <si>
    <t>Pectobacterium virus PPWS4</t>
  </si>
  <si>
    <t>LC216347</t>
  </si>
  <si>
    <t>Phutvirus</t>
  </si>
  <si>
    <t>Pseudomonas virus PPpW4</t>
  </si>
  <si>
    <t>AB775549</t>
  </si>
  <si>
    <t>Pifdecavirus</t>
  </si>
  <si>
    <t>Pseudomonas virus 22PfluR64PP</t>
  </si>
  <si>
    <t>MH179472</t>
  </si>
  <si>
    <t>Pseudomonas virus IBBPF7A</t>
  </si>
  <si>
    <t>GU583987</t>
  </si>
  <si>
    <t>Pseudomonas virus Pf10</t>
  </si>
  <si>
    <t>KP025626</t>
  </si>
  <si>
    <t>Pseudomonas virus PFP1</t>
  </si>
  <si>
    <t>MH268168</t>
  </si>
  <si>
    <t>Pseudomonas virus PhiS1</t>
  </si>
  <si>
    <t>JX173487</t>
  </si>
  <si>
    <t>Pseudomonas virus UNOSLW1</t>
  </si>
  <si>
    <t>KX431888</t>
  </si>
  <si>
    <t>Pijolavirus</t>
  </si>
  <si>
    <t>Pseudomonas virus PspYZU08</t>
  </si>
  <si>
    <t>KY971611</t>
  </si>
  <si>
    <t>HM480846</t>
  </si>
  <si>
    <t>Escherichia phage K30</t>
  </si>
  <si>
    <t>Klebsiella virus 2044-307w</t>
  </si>
  <si>
    <t>MF285615</t>
  </si>
  <si>
    <t>Klebsiella virus BIS33</t>
  </si>
  <si>
    <t>KY652725</t>
  </si>
  <si>
    <t>Klebsiella virus Henu1</t>
  </si>
  <si>
    <t>MK203841</t>
  </si>
  <si>
    <t>Klebsiella virus IL33</t>
  </si>
  <si>
    <t>KY652724</t>
  </si>
  <si>
    <t>Klebsiella virus IME205</t>
  </si>
  <si>
    <t>KU183006</t>
  </si>
  <si>
    <t>Klebsiella virus IME321</t>
  </si>
  <si>
    <t>MH587638</t>
  </si>
  <si>
    <t>KR149291</t>
  </si>
  <si>
    <t>Klebsiella phage K5</t>
  </si>
  <si>
    <t>EU734173</t>
  </si>
  <si>
    <t>Klebsiella phage K11</t>
  </si>
  <si>
    <t>Klebsiella virus K5-2</t>
  </si>
  <si>
    <t>KY389315</t>
  </si>
  <si>
    <t>Klebsiella virus K5-4</t>
  </si>
  <si>
    <t>KY389316</t>
  </si>
  <si>
    <t>Klebsiella virus KN1-1</t>
  </si>
  <si>
    <t>LC413193</t>
  </si>
  <si>
    <t>Klebsiella virus KN3-1</t>
  </si>
  <si>
    <t>LC413194</t>
  </si>
  <si>
    <t>Klebsiella virus KN4-1</t>
  </si>
  <si>
    <t>LC413195</t>
  </si>
  <si>
    <t>KT367885</t>
  </si>
  <si>
    <t>Klebsiella phage vB_Kp1</t>
  </si>
  <si>
    <t>GQ413937</t>
  </si>
  <si>
    <t>Klebsiella phage KP32</t>
  </si>
  <si>
    <t>Klebsiella virus KP32i192</t>
  </si>
  <si>
    <t>MH172261</t>
  </si>
  <si>
    <t>Klebsiella virus KP32i194</t>
  </si>
  <si>
    <t>MH172262</t>
  </si>
  <si>
    <t>Klebsiella virus KP32i195</t>
  </si>
  <si>
    <t>MH172263</t>
  </si>
  <si>
    <t>Klebsiella virus KP32i196</t>
  </si>
  <si>
    <t>MH172264</t>
  </si>
  <si>
    <t>Klebsiella virus kpssk3</t>
  </si>
  <si>
    <t>MK134560</t>
  </si>
  <si>
    <t>LN866626</t>
  </si>
  <si>
    <t>Klebsiella phage vB_KpnP_KpV289</t>
  </si>
  <si>
    <t>Klebsiella virus KpV763</t>
  </si>
  <si>
    <t>KX591654</t>
  </si>
  <si>
    <t>Klebsiella virus KpV766</t>
  </si>
  <si>
    <t>KX712071</t>
  </si>
  <si>
    <t>Klebsiella virus KpV767</t>
  </si>
  <si>
    <t>KX712070</t>
  </si>
  <si>
    <t>Klebsiella virus Pharr</t>
  </si>
  <si>
    <t>MK618658</t>
  </si>
  <si>
    <t>Klebsiella virus PRA33</t>
  </si>
  <si>
    <t>KY652723</t>
  </si>
  <si>
    <t>Klebsiella virus SHKp152234</t>
  </si>
  <si>
    <t>KY450753</t>
  </si>
  <si>
    <t>Klebsiella virus SHKp152410</t>
  </si>
  <si>
    <t>MG835568</t>
  </si>
  <si>
    <t>Teetrevirus</t>
  </si>
  <si>
    <t>Citrobacter virus CFP1</t>
  </si>
  <si>
    <t>KP313531</t>
  </si>
  <si>
    <t>Citrobacter virus SH1</t>
  </si>
  <si>
    <t>KU687347</t>
  </si>
  <si>
    <t>Citrobacter virus SH2</t>
  </si>
  <si>
    <t>KU687348</t>
  </si>
  <si>
    <t>Enterobacter virus E2</t>
  </si>
  <si>
    <t>KP791805</t>
  </si>
  <si>
    <t>Enterobacter virus E3</t>
  </si>
  <si>
    <t>KP791806</t>
  </si>
  <si>
    <t>Enterobacter virus KPN3</t>
  </si>
  <si>
    <t>KX452696</t>
  </si>
  <si>
    <t>Enterobacteria virus T7M</t>
  </si>
  <si>
    <t>JX421753</t>
  </si>
  <si>
    <t>Escherichia virus ECA2</t>
  </si>
  <si>
    <t>KX130726</t>
  </si>
  <si>
    <t>Escherichia virus LL2</t>
  </si>
  <si>
    <t>MH717709</t>
  </si>
  <si>
    <t>Escherichia virus T3</t>
  </si>
  <si>
    <t>KC960671</t>
  </si>
  <si>
    <t>Escherichia virus T3Luria</t>
  </si>
  <si>
    <t>AJ318471</t>
  </si>
  <si>
    <t>Leclercia virus 10164-302</t>
  </si>
  <si>
    <t>MF285616</t>
  </si>
  <si>
    <t>Salmonella virus SG-JL2</t>
  </si>
  <si>
    <t>EU547803</t>
  </si>
  <si>
    <t>Serratia virus 2050H2</t>
  </si>
  <si>
    <t>MF285620</t>
  </si>
  <si>
    <t>Serratia virus SM9-3Y</t>
  </si>
  <si>
    <t>KX778611</t>
  </si>
  <si>
    <t>Yersinia virus AP5</t>
  </si>
  <si>
    <t>KM253764</t>
  </si>
  <si>
    <t>Yersinia virus YeF10</t>
  </si>
  <si>
    <t>KT008108</t>
  </si>
  <si>
    <t>Yersinia virus YeO3-12</t>
  </si>
  <si>
    <t>AJ251805</t>
  </si>
  <si>
    <t>Enterobacteria virus IME390</t>
  </si>
  <si>
    <t>MH779619</t>
  </si>
  <si>
    <t>Escherichia virus 13a</t>
  </si>
  <si>
    <t>EU734174</t>
  </si>
  <si>
    <t>Escherichia virus 64795ec1</t>
  </si>
  <si>
    <t>KU927499</t>
  </si>
  <si>
    <t>Escherichia virus C5</t>
  </si>
  <si>
    <t>MH717099</t>
  </si>
  <si>
    <t>Escherichia virus CICC80001</t>
  </si>
  <si>
    <t>KM242061</t>
  </si>
  <si>
    <t>Escherichia virus Ebrios</t>
  </si>
  <si>
    <t>MG966531</t>
  </si>
  <si>
    <t>Escherichia virus EG1</t>
  </si>
  <si>
    <t>MG488277</t>
  </si>
  <si>
    <t>Escherichia virus HZ2R8</t>
  </si>
  <si>
    <t>MG832642</t>
  </si>
  <si>
    <t>Escherichia virus HZP2</t>
  </si>
  <si>
    <t>MK542821</t>
  </si>
  <si>
    <t>Escherichia virus N30</t>
  </si>
  <si>
    <t>MH717098</t>
  </si>
  <si>
    <t>Escherichia virus NCA</t>
  </si>
  <si>
    <t>MK310182</t>
  </si>
  <si>
    <t>Salmonella virus 3A8767</t>
  </si>
  <si>
    <t>MH382198</t>
  </si>
  <si>
    <t>Salmonella virus Vi06</t>
  </si>
  <si>
    <t>FR667955</t>
  </si>
  <si>
    <t>Stenotrophomonas virus IME15</t>
  </si>
  <si>
    <t>JX872508</t>
  </si>
  <si>
    <t>Yersinia virus YpPY</t>
  </si>
  <si>
    <t>JQ965700</t>
  </si>
  <si>
    <t>Yersinia virus YpsPG</t>
  </si>
  <si>
    <t>JQ965703</t>
  </si>
  <si>
    <t>Troedvirus</t>
  </si>
  <si>
    <t>Pseudomonas virus Phi15</t>
  </si>
  <si>
    <t>FR823298</t>
  </si>
  <si>
    <t>Unyawovirus</t>
  </si>
  <si>
    <t>Pectobacterium virus DUPPII</t>
  </si>
  <si>
    <t>MF979561</t>
  </si>
  <si>
    <t>Aegirvirus</t>
  </si>
  <si>
    <t>Synechococcus virus SCBP42</t>
  </si>
  <si>
    <t>KC310805</t>
  </si>
  <si>
    <t>KX660669</t>
  </si>
  <si>
    <t>Aquamicrobium phage P14</t>
  </si>
  <si>
    <t>Ashivirus</t>
  </si>
  <si>
    <t>Ashivirus S45C4</t>
  </si>
  <si>
    <t>AP013538</t>
  </si>
  <si>
    <t>Atuphduovirus</t>
  </si>
  <si>
    <t>Agrobacterium virus Atuph02</t>
  </si>
  <si>
    <t>MF403005</t>
  </si>
  <si>
    <t>Agrobacterium virus Atuph03</t>
  </si>
  <si>
    <t>MF403006</t>
  </si>
  <si>
    <t>Ayakvirus</t>
  </si>
  <si>
    <t>Ralstonia virus Ap1</t>
  </si>
  <si>
    <t>KY117485</t>
  </si>
  <si>
    <t>Ayaqvirus</t>
  </si>
  <si>
    <t>Ayaqvirus S45C18</t>
  </si>
  <si>
    <t>AP013544</t>
  </si>
  <si>
    <t>Banchanvirus</t>
  </si>
  <si>
    <t>Prochlorococcus virus SS120-1</t>
  </si>
  <si>
    <t>HQ316584</t>
  </si>
  <si>
    <t>KX458241</t>
  </si>
  <si>
    <t>Pseudomonas phage Andromeda</t>
  </si>
  <si>
    <t>JN991020</t>
  </si>
  <si>
    <t>Pseudomonas phage BF1</t>
  </si>
  <si>
    <t>Bonnellvirus</t>
  </si>
  <si>
    <t>Escherichia virus J8-65</t>
  </si>
  <si>
    <t>KM247287</t>
  </si>
  <si>
    <t>Escherichia virus Lidtsur</t>
  </si>
  <si>
    <t>MK629528</t>
  </si>
  <si>
    <t>Cheungvirus</t>
  </si>
  <si>
    <t>Prochlorococcus virus NATL1A7</t>
  </si>
  <si>
    <t>GU071102</t>
  </si>
  <si>
    <t>Chosvirus</t>
  </si>
  <si>
    <t>Chosvirus KM23C739</t>
  </si>
  <si>
    <t>KT997847</t>
  </si>
  <si>
    <t>Cuernavacavirus</t>
  </si>
  <si>
    <t>Rhizobium virus RHEph02</t>
  </si>
  <si>
    <t>JX483874</t>
  </si>
  <si>
    <t>Rhizobium virus RHEph08</t>
  </si>
  <si>
    <t>JX483879</t>
  </si>
  <si>
    <t>Rhizobium virus RHEph09</t>
  </si>
  <si>
    <t>JX483880</t>
  </si>
  <si>
    <t>Cyclitvirus</t>
  </si>
  <si>
    <t>Vibrio virus Cyclit</t>
  </si>
  <si>
    <t>MG592574</t>
  </si>
  <si>
    <t>Ermolevavirus</t>
  </si>
  <si>
    <t>Escherichia virus PGT2</t>
  </si>
  <si>
    <t>MG201401</t>
  </si>
  <si>
    <t>Escherichia virus PhiKT</t>
  </si>
  <si>
    <t>JN882298</t>
  </si>
  <si>
    <t>Foturvirus</t>
  </si>
  <si>
    <t>Alteromonas virus H4-4</t>
  </si>
  <si>
    <t>MF278336</t>
  </si>
  <si>
    <t>Foussvirus</t>
  </si>
  <si>
    <t>Foussvirus S46C10</t>
  </si>
  <si>
    <t>AP013545</t>
  </si>
  <si>
    <t>Fussvirus</t>
  </si>
  <si>
    <t>Fussvirus S30C28</t>
  </si>
  <si>
    <t>AP013543</t>
  </si>
  <si>
    <t>Gajwadongvirus</t>
  </si>
  <si>
    <t>Escherichia virus ECBP5</t>
  </si>
  <si>
    <t>KJ749827</t>
  </si>
  <si>
    <t>Pectobacterium virus PP99</t>
  </si>
  <si>
    <t>KY250034</t>
  </si>
  <si>
    <t>Gyeongsanvirus</t>
  </si>
  <si>
    <t>Ralstonia virus DURPI</t>
  </si>
  <si>
    <t>MF979559</t>
  </si>
  <si>
    <t>Ralstonia virus RsoP1EGY</t>
  </si>
  <si>
    <t>MG711516</t>
  </si>
  <si>
    <t>Igirivirus</t>
  </si>
  <si>
    <t>Synechococcus STIP37</t>
  </si>
  <si>
    <t>MH540083</t>
  </si>
  <si>
    <t>Jalkavirus</t>
  </si>
  <si>
    <t>Jalkavirus S08C159</t>
  </si>
  <si>
    <t>GU943031</t>
  </si>
  <si>
    <t>Jiaoyazivirus</t>
  </si>
  <si>
    <t>Ralstonia virus RSB3</t>
  </si>
  <si>
    <t>AB854109</t>
  </si>
  <si>
    <t>Kafavirus</t>
  </si>
  <si>
    <t>Kawavirus SWcelC56</t>
  </si>
  <si>
    <t>KX397280</t>
  </si>
  <si>
    <t>Kajamvirus</t>
  </si>
  <si>
    <t>Synechococcus virus SRIP1</t>
  </si>
  <si>
    <t>HQ317388</t>
  </si>
  <si>
    <t>Kakivirus</t>
  </si>
  <si>
    <t>Providencia virus PS3</t>
  </si>
  <si>
    <t>MK387869</t>
  </si>
  <si>
    <t>Kalppathivirus</t>
  </si>
  <si>
    <t>Curvibacter virus P26059B</t>
  </si>
  <si>
    <t>KY981272</t>
  </si>
  <si>
    <t>Kelmasvirus</t>
  </si>
  <si>
    <t>Ralstonia virus RSB2</t>
  </si>
  <si>
    <t>AB597179</t>
  </si>
  <si>
    <t>Kembevirus</t>
  </si>
  <si>
    <t>Synechococcus virus SCBP2</t>
  </si>
  <si>
    <t>KC310806</t>
  </si>
  <si>
    <t>Krakvirus</t>
  </si>
  <si>
    <t>Krakvirus S39C11</t>
  </si>
  <si>
    <t>AP013549</t>
  </si>
  <si>
    <t>Lauvirus</t>
  </si>
  <si>
    <t>Podovirus Lau218</t>
  </si>
  <si>
    <t>KJ183191</t>
  </si>
  <si>
    <t>Limelightvirus</t>
  </si>
  <si>
    <t>Pantoea virus LIMElight</t>
  </si>
  <si>
    <t>FR687252</t>
  </si>
  <si>
    <t>Lingvirus</t>
  </si>
  <si>
    <t>Prochlorococcus virus PGSP1</t>
  </si>
  <si>
    <t>HQ332140</t>
  </si>
  <si>
    <t>Lirvirus</t>
  </si>
  <si>
    <t>Synechococcus virus SCBP3</t>
  </si>
  <si>
    <t>HQ633062</t>
  </si>
  <si>
    <t>Lullwatervirus</t>
  </si>
  <si>
    <t>Caulobacter virus Lullwater</t>
  </si>
  <si>
    <t>MF621978</t>
  </si>
  <si>
    <t>Maculvirus</t>
  </si>
  <si>
    <t>Vibrio virus KF1</t>
  </si>
  <si>
    <t>MF754111</t>
  </si>
  <si>
    <t>Vibrio virus KF2</t>
  </si>
  <si>
    <t>MF754112</t>
  </si>
  <si>
    <t>Vibrio virus OWB</t>
  </si>
  <si>
    <t>MK474470</t>
  </si>
  <si>
    <t>Vibrio virus VP93</t>
  </si>
  <si>
    <t>FJ896200</t>
  </si>
  <si>
    <t>KX066068</t>
  </si>
  <si>
    <t>Pseudomonas phage VSW-3</t>
  </si>
  <si>
    <t>Nohivirus</t>
  </si>
  <si>
    <t>Nohivirus S31C1</t>
  </si>
  <si>
    <t>AP013547</t>
  </si>
  <si>
    <t>Oinezvirus</t>
  </si>
  <si>
    <t>Oinezvirus S37C6</t>
  </si>
  <si>
    <t>AP013546</t>
  </si>
  <si>
    <t>Paadamvirus</t>
  </si>
  <si>
    <t>Rhizobium virus RHEph01</t>
  </si>
  <si>
    <t>JX483873</t>
  </si>
  <si>
    <t>Pagavirus</t>
  </si>
  <si>
    <t>Pagavirus S05C849</t>
  </si>
  <si>
    <t>GU943068</t>
  </si>
  <si>
    <t>Pairvirus</t>
  </si>
  <si>
    <t>Mesorhizobium virus Lo5R7ANS</t>
  </si>
  <si>
    <t>KM199771</t>
  </si>
  <si>
    <t>Pedosvirus</t>
  </si>
  <si>
    <t>Pedosvirus S28C3</t>
  </si>
  <si>
    <t>AP013539</t>
  </si>
  <si>
    <t>Pekhitvirus</t>
  </si>
  <si>
    <t>Pekhitvirus S04C24</t>
  </si>
  <si>
    <t>GU943054</t>
  </si>
  <si>
    <t>Pelagivirus</t>
  </si>
  <si>
    <t>Pelagibacter virus HTVC019P</t>
  </si>
  <si>
    <t>KC465901</t>
  </si>
  <si>
    <t>Pelagivirus S35C6</t>
  </si>
  <si>
    <t>AP013542</t>
  </si>
  <si>
    <t>Percyvirus</t>
  </si>
  <si>
    <t>Caulobacter virus Percy</t>
  </si>
  <si>
    <t>KT381879</t>
  </si>
  <si>
    <t>Piedvirus</t>
  </si>
  <si>
    <t>Delftia virus IMEDE1</t>
  </si>
  <si>
    <t>KR153873</t>
  </si>
  <si>
    <t>Podivirus</t>
  </si>
  <si>
    <t>Podivirus S05C243</t>
  </si>
  <si>
    <t>GU943065</t>
  </si>
  <si>
    <t>MG775261</t>
  </si>
  <si>
    <t>Pseudomonas phage PollyC</t>
  </si>
  <si>
    <t>Poseidonvirus</t>
  </si>
  <si>
    <t>Synechococcus virus SCBP4</t>
  </si>
  <si>
    <t>HM559717</t>
  </si>
  <si>
    <t>Powvirus</t>
  </si>
  <si>
    <t>Powvirus S08C41</t>
  </si>
  <si>
    <t>GU943073</t>
  </si>
  <si>
    <t>KU595432</t>
  </si>
  <si>
    <t>Xanthomonas phage f20-Xaj</t>
  </si>
  <si>
    <t>KU595433</t>
  </si>
  <si>
    <t>Xanthomonas phage f30-Xaj</t>
  </si>
  <si>
    <t>Xanthomonas virus XAJ24</t>
  </si>
  <si>
    <t>KU197013</t>
  </si>
  <si>
    <t>Xanthomonas virus Xc10</t>
  </si>
  <si>
    <t>MF375456</t>
  </si>
  <si>
    <t>KF626667</t>
  </si>
  <si>
    <t>Xylella phage Prado</t>
  </si>
  <si>
    <t>Qadamvirus</t>
  </si>
  <si>
    <t>Synechococcus virus SB28</t>
  </si>
  <si>
    <t>MK016662</t>
  </si>
  <si>
    <t>Scottvirus</t>
  </si>
  <si>
    <t>Sphingomonas virus Scott</t>
  </si>
  <si>
    <t>MH684921</t>
  </si>
  <si>
    <t>Sednavirus</t>
  </si>
  <si>
    <t>Synechococcus virus SRIP2</t>
  </si>
  <si>
    <t>HQ317389</t>
  </si>
  <si>
    <t>Serkorvirus</t>
  </si>
  <si>
    <t>Ralstonia virus ITL1</t>
  </si>
  <si>
    <t>KP343639</t>
  </si>
  <si>
    <t>Sieqvirus</t>
  </si>
  <si>
    <t>Sieqvirus S42C7</t>
  </si>
  <si>
    <t>AP013541</t>
  </si>
  <si>
    <t>Stompelvirus</t>
  </si>
  <si>
    <t>Ralstonia virus RPSC1</t>
  </si>
  <si>
    <t>MF893341</t>
  </si>
  <si>
    <t>Stopalavirus</t>
  </si>
  <si>
    <t>Stopalavirus S38C3</t>
  </si>
  <si>
    <t>AP013548</t>
  </si>
  <si>
    <t>Stopavirus</t>
  </si>
  <si>
    <t>Pelagibacter virus HTVC011P</t>
  </si>
  <si>
    <t>KC465900</t>
  </si>
  <si>
    <t>Stupnyavirus</t>
  </si>
  <si>
    <t>Stupnyavirus KM16C193</t>
  </si>
  <si>
    <t>KT997876</t>
  </si>
  <si>
    <t>Tangaroavirus</t>
  </si>
  <si>
    <t>Prochlorococcus virus 951510a</t>
  </si>
  <si>
    <t>GU071100</t>
  </si>
  <si>
    <t>Prochlorococcus virus NATL2A133</t>
  </si>
  <si>
    <t>GU071104</t>
  </si>
  <si>
    <t>Prochlorococcus virus PSSP10</t>
  </si>
  <si>
    <t>HQ337022</t>
  </si>
  <si>
    <t>Tawavirus</t>
  </si>
  <si>
    <t>Vibrio virus JSF7</t>
  </si>
  <si>
    <t>KY065149</t>
  </si>
  <si>
    <t>Tiamatvirus</t>
  </si>
  <si>
    <t>AY939843</t>
  </si>
  <si>
    <t>Tiilvirus</t>
  </si>
  <si>
    <t>AF338467</t>
  </si>
  <si>
    <t>Tritonvirus</t>
  </si>
  <si>
    <t>Prochlorococcus virus PSSP3</t>
  </si>
  <si>
    <t>HQ332137</t>
  </si>
  <si>
    <t>Synechococcus virus PSSP2</t>
  </si>
  <si>
    <t>GU071107</t>
  </si>
  <si>
    <t>Unyawo</t>
  </si>
  <si>
    <t>Xylella virus Paz</t>
  </si>
  <si>
    <t>KF626666</t>
  </si>
  <si>
    <t>Voetvirus</t>
  </si>
  <si>
    <t>EF372997</t>
  </si>
  <si>
    <t>Votkovvirus</t>
  </si>
  <si>
    <t>Votkovvirus S28C10</t>
  </si>
  <si>
    <t>AP013540</t>
  </si>
  <si>
    <t>Waewaevirus</t>
  </si>
  <si>
    <t>Pantoea virus LIMEzero</t>
  </si>
  <si>
    <t>FR751545</t>
  </si>
  <si>
    <t>Wuhanvirus</t>
  </si>
  <si>
    <t>Pasteurella virus PHB01</t>
  </si>
  <si>
    <t>MF166859</t>
  </si>
  <si>
    <t>Pasteurella virus PHB02</t>
  </si>
  <si>
    <t>MF034659</t>
  </si>
  <si>
    <t>Chaseviridae</t>
  </si>
  <si>
    <t>Carltongylesvirus</t>
  </si>
  <si>
    <t>Escherichia virus GJ1</t>
  </si>
  <si>
    <t>2019.047B.zip</t>
  </si>
  <si>
    <t>EF460875.1</t>
  </si>
  <si>
    <t>Escherichia virus ST32</t>
  </si>
  <si>
    <t>MF044458.2</t>
  </si>
  <si>
    <t>Faunusvirus</t>
  </si>
  <si>
    <t>Erwinia virus Faunus</t>
  </si>
  <si>
    <t>MH191398.1</t>
  </si>
  <si>
    <t>Loessnervirus</t>
  </si>
  <si>
    <t>Erwinia virus Y2</t>
  </si>
  <si>
    <t>HQ728264.1</t>
  </si>
  <si>
    <t>Pahsextavirus</t>
  </si>
  <si>
    <t>Aeromonas virus pAh6C</t>
  </si>
  <si>
    <t>KJ858521.1</t>
  </si>
  <si>
    <t>Suwonvirus</t>
  </si>
  <si>
    <t>Pectobacterium virus PM1</t>
  </si>
  <si>
    <t>KF534715.1</t>
  </si>
  <si>
    <t>Pectobacterium virus PP101</t>
  </si>
  <si>
    <t>KY087898.2</t>
  </si>
  <si>
    <t>Yushanvirus</t>
  </si>
  <si>
    <t>Shewanella virus Spp001</t>
  </si>
  <si>
    <t>KJ002054.2</t>
  </si>
  <si>
    <t>Shewanella virus SppYZU05</t>
  </si>
  <si>
    <t>KY709296.1</t>
  </si>
  <si>
    <t>Demerecviridae</t>
  </si>
  <si>
    <t>Ermolyevavirinae</t>
  </si>
  <si>
    <t>MG649966</t>
  </si>
  <si>
    <t>Vibrio phage Ceto</t>
  </si>
  <si>
    <t>MG649967</t>
  </si>
  <si>
    <t>Vibrio phage Thalassa</t>
  </si>
  <si>
    <t>KY883654</t>
  </si>
  <si>
    <t>Vibrio phage JSF10</t>
  </si>
  <si>
    <t>Vibrio virus JSF12</t>
  </si>
  <si>
    <t>2019.099B.zip</t>
  </si>
  <si>
    <t>KY883655.1</t>
  </si>
  <si>
    <t>KP280063</t>
  </si>
  <si>
    <t>Vibrio phage phi 3</t>
  </si>
  <si>
    <t>Vipunavirus</t>
  </si>
  <si>
    <t>JQ340389</t>
  </si>
  <si>
    <t>Markadamsvirinae</t>
  </si>
  <si>
    <t>Epseptimavirus</t>
  </si>
  <si>
    <t>CP000917</t>
  </si>
  <si>
    <t>Escherichia virus mar003J3</t>
  </si>
  <si>
    <t>LR027389.1</t>
  </si>
  <si>
    <t>Escherichia virus saus132</t>
  </si>
  <si>
    <t>MF431737.1</t>
  </si>
  <si>
    <t>Salmonella virus 123</t>
  </si>
  <si>
    <t>MK370036.1</t>
  </si>
  <si>
    <t>Salmonella virus 329</t>
  </si>
  <si>
    <t>MK393882.1</t>
  </si>
  <si>
    <t>KX017521</t>
  </si>
  <si>
    <t>Salmonella virus LVR16A</t>
  </si>
  <si>
    <t>MF681663.1</t>
  </si>
  <si>
    <t>Salmonella virus S113</t>
  </si>
  <si>
    <t>MH370366.1</t>
  </si>
  <si>
    <t>Salmonella virus S114</t>
  </si>
  <si>
    <t>MH370367.1</t>
  </si>
  <si>
    <t>Salmonella virus S116</t>
  </si>
  <si>
    <t>MH370369.1</t>
  </si>
  <si>
    <t>Salmonella virus S124</t>
  </si>
  <si>
    <t>MH370375.1</t>
  </si>
  <si>
    <t>Salmonella virus S126</t>
  </si>
  <si>
    <t>MH370376.1</t>
  </si>
  <si>
    <t>Salmonella virus S132</t>
  </si>
  <si>
    <t>MH370379.1</t>
  </si>
  <si>
    <t>Salmonella virus S133</t>
  </si>
  <si>
    <t>MH370380.1</t>
  </si>
  <si>
    <t>Salmonella virus S147</t>
  </si>
  <si>
    <t>MH370386.1</t>
  </si>
  <si>
    <t>Salmonella virus Seafire</t>
  </si>
  <si>
    <t>MK050846.1</t>
  </si>
  <si>
    <t>Salmonella virus SH9</t>
  </si>
  <si>
    <t>MF001363.1</t>
  </si>
  <si>
    <t>Salmonella virus STG2</t>
  </si>
  <si>
    <t>MK005300.1</t>
  </si>
  <si>
    <t>KM236244</t>
  </si>
  <si>
    <t>Salmonella virus Sw2</t>
  </si>
  <si>
    <t>MH631454.1</t>
  </si>
  <si>
    <t>Haartmanvirus</t>
  </si>
  <si>
    <t>Yersinia virus phiR201</t>
  </si>
  <si>
    <t>HE956708</t>
  </si>
  <si>
    <t>Escherichia virus chee24</t>
  </si>
  <si>
    <t>MF431730.1</t>
  </si>
  <si>
    <t>Escherichia virus DT5712</t>
  </si>
  <si>
    <t>KM979355.1</t>
  </si>
  <si>
    <t>KM979354</t>
  </si>
  <si>
    <t>Escherichia phage DT57C</t>
  </si>
  <si>
    <t>KJ190157</t>
  </si>
  <si>
    <t>Escherichia phage vB_EcoS_FFH_1</t>
  </si>
  <si>
    <t>Escherichia virus Gostya9</t>
  </si>
  <si>
    <t>MH203051.1</t>
  </si>
  <si>
    <t>Escherichia virus mar004NP2</t>
  </si>
  <si>
    <t>LR027384.1</t>
  </si>
  <si>
    <t>Escherichia virus OSYSP</t>
  </si>
  <si>
    <t>MF402939.1</t>
  </si>
  <si>
    <t>Escherichia virus phiAPCEc03</t>
  </si>
  <si>
    <t>KR422353.1</t>
  </si>
  <si>
    <t>Escherichia virus phiLLS</t>
  </si>
  <si>
    <t>KY677846.1</t>
  </si>
  <si>
    <t>LN887948</t>
  </si>
  <si>
    <t>Escherichia phage slur09</t>
  </si>
  <si>
    <t>Salmonella virus NR01</t>
  </si>
  <si>
    <t>KR233164.1</t>
  </si>
  <si>
    <t>Salmonella virus S131</t>
  </si>
  <si>
    <t>MH370378.1</t>
  </si>
  <si>
    <t>KP143763</t>
  </si>
  <si>
    <t>Salmonella phage Shivani</t>
  </si>
  <si>
    <t>Salmonella virus SP01</t>
  </si>
  <si>
    <t>KY114934.1</t>
  </si>
  <si>
    <t>Salmonella virus SP3</t>
  </si>
  <si>
    <t>MG387042.1</t>
  </si>
  <si>
    <t>Shigella virus SHSML45</t>
  </si>
  <si>
    <t>KX130863.1</t>
  </si>
  <si>
    <t>Shigella virus SSP1</t>
  </si>
  <si>
    <t>KY963424.1</t>
  </si>
  <si>
    <t>Mccorquodalevirinae</t>
  </si>
  <si>
    <t>Hongcheonvirus</t>
  </si>
  <si>
    <t>Pectobacterium virus DUPPV</t>
  </si>
  <si>
    <t>MF979564.1</t>
  </si>
  <si>
    <t>JX195166</t>
  </si>
  <si>
    <t>Pectobacterium phage My1</t>
  </si>
  <si>
    <t>MG030347</t>
  </si>
  <si>
    <t>Proteus phage PM135</t>
  </si>
  <si>
    <t>Proteus virus Stubb</t>
  </si>
  <si>
    <t>MH830339.1</t>
  </si>
  <si>
    <t>Pogseptimavirus</t>
  </si>
  <si>
    <t>Vibrio virus PG07</t>
  </si>
  <si>
    <t>MH645904.1</t>
  </si>
  <si>
    <t>Vibrio virus VspSw1</t>
  </si>
  <si>
    <t>MH925094.1</t>
  </si>
  <si>
    <t>Shenzhenvirus</t>
  </si>
  <si>
    <t>Aeromonas virus AhSzq1</t>
  </si>
  <si>
    <t>MG676224.1</t>
  </si>
  <si>
    <t>Aeromonas virus AhSzw1</t>
  </si>
  <si>
    <t>MG676225.1</t>
  </si>
  <si>
    <t>KX845404.2</t>
  </si>
  <si>
    <t>Klebsiella phage vB_Kpn_IME260</t>
  </si>
  <si>
    <t>MG459987</t>
  </si>
  <si>
    <t>Klebsiella phage Sugarland</t>
  </si>
  <si>
    <t>Drexlerviridae</t>
  </si>
  <si>
    <t>Braunvirinae</t>
  </si>
  <si>
    <t>Christensenvirus</t>
  </si>
  <si>
    <t>Escherichia virus IME542</t>
  </si>
  <si>
    <t>2019.100B.zip</t>
  </si>
  <si>
    <t>MK372342.1</t>
  </si>
  <si>
    <t>Guelphvirus</t>
  </si>
  <si>
    <t>JN986845.1</t>
  </si>
  <si>
    <t>Escherichia virus EC3a</t>
  </si>
  <si>
    <t>KY398841.1</t>
  </si>
  <si>
    <t>Loudonvirus</t>
  </si>
  <si>
    <t>Escherichia virus DTL</t>
  </si>
  <si>
    <t>MG050172.1</t>
  </si>
  <si>
    <t>Escherichia virus IME253</t>
  </si>
  <si>
    <t>AM156909</t>
  </si>
  <si>
    <t>Escherichia phage Rtp</t>
  </si>
  <si>
    <t>Rogunavirinae</t>
  </si>
  <si>
    <t>Eastlansingvirus</t>
  </si>
  <si>
    <t>Shigella virus Sf12</t>
  </si>
  <si>
    <t>MF158039.1</t>
  </si>
  <si>
    <t>Lindendrivevirus</t>
  </si>
  <si>
    <t>Escherichia virus phiEB49</t>
  </si>
  <si>
    <t>JF770475.1</t>
  </si>
  <si>
    <t>KF771237</t>
  </si>
  <si>
    <t>Escherichia phage vB_EcoS_AHP42</t>
  </si>
  <si>
    <t>KF771238</t>
  </si>
  <si>
    <t>Escherichia phage vB_EcoS_AHS24</t>
  </si>
  <si>
    <t>KF771239</t>
  </si>
  <si>
    <t>Escherichia phage vB_EcoS_AKS96</t>
  </si>
  <si>
    <t>KT825490</t>
  </si>
  <si>
    <t>Escherichia phage C119</t>
  </si>
  <si>
    <t>KJ668713</t>
  </si>
  <si>
    <t>Escherichia phage e4/1c</t>
  </si>
  <si>
    <t>KC579452</t>
  </si>
  <si>
    <t>Escherichia phage phiKP26</t>
  </si>
  <si>
    <t>Escherichia virus phiJLA23</t>
  </si>
  <si>
    <t>KC333879.1</t>
  </si>
  <si>
    <t>KC333879</t>
  </si>
  <si>
    <t>Escherichia phage Rogue1</t>
  </si>
  <si>
    <t>Wilsonroadvirus</t>
  </si>
  <si>
    <t>Shigella virus Sd1</t>
  </si>
  <si>
    <t>MF158042.1</t>
  </si>
  <si>
    <t>Tempevirinae</t>
  </si>
  <si>
    <t>KC710998</t>
  </si>
  <si>
    <t>Shigella phage pSf-1</t>
  </si>
  <si>
    <t>Citrobacter virus DK2017</t>
  </si>
  <si>
    <t>KY694971.1</t>
  </si>
  <si>
    <t>Citrobacter virus Sazh</t>
  </si>
  <si>
    <t>MH729819.1</t>
  </si>
  <si>
    <t>KM236241</t>
  </si>
  <si>
    <t>Citrobacter phage Stevie</t>
  </si>
  <si>
    <t>Escherichia virus LL5</t>
  </si>
  <si>
    <t>MH491968.1</t>
  </si>
  <si>
    <t>AY308796</t>
  </si>
  <si>
    <t>Escherichia phage Tls</t>
  </si>
  <si>
    <t>Salmonella virus 36</t>
  </si>
  <si>
    <t>KR296690.1</t>
  </si>
  <si>
    <t>Salmonella virus PHB07</t>
  </si>
  <si>
    <t>MH102284.1</t>
  </si>
  <si>
    <t>Salmonella virus phSE2</t>
  </si>
  <si>
    <t>KX015770.1</t>
  </si>
  <si>
    <t>KC139513</t>
  </si>
  <si>
    <t>Salmonella phage FSL SP-126</t>
  </si>
  <si>
    <t>Salmonella virus YSP2</t>
  </si>
  <si>
    <t>MG241338.1</t>
  </si>
  <si>
    <t>Warwickvirus</t>
  </si>
  <si>
    <t>Escherichia virus 95</t>
  </si>
  <si>
    <t>MF564201.1</t>
  </si>
  <si>
    <t>Escherichia virus mar001J1</t>
  </si>
  <si>
    <t>LR027388</t>
  </si>
  <si>
    <t>Escherichia virus mar002J2</t>
  </si>
  <si>
    <t>LR027385</t>
  </si>
  <si>
    <t>Escherichia virus SECphi27</t>
  </si>
  <si>
    <t>LT961732.1</t>
  </si>
  <si>
    <t>Escherichia virus swan01</t>
  </si>
  <si>
    <t>LT841304.1</t>
  </si>
  <si>
    <t>Badaguanvirus</t>
  </si>
  <si>
    <t>Escherichia virus IME347</t>
  </si>
  <si>
    <t>MH051918.1</t>
  </si>
  <si>
    <t>MF996376</t>
  </si>
  <si>
    <t>Escherichia phage SRT8</t>
  </si>
  <si>
    <t>JX912252</t>
  </si>
  <si>
    <t>Escherichia phage ADB-2</t>
  </si>
  <si>
    <t>Escherichia virus BIFF</t>
  </si>
  <si>
    <t>MH285980.1</t>
  </si>
  <si>
    <t>Escherichia virus IME18</t>
  </si>
  <si>
    <t>MH051911.1</t>
  </si>
  <si>
    <t>KU194206</t>
  </si>
  <si>
    <t>Escherichia phage JMPW1</t>
  </si>
  <si>
    <t>KU194205</t>
  </si>
  <si>
    <t>Escherichia phage JMPW2</t>
  </si>
  <si>
    <t>Escherichia virus SH2</t>
  </si>
  <si>
    <t>KY985004.1</t>
  </si>
  <si>
    <t>Shigella virus 008</t>
  </si>
  <si>
    <t>MK335533.1</t>
  </si>
  <si>
    <t>Shigella virus ISF001</t>
  </si>
  <si>
    <t>MG049919.1</t>
  </si>
  <si>
    <t>KP085586</t>
  </si>
  <si>
    <t>Shigella phage pSf-2</t>
  </si>
  <si>
    <t>Shigella virus Sfin1</t>
  </si>
  <si>
    <t>MF468274.1</t>
  </si>
  <si>
    <t>Shigella virus SH6</t>
  </si>
  <si>
    <t>KX828710.1</t>
  </si>
  <si>
    <t>MF093736</t>
  </si>
  <si>
    <t>Shigella phage vB_SsoS-ISF002 none</t>
  </si>
  <si>
    <t>MG732930</t>
  </si>
  <si>
    <t>Enterobacter phage Ec_L1</t>
  </si>
  <si>
    <t>Gyeonggidovirus</t>
  </si>
  <si>
    <t>Cronobacter virus PhiCS01</t>
  </si>
  <si>
    <t>MH845412.1</t>
  </si>
  <si>
    <t>Nouzillyvirus</t>
  </si>
  <si>
    <t>Escherichia virus ESCO41</t>
  </si>
  <si>
    <t>KY619305.1</t>
  </si>
  <si>
    <t>Sauletekiovirus</t>
  </si>
  <si>
    <t>Pantoea virus AAS23</t>
  </si>
  <si>
    <t>MK095606.1</t>
  </si>
  <si>
    <t>Vilniusvirus</t>
  </si>
  <si>
    <t>Escherichia virus NBD2</t>
  </si>
  <si>
    <t>KX130668.1</t>
  </si>
  <si>
    <t>Escherichia phage vB_EcoS_NBD2</t>
  </si>
  <si>
    <t>KP658157</t>
  </si>
  <si>
    <t>Klebsiella phage 1513</t>
  </si>
  <si>
    <t>Klebsiella virus GHK3</t>
  </si>
  <si>
    <t>MH844531.1</t>
  </si>
  <si>
    <t>KR262148</t>
  </si>
  <si>
    <t>Klebsiella phage KLPN1</t>
  </si>
  <si>
    <t>Klebsiella virus KOX1</t>
  </si>
  <si>
    <t>KY780482.1</t>
  </si>
  <si>
    <t>JF501022</t>
  </si>
  <si>
    <t>Klebsiella phage KP36</t>
  </si>
  <si>
    <t>Klebsiella virus KpCol1</t>
  </si>
  <si>
    <t>MG552615.1</t>
  </si>
  <si>
    <t>Klebsiella virus KpKT21phi1</t>
  </si>
  <si>
    <t>MK278861.1</t>
  </si>
  <si>
    <t>Klebsiella virus KPN N141</t>
  </si>
  <si>
    <t>MF415412.1</t>
  </si>
  <si>
    <t>Klebsiella virus KpV522</t>
  </si>
  <si>
    <t>KX237515.1</t>
  </si>
  <si>
    <t>Klebsiella virus MezzoGao</t>
  </si>
  <si>
    <t>MF612072.1</t>
  </si>
  <si>
    <t>Klebsiella virus NJR15</t>
  </si>
  <si>
    <t>MH633487.1</t>
  </si>
  <si>
    <t>Klebsiella virus NJS1</t>
  </si>
  <si>
    <t>MH445453.1</t>
  </si>
  <si>
    <t>Klebsiella virus NJS2</t>
  </si>
  <si>
    <t>MH633485.1</t>
  </si>
  <si>
    <t>KR269719</t>
  </si>
  <si>
    <t>Klebsiella phage PKP126</t>
  </si>
  <si>
    <t>KT001920</t>
  </si>
  <si>
    <t>Klebsiella phage Sushi</t>
  </si>
  <si>
    <t>Klebsiella virus TAH8</t>
  </si>
  <si>
    <t>MH633484.1</t>
  </si>
  <si>
    <t>Klebsiella virus TSK1</t>
  </si>
  <si>
    <t>MH688453.1</t>
  </si>
  <si>
    <t>JX238501</t>
  </si>
  <si>
    <t>Bacillus phage phiAGATE</t>
  </si>
  <si>
    <t>KM051843</t>
  </si>
  <si>
    <t>Bacillus phage Bobb</t>
  </si>
  <si>
    <t>KJ010547</t>
  </si>
  <si>
    <t>Bacillus phage Bp8p-C</t>
  </si>
  <si>
    <t>JF966203</t>
  </si>
  <si>
    <t>Bacillus phage Bastille</t>
  </si>
  <si>
    <t>KJ489397</t>
  </si>
  <si>
    <t>Bacillus phage CAM003</t>
  </si>
  <si>
    <t>KJ489398.1</t>
  </si>
  <si>
    <t>Bacillus phage Evoli</t>
  </si>
  <si>
    <t>KJ489400.1</t>
  </si>
  <si>
    <t>Bacillus phage Hoody T</t>
  </si>
  <si>
    <t>KT307976</t>
  </si>
  <si>
    <t>Bacillus phage AvesoBmore</t>
  </si>
  <si>
    <t>JN790865</t>
  </si>
  <si>
    <t>Bacillus phage B4</t>
  </si>
  <si>
    <t>KF669647</t>
  </si>
  <si>
    <t>Bacillus phage BigBertha</t>
  </si>
  <si>
    <t>KJ489402</t>
  </si>
  <si>
    <t>Bacillus phage Riley</t>
  </si>
  <si>
    <t>KF669662</t>
  </si>
  <si>
    <t>Bacillus phage Spock</t>
  </si>
  <si>
    <t>KF208639</t>
  </si>
  <si>
    <t>Bacillus phage Troll</t>
  </si>
  <si>
    <t>JX094431.1</t>
  </si>
  <si>
    <t>Bacillus phage vB_BceM_Bc431v3</t>
  </si>
  <si>
    <t>KJ451625.1</t>
  </si>
  <si>
    <t>Bacillus phage Bcp1</t>
  </si>
  <si>
    <t>KJ081346.1</t>
  </si>
  <si>
    <t>Bacillus phage BCP8-2</t>
  </si>
  <si>
    <t>KT995480</t>
  </si>
  <si>
    <t>Bacillus phage BM15</t>
  </si>
  <si>
    <t>KU577463</t>
  </si>
  <si>
    <t>Bacillus phage Deep Blue</t>
  </si>
  <si>
    <t>KJ676859.1</t>
  </si>
  <si>
    <t>Bacillus phage JBP901</t>
  </si>
  <si>
    <t>KF669652</t>
  </si>
  <si>
    <t>Bacillus phage Grass</t>
  </si>
  <si>
    <t>AP013029</t>
  </si>
  <si>
    <t>Bacillus phage phiNIT1</t>
  </si>
  <si>
    <t>AB930182</t>
  </si>
  <si>
    <t>Bacillus phage SPG24</t>
  </si>
  <si>
    <t>JN797797</t>
  </si>
  <si>
    <t>Bacillus phage BCP78</t>
  </si>
  <si>
    <t>KT224359</t>
  </si>
  <si>
    <t>Bacillus phage TsarBomba</t>
  </si>
  <si>
    <t>JN654439</t>
  </si>
  <si>
    <t>Bacillus phage BPS13</t>
  </si>
  <si>
    <t>KC430106.1</t>
  </si>
  <si>
    <t>Bacillus phage BPS10C</t>
  </si>
  <si>
    <t>KJ489399</t>
  </si>
  <si>
    <t>Bacillus phage Hakuna</t>
  </si>
  <si>
    <t>KJ489401</t>
  </si>
  <si>
    <t>Bacillus phage Megatron</t>
  </si>
  <si>
    <t>HM144387</t>
  </si>
  <si>
    <t>Bacillus phage W.Ph.</t>
  </si>
  <si>
    <t>KM236245</t>
  </si>
  <si>
    <t>Bacillus phage Mater</t>
  </si>
  <si>
    <t>KM236246.1</t>
  </si>
  <si>
    <t>Bacillus phage Moonbeam</t>
  </si>
  <si>
    <t>KC699836.1</t>
  </si>
  <si>
    <t>Bacillus phage SIOphi</t>
  </si>
  <si>
    <t>KJ801817.1</t>
  </si>
  <si>
    <t>Enterococcus phage ECP3</t>
  </si>
  <si>
    <t>KR049063.1</t>
  </si>
  <si>
    <t>Enterococcus phage EFLK1</t>
  </si>
  <si>
    <t>Schiekvirus</t>
  </si>
  <si>
    <t>2019.029B.zip</t>
  </si>
  <si>
    <t>KP339049</t>
  </si>
  <si>
    <t>Enterococcus virus EFP01</t>
  </si>
  <si>
    <t>KY549443</t>
  </si>
  <si>
    <t>Enterococcus virus EfV12</t>
  </si>
  <si>
    <t>MH880817</t>
  </si>
  <si>
    <t>JQ797329.1</t>
  </si>
  <si>
    <t>Listeria phage vB_LmoM_AG20</t>
  </si>
  <si>
    <t>KJ535721.1</t>
  </si>
  <si>
    <t>Listeria phage List-36</t>
  </si>
  <si>
    <t>KJ535722.1</t>
  </si>
  <si>
    <t>Listeria phage LMSP-25</t>
  </si>
  <si>
    <t>KJ586794.1</t>
  </si>
  <si>
    <t>Listeria phage LMTA-34</t>
  </si>
  <si>
    <t>KJ591604.1</t>
  </si>
  <si>
    <t>Listeria phage LMTA-148</t>
  </si>
  <si>
    <t>KJ094033.1</t>
  </si>
  <si>
    <t>Listeria phage LP-048</t>
  </si>
  <si>
    <t>KJ094029.1</t>
  </si>
  <si>
    <t>Listeria phage LP-064</t>
  </si>
  <si>
    <t>KJ094030.1</t>
  </si>
  <si>
    <t>Listeria phage LP-083-2</t>
  </si>
  <si>
    <t>DQ004855</t>
  </si>
  <si>
    <t>Listeria phage P100</t>
  </si>
  <si>
    <t>KM373208.1</t>
  </si>
  <si>
    <t>Listeria phage WIL-1</t>
  </si>
  <si>
    <t>KF669649</t>
  </si>
  <si>
    <t>Bacillus phage CampHawk</t>
  </si>
  <si>
    <t>KF554508.2</t>
  </si>
  <si>
    <t>Bacillus phage CP-51</t>
  </si>
  <si>
    <t>KC595512.2</t>
  </si>
  <si>
    <t>Bacillus phage JL</t>
  </si>
  <si>
    <t>KC595513.2</t>
  </si>
  <si>
    <t>Bacillus phage Shanette</t>
  </si>
  <si>
    <t>Baoshanvirus</t>
  </si>
  <si>
    <t>Staphylococcus virus BS1</t>
  </si>
  <si>
    <t>2019.043B.zip</t>
  </si>
  <si>
    <t>phiSA_BS1</t>
  </si>
  <si>
    <t>MH078572.1</t>
  </si>
  <si>
    <t>Staphylococcus virus BS2</t>
  </si>
  <si>
    <t>phiSA_BS2</t>
  </si>
  <si>
    <t>MH028956.1</t>
  </si>
  <si>
    <t>Harbinvirus</t>
  </si>
  <si>
    <t>Lactobacillus virus Bacchae</t>
  </si>
  <si>
    <t>2019.013B.zip</t>
  </si>
  <si>
    <t>MG765277.2</t>
  </si>
  <si>
    <t>Lactobacillus virus Bromius</t>
  </si>
  <si>
    <t>MH809531.1</t>
  </si>
  <si>
    <t>Lactobacillus virus Iacchus</t>
  </si>
  <si>
    <t>MH809529.1</t>
  </si>
  <si>
    <t>Lactobacillus virus Lpa804</t>
  </si>
  <si>
    <t>MG557979.1</t>
  </si>
  <si>
    <t>Lactobacillus virus Semele</t>
  </si>
  <si>
    <t>MG765279.2</t>
  </si>
  <si>
    <t>JQ686190</t>
  </si>
  <si>
    <t>Staphylococcus phage G15</t>
  </si>
  <si>
    <t>JX878671</t>
  </si>
  <si>
    <t>Staphylococcus phage JD007</t>
  </si>
  <si>
    <t>KJ888149</t>
  </si>
  <si>
    <t>Staphylococcus phage MCE-2014</t>
  </si>
  <si>
    <t>KM216423</t>
  </si>
  <si>
    <t>Staphylococcus phage P108</t>
  </si>
  <si>
    <t>KP027446</t>
  </si>
  <si>
    <t>Staphylococcus phage phiIPLA-RODI</t>
  </si>
  <si>
    <t>AB853330</t>
  </si>
  <si>
    <t>Staphylococcus phage S25-3</t>
  </si>
  <si>
    <t>AB853331</t>
  </si>
  <si>
    <t>Staphylococcus phage S25-4</t>
  </si>
  <si>
    <t>AB903967</t>
  </si>
  <si>
    <t>Staphylococcus phage phiSA12</t>
  </si>
  <si>
    <t>HQ163896.1</t>
  </si>
  <si>
    <t>Staphylococcus phage Sb-1</t>
  </si>
  <si>
    <t>Sciuriunavirus</t>
  </si>
  <si>
    <t>Staphylococcus virus SscM1</t>
  </si>
  <si>
    <t>2019.088B.zip</t>
  </si>
  <si>
    <t>KX171212.1</t>
  </si>
  <si>
    <t>KP027447</t>
  </si>
  <si>
    <t>Staphylococcus phage vB_SepM_ phiIPLA-C1C</t>
  </si>
  <si>
    <t>KF021268</t>
  </si>
  <si>
    <t>Staphylococcus phage phiIBB-SEP1</t>
  </si>
  <si>
    <t>JX846613</t>
  </si>
  <si>
    <t>Staphylococcus phage vB_SauM_Remus</t>
  </si>
  <si>
    <t>JX194239</t>
  </si>
  <si>
    <t>Staphylococcus phage SA11</t>
  </si>
  <si>
    <t>KP881332</t>
  </si>
  <si>
    <t>Staphylococcus phage Stau2</t>
  </si>
  <si>
    <t>HM242243.1</t>
  </si>
  <si>
    <t>Brochothrix phage A9</t>
  </si>
  <si>
    <t>HE815464</t>
  </si>
  <si>
    <t>FN667788</t>
  </si>
  <si>
    <t>FN667789</t>
  </si>
  <si>
    <t>HM246720</t>
  </si>
  <si>
    <t>FR823450</t>
  </si>
  <si>
    <t>JX569801</t>
  </si>
  <si>
    <t>Campylobacter phage CP30A</t>
  </si>
  <si>
    <t>JN132397</t>
  </si>
  <si>
    <t>KX879627</t>
  </si>
  <si>
    <t>Campylobacter phage vB_CjeM_Los1</t>
  </si>
  <si>
    <t>GU296433</t>
  </si>
  <si>
    <t>KX377933</t>
  </si>
  <si>
    <t>Escherichia phage vB_EcoM_Alf5</t>
  </si>
  <si>
    <t>KR014248</t>
  </si>
  <si>
    <t>Escherichia phage vB_EcoM_AYO145A</t>
  </si>
  <si>
    <t>JX560968</t>
  </si>
  <si>
    <t>Escherichia phage EC6</t>
  </si>
  <si>
    <t>KM092515</t>
  </si>
  <si>
    <t>Escherichia phage HY02</t>
  </si>
  <si>
    <t>KF055347</t>
  </si>
  <si>
    <t>Escherichia phage JH2</t>
  </si>
  <si>
    <t>KP869100</t>
  </si>
  <si>
    <t>Escherichia typing phage 1</t>
  </si>
  <si>
    <t>KM657822</t>
  </si>
  <si>
    <t>Escherichia phage vB_EcoM-VpaE1</t>
  </si>
  <si>
    <t>EU877232</t>
  </si>
  <si>
    <t>KX405003</t>
  </si>
  <si>
    <t>Salmonella phage BPS15Q2</t>
  </si>
  <si>
    <t>MG646672</t>
  </si>
  <si>
    <t>Salmonella phage BPS17L1</t>
  </si>
  <si>
    <t>MG646669</t>
  </si>
  <si>
    <t>Salmonella phage BPS17W1</t>
  </si>
  <si>
    <t>KP143762</t>
  </si>
  <si>
    <t>Salmonella phage Mushroom</t>
  </si>
  <si>
    <t>KY626162</t>
  </si>
  <si>
    <t>Salmonella phage Si3</t>
  </si>
  <si>
    <t>KP010413</t>
  </si>
  <si>
    <t>Salmonella phage vB_SPuM_SP116 none</t>
  </si>
  <si>
    <t>JN225449</t>
  </si>
  <si>
    <t>Enterobacteriaphage UAB_Phi87</t>
  </si>
  <si>
    <t>EU710883</t>
  </si>
  <si>
    <t>HQ728263</t>
  </si>
  <si>
    <t>Erwinia phage vB_EamM-M7</t>
  </si>
  <si>
    <t>KM236239</t>
  </si>
  <si>
    <t>Citrobacter phage Moogle</t>
  </si>
  <si>
    <t>KT363872</t>
  </si>
  <si>
    <t>Citrobacter phage Mordin</t>
  </si>
  <si>
    <t>MF158040</t>
  </si>
  <si>
    <t>Shigella phage Sf13</t>
  </si>
  <si>
    <t>MF327003</t>
  </si>
  <si>
    <t>Shigella phage Sf14</t>
  </si>
  <si>
    <t>MF327004</t>
  </si>
  <si>
    <t>Shigella phage Sf17</t>
  </si>
  <si>
    <t>KT454805</t>
  </si>
  <si>
    <t>Escherichia phage phiSUSP1</t>
  </si>
  <si>
    <t>KT454806</t>
  </si>
  <si>
    <t>Escherichia phage phiSUSP2</t>
  </si>
  <si>
    <t>Aresaunavirus</t>
  </si>
  <si>
    <t>2019.073B.zip</t>
  </si>
  <si>
    <t>AB276040.1</t>
  </si>
  <si>
    <t>Ralstonia virus RSY1</t>
  </si>
  <si>
    <t>AB981169.1</t>
  </si>
  <si>
    <t>Baylorvirus</t>
  </si>
  <si>
    <t>Mannheimia virus 1127AP1</t>
  </si>
  <si>
    <t>KP137436.1</t>
  </si>
  <si>
    <t>DQ426904.1</t>
  </si>
  <si>
    <t>Bielevirus</t>
  </si>
  <si>
    <t>DQ674738.2</t>
  </si>
  <si>
    <t>Canoevirus</t>
  </si>
  <si>
    <t>Vibrio virus Canoe</t>
  </si>
  <si>
    <t>MG592573.1</t>
  </si>
  <si>
    <t>Catalunyavirus</t>
  </si>
  <si>
    <t>Pseudoalteromonas virus C5a</t>
  </si>
  <si>
    <t>KY045851.1</t>
  </si>
  <si>
    <t>Citexvirus</t>
  </si>
  <si>
    <t>Pseudomonas virus Dobby</t>
  </si>
  <si>
    <t>MK034952.1</t>
  </si>
  <si>
    <t>AB008550.1</t>
  </si>
  <si>
    <t>Eganvirus</t>
  </si>
  <si>
    <t>Erwinia virus EtG</t>
  </si>
  <si>
    <t>MF276773.2</t>
  </si>
  <si>
    <t>U32222.1</t>
  </si>
  <si>
    <t>AY135486.1</t>
  </si>
  <si>
    <t>Salmonella virus SEN1</t>
  </si>
  <si>
    <t>KT630644.2</t>
  </si>
  <si>
    <t>Entnonagintavirus</t>
  </si>
  <si>
    <t>Erwinia virus ENT90</t>
  </si>
  <si>
    <t>HQ110084.1</t>
  </si>
  <si>
    <t>Felsduovirus</t>
  </si>
  <si>
    <t>Klebsiella virus 4LV2017</t>
  </si>
  <si>
    <t>KY271398.1</t>
  </si>
  <si>
    <t>AE006468.2</t>
  </si>
  <si>
    <t>Salmonella virus RE2010</t>
  </si>
  <si>
    <t>HM770079.1</t>
  </si>
  <si>
    <t>Salmonella virus SEN8</t>
  </si>
  <si>
    <t>KT630647.2</t>
  </si>
  <si>
    <t>AY319521.1</t>
  </si>
  <si>
    <t>Irtavirus</t>
  </si>
  <si>
    <t>DQ114220.1</t>
  </si>
  <si>
    <t>Kisquattuordecimvirus</t>
  </si>
  <si>
    <t>Burkholderia virus KS14</t>
  </si>
  <si>
    <t>HM461982.1</t>
  </si>
  <si>
    <t>Kisquinquevirus</t>
  </si>
  <si>
    <t>Burkholderia virus AP3</t>
  </si>
  <si>
    <t>KP966108.1</t>
  </si>
  <si>
    <t>Burkholderia virus KS5</t>
  </si>
  <si>
    <t>GU911303.1</t>
  </si>
  <si>
    <t>Longwoodvirus</t>
  </si>
  <si>
    <t>AF125163.2</t>
  </si>
  <si>
    <t>Nampongvirus</t>
  </si>
  <si>
    <t>Burkholderia virus ST79</t>
  </si>
  <si>
    <t>KC462197.1</t>
  </si>
  <si>
    <t>KF322032</t>
  </si>
  <si>
    <t>Enterobacteria phage fiAA91-ss</t>
  </si>
  <si>
    <t>KR073660</t>
  </si>
  <si>
    <t>Escherichia phage pro147</t>
  </si>
  <si>
    <t>KR073661</t>
  </si>
  <si>
    <t>Escherichia phage pro483</t>
  </si>
  <si>
    <t>Phitrevirus</t>
  </si>
  <si>
    <t>Pseudomonas virus phi3</t>
  </si>
  <si>
    <t>KT887559.1</t>
  </si>
  <si>
    <t>Playavirus</t>
  </si>
  <si>
    <t>Salinivibrio virus SMHB1</t>
  </si>
  <si>
    <t>KX774374.1</t>
  </si>
  <si>
    <t>Reginaelenavirus</t>
  </si>
  <si>
    <t>Klebsiella virus 3LV2017</t>
  </si>
  <si>
    <t>KY271397.1</t>
  </si>
  <si>
    <t>Senquatrovirus</t>
  </si>
  <si>
    <t>Salmonella virus SEN4</t>
  </si>
  <si>
    <t>KT630645.2</t>
  </si>
  <si>
    <t>Seongnamvirus</t>
  </si>
  <si>
    <t>Cronobacter virus ESSI2</t>
  </si>
  <si>
    <t>HQ110083.1</t>
  </si>
  <si>
    <t>Simpcentumvirus</t>
  </si>
  <si>
    <t>Stenotrophomonas virus Smp131</t>
  </si>
  <si>
    <t>JQ809663.1</t>
  </si>
  <si>
    <t>Stockinghallvirus</t>
  </si>
  <si>
    <t>KC139521.1</t>
  </si>
  <si>
    <t>Tigrvirus</t>
  </si>
  <si>
    <t>Burkholderia virus KL3</t>
  </si>
  <si>
    <t>GU911304.1</t>
  </si>
  <si>
    <t>DQ087285.2</t>
  </si>
  <si>
    <t>CP000624.1</t>
  </si>
  <si>
    <t>CP000623.1</t>
  </si>
  <si>
    <t>Vulnificusvirus</t>
  </si>
  <si>
    <t>Vibrio virus PV94</t>
  </si>
  <si>
    <t>HG803181.1</t>
  </si>
  <si>
    <t>Xuanwuvirus</t>
  </si>
  <si>
    <t>Escherichia virus P88</t>
  </si>
  <si>
    <t>KP063541.1</t>
  </si>
  <si>
    <t>HQ829472</t>
  </si>
  <si>
    <t>Escherichia phage Bp7</t>
  </si>
  <si>
    <t>HM071924</t>
  </si>
  <si>
    <t>Escherichia phage IME08</t>
  </si>
  <si>
    <t>EU863409</t>
  </si>
  <si>
    <t>Escherichia phage JS10</t>
  </si>
  <si>
    <t>KU878969</t>
  </si>
  <si>
    <t>Escherichia phage MX01</t>
  </si>
  <si>
    <t>KT176190</t>
  </si>
  <si>
    <t>Escherichia phage QL01</t>
  </si>
  <si>
    <t>KP007359</t>
  </si>
  <si>
    <t>Escherichia phage vb_EcoM-VR5</t>
  </si>
  <si>
    <t>KU878968</t>
  </si>
  <si>
    <t>Escherichia phage WG01</t>
  </si>
  <si>
    <t>HM563683</t>
  </si>
  <si>
    <t>Escherichia phage vB_EcoM_VR7</t>
  </si>
  <si>
    <t>KP007360</t>
  </si>
  <si>
    <t>Escherichia phage vB_EcoM_VR20</t>
  </si>
  <si>
    <t>KP007361</t>
  </si>
  <si>
    <t>Escherichia phage vB_EcoM_VR25</t>
  </si>
  <si>
    <t>KP007362</t>
  </si>
  <si>
    <t>Escherichia phage vB_EcoM_VR26</t>
  </si>
  <si>
    <t>GQ981382</t>
  </si>
  <si>
    <t>Shigella phage SP18</t>
  </si>
  <si>
    <t>MF957259</t>
  </si>
  <si>
    <t>Salmonella phage Melville</t>
  </si>
  <si>
    <t>HQ331142</t>
  </si>
  <si>
    <t>Salmonella phage vB_SenM-S16</t>
  </si>
  <si>
    <t>JX181825</t>
  </si>
  <si>
    <t>Salmonella phage STML-198</t>
  </si>
  <si>
    <t>KJ000058</t>
  </si>
  <si>
    <t>Salmonella phage STP4-a</t>
  </si>
  <si>
    <t>KT239446</t>
  </si>
  <si>
    <t>Klebsiella phage JD18</t>
  </si>
  <si>
    <t>KR269720</t>
  </si>
  <si>
    <t>Klebsiella phage PKO111</t>
  </si>
  <si>
    <t>KJ101592</t>
  </si>
  <si>
    <t>Enterobacter phage PG7</t>
  </si>
  <si>
    <t>KY683735</t>
  </si>
  <si>
    <t>Escherichia phage ECD7</t>
  </si>
  <si>
    <t>HE978309</t>
  </si>
  <si>
    <t>Enterobacteria phage GEC-3S</t>
  </si>
  <si>
    <t>EU863408</t>
  </si>
  <si>
    <t>Escherichia phage JSE</t>
  </si>
  <si>
    <t>MG250484</t>
  </si>
  <si>
    <t>Citrobacter phage CF1 ERZ-2017</t>
  </si>
  <si>
    <t>KT001915</t>
  </si>
  <si>
    <t>Citrobacter phage Merlin</t>
  </si>
  <si>
    <t>KM236240</t>
  </si>
  <si>
    <t>Citrobacter phage Moon</t>
  </si>
  <si>
    <t>KR422352</t>
  </si>
  <si>
    <t>Escherichia phage APCEc01</t>
  </si>
  <si>
    <t>KY608965</t>
  </si>
  <si>
    <t>Escherichia phage HP3</t>
  </si>
  <si>
    <t>JX536493</t>
  </si>
  <si>
    <t>Escherichia phage HX01</t>
  </si>
  <si>
    <t>KF582788</t>
  </si>
  <si>
    <t>Escherichia phage vB_EcoM_JS09</t>
  </si>
  <si>
    <t>KP869101</t>
  </si>
  <si>
    <t>Escherichia coli O157 typing phage 3</t>
  </si>
  <si>
    <t>KP869104</t>
  </si>
  <si>
    <t>Escherichia coli O157 typing phage 6</t>
  </si>
  <si>
    <t>KF562341</t>
  </si>
  <si>
    <t>Escherichia phage vB_EcoM_PhAPEC2</t>
  </si>
  <si>
    <t>MF044457</t>
  </si>
  <si>
    <t>Escherichia phage ST0</t>
  </si>
  <si>
    <t>KX130865</t>
  </si>
  <si>
    <t>Shigella phage SHSML-52-1</t>
  </si>
  <si>
    <t>KM407600</t>
  </si>
  <si>
    <t>Shigella phage Shf125875</t>
  </si>
  <si>
    <t>KP671755</t>
  </si>
  <si>
    <t>Vibrio phage ValKK3</t>
  </si>
  <si>
    <t>KT321315</t>
  </si>
  <si>
    <t>Enterobacter phage phiEap-3</t>
  </si>
  <si>
    <t>GU295964</t>
  </si>
  <si>
    <t>Klebsiella phage KP15</t>
  </si>
  <si>
    <t>HQ918180</t>
  </si>
  <si>
    <t>Klebsiella phage KP27</t>
  </si>
  <si>
    <t>KT001918</t>
  </si>
  <si>
    <t>Klebsiella phage Matisse</t>
  </si>
  <si>
    <t>KT001919</t>
  </si>
  <si>
    <t>Klebsiella phage Miro</t>
  </si>
  <si>
    <t>LT607758</t>
  </si>
  <si>
    <t>Klebsiella phage PMBT1</t>
  </si>
  <si>
    <t>AP011113</t>
  </si>
  <si>
    <t>Escherichia phage AR1</t>
  </si>
  <si>
    <t>JN986846</t>
  </si>
  <si>
    <t>Escherichia phage vB_EcoM_ACG-C40</t>
  </si>
  <si>
    <t>KY608967</t>
  </si>
  <si>
    <t>Escherichia phage CF2</t>
  </si>
  <si>
    <t>KJ668714.2</t>
  </si>
  <si>
    <t>Escherichia phage vB_EcoM_112</t>
  </si>
  <si>
    <t>JX128259</t>
  </si>
  <si>
    <t>Escherichia phage ECML-134</t>
  </si>
  <si>
    <t>KF925357</t>
  </si>
  <si>
    <t>Escherichia phage HY01</t>
  </si>
  <si>
    <t>KR269718</t>
  </si>
  <si>
    <t>Escherichia phage HY03</t>
  </si>
  <si>
    <t>JN202312</t>
  </si>
  <si>
    <t>Escherichia phage ime09</t>
  </si>
  <si>
    <t>KM606994</t>
  </si>
  <si>
    <t>Escherichia phage RB3</t>
  </si>
  <si>
    <t>LN881728</t>
  </si>
  <si>
    <t>Escherichia phage slur03</t>
  </si>
  <si>
    <t>LN881729</t>
  </si>
  <si>
    <t>Escherichia phage slur04</t>
  </si>
  <si>
    <t>KM501444</t>
  </si>
  <si>
    <t>Shigella phage pSs-1</t>
  </si>
  <si>
    <t>MF327007</t>
  </si>
  <si>
    <t>Shigella phage Sf21</t>
  </si>
  <si>
    <t>MF158045</t>
  </si>
  <si>
    <t>Shigella phage Sf22</t>
  </si>
  <si>
    <t>MF327008</t>
  </si>
  <si>
    <t>Shigella phage Sf24</t>
  </si>
  <si>
    <t>KX130864</t>
  </si>
  <si>
    <t>Shigella phage SHBML-50-1</t>
  </si>
  <si>
    <t>HM035025</t>
  </si>
  <si>
    <t>Shigella phage Shfl2</t>
  </si>
  <si>
    <t>HE956711</t>
  </si>
  <si>
    <t>Yersinia phage phiD1</t>
  </si>
  <si>
    <t>KF208315</t>
  </si>
  <si>
    <t>Yersinia phage PST</t>
  </si>
  <si>
    <t>KM190144.1</t>
  </si>
  <si>
    <t>Escherichia phage Av-05</t>
  </si>
  <si>
    <t>JQ691612</t>
  </si>
  <si>
    <t>Cronobacter phage CR3</t>
  </si>
  <si>
    <t>KC954774</t>
  </si>
  <si>
    <t>Cronobacter phage CR8</t>
  </si>
  <si>
    <t>JQ691611</t>
  </si>
  <si>
    <t>Cronobacter phage CR9</t>
  </si>
  <si>
    <t>KT353109</t>
  </si>
  <si>
    <t>Cronobacter phage PBES 02</t>
  </si>
  <si>
    <t>JQ015307</t>
  </si>
  <si>
    <t>Pectobacterium phage phiTE</t>
  </si>
  <si>
    <t>JN882284</t>
  </si>
  <si>
    <t>Cronobacter phage vB_CsaM_GAP31</t>
  </si>
  <si>
    <t>KF550303</t>
  </si>
  <si>
    <t>Escherichia phage 4MG</t>
  </si>
  <si>
    <t>GU070616</t>
  </si>
  <si>
    <t>Salmonella phage SE1</t>
  </si>
  <si>
    <t>JX181824</t>
  </si>
  <si>
    <t>Salmonella phage SSE121</t>
  </si>
  <si>
    <t>KR698074.1</t>
  </si>
  <si>
    <t>Escherichia phage APECc02</t>
  </si>
  <si>
    <t>KJ190158</t>
  </si>
  <si>
    <t>Escherichia phage FFH2</t>
  </si>
  <si>
    <t>JQ031132</t>
  </si>
  <si>
    <t>Escherichia phage FV3</t>
  </si>
  <si>
    <t>KC690136</t>
  </si>
  <si>
    <t>Escherichia phage JES2013</t>
  </si>
  <si>
    <t>KT001917.1</t>
  </si>
  <si>
    <t>Escherichia phage Murica</t>
  </si>
  <si>
    <t>LN881727.1</t>
  </si>
  <si>
    <t>Escherichia phage slur16</t>
  </si>
  <si>
    <t>DQ832317</t>
  </si>
  <si>
    <t>Escherichia phage V5</t>
  </si>
  <si>
    <t>KY683736.1</t>
  </si>
  <si>
    <t>Escherichia phage V18</t>
  </si>
  <si>
    <t>KC595517</t>
  </si>
  <si>
    <t>Brevibacillus phage Abouo</t>
  </si>
  <si>
    <t>KC595518</t>
  </si>
  <si>
    <t>Brevibacillus phage Davies</t>
  </si>
  <si>
    <t>Acionnavirus</t>
  </si>
  <si>
    <t>Synechococcus virus SMbCM100</t>
  </si>
  <si>
    <t>2019.050B.zip</t>
  </si>
  <si>
    <t>KF156340.1</t>
  </si>
  <si>
    <t>KU886225</t>
  </si>
  <si>
    <t>Erwinia phage vB_EamM_Deimos-Minion</t>
  </si>
  <si>
    <t>MG655268</t>
  </si>
  <si>
    <t>Erwinia phage vB_EamM_Desertfox</t>
  </si>
  <si>
    <t>KF806589</t>
  </si>
  <si>
    <t>Erwinia phage Ea35-70</t>
  </si>
  <si>
    <t>KU886224</t>
  </si>
  <si>
    <t>Erwinia phage vB_EamM_RAY</t>
  </si>
  <si>
    <t>KU886223</t>
  </si>
  <si>
    <t>Erwinia phage vB_EamM_Simmy50</t>
  </si>
  <si>
    <t>KU886222</t>
  </si>
  <si>
    <t>Erwinia phage vB_EamM_Special G</t>
  </si>
  <si>
    <t>Ahtivirus</t>
  </si>
  <si>
    <t>Synechococcus virus SShM2</t>
  </si>
  <si>
    <t>GU071096</t>
  </si>
  <si>
    <t>AB897757</t>
  </si>
  <si>
    <t>Klebsiella phage K64-1</t>
  </si>
  <si>
    <t>JQ513383</t>
  </si>
  <si>
    <t>Klebsiella phage vB_KleM_RaK2</t>
  </si>
  <si>
    <t>Alexandravirus</t>
  </si>
  <si>
    <t>Dickeya virus AD1</t>
  </si>
  <si>
    <t>2019.070B.zip</t>
  </si>
  <si>
    <t>MH460463.1</t>
  </si>
  <si>
    <t>Erwinia virus Alexandra</t>
  </si>
  <si>
    <t>MH248138.1</t>
  </si>
  <si>
    <t>Anamdongvirus</t>
  </si>
  <si>
    <t>Lactobacillus virus LBR48</t>
  </si>
  <si>
    <t>GU967410.1</t>
  </si>
  <si>
    <t>Anaposvirus</t>
  </si>
  <si>
    <t>Synechococcus virus SCAM1</t>
  </si>
  <si>
    <t>2019.049B.zip</t>
  </si>
  <si>
    <t>HQ634177.1</t>
  </si>
  <si>
    <t>Aokuangvirus</t>
  </si>
  <si>
    <t>Synechococcus virus SCBWM1</t>
  </si>
  <si>
    <t>MG450654.1</t>
  </si>
  <si>
    <t>MG720308</t>
  </si>
  <si>
    <t>Vibrio phage Aphrodite1</t>
  </si>
  <si>
    <t>KM507819</t>
  </si>
  <si>
    <t>Escherichia phage 121Q</t>
  </si>
  <si>
    <t>KC295538</t>
  </si>
  <si>
    <t>Escherichia phage PBECO4</t>
  </si>
  <si>
    <t>Atlauavirus</t>
  </si>
  <si>
    <t>Synechococcus virus AC2014fSyn7803C8</t>
  </si>
  <si>
    <t>KJ019058.1</t>
  </si>
  <si>
    <t>Synechococcus virus ACG2014f</t>
  </si>
  <si>
    <t>KJ019052.1</t>
  </si>
  <si>
    <t>Synechococcus virus ACG2014fSyn7803US26</t>
  </si>
  <si>
    <t>KJ019091.1</t>
  </si>
  <si>
    <t>Aurunvirus</t>
  </si>
  <si>
    <t>Synechococcus virus STIM5</t>
  </si>
  <si>
    <t>JQ245707.1</t>
  </si>
  <si>
    <t>Baikalvirus</t>
  </si>
  <si>
    <t>Pseudomonas virus PaBG</t>
  </si>
  <si>
    <t>KF147891.1</t>
  </si>
  <si>
    <t>Barbavirus</t>
  </si>
  <si>
    <t>Rheinheimera virus Barba18A</t>
  </si>
  <si>
    <t>2019.004B.zip</t>
  </si>
  <si>
    <t>MK719729</t>
  </si>
  <si>
    <t>Rheinheimera virus Barba19A</t>
  </si>
  <si>
    <t>MK719730</t>
  </si>
  <si>
    <t>Rheinheimera virus Barba21A</t>
  </si>
  <si>
    <t>MK719733</t>
  </si>
  <si>
    <t>Rheinheimera virus Barba5S</t>
  </si>
  <si>
    <t>MK719710</t>
  </si>
  <si>
    <t>Rheinheimera virus Barba8S</t>
  </si>
  <si>
    <t>MK719714</t>
  </si>
  <si>
    <t>Bellamyvirus</t>
  </si>
  <si>
    <t>Synechococcus virus Bellamy</t>
  </si>
  <si>
    <t>MF351863.1</t>
  </si>
  <si>
    <t>KR063280</t>
  </si>
  <si>
    <t>Gordonia phage GMA6</t>
  </si>
  <si>
    <t>AY375531</t>
  </si>
  <si>
    <t>Aeromonas phage 44RR2.8t</t>
  </si>
  <si>
    <t>JF704092</t>
  </si>
  <si>
    <t>Mycobacterium phage Alice</t>
  </si>
  <si>
    <t>AY129337</t>
  </si>
  <si>
    <t>Mycobacterium phage Bxz1</t>
  </si>
  <si>
    <t>JN412588</t>
  </si>
  <si>
    <t>Mycobacterium phage Dandelion</t>
  </si>
  <si>
    <t>KT281790</t>
  </si>
  <si>
    <t>Mycobacterium phage HyRo</t>
  </si>
  <si>
    <t>KX831080</t>
  </si>
  <si>
    <t>Mycobacterium phage Lukilu</t>
  </si>
  <si>
    <t>JN699627</t>
  </si>
  <si>
    <t>Mycobacterium phage Nappy</t>
  </si>
  <si>
    <t>JN204348</t>
  </si>
  <si>
    <t>Mycobacterium phage Sebata</t>
  </si>
  <si>
    <t>Brigitvirus</t>
  </si>
  <si>
    <t>Faecalibacterium virus Brigit</t>
  </si>
  <si>
    <t>2019.091B.zip</t>
  </si>
  <si>
    <t>Brigit</t>
  </si>
  <si>
    <t>MG711465</t>
  </si>
  <si>
    <t>nk</t>
  </si>
  <si>
    <t>Brizovirus</t>
  </si>
  <si>
    <t>Prochlorococcus virus Syn33</t>
  </si>
  <si>
    <t>GU071108.1</t>
  </si>
  <si>
    <t>Synechococcus virus SRIM12-01</t>
  </si>
  <si>
    <t>KX349310</t>
  </si>
  <si>
    <t>Synechococcus virus SRIM12-06</t>
  </si>
  <si>
    <t>KX349313</t>
  </si>
  <si>
    <t>Synechococcus virus SRIM12-08</t>
  </si>
  <si>
    <t>KX349323</t>
  </si>
  <si>
    <t>KT630649</t>
  </si>
  <si>
    <t>Salmonella phage SEN34</t>
  </si>
  <si>
    <t>KY979132.2</t>
  </si>
  <si>
    <t>Acidovorax phage ACP17</t>
  </si>
  <si>
    <t>Carpasinavirus</t>
  </si>
  <si>
    <t>Xanthomonas virus Carpasina</t>
  </si>
  <si>
    <t>MH059633.1</t>
  </si>
  <si>
    <t>Xanthomonas virus XcP1</t>
  </si>
  <si>
    <t>MH191395.1</t>
  </si>
  <si>
    <t>KU873925</t>
  </si>
  <si>
    <t>Pseudomonas phage pf16</t>
  </si>
  <si>
    <t>Charybdisvirus</t>
  </si>
  <si>
    <t>Synechococcus virus SCAM3</t>
  </si>
  <si>
    <t>KU686199.1</t>
  </si>
  <si>
    <t>AP014927</t>
  </si>
  <si>
    <t>Ralstonia phage RSF1</t>
  </si>
  <si>
    <t>AP014693</t>
  </si>
  <si>
    <t>Ralstonia phage RSL2</t>
  </si>
  <si>
    <t>Cymopoleiavirus</t>
  </si>
  <si>
    <t>Synechococcus virus SWAM2</t>
  </si>
  <si>
    <t>KU686211.1</t>
  </si>
  <si>
    <t>Derbicusvirus</t>
  </si>
  <si>
    <t>Erwinia virus Derbicus</t>
  </si>
  <si>
    <t>2019.052B.zip</t>
  </si>
  <si>
    <t>MK514282.1</t>
  </si>
  <si>
    <t>AJ697969</t>
  </si>
  <si>
    <t>EL</t>
  </si>
  <si>
    <t>KR052480</t>
  </si>
  <si>
    <t>Sinorhizobium phage phiM7</t>
  </si>
  <si>
    <t>KF381361</t>
  </si>
  <si>
    <t>Sinorhizobium phage phiM12</t>
  </si>
  <si>
    <t>KR052482</t>
  </si>
  <si>
    <t>Sinorhizobium phage phiN3</t>
  </si>
  <si>
    <t>KY630187</t>
  </si>
  <si>
    <t>Serratia phage BF</t>
  </si>
  <si>
    <t>LT960551</t>
  </si>
  <si>
    <t>Yersinia phage fHe-Yen9-04</t>
  </si>
  <si>
    <t>Eponavirus</t>
  </si>
  <si>
    <t>Faecalibacterium virus Epona</t>
  </si>
  <si>
    <t>Epona</t>
  </si>
  <si>
    <t>MG711462</t>
  </si>
  <si>
    <t>Eurybiavirus</t>
  </si>
  <si>
    <t>Prochlorococcus virus MED4-213</t>
  </si>
  <si>
    <t>HQ634174.1</t>
  </si>
  <si>
    <t>Prochlorococcus virus PHM1</t>
  </si>
  <si>
    <t>GU071101.1</t>
  </si>
  <si>
    <t>Prochlorococcus virus PHM2</t>
  </si>
  <si>
    <t>GU075905.1</t>
  </si>
  <si>
    <t>KM873719.2</t>
  </si>
  <si>
    <t>Flavobacterium phage FCL-2</t>
  </si>
  <si>
    <t>KY979235</t>
  </si>
  <si>
    <t>Flavobacterium phage FCV-1</t>
  </si>
  <si>
    <t>KU130129</t>
  </si>
  <si>
    <t>Pseudomonas phage vB_PsyM_KIL4</t>
  </si>
  <si>
    <t>KU130126</t>
  </si>
  <si>
    <t>Pseudomonas phage vB_PsyM_KIL1</t>
  </si>
  <si>
    <t>AP014629</t>
  </si>
  <si>
    <t>Edwardsiella phage GF-2</t>
  </si>
  <si>
    <t>Goslarvirus</t>
  </si>
  <si>
    <t>Escherichia virus Goslar</t>
  </si>
  <si>
    <t>2019.012B.zip</t>
  </si>
  <si>
    <t>MK327938</t>
  </si>
  <si>
    <t>Heilongjiangvirus</t>
  </si>
  <si>
    <t>Lactobacillus virus Lb</t>
  </si>
  <si>
    <t>MG020111.1</t>
  </si>
  <si>
    <t>KF623294</t>
  </si>
  <si>
    <t>Erwinia phage PhiEaH1</t>
  </si>
  <si>
    <t>EU876853</t>
  </si>
  <si>
    <t>Iodobacter phage PhiPLPE</t>
  </si>
  <si>
    <t>Delftia virus PhiW14</t>
  </si>
  <si>
    <t>2019.054B.zip</t>
  </si>
  <si>
    <t>GQ357915</t>
  </si>
  <si>
    <t>JX866719.1</t>
  </si>
  <si>
    <t>Klebsiella phage JD001</t>
  </si>
  <si>
    <t>MF663761.1</t>
  </si>
  <si>
    <t>Klebsiella phage vB_KpnM_KpV79</t>
  </si>
  <si>
    <t>KX237516.1</t>
  </si>
  <si>
    <t>Klebsiella phage vB_KpnM_KpV52</t>
  </si>
  <si>
    <t>GU903191</t>
  </si>
  <si>
    <t>Escherichia phage vB_EcoM_ECO1230-10</t>
  </si>
  <si>
    <t>KY705409</t>
  </si>
  <si>
    <t>Escherichia phage vB_EcoM_ECOO78</t>
  </si>
  <si>
    <t>KM360178</t>
  </si>
  <si>
    <t>Escherichia phage vB_EcoM-ep3</t>
  </si>
  <si>
    <t>KC595514</t>
  </si>
  <si>
    <t>Brevibacillus phage Jimmer2</t>
  </si>
  <si>
    <t>KT151956</t>
  </si>
  <si>
    <t>Brevibacillus phage Osiris</t>
  </si>
  <si>
    <t>Kanaloavirus</t>
  </si>
  <si>
    <t>Synechococcus virus SCAM9</t>
  </si>
  <si>
    <t>KU686206</t>
  </si>
  <si>
    <t>JX483876</t>
  </si>
  <si>
    <t>Rhizobium phage RHEph04</t>
  </si>
  <si>
    <t>Lagaffevirus</t>
  </si>
  <si>
    <t>Faecalibacterium virus Lagaffe</t>
  </si>
  <si>
    <t>Lagaffe</t>
  </si>
  <si>
    <t>MG711461</t>
  </si>
  <si>
    <t>Leucotheavirus</t>
  </si>
  <si>
    <t>Synechoccus virus SP4</t>
  </si>
  <si>
    <t>MH920639.1</t>
  </si>
  <si>
    <t>Synechococcus virus Syn30</t>
  </si>
  <si>
    <t>HQ634189.1</t>
  </si>
  <si>
    <t>Libanvirus</t>
  </si>
  <si>
    <t>Prochlorococcus virus PTIM40</t>
  </si>
  <si>
    <t>KP211958.1</t>
  </si>
  <si>
    <t>Llyrvirus</t>
  </si>
  <si>
    <t>Synechococcus virus SSKS1</t>
  </si>
  <si>
    <t>HQ633071.1</t>
  </si>
  <si>
    <t>Loughboroughvirus</t>
  </si>
  <si>
    <t>Salmonella virus ZCSE2</t>
  </si>
  <si>
    <t>MK673511.1</t>
  </si>
  <si>
    <t>KU647629</t>
  </si>
  <si>
    <t>Arthrobacter phage BarretLemon</t>
  </si>
  <si>
    <t>MF324907</t>
  </si>
  <si>
    <t>Arthrobacter phage Beans</t>
  </si>
  <si>
    <t>KT365401</t>
  </si>
  <si>
    <t xml:space="preserve">Arthrobacter phage Brent </t>
  </si>
  <si>
    <t>KU160651</t>
  </si>
  <si>
    <t>Arthrobacter phage Jawnski</t>
  </si>
  <si>
    <t>KU160656</t>
  </si>
  <si>
    <t xml:space="preserve">Arthrobacter phage Martha </t>
  </si>
  <si>
    <t>MF189177</t>
  </si>
  <si>
    <t>Arthrobacter phage Piccoletto</t>
  </si>
  <si>
    <t>MF189178</t>
  </si>
  <si>
    <t>Arthrobacter phage Shade</t>
  </si>
  <si>
    <t>KU160665</t>
  </si>
  <si>
    <t xml:space="preserve">Arthrobacter phage Sonny </t>
  </si>
  <si>
    <t>Mazuvirus</t>
  </si>
  <si>
    <t>Synechococcus virus SCAM7</t>
  </si>
  <si>
    <t>KU686212</t>
  </si>
  <si>
    <t>KU935715.1</t>
  </si>
  <si>
    <t>Acinetobacter phage vB_AbaM_ME3</t>
  </si>
  <si>
    <t>AB366653</t>
  </si>
  <si>
    <t>Ralstonia phage phiRSL1</t>
  </si>
  <si>
    <t>JN882285</t>
  </si>
  <si>
    <t>Cronobacter phage vB_CsaM_GAP32</t>
  </si>
  <si>
    <t>KU574722</t>
  </si>
  <si>
    <t>Pectinobbacterium phage vB_PcaM_CBB</t>
  </si>
  <si>
    <t>Mushuvirus</t>
  </si>
  <si>
    <t>Faecalibacterium virus Mushu</t>
  </si>
  <si>
    <t>Mushu</t>
  </si>
  <si>
    <t>MG711460</t>
  </si>
  <si>
    <t>KP010268</t>
  </si>
  <si>
    <t>Shigella phage SfMu</t>
  </si>
  <si>
    <t>Naesvirus</t>
  </si>
  <si>
    <t>Namakavirus</t>
  </si>
  <si>
    <t>Synechococcus virus SMbCM6</t>
  </si>
  <si>
    <t>JN371768</t>
  </si>
  <si>
    <t>LN610573</t>
  </si>
  <si>
    <t>Pseudomonas phage vB_PaeM_PAO1_Ab03</t>
  </si>
  <si>
    <t>KY994101</t>
  </si>
  <si>
    <t>Pseudomonas phage vB_PaeM_G1</t>
  </si>
  <si>
    <t>AB472900.2</t>
  </si>
  <si>
    <t>Pseudomonas phage KPP10</t>
  </si>
  <si>
    <t>KC862299</t>
  </si>
  <si>
    <t>Pseudomonas phage PAK_P3</t>
  </si>
  <si>
    <t>KM434186</t>
  </si>
  <si>
    <t>Pseudomonas phage vB_PaeM_PS24</t>
  </si>
  <si>
    <t>Neptunevirus</t>
  </si>
  <si>
    <t>Synechococcus virus SRIM8</t>
  </si>
  <si>
    <t>KX349289</t>
  </si>
  <si>
    <t>Synechococcus virus SRIM50</t>
  </si>
  <si>
    <t>KU594605.1</t>
  </si>
  <si>
    <t>Nereusvirus</t>
  </si>
  <si>
    <t>Synechococcus virus ACG2014bSyn7803C61</t>
  </si>
  <si>
    <t>KJ019040</t>
  </si>
  <si>
    <t>Synechococcus virus ACG2014bSyn9311C4</t>
  </si>
  <si>
    <t>KJ019133</t>
  </si>
  <si>
    <t>Nerrivikvirus</t>
  </si>
  <si>
    <t>Synechococcus virus SRIM2</t>
  </si>
  <si>
    <t>HQ317292.1</t>
  </si>
  <si>
    <t>Nodensvirus</t>
  </si>
  <si>
    <t>Synechococcus virus SPM2</t>
  </si>
  <si>
    <t>AJ630128</t>
  </si>
  <si>
    <t>MF063068</t>
  </si>
  <si>
    <t>Pseudomonas phage Noxifer</t>
  </si>
  <si>
    <t>HM368260</t>
  </si>
  <si>
    <t>Acinetobacter phage AB1</t>
  </si>
  <si>
    <t>JX976549</t>
  </si>
  <si>
    <t>Acinetobacter phage vB_AbaM-IME-AB2</t>
  </si>
  <si>
    <t>KJ817802</t>
  </si>
  <si>
    <t>Acinetobacter phage YMC-13-01-C62</t>
  </si>
  <si>
    <t>MF346584</t>
  </si>
  <si>
    <t>Acinetobacter phage AbP2</t>
  </si>
  <si>
    <t>HE806280</t>
  </si>
  <si>
    <t>Acinetobacter phage AP22</t>
  </si>
  <si>
    <t>KU510289.1</t>
  </si>
  <si>
    <t>Acinetobacter phage LZ35</t>
  </si>
  <si>
    <t>KY829116</t>
  </si>
  <si>
    <t>Acinetobacter phage WCHABP1</t>
  </si>
  <si>
    <t>KY670595</t>
  </si>
  <si>
    <t>Acinetobacter phage WCHABP12</t>
  </si>
  <si>
    <t>KJ409772</t>
  </si>
  <si>
    <t>Pseudomonas phage phiPsa374</t>
  </si>
  <si>
    <t>LN887844</t>
  </si>
  <si>
    <t>Pseudomonas phage VCM</t>
  </si>
  <si>
    <t>HE983845</t>
  </si>
  <si>
    <t>Pseudomonas phage vB_PaeM_C2-10_Ab1</t>
  </si>
  <si>
    <t>LN610572</t>
  </si>
  <si>
    <t>Pseudomonas phage vB_PaeM_C2-10_Ab02</t>
  </si>
  <si>
    <t>GU988610.2</t>
  </si>
  <si>
    <t>Pseudomonas phage JG004</t>
  </si>
  <si>
    <t>KR052143</t>
  </si>
  <si>
    <t>Pseudomonas phage vB_PaeM_MAG1</t>
  </si>
  <si>
    <t>KY000083</t>
  </si>
  <si>
    <t>Pseudomonas phage PA10</t>
  </si>
  <si>
    <t>KC862297</t>
  </si>
  <si>
    <t>Pseudomonas phage PAK_P1</t>
  </si>
  <si>
    <t>KC862298</t>
  </si>
  <si>
    <t>Pseudomonas phage PAK_P2</t>
  </si>
  <si>
    <t>KC862300</t>
  </si>
  <si>
    <t>Pseudomonas phage PAK_P4</t>
  </si>
  <si>
    <t>HQ832595</t>
  </si>
  <si>
    <t>Pseudomonas phage PaP1</t>
  </si>
  <si>
    <t>KU761955</t>
  </si>
  <si>
    <t>Pseudomonas phage phiMK</t>
  </si>
  <si>
    <t>KY073228</t>
  </si>
  <si>
    <t>Pseudomonas phage Zigelbrucke</t>
  </si>
  <si>
    <t>Palaemonvirus</t>
  </si>
  <si>
    <t>Prochlorococcus virus PSSM7</t>
  </si>
  <si>
    <t>GU071103.1</t>
  </si>
  <si>
    <t>LN610589</t>
  </si>
  <si>
    <t>Pseudomonas phage vB_PaeM_C1-14_Ab28</t>
  </si>
  <si>
    <t>KR869157</t>
  </si>
  <si>
    <t>Pseudomonas phage vB_PaeM_CEB_DP1</t>
  </si>
  <si>
    <t>KR054030</t>
  </si>
  <si>
    <t>Pseudomonas phage DL60</t>
  </si>
  <si>
    <t>KR054033</t>
  </si>
  <si>
    <t>Pseudomonas phage DL68</t>
  </si>
  <si>
    <t>MF490241</t>
  </si>
  <si>
    <t>Pseudomonas phage vB_PaeM_E215</t>
  </si>
  <si>
    <t>MF490240</t>
  </si>
  <si>
    <t>Pseudomonas phage vB_PaeM_E217</t>
  </si>
  <si>
    <t>GU815091</t>
  </si>
  <si>
    <t>Pseudomonas phage JG024</t>
  </si>
  <si>
    <t>AB560486</t>
  </si>
  <si>
    <t>Pseudomonas phage KPP12</t>
  </si>
  <si>
    <t>KP340288</t>
  </si>
  <si>
    <t>Pseudomonas phage phiKTN6</t>
  </si>
  <si>
    <t>JN254800</t>
  </si>
  <si>
    <t>Pseudomonas phage NH-4</t>
  </si>
  <si>
    <t>KY000082</t>
  </si>
  <si>
    <t>Pseudomonas phage PA5</t>
  </si>
  <si>
    <t>KM434184</t>
  </si>
  <si>
    <t>Pseudomonas phage vB_Pae_PS44</t>
  </si>
  <si>
    <t>MG432137</t>
  </si>
  <si>
    <t>Pectinobacterium phage PEAT2</t>
  </si>
  <si>
    <t>Petsuvirus</t>
  </si>
  <si>
    <t>Edwardsiella virus pEtSU</t>
  </si>
  <si>
    <t>2019.074B.zip</t>
  </si>
  <si>
    <t>MK689364.1</t>
  </si>
  <si>
    <t>Phabquatrovirus</t>
  </si>
  <si>
    <t>Bordetella virus PHB04</t>
  </si>
  <si>
    <t>2019.101B.zip</t>
  </si>
  <si>
    <t>MF663786.1</t>
  </si>
  <si>
    <t>Phapecoctavirus</t>
  </si>
  <si>
    <t>Escherichia phage ESCO13</t>
  </si>
  <si>
    <t>2019.075B.zip</t>
  </si>
  <si>
    <t>KX552041.2</t>
  </si>
  <si>
    <t>Escherichia virus ESCO5</t>
  </si>
  <si>
    <t>KX664695</t>
  </si>
  <si>
    <t>Escherichia virus phAPEC8</t>
  </si>
  <si>
    <t>JX561091</t>
  </si>
  <si>
    <t>Escherichia virus Schickermooser</t>
  </si>
  <si>
    <t>MK373788</t>
  </si>
  <si>
    <t>Klebsiella virus ZCKP1</t>
  </si>
  <si>
    <t>MH252123</t>
  </si>
  <si>
    <t>JX233784</t>
  </si>
  <si>
    <t>Pseudomonas phage PA7</t>
  </si>
  <si>
    <t>MF805716</t>
  </si>
  <si>
    <t>Pseudomonas phage SL2</t>
  </si>
  <si>
    <t>KU862660</t>
  </si>
  <si>
    <t>Pseudomonas phage phiPMW</t>
  </si>
  <si>
    <t>MF403008</t>
  </si>
  <si>
    <t>Agrobacterium phage Atu_ph07</t>
  </si>
  <si>
    <t>Pontusvirus</t>
  </si>
  <si>
    <t>Synechococcus virus Syn19</t>
  </si>
  <si>
    <t>GU071106.1</t>
  </si>
  <si>
    <t>JQ177063</t>
  </si>
  <si>
    <t>Aeromonas phage vB_AsaM-56</t>
  </si>
  <si>
    <t>FO818745</t>
  </si>
  <si>
    <t>Escherichia phage RCS47</t>
  </si>
  <si>
    <t>KU760857</t>
  </si>
  <si>
    <t>Salmonella phage SJ46</t>
  </si>
  <si>
    <t>Qingdaovirus</t>
  </si>
  <si>
    <t>Pseudoalteromonas virus J2-1</t>
  </si>
  <si>
    <t>2019.022B.zip</t>
  </si>
  <si>
    <t>MF370964</t>
  </si>
  <si>
    <t>KM879463</t>
  </si>
  <si>
    <t xml:space="preserve">Arthrobacter phage vB_ArtM-ArV1 </t>
  </si>
  <si>
    <t>MF185718</t>
  </si>
  <si>
    <t>Arthrobacter phage Colucci</t>
  </si>
  <si>
    <t>KU160660</t>
  </si>
  <si>
    <t>Arthrobacter phage PrincessTrina</t>
  </si>
  <si>
    <t>AP017924.1</t>
  </si>
  <si>
    <t>Ralstonia phage RP12</t>
  </si>
  <si>
    <t>MF459646</t>
  </si>
  <si>
    <t>Erwinia phage vB_EamM_RisingSun</t>
  </si>
  <si>
    <t>Rosemountvirus</t>
  </si>
  <si>
    <t>Salmonella virus BP63</t>
  </si>
  <si>
    <t>KM366099.1</t>
  </si>
  <si>
    <t>Saclayvirus</t>
  </si>
  <si>
    <t>Acinetobacter virus Aci05</t>
  </si>
  <si>
    <t>2019.072B.zip</t>
  </si>
  <si>
    <t>MH746814.1</t>
  </si>
  <si>
    <t>Acinetobacter virus Aci01-1</t>
  </si>
  <si>
    <t>MH800198.1</t>
  </si>
  <si>
    <t>Acinetobacter virus Aci02-2</t>
  </si>
  <si>
    <t>MH800199.1</t>
  </si>
  <si>
    <t>Salacisavirus</t>
  </si>
  <si>
    <t>Prochlorococcus virus PSSM2</t>
  </si>
  <si>
    <t>AY939844</t>
  </si>
  <si>
    <t>Salmondvirus</t>
  </si>
  <si>
    <t>Dickeya virus JA11</t>
  </si>
  <si>
    <t>MH389777.1</t>
  </si>
  <si>
    <t>Dickeya virus JA29</t>
  </si>
  <si>
    <t>MH460461.1</t>
  </si>
  <si>
    <t>Sasquatchvirus</t>
  </si>
  <si>
    <t>Erwinia virus Y3</t>
  </si>
  <si>
    <t>KY984068.1</t>
  </si>
  <si>
    <t>Schmittlotzvirus</t>
  </si>
  <si>
    <t>Agrobacterium virus 7-7-1</t>
  </si>
  <si>
    <t>2019.086B.zip</t>
  </si>
  <si>
    <t>JQ312117.1</t>
  </si>
  <si>
    <t>JN641803</t>
  </si>
  <si>
    <t>Salmonella phage SPN3US</t>
  </si>
  <si>
    <t>KU640380.1</t>
  </si>
  <si>
    <t>Bacillus phage Shbh1</t>
  </si>
  <si>
    <t>MG018926.1</t>
  </si>
  <si>
    <t>Pseudomonas phage tabernarius</t>
  </si>
  <si>
    <t>Tamkungvirus</t>
  </si>
  <si>
    <t>Synechococcus virus ST4</t>
  </si>
  <si>
    <t>MH412654.1</t>
  </si>
  <si>
    <t>Taranisvirus</t>
  </si>
  <si>
    <t>Faecalibacterium virus Taranis</t>
  </si>
  <si>
    <t>Taranis</t>
  </si>
  <si>
    <t>MG711467</t>
  </si>
  <si>
    <t>Tefnutvirus</t>
  </si>
  <si>
    <t>Synechococcus virus SIOM18</t>
  </si>
  <si>
    <t>HQ317383.1</t>
  </si>
  <si>
    <t>HE956709</t>
  </si>
  <si>
    <t>Yersinia phage phiR1-RT</t>
  </si>
  <si>
    <t>KP202158</t>
  </si>
  <si>
    <t>Yersinia phage vB_YenM_TG1</t>
  </si>
  <si>
    <t>Thaumasvirus</t>
  </si>
  <si>
    <t>Synechococcus virus STIM4</t>
  </si>
  <si>
    <t>MH512890.1</t>
  </si>
  <si>
    <t>Thetisvirus</t>
  </si>
  <si>
    <t>Synechococcus virus SSM1</t>
  </si>
  <si>
    <t>GU071094.1</t>
  </si>
  <si>
    <t>KT624200</t>
  </si>
  <si>
    <t>Bacillus phage SP-15 KT624200</t>
  </si>
  <si>
    <t>AP017972</t>
  </si>
  <si>
    <t>Vibrio phage pTD1</t>
  </si>
  <si>
    <t>KC131130</t>
  </si>
  <si>
    <t>Vibrio phage VP4B</t>
  </si>
  <si>
    <t>HQ225832</t>
  </si>
  <si>
    <t>Tetrasphaera phage TJE1</t>
  </si>
  <si>
    <t>Toutatisvirus</t>
  </si>
  <si>
    <t>Faecalibacterium virus Toutatis</t>
  </si>
  <si>
    <t>Toutatis</t>
  </si>
  <si>
    <t>MG711466</t>
  </si>
  <si>
    <t>DQ529280</t>
  </si>
  <si>
    <t>Aeromonas phage 25</t>
  </si>
  <si>
    <t>JN377895</t>
  </si>
  <si>
    <t>Aeromonas phage Aes012</t>
  </si>
  <si>
    <t>JN377894</t>
  </si>
  <si>
    <t>Aeromonas phage Aes508</t>
  </si>
  <si>
    <t>HM452125</t>
  </si>
  <si>
    <t>Aeromonas phage phiAS4</t>
  </si>
  <si>
    <t>MF479730</t>
  </si>
  <si>
    <t>Aeromonas phage AS-gz</t>
  </si>
  <si>
    <t>JX306041</t>
  </si>
  <si>
    <t>Stenotrophomonas phage IME13</t>
  </si>
  <si>
    <t>Vellamovirus</t>
  </si>
  <si>
    <t>Prochlorococcus virus Syn1</t>
  </si>
  <si>
    <t>GU071105.1</t>
  </si>
  <si>
    <t>Synechococcus virus SRIM44</t>
  </si>
  <si>
    <t>KX349294</t>
  </si>
  <si>
    <t>JX556417</t>
  </si>
  <si>
    <t>Vibrio phage vB_VpaM_MAR</t>
  </si>
  <si>
    <t>AY133112</t>
  </si>
  <si>
    <t>Vibrio phage VHML</t>
  </si>
  <si>
    <t>FN297812</t>
  </si>
  <si>
    <t>Vibrio phage VP585</t>
  </si>
  <si>
    <t>JX128257</t>
  </si>
  <si>
    <t>Escherichia phage ECML-4</t>
  </si>
  <si>
    <t>KF669653</t>
  </si>
  <si>
    <t>Salmonella phage Marshall</t>
  </si>
  <si>
    <t>KF669654</t>
  </si>
  <si>
    <t>Salmonella phage Maynard</t>
  </si>
  <si>
    <t>KJ174317</t>
  </si>
  <si>
    <t>Salmonella phage vB_SalM_SJ2</t>
  </si>
  <si>
    <t>JX181828</t>
  </si>
  <si>
    <t>Salmonella phage STML-13-1</t>
  </si>
  <si>
    <t>Wellingtonvirus</t>
  </si>
  <si>
    <t>Erwinia virus Wellington</t>
  </si>
  <si>
    <t>2019.095B.zip</t>
  </si>
  <si>
    <t>MH426724.1</t>
  </si>
  <si>
    <t>Wifcevirus</t>
  </si>
  <si>
    <t>Escherichia virus ECML-117</t>
  </si>
  <si>
    <t>2019.096B.zip</t>
  </si>
  <si>
    <t>JX128258</t>
  </si>
  <si>
    <t>Escherichia virus FEC19</t>
  </si>
  <si>
    <t>MH816966</t>
  </si>
  <si>
    <t>Escherichia virus WFC</t>
  </si>
  <si>
    <t>MK373777</t>
  </si>
  <si>
    <t>Escherichia virus WFH</t>
  </si>
  <si>
    <t>MK373776</t>
  </si>
  <si>
    <t>MF036690</t>
  </si>
  <si>
    <t>Serratia phage CHI14</t>
  </si>
  <si>
    <t>AB767244</t>
  </si>
  <si>
    <t>Edwardsiella phage MSW-3</t>
  </si>
  <si>
    <t>AP013057</t>
  </si>
  <si>
    <t>Edwardsiella phage PEi21</t>
  </si>
  <si>
    <t>Yoloswagvirus</t>
  </si>
  <si>
    <t>Erwinia virus Yoloswag</t>
  </si>
  <si>
    <t>KY448244.1</t>
  </si>
  <si>
    <t>Z47794</t>
  </si>
  <si>
    <t>LK392619</t>
  </si>
  <si>
    <t>Streptococcus phage Cp-7</t>
  </si>
  <si>
    <t>KJ528544</t>
  </si>
  <si>
    <t>Lactococcus phage WP-2</t>
  </si>
  <si>
    <t>Rakietenvirinae</t>
  </si>
  <si>
    <t>Andhravirus</t>
  </si>
  <si>
    <t>Staphylococcus virus Andhra</t>
  </si>
  <si>
    <t>2019.078B.zip</t>
  </si>
  <si>
    <t>KY442063.1</t>
  </si>
  <si>
    <t>Staphylococcus virus St134</t>
  </si>
  <si>
    <t>KY471386.1</t>
  </si>
  <si>
    <t>Staphylococcus virus 66</t>
  </si>
  <si>
    <t>AY954949.1</t>
  </si>
  <si>
    <t>Staphylococcus virus BP39</t>
  </si>
  <si>
    <t>KM366100.1</t>
  </si>
  <si>
    <t>Staphylococcus virus CSA13</t>
  </si>
  <si>
    <t>MH107118.1</t>
  </si>
  <si>
    <t>Staphylococcus virus GRCS</t>
  </si>
  <si>
    <t>KJ210330.1</t>
  </si>
  <si>
    <t>Staphylococcus virus Pabna</t>
  </si>
  <si>
    <t>MH972260.1</t>
  </si>
  <si>
    <t>Staphylococcus virus phiAGO13</t>
  </si>
  <si>
    <t>MG766218.1</t>
  </si>
  <si>
    <t>Staphylococcus virus PSa3</t>
  </si>
  <si>
    <t>HF937074.1</t>
  </si>
  <si>
    <t>Staphylococcus virus S24-1</t>
  </si>
  <si>
    <t>AB626962.1</t>
  </si>
  <si>
    <t>Staphylococcus virus SAP2</t>
  </si>
  <si>
    <t>EU136189.1</t>
  </si>
  <si>
    <t>Staphylococcus virus SCH1</t>
  </si>
  <si>
    <t>KY000084.1</t>
  </si>
  <si>
    <t>Staphylococcus virus SLPW</t>
  </si>
  <si>
    <t>KU992911.1</t>
  </si>
  <si>
    <t>KF766125</t>
  </si>
  <si>
    <t>Shigella phage 75/02 Stx</t>
  </si>
  <si>
    <t>KJ603229</t>
  </si>
  <si>
    <t>Shigella phage POCJ13</t>
  </si>
  <si>
    <t>KF971864</t>
  </si>
  <si>
    <t>Escherichia phage phi191</t>
  </si>
  <si>
    <t>KP682371</t>
  </si>
  <si>
    <t>Escherichia phage PA2</t>
  </si>
  <si>
    <t>JQ011318</t>
  </si>
  <si>
    <t>Escherichia phage TL-2011c</t>
  </si>
  <si>
    <t>KR781488</t>
  </si>
  <si>
    <t>Shigella phage Ss-VASD</t>
  </si>
  <si>
    <t>HM208303</t>
  </si>
  <si>
    <t>Escherichia phage vB_EcoP_24B</t>
  </si>
  <si>
    <t>AF125520</t>
  </si>
  <si>
    <t>Escherichia phage 933W</t>
  </si>
  <si>
    <t>EU311208</t>
  </si>
  <si>
    <t>Escherichia phage Min27</t>
  </si>
  <si>
    <t>KP682381</t>
  </si>
  <si>
    <t>Escherichia phage PA28</t>
  </si>
  <si>
    <t>AP005154</t>
  </si>
  <si>
    <t>Escherichia phage Stx2 II</t>
  </si>
  <si>
    <t>MG775259</t>
  </si>
  <si>
    <t>Pseudomonas phage Bjorn</t>
  </si>
  <si>
    <t>LN610578</t>
  </si>
  <si>
    <t>Pseudomonas phage vB_PaeP_C2-10_Ab22</t>
  </si>
  <si>
    <t>KP233880</t>
  </si>
  <si>
    <t>Pseudomonas phage PhiCHU</t>
  </si>
  <si>
    <t>KF856712</t>
  </si>
  <si>
    <t>Pseudomonas phage phiIBB-PAA2</t>
  </si>
  <si>
    <t>KC294142</t>
  </si>
  <si>
    <t>Pseudomonas phage PaP4</t>
  </si>
  <si>
    <t>HG518155</t>
  </si>
  <si>
    <t>Pseudomonas phage TL</t>
  </si>
  <si>
    <t>JF712866</t>
  </si>
  <si>
    <t>Vibrio phage phiVC8</t>
  </si>
  <si>
    <t>AY505112</t>
  </si>
  <si>
    <t>Vibriophage VP2</t>
  </si>
  <si>
    <t>AY510084</t>
  </si>
  <si>
    <t>Vibriophage VP5</t>
  </si>
  <si>
    <t>KU599877</t>
  </si>
  <si>
    <t>Flavobacterrium phagee Fpv1</t>
  </si>
  <si>
    <t>KT876724</t>
  </si>
  <si>
    <t>Flavobacterrium phagee FpV4</t>
  </si>
  <si>
    <t>Fischettivirus</t>
  </si>
  <si>
    <t>AY212251.1</t>
  </si>
  <si>
    <t>KF192075</t>
  </si>
  <si>
    <t>Escherichia phage vB_EcoP_PhAPEC5</t>
  </si>
  <si>
    <t>KF562340</t>
  </si>
  <si>
    <t>Escherichia phage vB_EcoP_PhAPEC7</t>
  </si>
  <si>
    <t>KJ135004.2</t>
  </si>
  <si>
    <t>Escherichia phage Bp4</t>
  </si>
  <si>
    <t>KC206276.2</t>
  </si>
  <si>
    <t>Escherichia phage EC1-UPM</t>
  </si>
  <si>
    <t>JX415535</t>
  </si>
  <si>
    <t>Escherichia phage ECBP1</t>
  </si>
  <si>
    <t>HQ259105</t>
  </si>
  <si>
    <t>Escherichia phage vB_EcoP_G7C</t>
  </si>
  <si>
    <t>JX880034</t>
  </si>
  <si>
    <t>Escherichia phage IME11</t>
  </si>
  <si>
    <t>KF620435</t>
  </si>
  <si>
    <t>Shigella phage pSb-1</t>
  </si>
  <si>
    <t>Giessenvirus</t>
  </si>
  <si>
    <t>Escherichia virus C1302</t>
  </si>
  <si>
    <t>2019.076B.zip</t>
  </si>
  <si>
    <t>MH363708.1</t>
  </si>
  <si>
    <t>AY625898</t>
  </si>
  <si>
    <t>KC262634</t>
  </si>
  <si>
    <t>MF668266</t>
  </si>
  <si>
    <t>KU160650</t>
  </si>
  <si>
    <t>KF806588</t>
  </si>
  <si>
    <t>Erwinia phage Ea9-2</t>
  </si>
  <si>
    <t>KX098389</t>
  </si>
  <si>
    <t>Erwinia phage vB_EamP_Frozen</t>
  </si>
  <si>
    <t>AB757800</t>
  </si>
  <si>
    <t>Edwardsiella phage KF-1</t>
  </si>
  <si>
    <t>Kelquatrovirus</t>
  </si>
  <si>
    <t>Burkholderia virus KL4</t>
  </si>
  <si>
    <t>2019.081B.zip</t>
  </si>
  <si>
    <t>MH128984.1</t>
  </si>
  <si>
    <t>AB910393</t>
  </si>
  <si>
    <t xml:space="preserve">Pseudomonas phage KPP25 </t>
  </si>
  <si>
    <t>LC102729</t>
  </si>
  <si>
    <t>Pseudomonas phage PhiR18</t>
  </si>
  <si>
    <t>HE611333.2</t>
  </si>
  <si>
    <t>Pseudomonas phage tf</t>
  </si>
  <si>
    <t>KP308307</t>
  </si>
  <si>
    <t>Escherichia phage 172-1</t>
  </si>
  <si>
    <t>JX415536</t>
  </si>
  <si>
    <t>Escherichia phage ECBP2</t>
  </si>
  <si>
    <t>JX867715</t>
  </si>
  <si>
    <t>Escherichia phage NJ01</t>
  </si>
  <si>
    <t>KF981730</t>
  </si>
  <si>
    <t>Escherichia phage KBNP1711</t>
  </si>
  <si>
    <t>KM044272</t>
  </si>
  <si>
    <t>Escherichia phage vB_EcoP_SU10</t>
  </si>
  <si>
    <t>Escherichia virus HK620</t>
  </si>
  <si>
    <t>AF335538.1</t>
  </si>
  <si>
    <t>DQ003260</t>
  </si>
  <si>
    <t>AY349011</t>
  </si>
  <si>
    <t>FJ937737</t>
  </si>
  <si>
    <t>JX104231</t>
  </si>
  <si>
    <t>JN662425</t>
  </si>
  <si>
    <t>KC821632</t>
  </si>
  <si>
    <t>Cellulophaga phage phi4:1</t>
  </si>
  <si>
    <t>KC821609</t>
  </si>
  <si>
    <t>Cellulophaga phage phi17:2</t>
  </si>
  <si>
    <t>HG962375</t>
  </si>
  <si>
    <t>Pseudomonas phage vB_PaeP_C2-10_Ab09</t>
  </si>
  <si>
    <t>FN422399</t>
  </si>
  <si>
    <t>Pseudomonas phage LIT1</t>
  </si>
  <si>
    <t>JX194238</t>
  </si>
  <si>
    <t>Pseudomonas phage PA26</t>
  </si>
  <si>
    <t>LC064302</t>
  </si>
  <si>
    <t>Pseudomonas phage KPP21</t>
  </si>
  <si>
    <t>FN422398</t>
  </si>
  <si>
    <t>Pseudomonas phage LUZ7</t>
  </si>
  <si>
    <t>Mukerjeevirus</t>
  </si>
  <si>
    <t>Vibrio virus 48B1</t>
  </si>
  <si>
    <t>2019.068B.zip</t>
  </si>
  <si>
    <t>MG592591</t>
  </si>
  <si>
    <t>Vibrio virus 51A6</t>
  </si>
  <si>
    <t>MG592554</t>
  </si>
  <si>
    <t>Vibrio virus 51A7</t>
  </si>
  <si>
    <t>MG592625</t>
  </si>
  <si>
    <t>Vibrio virus 52B1</t>
  </si>
  <si>
    <t>MG592536</t>
  </si>
  <si>
    <t>AF396866.1</t>
  </si>
  <si>
    <t>Myxococcus phage Mx8</t>
  </si>
  <si>
    <t>KF669655</t>
  </si>
  <si>
    <t>Bacillus phage Page</t>
  </si>
  <si>
    <t>KP411017</t>
  </si>
  <si>
    <t>Bacillus phage Palmer</t>
  </si>
  <si>
    <t>KM236247</t>
  </si>
  <si>
    <t>Bacillus phage Pascal</t>
  </si>
  <si>
    <t>KF669660</t>
  </si>
  <si>
    <t>Bacillus phage Pony</t>
  </si>
  <si>
    <t>KM236248</t>
  </si>
  <si>
    <t>Bacillus phage Pookie</t>
  </si>
  <si>
    <t>JN939332</t>
  </si>
  <si>
    <t>Brucella phage Pr</t>
  </si>
  <si>
    <t>JN939331</t>
  </si>
  <si>
    <t>Brucella phage Tb</t>
  </si>
  <si>
    <t>Ryyoungvirus</t>
  </si>
  <si>
    <t>AY605181.1</t>
  </si>
  <si>
    <t>JQ617284</t>
  </si>
  <si>
    <t>Helicobacter phage 1961P</t>
  </si>
  <si>
    <t>AB647160</t>
  </si>
  <si>
    <t>Helicobacter phage KHP30</t>
  </si>
  <si>
    <t>AB731695</t>
  </si>
  <si>
    <t>Helicobacter phage KHP40</t>
  </si>
  <si>
    <t>Shizishanvirus</t>
  </si>
  <si>
    <t>Pseudomonas virus phCDa</t>
  </si>
  <si>
    <t>2019.032B.zip</t>
  </si>
  <si>
    <t>MH382836</t>
  </si>
  <si>
    <t>Skarprettervirus</t>
  </si>
  <si>
    <t>Escherichia virus Skarpretter</t>
  </si>
  <si>
    <t>MK105855.1</t>
  </si>
  <si>
    <t>Sortsnevirus</t>
  </si>
  <si>
    <t>Escherichia virus Sortsne</t>
  </si>
  <si>
    <t>MK651787.1</t>
  </si>
  <si>
    <t>Klebsiella virus IME279</t>
  </si>
  <si>
    <t>MF614100.1</t>
  </si>
  <si>
    <t>JN391180</t>
  </si>
  <si>
    <t>Salmonella phage SPN1S</t>
  </si>
  <si>
    <t>MG845684</t>
  </si>
  <si>
    <t>Pseudomonas phage NV1</t>
  </si>
  <si>
    <t>JX863101.2</t>
  </si>
  <si>
    <t>Pseudomonas phage UFV-P2</t>
  </si>
  <si>
    <t>Xuquatrovirus</t>
  </si>
  <si>
    <t>Escherichia virus PTXU04</t>
  </si>
  <si>
    <t>2019.037B.zip</t>
  </si>
  <si>
    <t>MK373772</t>
  </si>
  <si>
    <t>JX262376</t>
  </si>
  <si>
    <t>Streptomyces phage phiELB20</t>
  </si>
  <si>
    <t>JX182370</t>
  </si>
  <si>
    <t>Streptomyces phage R4</t>
  </si>
  <si>
    <t>KT186228</t>
  </si>
  <si>
    <t>Streptomyces phage Amela</t>
  </si>
  <si>
    <t>JX889246</t>
  </si>
  <si>
    <t>Streptomyces phage phiCAM</t>
  </si>
  <si>
    <t>KT124227</t>
  </si>
  <si>
    <t>Streptomyces phage Aaronocolus</t>
  </si>
  <si>
    <t>KT152029</t>
  </si>
  <si>
    <t>Streptomyces phage Caliburn</t>
  </si>
  <si>
    <t>KC124228</t>
  </si>
  <si>
    <t>Streptomyces phage Danzina</t>
  </si>
  <si>
    <t>KT124229</t>
  </si>
  <si>
    <t>Streptomyces phage Hydra</t>
  </si>
  <si>
    <t>KT184390</t>
  </si>
  <si>
    <t>Streptomyces phage Izzy</t>
  </si>
  <si>
    <t>KT184391</t>
  </si>
  <si>
    <t>Streptomyces phage Lannister</t>
  </si>
  <si>
    <t>KC700556</t>
  </si>
  <si>
    <t>Streptomyces phage Lika</t>
  </si>
  <si>
    <t>KC700557</t>
  </si>
  <si>
    <t>Streptomyces phage Sujidade</t>
  </si>
  <si>
    <t>KC700558</t>
  </si>
  <si>
    <t>Streptomyces phage Zemlya</t>
  </si>
  <si>
    <t>JX182369</t>
  </si>
  <si>
    <t>Streptomyces phage phiHau3</t>
  </si>
  <si>
    <t>JN699007</t>
  </si>
  <si>
    <t>KR080199</t>
  </si>
  <si>
    <t>Mycobacterium phage Baee</t>
  </si>
  <si>
    <t>KF024727</t>
  </si>
  <si>
    <t>Mycobacterium phage Reprobate</t>
  </si>
  <si>
    <t>KF279411</t>
  </si>
  <si>
    <t>Mycobacterium phage Adawi</t>
  </si>
  <si>
    <t>KF279412</t>
  </si>
  <si>
    <t>Mycobacterium phage Bane1</t>
  </si>
  <si>
    <t>KT270441</t>
  </si>
  <si>
    <t>Mycobacterium phage BrownCNA</t>
  </si>
  <si>
    <t>JF704094</t>
  </si>
  <si>
    <t>DQ398044</t>
  </si>
  <si>
    <t>KF493881</t>
  </si>
  <si>
    <t>Mycobacterium phage JAMaL</t>
  </si>
  <si>
    <t>EU770221</t>
  </si>
  <si>
    <t>JN699011</t>
  </si>
  <si>
    <t>KR080194</t>
  </si>
  <si>
    <t>Mycobacterium phage Vincenzo</t>
  </si>
  <si>
    <t>JF704104</t>
  </si>
  <si>
    <t>KR781349</t>
  </si>
  <si>
    <t>Mycobacterium phage Apizium</t>
  </si>
  <si>
    <t>KJ595576</t>
  </si>
  <si>
    <t>Mycobacterium phage Manad</t>
  </si>
  <si>
    <t>JN192463</t>
  </si>
  <si>
    <t>JN006064</t>
  </si>
  <si>
    <t>Mycobacterium phage OSmaximus</t>
  </si>
  <si>
    <t>AF547430</t>
  </si>
  <si>
    <t>KJ174157</t>
  </si>
  <si>
    <t>Mycobacterium phage Soto</t>
  </si>
  <si>
    <t>KF713485</t>
  </si>
  <si>
    <t>Mycobacterium phage Suffolk</t>
  </si>
  <si>
    <t>JN699003</t>
  </si>
  <si>
    <t>KF493879</t>
  </si>
  <si>
    <t>Mycobacterium phage Bernardo</t>
  </si>
  <si>
    <t>JN698992</t>
  </si>
  <si>
    <t>DQ398049</t>
  </si>
  <si>
    <t>KR997932</t>
  </si>
  <si>
    <t>Mycobacterium phage Godines</t>
  </si>
  <si>
    <t>AY129334</t>
  </si>
  <si>
    <t>KF024722.1</t>
  </si>
  <si>
    <t>Mycobacterium phage TA17a</t>
  </si>
  <si>
    <t>JN699001</t>
  </si>
  <si>
    <t>FJ168659</t>
  </si>
  <si>
    <t>Dolichocephalovirinae</t>
  </si>
  <si>
    <t>Bertelyvirus</t>
  </si>
  <si>
    <t>Caulobacter virus CcrBL9</t>
  </si>
  <si>
    <t>2019.039B.zip</t>
  </si>
  <si>
    <t>MH588546.1</t>
  </si>
  <si>
    <t>Caulobacter virus CcrSC</t>
  </si>
  <si>
    <t>MH588547.1</t>
  </si>
  <si>
    <t>Colossusvirus</t>
  </si>
  <si>
    <t>Caulobacter virus CcrColossus</t>
  </si>
  <si>
    <t>JX100810.1</t>
  </si>
  <si>
    <t>Caulobacter virus CcrPW</t>
  </si>
  <si>
    <t>MH588545.1</t>
  </si>
  <si>
    <t>Poindextervirus</t>
  </si>
  <si>
    <t>Caulobacter virus CcrBL10</t>
  </si>
  <si>
    <t>MH588544.1</t>
  </si>
  <si>
    <t>Caulobacter virus CcrRogue</t>
  </si>
  <si>
    <t>JX100814.1</t>
  </si>
  <si>
    <t>Shapirovirus</t>
  </si>
  <si>
    <t>JX100813</t>
  </si>
  <si>
    <t>JX100809</t>
  </si>
  <si>
    <t>KC139518</t>
  </si>
  <si>
    <t>Salmonella phage FSL SP-031</t>
  </si>
  <si>
    <t>JX297445</t>
  </si>
  <si>
    <t>Salmonella phage vB_SenS_AG11</t>
  </si>
  <si>
    <t xml:space="preserve">HE775250 </t>
  </si>
  <si>
    <t>KR270151</t>
  </si>
  <si>
    <t>Salmonella phage f18SE</t>
  </si>
  <si>
    <t>KF148055</t>
  </si>
  <si>
    <t xml:space="preserve">JQ007353 </t>
  </si>
  <si>
    <t xml:space="preserve">EF177456 </t>
  </si>
  <si>
    <t>KF562865</t>
  </si>
  <si>
    <t>Salmonella phage SETP7</t>
  </si>
  <si>
    <t>KF562864</t>
  </si>
  <si>
    <t>Salmonella phage SETP13</t>
  </si>
  <si>
    <t>KC139511</t>
  </si>
  <si>
    <t>Salmonella phage FSL SP-101</t>
  </si>
  <si>
    <t>AY730274</t>
  </si>
  <si>
    <t xml:space="preserve">JX202565 </t>
  </si>
  <si>
    <t>GU196277</t>
  </si>
  <si>
    <t>Escherichia phage K1G</t>
  </si>
  <si>
    <t>GU196278</t>
  </si>
  <si>
    <t>Escherichia phage K1H</t>
  </si>
  <si>
    <t>GU196279</t>
  </si>
  <si>
    <t>Escherichia phage K1ind1</t>
  </si>
  <si>
    <t>GU196280</t>
  </si>
  <si>
    <t>Escherichia phage K1ind2</t>
  </si>
  <si>
    <t>MG099933</t>
  </si>
  <si>
    <t>Esherichia phage vB_EcoS-Golestan none</t>
  </si>
  <si>
    <t>Raoultella virus RP180</t>
  </si>
  <si>
    <t>2019.080B.zip</t>
  </si>
  <si>
    <t>RP180</t>
  </si>
  <si>
    <t>MK737937</t>
  </si>
  <si>
    <t>Langleyhallvirinae</t>
  </si>
  <si>
    <t>Getalongvirus</t>
  </si>
  <si>
    <t>Gordonia virus Asapag</t>
  </si>
  <si>
    <t>2019.063B.zip</t>
  </si>
  <si>
    <t>MK376961.1</t>
  </si>
  <si>
    <t>Gordonia virus BENtherdunthat</t>
  </si>
  <si>
    <t>MG099939.1</t>
  </si>
  <si>
    <t>Gordonia virus Getalong</t>
  </si>
  <si>
    <t>MH779504.1</t>
  </si>
  <si>
    <t>Gordonia virus Kenna</t>
  </si>
  <si>
    <t>MK279906.1</t>
  </si>
  <si>
    <t>Horusvirus</t>
  </si>
  <si>
    <t>Gordonia virus Horus</t>
  </si>
  <si>
    <t>MH651176.1</t>
  </si>
  <si>
    <t>Phistoryvirus</t>
  </si>
  <si>
    <t>Gordonia virus Phistory</t>
  </si>
  <si>
    <t>MH651185.1</t>
  </si>
  <si>
    <t>JN699628</t>
  </si>
  <si>
    <t>JF937105</t>
  </si>
  <si>
    <t>JN256079</t>
  </si>
  <si>
    <t>JN624851</t>
  </si>
  <si>
    <t>KU963255</t>
  </si>
  <si>
    <t>Gordonia phage Nymphadora</t>
  </si>
  <si>
    <t>JN412591</t>
  </si>
  <si>
    <t>KT347313</t>
  </si>
  <si>
    <t>Mycobacterium phage Brusacoram</t>
  </si>
  <si>
    <t>KF841477</t>
  </si>
  <si>
    <t>Mycobacterium phage Donovan</t>
  </si>
  <si>
    <t>KC691256</t>
  </si>
  <si>
    <t>Mycobacterium phage Fishburne</t>
  </si>
  <si>
    <t>JN572061</t>
  </si>
  <si>
    <t>KP027200</t>
  </si>
  <si>
    <t>Mycobacterium phage Malithi</t>
  </si>
  <si>
    <t>KR080195</t>
  </si>
  <si>
    <t>Mycobacterium phage Phayonce</t>
  </si>
  <si>
    <t>Tybeckvirinae</t>
  </si>
  <si>
    <t>Douglaswolinvirus</t>
  </si>
  <si>
    <t>Lactobacillus virus B2</t>
  </si>
  <si>
    <t>2019.051B.zip</t>
  </si>
  <si>
    <t>JX486088.1</t>
  </si>
  <si>
    <t>Lenusvirus</t>
  </si>
  <si>
    <t>Lactobacillus virus Lenus</t>
  </si>
  <si>
    <t>MG252693.1</t>
  </si>
  <si>
    <t>Lactobacillus virus Nyseid</t>
  </si>
  <si>
    <t>MG765276.1</t>
  </si>
  <si>
    <t>Lactobacillus virus SAC12</t>
  </si>
  <si>
    <t>KU052488.1</t>
  </si>
  <si>
    <t>Lidleunavirus</t>
  </si>
  <si>
    <t>Lactobacillus virus Ldl1</t>
  </si>
  <si>
    <t>KM514685.1</t>
  </si>
  <si>
    <t>Lactobacillus virus ViSo2018a</t>
  </si>
  <si>
    <t>CP031026.1</t>
  </si>
  <si>
    <t>Maenadvirus</t>
  </si>
  <si>
    <t>Lactobacillus virus Maenad</t>
  </si>
  <si>
    <t>MG765274.1</t>
  </si>
  <si>
    <t>Lactobacillus virus P1</t>
  </si>
  <si>
    <t>KX223815.1</t>
  </si>
  <si>
    <t>Lactobacillus virus Satyr</t>
  </si>
  <si>
    <t>MG744354.1</t>
  </si>
  <si>
    <t>Abbeymikolonvirus</t>
  </si>
  <si>
    <t>Streptomyces virus AbbeyMikolon</t>
  </si>
  <si>
    <t>2019.038B.zip</t>
  </si>
  <si>
    <t>MG593800.1</t>
  </si>
  <si>
    <t>LN610577</t>
  </si>
  <si>
    <t>Pseudomonas phage vB_PaeS_PAO1_Ab18</t>
  </si>
  <si>
    <t>LN610584</t>
  </si>
  <si>
    <t>Pseudomonas phage vB_PaeS_PAO1_Ab19</t>
  </si>
  <si>
    <t>JQ067087</t>
  </si>
  <si>
    <t>Pseudomonas phage PaMx11</t>
  </si>
  <si>
    <t>JN564907</t>
  </si>
  <si>
    <t>Burkholderia phage vB_BceS_AH2</t>
  </si>
  <si>
    <t>KU160638</t>
  </si>
  <si>
    <t>Arthrobacter phage Amigo</t>
  </si>
  <si>
    <t>MF185731.1</t>
  </si>
  <si>
    <t>Arthrobacter phage Molivia</t>
  </si>
  <si>
    <t>Andrewvirus</t>
  </si>
  <si>
    <t>Arthrobacter virus Andrew</t>
  </si>
  <si>
    <t>2019.045B.zip</t>
  </si>
  <si>
    <t>MH834595.1</t>
  </si>
  <si>
    <t>KC330684</t>
  </si>
  <si>
    <t>KF669648</t>
  </si>
  <si>
    <t>KC330679</t>
  </si>
  <si>
    <t>KC330680</t>
  </si>
  <si>
    <t>KC330683</t>
  </si>
  <si>
    <t>KF669651</t>
  </si>
  <si>
    <t>KF669659</t>
  </si>
  <si>
    <t>KC330682</t>
  </si>
  <si>
    <t>Appavirus</t>
  </si>
  <si>
    <t>Microbacterium virus Appa</t>
  </si>
  <si>
    <t>2019.046B.zip</t>
  </si>
  <si>
    <t>MH153799</t>
  </si>
  <si>
    <t>Apricotvirus</t>
  </si>
  <si>
    <t>Gordonia virus Apricot</t>
  </si>
  <si>
    <t>2019.003B.zip</t>
  </si>
  <si>
    <t>MH536812.1</t>
  </si>
  <si>
    <t>Armstrongvirus</t>
  </si>
  <si>
    <t>Microbacterium virus Armstrong</t>
  </si>
  <si>
    <t>2019.040B.zip</t>
  </si>
  <si>
    <t>MH834596.1</t>
  </si>
  <si>
    <t>Attoomivirus</t>
  </si>
  <si>
    <t>Streptomyces virus Attoomi</t>
  </si>
  <si>
    <t>2019.041B.zip</t>
  </si>
  <si>
    <t>MG593801.1</t>
  </si>
  <si>
    <t>Austintatiousvirus</t>
  </si>
  <si>
    <t>Streptomyces virus Austintatious</t>
  </si>
  <si>
    <t>2019.042B.zip</t>
  </si>
  <si>
    <t>MK305888.1</t>
  </si>
  <si>
    <t>Streptomyces virus Ididsumtinwong</t>
  </si>
  <si>
    <t>KY092479.1</t>
  </si>
  <si>
    <t>Streptomyces virus PapayaSalad</t>
  </si>
  <si>
    <t>KY092481.1</t>
  </si>
  <si>
    <t>KX557272</t>
  </si>
  <si>
    <t>Gordonia phage Bantam</t>
  </si>
  <si>
    <t>AY129339</t>
  </si>
  <si>
    <t>FJ174691</t>
  </si>
  <si>
    <t>EU770222</t>
  </si>
  <si>
    <t>AF232233</t>
  </si>
  <si>
    <t>Pseudomonas phage B3</t>
  </si>
  <si>
    <t>JX495043</t>
  </si>
  <si>
    <t>Pseudomonas phage JBD67</t>
  </si>
  <si>
    <t>JX495041</t>
  </si>
  <si>
    <t>Pseudomonas phage JD18</t>
  </si>
  <si>
    <t>LN898172</t>
  </si>
  <si>
    <t>Pseudomonas phage vB_PaeS_PM105</t>
  </si>
  <si>
    <t>KJ510413</t>
  </si>
  <si>
    <t>Mycobacterium phage Bernal13</t>
  </si>
  <si>
    <t>KU963261</t>
  </si>
  <si>
    <t>Gordonia phage BetterKatz</t>
  </si>
  <si>
    <t>MG757154</t>
  </si>
  <si>
    <t>Streptomyces phage Bing</t>
  </si>
  <si>
    <t>AF424783</t>
  </si>
  <si>
    <t>AY508486</t>
  </si>
  <si>
    <t>AB243556</t>
  </si>
  <si>
    <t>KU998235</t>
  </si>
  <si>
    <t>Gordonia phage Bowser</t>
  </si>
  <si>
    <t>Bridgettevirus</t>
  </si>
  <si>
    <t>Arthrobacter virus Bridgette</t>
  </si>
  <si>
    <t>2019.005B.zip</t>
  </si>
  <si>
    <t>MH834603.1</t>
  </si>
  <si>
    <t>Arthrobacter virus Constance</t>
  </si>
  <si>
    <t>MH834605.1</t>
  </si>
  <si>
    <t>Arthrobacter virus Eileen</t>
  </si>
  <si>
    <t>MH834611.1</t>
  </si>
  <si>
    <t>Arthrobacter virus Judy</t>
  </si>
  <si>
    <t>MH834614.1</t>
  </si>
  <si>
    <t>Arthrobacter virus Peas</t>
  </si>
  <si>
    <t>MH834623.1</t>
  </si>
  <si>
    <t>KU998233</t>
  </si>
  <si>
    <t>Gordonia phage BritBrat</t>
  </si>
  <si>
    <t>HM152763</t>
  </si>
  <si>
    <t>JF744988</t>
  </si>
  <si>
    <t>Mycobacterium virus JoeDirt</t>
  </si>
  <si>
    <t>2019.083B.zip</t>
  </si>
  <si>
    <t>JF704108.1</t>
  </si>
  <si>
    <t>JN680858</t>
  </si>
  <si>
    <t>EF529515</t>
  </si>
  <si>
    <t>AY699705</t>
  </si>
  <si>
    <t>FJ226752</t>
  </si>
  <si>
    <t>U88974</t>
  </si>
  <si>
    <t>AF158600</t>
  </si>
  <si>
    <t>AY394005</t>
  </si>
  <si>
    <t>DQ631426</t>
  </si>
  <si>
    <t>JN808773</t>
  </si>
  <si>
    <t>HE584812</t>
  </si>
  <si>
    <t>DQ873690</t>
  </si>
  <si>
    <t>EU272036</t>
  </si>
  <si>
    <t>EU272037</t>
  </si>
  <si>
    <t>HM624080</t>
  </si>
  <si>
    <t>HQ634192</t>
  </si>
  <si>
    <t>Cellulophaga phage phiST</t>
  </si>
  <si>
    <t>GU229986</t>
  </si>
  <si>
    <t>EU874396</t>
  </si>
  <si>
    <t>MG198776</t>
  </si>
  <si>
    <t>Corynebacterium phage C3PO</t>
  </si>
  <si>
    <t>MG198777</t>
  </si>
  <si>
    <t>Corynebacterium phage Darwin</t>
  </si>
  <si>
    <t>MG198780</t>
  </si>
  <si>
    <t>Corynebacterium phage Zion</t>
  </si>
  <si>
    <t>EU340421</t>
  </si>
  <si>
    <t>KJ564038</t>
  </si>
  <si>
    <t xml:space="preserve">Lactobacillus phage Ld3 </t>
  </si>
  <si>
    <t>KJ564037</t>
  </si>
  <si>
    <t xml:space="preserve">Lactobacillus phage Ld17 </t>
  </si>
  <si>
    <t>KJ564036</t>
  </si>
  <si>
    <t xml:space="preserve">Lactobacillus phage Ld25A </t>
  </si>
  <si>
    <t>AY739900</t>
  </si>
  <si>
    <t>KF188410</t>
  </si>
  <si>
    <t xml:space="preserve">Lactobacillus phage phiLdb </t>
  </si>
  <si>
    <t>AY129333</t>
  </si>
  <si>
    <t>GU060500</t>
  </si>
  <si>
    <t>JQ809702</t>
  </si>
  <si>
    <t>EU816590</t>
  </si>
  <si>
    <t>AY129330</t>
  </si>
  <si>
    <t>AY129336</t>
  </si>
  <si>
    <t>Mycobacterium virus DeadP</t>
  </si>
  <si>
    <t>JN698996.1</t>
  </si>
  <si>
    <t>JF937093</t>
  </si>
  <si>
    <t>Mycobacterium phage Dlane</t>
  </si>
  <si>
    <t>JX411620</t>
  </si>
  <si>
    <t>Mycobacterium virus DotProduct</t>
  </si>
  <si>
    <t>JN859129.1</t>
  </si>
  <si>
    <t>JN542517</t>
  </si>
  <si>
    <t>FJ174690</t>
  </si>
  <si>
    <t>Mycobacterium virus GUmbie</t>
  </si>
  <si>
    <t>JN398368.1</t>
  </si>
  <si>
    <t>JF937098</t>
  </si>
  <si>
    <t>DQ398045</t>
  </si>
  <si>
    <t>JF937102</t>
  </si>
  <si>
    <t>JN020142</t>
  </si>
  <si>
    <t>FJ174692</t>
  </si>
  <si>
    <t>DQ398050</t>
  </si>
  <si>
    <t>FJ174693</t>
  </si>
  <si>
    <t>Mycobacterium virus RockyHorror</t>
  </si>
  <si>
    <t>JF704117.1</t>
  </si>
  <si>
    <t>JN699012</t>
  </si>
  <si>
    <t>JN020141</t>
  </si>
  <si>
    <t>JN020143</t>
  </si>
  <si>
    <t>JQ300538</t>
  </si>
  <si>
    <t>JX121091</t>
  </si>
  <si>
    <t>EF536069</t>
  </si>
  <si>
    <t>HQ728524</t>
  </si>
  <si>
    <t>JF704115</t>
  </si>
  <si>
    <t>JX094499</t>
  </si>
  <si>
    <t>KC139519</t>
  </si>
  <si>
    <t>KC139512</t>
  </si>
  <si>
    <t>KC677662</t>
  </si>
  <si>
    <t>JN871591</t>
  </si>
  <si>
    <t>DQ499600</t>
  </si>
  <si>
    <t>Corynebacterium phage P1201</t>
  </si>
  <si>
    <t>GQ241246</t>
  </si>
  <si>
    <t>Clavibacter phage CMP1</t>
  </si>
  <si>
    <t>KF669650</t>
  </si>
  <si>
    <t>Clavibbacter phage CN1A</t>
  </si>
  <si>
    <t>JX486087</t>
  </si>
  <si>
    <t>AY236756</t>
  </si>
  <si>
    <t>JN051154</t>
  </si>
  <si>
    <t>Coralvirus</t>
  </si>
  <si>
    <t>Arthrobacter virus Coral</t>
  </si>
  <si>
    <t>2019.007B.zip</t>
  </si>
  <si>
    <t>MH834606.1</t>
  </si>
  <si>
    <t>Arthrobacter virus Kepler</t>
  </si>
  <si>
    <t>MH834616.1</t>
  </si>
  <si>
    <t>AY129335</t>
  </si>
  <si>
    <t>JN698993</t>
  </si>
  <si>
    <t>KR935217</t>
  </si>
  <si>
    <t>Rhodobacter phage RcCronus</t>
  </si>
  <si>
    <t>Daredevilvirus</t>
  </si>
  <si>
    <t>Gordonia virus DareDevil</t>
  </si>
  <si>
    <t>2019.006B.zip</t>
  </si>
  <si>
    <t>MH590603.1</t>
  </si>
  <si>
    <t>KT355471</t>
  </si>
  <si>
    <t>Arthrobacter phage Decurro</t>
  </si>
  <si>
    <t>MG189906</t>
  </si>
  <si>
    <t>Stenotrophomonas phage vB_SmaS_DLP_5</t>
  </si>
  <si>
    <t>KU998242</t>
  </si>
  <si>
    <t>Gordonia phage Demosthenes</t>
  </si>
  <si>
    <t>KU963258</t>
  </si>
  <si>
    <t>Gordonia phage Katyusha</t>
  </si>
  <si>
    <t>KU998243</t>
  </si>
  <si>
    <t>Gordonia phage Kvothe</t>
  </si>
  <si>
    <t>AF165214</t>
  </si>
  <si>
    <t>HQ711985</t>
  </si>
  <si>
    <t>KM233151</t>
  </si>
  <si>
    <t>Escherichia phage EK99P-1</t>
  </si>
  <si>
    <t>JQ086375</t>
  </si>
  <si>
    <t xml:space="preserve">JX865427 </t>
  </si>
  <si>
    <t>FJ750948</t>
  </si>
  <si>
    <t>KM896878</t>
  </si>
  <si>
    <t>Escherichia phage YD-2008.s</t>
  </si>
  <si>
    <t xml:space="preserve">JN984867 </t>
  </si>
  <si>
    <t xml:space="preserve">GQ502199 </t>
  </si>
  <si>
    <t>MG670586</t>
  </si>
  <si>
    <t>Microbacterium phage Dismas</t>
  </si>
  <si>
    <t>Edenvirus</t>
  </si>
  <si>
    <t>Microbacterium virus Eden</t>
  </si>
  <si>
    <t>2019.053B.zip</t>
  </si>
  <si>
    <t>MH509447.1</t>
  </si>
  <si>
    <t>MH203384</t>
  </si>
  <si>
    <t>Enterococcus phage vB_EfaS_AL2</t>
  </si>
  <si>
    <t>MH203383</t>
  </si>
  <si>
    <t>Enterococcus phage vB_EfaS_AL3</t>
  </si>
  <si>
    <t>KJ127304</t>
  </si>
  <si>
    <t>Enterococcus phage AUEF3</t>
  </si>
  <si>
    <t>KR131750</t>
  </si>
  <si>
    <t>Enterococcus phage Ec-ZZ2</t>
  </si>
  <si>
    <t>KF728385.2</t>
  </si>
  <si>
    <t>Enterococcus phage IME_EF3</t>
  </si>
  <si>
    <t>KF733017</t>
  </si>
  <si>
    <t>Enterococcus phage IME-EF4</t>
  </si>
  <si>
    <t>JX193904</t>
  </si>
  <si>
    <t>Enterococcus phage EfaCPT1</t>
  </si>
  <si>
    <t>KT932701</t>
  </si>
  <si>
    <t>Enterococcus phage vB_EfaS_IME196</t>
  </si>
  <si>
    <t>MH193369</t>
  </si>
  <si>
    <t>Enterococcus phage LY0322</t>
  </si>
  <si>
    <t>MF678788</t>
  </si>
  <si>
    <t>Enterococcus phage phiSHEF2</t>
  </si>
  <si>
    <t>MF678789</t>
  </si>
  <si>
    <t>Enterococcus phage phiSHEF4</t>
  </si>
  <si>
    <t>MF678790</t>
  </si>
  <si>
    <t>Enterococcus phage phiSHEF5</t>
  </si>
  <si>
    <t>MG708276</t>
  </si>
  <si>
    <t>Enterococcus phage PMBT2</t>
  </si>
  <si>
    <t>KX284704</t>
  </si>
  <si>
    <t>Enterococcus phage SANTOR1</t>
  </si>
  <si>
    <t>KF772233</t>
  </si>
  <si>
    <t>Edwardsiella phage eiAU</t>
  </si>
  <si>
    <t>EU717894</t>
  </si>
  <si>
    <t>MG839027</t>
  </si>
  <si>
    <t>Microbacterium phage Eleri</t>
  </si>
  <si>
    <t>KU998239</t>
  </si>
  <si>
    <t>Gordonia phage Cozz</t>
  </si>
  <si>
    <t>KU963260</t>
  </si>
  <si>
    <t>Gordonia phage Emalyn</t>
  </si>
  <si>
    <t>HQ403646</t>
  </si>
  <si>
    <t>Gordonia phage GTE2</t>
  </si>
  <si>
    <t>MG770215</t>
  </si>
  <si>
    <t>Gordonia phage Troje</t>
  </si>
  <si>
    <t>KX557277</t>
  </si>
  <si>
    <t>Gordonia phage Eyre</t>
  </si>
  <si>
    <t>Fairfaxidumvirus</t>
  </si>
  <si>
    <t>Gordonia virus Fairfaxidumvirus</t>
  </si>
  <si>
    <t>2019.008B.zip</t>
  </si>
  <si>
    <t>MK814757.1</t>
  </si>
  <si>
    <t>KJ173786.1</t>
  </si>
  <si>
    <t>Microbacterium vB_MoxS-ISF9</t>
  </si>
  <si>
    <t>Feofaniavirus</t>
  </si>
  <si>
    <t>Erwinia virus Eho49</t>
  </si>
  <si>
    <t>2019.055B.zip</t>
  </si>
  <si>
    <t>MH443100</t>
  </si>
  <si>
    <t>Erwinia virus Eho59</t>
  </si>
  <si>
    <t>MH443101</t>
  </si>
  <si>
    <t>Fibralongavirus</t>
  </si>
  <si>
    <t>Staphylococcus virus 2638A</t>
  </si>
  <si>
    <t>2019.056B.zip</t>
  </si>
  <si>
    <t>AY954954</t>
  </si>
  <si>
    <t>Staphylococcus virus QT1</t>
  </si>
  <si>
    <t>MK450538</t>
  </si>
  <si>
    <t>Franklinbayvirus</t>
  </si>
  <si>
    <t>Colwellia virus 9A</t>
  </si>
  <si>
    <t>2019.058B.zip</t>
  </si>
  <si>
    <t>HQ317390.1</t>
  </si>
  <si>
    <t>JN699005</t>
  </si>
  <si>
    <t>JX307702</t>
  </si>
  <si>
    <t>JX015524</t>
  </si>
  <si>
    <t>JF704093</t>
  </si>
  <si>
    <t>JN083852</t>
  </si>
  <si>
    <t>AY500153</t>
  </si>
  <si>
    <t>JN699000</t>
  </si>
  <si>
    <t>JF957057</t>
  </si>
  <si>
    <t>Mycobacterium phage BPBiebs31</t>
  </si>
  <si>
    <t>JN698998</t>
  </si>
  <si>
    <t>AF271693</t>
  </si>
  <si>
    <t>AY129332</t>
  </si>
  <si>
    <t>DQ398043</t>
  </si>
  <si>
    <t>JN408459</t>
  </si>
  <si>
    <t>JN153085</t>
  </si>
  <si>
    <t>JN049605</t>
  </si>
  <si>
    <t>JN153086</t>
  </si>
  <si>
    <t>JF704107</t>
  </si>
  <si>
    <t>JF704097</t>
  </si>
  <si>
    <t>JX307704</t>
  </si>
  <si>
    <t>JF937094</t>
  </si>
  <si>
    <t>JF957058</t>
  </si>
  <si>
    <t>EU744251</t>
  </si>
  <si>
    <t>JF937099</t>
  </si>
  <si>
    <t>JN699019</t>
  </si>
  <si>
    <t>JF704098</t>
  </si>
  <si>
    <t>EU744248</t>
  </si>
  <si>
    <t>JF937110</t>
  </si>
  <si>
    <t>Mycobacterium phage KSSJEB</t>
  </si>
  <si>
    <t>JN699016</t>
  </si>
  <si>
    <t>JF937100</t>
  </si>
  <si>
    <t>JN699015</t>
  </si>
  <si>
    <t>EU744249</t>
  </si>
  <si>
    <t>JX307705</t>
  </si>
  <si>
    <t>JF704101</t>
  </si>
  <si>
    <t>JN020140</t>
  </si>
  <si>
    <t>JF937103</t>
  </si>
  <si>
    <t>JQ698665</t>
  </si>
  <si>
    <t>JF704110</t>
  </si>
  <si>
    <t>GQ303263</t>
  </si>
  <si>
    <t>JN572689</t>
  </si>
  <si>
    <t>EU744250</t>
  </si>
  <si>
    <t>JX411619</t>
  </si>
  <si>
    <t>GU339467</t>
  </si>
  <si>
    <t>JN398369</t>
  </si>
  <si>
    <t>JF704111</t>
  </si>
  <si>
    <t>JN831654</t>
  </si>
  <si>
    <t>GU247132</t>
  </si>
  <si>
    <t>EU826470</t>
  </si>
  <si>
    <t>JF937108</t>
  </si>
  <si>
    <t>JF946695</t>
  </si>
  <si>
    <t>JQ684677</t>
  </si>
  <si>
    <t>JF957060</t>
  </si>
  <si>
    <t>JN408461</t>
  </si>
  <si>
    <t>JN408460</t>
  </si>
  <si>
    <t>JQ512844</t>
  </si>
  <si>
    <t>AY500152</t>
  </si>
  <si>
    <t>JN687951</t>
  </si>
  <si>
    <t>HM755814</t>
  </si>
  <si>
    <t>KJ567043</t>
  </si>
  <si>
    <t>MF140397</t>
  </si>
  <si>
    <t>Arthrobacter phage Abidatro</t>
  </si>
  <si>
    <t>KU160644</t>
  </si>
  <si>
    <t>Arthrobacter phage Galaxy</t>
  </si>
  <si>
    <t>KR053194</t>
  </si>
  <si>
    <t>Gordonia phage GAL1</t>
  </si>
  <si>
    <t>KR063279</t>
  </si>
  <si>
    <t>Gordonia phage GMA3</t>
  </si>
  <si>
    <t>KP790011</t>
  </si>
  <si>
    <t>Gordonia phage Gsput1</t>
  </si>
  <si>
    <t>KR063278</t>
  </si>
  <si>
    <t>Gordonia phage GMA7</t>
  </si>
  <si>
    <t>JN035618</t>
  </si>
  <si>
    <t>Gordonia phage GTE7</t>
  </si>
  <si>
    <t>KX557278</t>
  </si>
  <si>
    <t>Gordonia phage Ghobes</t>
  </si>
  <si>
    <t>EU203571</t>
  </si>
  <si>
    <t>Gillianvirus</t>
  </si>
  <si>
    <t>Microbacterium virus OneinaGillian</t>
  </si>
  <si>
    <t>2019.010B.zip</t>
  </si>
  <si>
    <t>MH727556.1</t>
  </si>
  <si>
    <t>Godonkavirus</t>
  </si>
  <si>
    <t>Gordonia virus GodonK</t>
  </si>
  <si>
    <t>2019.009B.zip</t>
  </si>
  <si>
    <t>MK620899.1</t>
  </si>
  <si>
    <t>Goodmanvirus</t>
  </si>
  <si>
    <t>Microbacterium virus Goodman</t>
  </si>
  <si>
    <t>2019.011B.zip</t>
  </si>
  <si>
    <t>MK016495.1</t>
  </si>
  <si>
    <t>KU160641</t>
  </si>
  <si>
    <t>Arthrobacter phage CaptnMurica</t>
  </si>
  <si>
    <t>KU160646</t>
  </si>
  <si>
    <t>Arthrobacter phage Gordon</t>
  </si>
  <si>
    <t>KP790008</t>
  </si>
  <si>
    <t>Gordonia phage GordTnk2</t>
  </si>
  <si>
    <t>KY742649.2</t>
  </si>
  <si>
    <t>Proteus phage vB_PmiS-Isfahan none</t>
  </si>
  <si>
    <t>KX557281</t>
  </si>
  <si>
    <t>Gordonia phage Jumbo</t>
  </si>
  <si>
    <t>MG198784</t>
  </si>
  <si>
    <t>Gordonia phage Gustav</t>
  </si>
  <si>
    <t>MG198783</t>
  </si>
  <si>
    <t>Gordonia phage Mahdia</t>
  </si>
  <si>
    <t>KT361651</t>
  </si>
  <si>
    <t>Paenibacillus phage Harrison</t>
  </si>
  <si>
    <t>KX557279</t>
  </si>
  <si>
    <t>Gordonia phage Hedwig</t>
  </si>
  <si>
    <t>KC821613</t>
  </si>
  <si>
    <t>Cellulophaga phage phi12:1</t>
  </si>
  <si>
    <t>KC821617</t>
  </si>
  <si>
    <t>Cellulophaga phage phi17:1</t>
  </si>
  <si>
    <t>KC821619</t>
  </si>
  <si>
    <t>Cellulophaga phage phi18:1</t>
  </si>
  <si>
    <t>Hiyaavirus</t>
  </si>
  <si>
    <t>Streptomyces virus Hiyaa</t>
  </si>
  <si>
    <t>2019.060B.zip</t>
  </si>
  <si>
    <t>MK279841.1</t>
  </si>
  <si>
    <t>MF580955</t>
  </si>
  <si>
    <t>Salinibacter phage M1EM-1</t>
  </si>
  <si>
    <t>MF580957</t>
  </si>
  <si>
    <t>Salinibacter phage M8CR30-2</t>
  </si>
  <si>
    <t>KJ094020</t>
  </si>
  <si>
    <t>Listeria phage LP-026</t>
  </si>
  <si>
    <t>JX126920.2</t>
  </si>
  <si>
    <t>Listeria phage LP-037</t>
  </si>
  <si>
    <t>JX126919</t>
  </si>
  <si>
    <t>Listeria phage LP-110</t>
  </si>
  <si>
    <t>KJ094021</t>
  </si>
  <si>
    <t>Listeria phage LP-114</t>
  </si>
  <si>
    <t>JX442241</t>
  </si>
  <si>
    <t>Listeria phage P70</t>
  </si>
  <si>
    <t>MG324353</t>
  </si>
  <si>
    <t>Corynebacterium phage phi673</t>
  </si>
  <si>
    <t>MG324354</t>
  </si>
  <si>
    <t>Corynebacterium phage phi674</t>
  </si>
  <si>
    <t>MG839019</t>
  </si>
  <si>
    <t>Microbacterium phage Hamlet</t>
  </si>
  <si>
    <t>MG839029</t>
  </si>
  <si>
    <t>Microbacterium phage Ilzat</t>
  </si>
  <si>
    <t>KR136259</t>
  </si>
  <si>
    <t>Polaribacter phage P12002L</t>
  </si>
  <si>
    <t>KR136260</t>
  </si>
  <si>
    <t>Polaribacter phage P12002S</t>
  </si>
  <si>
    <t>JQ823123</t>
  </si>
  <si>
    <t>Nonlabens phage P12024S</t>
  </si>
  <si>
    <t>JQ823122</t>
  </si>
  <si>
    <t>Jacevirus</t>
  </si>
  <si>
    <t>Gordonia virus Jace</t>
  </si>
  <si>
    <t>2019.014B.zip</t>
  </si>
  <si>
    <t>MH153804.1</t>
  </si>
  <si>
    <t>KT151955</t>
  </si>
  <si>
    <t>Brevibacillus phage Jenst</t>
  </si>
  <si>
    <t>Juiceboxvirus</t>
  </si>
  <si>
    <t>Corynebacterium virus Juicebox</t>
  </si>
  <si>
    <t>2019.015B.zip</t>
  </si>
  <si>
    <t>MH727550.1</t>
  </si>
  <si>
    <t>MF580961</t>
  </si>
  <si>
    <t>Salinibacter phage M31CR41-2</t>
  </si>
  <si>
    <t>MF629150</t>
  </si>
  <si>
    <t>Salinibacter phage SRUTV-1</t>
  </si>
  <si>
    <t>KU647626</t>
  </si>
  <si>
    <t>Arthrobacter phage KellEzio</t>
  </si>
  <si>
    <t>KU647627</t>
  </si>
  <si>
    <t>Arthrobacter phage Kitkat</t>
  </si>
  <si>
    <t>Kilunavirus</t>
  </si>
  <si>
    <t>2019.002B.zip</t>
  </si>
  <si>
    <t>JF939047</t>
  </si>
  <si>
    <t>AB720063</t>
  </si>
  <si>
    <t>MG925343</t>
  </si>
  <si>
    <t>Microbacterium phage Golden</t>
  </si>
  <si>
    <t>MG925345</t>
  </si>
  <si>
    <t>Microbacterium phage Koji</t>
  </si>
  <si>
    <t>KU160640</t>
  </si>
  <si>
    <t>Arthrobacter phage Bennie</t>
  </si>
  <si>
    <t>KU160643</t>
  </si>
  <si>
    <t>Arthrobacter phage DrRobert</t>
  </si>
  <si>
    <t>KU160645</t>
  </si>
  <si>
    <t>Arthrobacter phage Glenn</t>
  </si>
  <si>
    <t>KU160648</t>
  </si>
  <si>
    <t>Arthrobacter phage HunterDalle</t>
  </si>
  <si>
    <t>KU160652</t>
  </si>
  <si>
    <t>Arthrobacter phage Joann</t>
  </si>
  <si>
    <t>KU160653</t>
  </si>
  <si>
    <t>Arthrobacter phage Korra</t>
  </si>
  <si>
    <t>KU160659</t>
  </si>
  <si>
    <t>Arthrobacter phage Preamble</t>
  </si>
  <si>
    <t>KU160661</t>
  </si>
  <si>
    <t>Arthrobacter phage Pumancara</t>
  </si>
  <si>
    <t>KU160672</t>
  </si>
  <si>
    <t>Arthrobacter phage Wayne</t>
  </si>
  <si>
    <t>DQ398041</t>
  </si>
  <si>
    <t>JF937091</t>
  </si>
  <si>
    <t>AY129331</t>
  </si>
  <si>
    <t>Mycobacterium phage Cjw1</t>
  </si>
  <si>
    <t>JN412590</t>
  </si>
  <si>
    <t>EU816591</t>
  </si>
  <si>
    <t>EU816588</t>
  </si>
  <si>
    <t>GQ303265</t>
  </si>
  <si>
    <t>JF937106</t>
  </si>
  <si>
    <t>JN006061</t>
  </si>
  <si>
    <t>Krampusvirus</t>
  </si>
  <si>
    <t>Microbacterium virus Krampus</t>
  </si>
  <si>
    <t>2019.016B.zip</t>
  </si>
  <si>
    <t>MH271301.1</t>
  </si>
  <si>
    <t>MF580956</t>
  </si>
  <si>
    <t>Salinibacter phage M8CC-19</t>
  </si>
  <si>
    <t>MF580959</t>
  </si>
  <si>
    <t>Salinibacter phage M8CRM-1</t>
  </si>
  <si>
    <t>KY629563</t>
  </si>
  <si>
    <t>Sphingobium phage Lacusarx</t>
  </si>
  <si>
    <t>Lanavirus</t>
  </si>
  <si>
    <t>Pseudomonas virus Lana</t>
  </si>
  <si>
    <t>2019.062B.zip</t>
  </si>
  <si>
    <t>MK473373.1</t>
  </si>
  <si>
    <t>KU160654</t>
  </si>
  <si>
    <t>Arthrobacter phage Laroye</t>
  </si>
  <si>
    <t>Lentavirus</t>
  </si>
  <si>
    <t>Eggerthella virus PMBT5</t>
  </si>
  <si>
    <t>2019.064B.zip</t>
  </si>
  <si>
    <t>MH626557.1</t>
  </si>
  <si>
    <t>Liebevirus</t>
  </si>
  <si>
    <t>Arthobacter virus Liebe</t>
  </si>
  <si>
    <t>2019.093B.zip</t>
  </si>
  <si>
    <t>MK061413.1</t>
  </si>
  <si>
    <t>DQ398042</t>
  </si>
  <si>
    <t>JN412593</t>
  </si>
  <si>
    <t>AJ550940</t>
  </si>
  <si>
    <t>Luckybarnesvirus</t>
  </si>
  <si>
    <t>Brevibacterium virus LuckyBarnes</t>
  </si>
  <si>
    <t>2019.017B.zip</t>
  </si>
  <si>
    <t>MF668275</t>
  </si>
  <si>
    <t>Luckytenvirus</t>
  </si>
  <si>
    <t>Gordonia virus Lucky10</t>
  </si>
  <si>
    <t>2019.018B.zip</t>
  </si>
  <si>
    <t>KU963256.1</t>
  </si>
  <si>
    <t>Lughvirus</t>
  </si>
  <si>
    <t>Faecalibacterium virus Lugh</t>
  </si>
  <si>
    <t>Lugh</t>
  </si>
  <si>
    <t>MG711464</t>
  </si>
  <si>
    <t>JX887877</t>
  </si>
  <si>
    <t>EU887664</t>
  </si>
  <si>
    <t>KU665491.1</t>
  </si>
  <si>
    <t>Bacillus phage Mgbh1</t>
  </si>
  <si>
    <t>Majavirus</t>
  </si>
  <si>
    <t>Arthrobacter virus Maja</t>
  </si>
  <si>
    <t>2019.065B.zip</t>
  </si>
  <si>
    <t>MK279899.1</t>
  </si>
  <si>
    <t>Manhattanvirus</t>
  </si>
  <si>
    <t>Arthrobacter virus DrManhattan</t>
  </si>
  <si>
    <t>MH834610.1</t>
  </si>
  <si>
    <t>JX901189</t>
  </si>
  <si>
    <t>Mycobacterium virus FF47</t>
  </si>
  <si>
    <t>KF024728</t>
  </si>
  <si>
    <t>JX556418</t>
  </si>
  <si>
    <t>Vibrio phage vB_VpaS_ MAR10</t>
  </si>
  <si>
    <t>JQ692107</t>
  </si>
  <si>
    <t>Vibrio phage SSP002</t>
  </si>
  <si>
    <t>JF704100</t>
  </si>
  <si>
    <t>Mycobacterium phage Marvin</t>
  </si>
  <si>
    <t>KJ538721</t>
  </si>
  <si>
    <t>Mycobacterium phage MosMoris</t>
  </si>
  <si>
    <t>Maxrubnervirus</t>
  </si>
  <si>
    <t>Pseudomonas virus PMBT3</t>
  </si>
  <si>
    <t>2019.066B.zip</t>
  </si>
  <si>
    <t>MG596799.1</t>
  </si>
  <si>
    <t>Mementomorivirus</t>
  </si>
  <si>
    <t>Microbacterium virus MementoMori</t>
  </si>
  <si>
    <t>2019.019B.zip</t>
  </si>
  <si>
    <t>MH271303.1</t>
  </si>
  <si>
    <t>Metamorphoovirus</t>
  </si>
  <si>
    <t>Microbacterium virus Fireman</t>
  </si>
  <si>
    <t>2019.067B.zip</t>
  </si>
  <si>
    <t>MK524510.1</t>
  </si>
  <si>
    <t>Microbacterium virus Metamorphoo</t>
  </si>
  <si>
    <t>MH271304.1</t>
  </si>
  <si>
    <t>Microbacterium virus RobsFeet</t>
  </si>
  <si>
    <t>MH271312.1</t>
  </si>
  <si>
    <t>EF579802</t>
  </si>
  <si>
    <t>Microbacterium phage Min1</t>
  </si>
  <si>
    <t>AF145054</t>
  </si>
  <si>
    <t>AF085222</t>
  </si>
  <si>
    <t>FJ236310</t>
  </si>
  <si>
    <t>AF115102</t>
  </si>
  <si>
    <t>AF115103</t>
  </si>
  <si>
    <t>Montyvirus</t>
  </si>
  <si>
    <t>Gordinia virus Birksandsocks</t>
  </si>
  <si>
    <t>2019.001B.zip</t>
  </si>
  <si>
    <t>MG099940</t>
  </si>
  <si>
    <t>Gordonia virus Flakey</t>
  </si>
  <si>
    <t>MG770211</t>
  </si>
  <si>
    <t>KU998241</t>
  </si>
  <si>
    <t>Gordonia virus Stevefrench</t>
  </si>
  <si>
    <t>MG770214</t>
  </si>
  <si>
    <t>KU160642</t>
  </si>
  <si>
    <t>Arthrobacter phage Circum</t>
  </si>
  <si>
    <t>KU647628</t>
  </si>
  <si>
    <t>Arthrobacter phage Mudcat</t>
  </si>
  <si>
    <t>Murrayvirus</t>
  </si>
  <si>
    <t>Escherichia virus EC2</t>
  </si>
  <si>
    <t>2019.069B.zip</t>
  </si>
  <si>
    <t>KF591601.1</t>
  </si>
  <si>
    <t>Salmonella virus Lumpael</t>
  </si>
  <si>
    <t>MK125141.1</t>
  </si>
  <si>
    <t>KY606587</t>
  </si>
  <si>
    <t>Dinoroseobacter phage vB_DshS-R5C</t>
  </si>
  <si>
    <t>AY357582.2</t>
  </si>
  <si>
    <t>Burkholderia phage BcepNazgul</t>
  </si>
  <si>
    <t>Neferthenavirus</t>
  </si>
  <si>
    <t>Microbacterium virus Neferthena</t>
  </si>
  <si>
    <t>2019.071B.zip</t>
  </si>
  <si>
    <t>MH697589.1</t>
  </si>
  <si>
    <t>MG018927</t>
  </si>
  <si>
    <t>Pseomonas phage nickie</t>
  </si>
  <si>
    <t>KX129925</t>
  </si>
  <si>
    <t>Pseudomonas phage NP1</t>
  </si>
  <si>
    <t>JQ067084</t>
  </si>
  <si>
    <t>Pseudomonas phage PaMx25</t>
  </si>
  <si>
    <t>KJ419279</t>
  </si>
  <si>
    <t>Enterobacteria phage 9g</t>
  </si>
  <si>
    <t>KP719134</t>
  </si>
  <si>
    <t>Enterobacteria phage JenK1</t>
  </si>
  <si>
    <t>KP719132</t>
  </si>
  <si>
    <t>Enterobacteria phage JenP1</t>
  </si>
  <si>
    <t>KP719133</t>
  </si>
  <si>
    <t>Enterobacteria phage JenP2</t>
  </si>
  <si>
    <t>KY926791</t>
  </si>
  <si>
    <t>KJ802832</t>
  </si>
  <si>
    <t>Salmonella phage 9NA</t>
  </si>
  <si>
    <t>KC139649</t>
  </si>
  <si>
    <t>Salmonella phage SP069</t>
  </si>
  <si>
    <t>KX557282</t>
  </si>
  <si>
    <t>Gordonia phage Nyceirae</t>
  </si>
  <si>
    <t>Oengusvirus</t>
  </si>
  <si>
    <t>Faecalibacterium virus Oengus</t>
  </si>
  <si>
    <t>Oengus</t>
  </si>
  <si>
    <t>MG711463</t>
  </si>
  <si>
    <t>JF937090</t>
  </si>
  <si>
    <t>Mycobacterium phage BAKA</t>
  </si>
  <si>
    <t>JN698997</t>
  </si>
  <si>
    <t>JF937101</t>
  </si>
  <si>
    <t>Mycobacterium phage LittleE</t>
  </si>
  <si>
    <t>AY129338</t>
  </si>
  <si>
    <t>JF957059</t>
  </si>
  <si>
    <t>JN201525</t>
  </si>
  <si>
    <t>Oneupvirus</t>
  </si>
  <si>
    <t>Gordonia virus BrutonGaster</t>
  </si>
  <si>
    <t>2019.020B.zip</t>
  </si>
  <si>
    <t>MK524501.1</t>
  </si>
  <si>
    <t>KU998245.1</t>
  </si>
  <si>
    <t>KU998253</t>
  </si>
  <si>
    <t>Gordonia phage Orchid</t>
  </si>
  <si>
    <t>EU100883</t>
  </si>
  <si>
    <t>EU100884</t>
  </si>
  <si>
    <t>JX262225</t>
  </si>
  <si>
    <t>Propionibacterium phage ATCC29399B_C</t>
  </si>
  <si>
    <t>JX262224</t>
  </si>
  <si>
    <t>Propionibacterium phage ATCC29399B_T</t>
  </si>
  <si>
    <t>KR337651</t>
  </si>
  <si>
    <t>Propionibacterium phage Attacne</t>
  </si>
  <si>
    <t>KR337649</t>
  </si>
  <si>
    <t>Propionibacterium phage Keiki</t>
  </si>
  <si>
    <t>KR337645</t>
  </si>
  <si>
    <t>Propionibacterium phage Kubed</t>
  </si>
  <si>
    <t>KR337650</t>
  </si>
  <si>
    <t>Propionibacterium phage Lauchelly</t>
  </si>
  <si>
    <t>KR337643</t>
  </si>
  <si>
    <t>Propionibacterium phage MrAK</t>
  </si>
  <si>
    <t>KR337654</t>
  </si>
  <si>
    <t>Propionibacterium phage Ouroboros</t>
  </si>
  <si>
    <t>JX262215</t>
  </si>
  <si>
    <t>Propionibacterium phage P9.1</t>
  </si>
  <si>
    <t>JX262219</t>
  </si>
  <si>
    <t>Propionibacterium phage P105</t>
  </si>
  <si>
    <t>JX262216</t>
  </si>
  <si>
    <t>Propionibacterium phage P14</t>
  </si>
  <si>
    <t>JX262222</t>
  </si>
  <si>
    <t>Propionibacterium phage P100_1</t>
  </si>
  <si>
    <t>JX262223</t>
  </si>
  <si>
    <t>Propionibacterium phage P1.1</t>
  </si>
  <si>
    <t>JX262221</t>
  </si>
  <si>
    <t>Propionibacterium phage P100_A</t>
  </si>
  <si>
    <t>JX262220</t>
  </si>
  <si>
    <t>Propionibacterium phage P100D</t>
  </si>
  <si>
    <t>JX262217</t>
  </si>
  <si>
    <t>Propionibacterium phage P101A</t>
  </si>
  <si>
    <t>JX262218</t>
  </si>
  <si>
    <t>Propionibacterium phage P104A</t>
  </si>
  <si>
    <t>DQ431235</t>
  </si>
  <si>
    <t>Propionibacterium phage PA6</t>
  </si>
  <si>
    <t>KJ722067</t>
  </si>
  <si>
    <t>Propionibacterium phage Pacnes 2012-15</t>
  </si>
  <si>
    <t>FJ706171</t>
  </si>
  <si>
    <t>Propionibacterium phage PAD20</t>
  </si>
  <si>
    <t>FJ706172</t>
  </si>
  <si>
    <t>Propionibacterium phage PAS50</t>
  </si>
  <si>
    <t>KJ578758</t>
  </si>
  <si>
    <t>Propionibacterium phage PHL009M11</t>
  </si>
  <si>
    <t>KJ578759</t>
  </si>
  <si>
    <t>Propionibacterium phage PHL025M00</t>
  </si>
  <si>
    <t>JX570706</t>
  </si>
  <si>
    <t>Propionibacterium phage PHL037M02</t>
  </si>
  <si>
    <t>KJ578761</t>
  </si>
  <si>
    <t>Propionibacterium phage PHL041M10</t>
  </si>
  <si>
    <t>JX570705</t>
  </si>
  <si>
    <t>Propionibacterium phage PHL060L00</t>
  </si>
  <si>
    <t>KJ578765</t>
  </si>
  <si>
    <t>Propionibacterium phage PHL067M01</t>
  </si>
  <si>
    <t>KJ578767</t>
  </si>
  <si>
    <t>Propionibacterium phage PHL070N00</t>
  </si>
  <si>
    <t>JX570710</t>
  </si>
  <si>
    <t>Propionibacterium phage PHL071N05</t>
  </si>
  <si>
    <t>KJ578770</t>
  </si>
  <si>
    <t>Propionibacterium phage PHL082M03</t>
  </si>
  <si>
    <t>KJ578773</t>
  </si>
  <si>
    <t>Propionibacterium phage PHL092M00</t>
  </si>
  <si>
    <t>KJ578774</t>
  </si>
  <si>
    <t>Propionibacterium phage PHL095N00</t>
  </si>
  <si>
    <t>JX570702</t>
  </si>
  <si>
    <t>Propionibacterium phage PHL111M01</t>
  </si>
  <si>
    <t>JX570714</t>
  </si>
  <si>
    <t>Propionibacterium phage PHL112N00</t>
  </si>
  <si>
    <t>JX570713</t>
  </si>
  <si>
    <t>Propionibacterium phage PHL113M01</t>
  </si>
  <si>
    <t>JX570712</t>
  </si>
  <si>
    <t>Propionibacterium phage PHL114L00</t>
  </si>
  <si>
    <t>KJ578776</t>
  </si>
  <si>
    <t>Propionibacterium phage PHL116M00</t>
  </si>
  <si>
    <t>KJ578778</t>
  </si>
  <si>
    <t>Propionibacterium phage PHL117M00</t>
  </si>
  <si>
    <t>KJ578779</t>
  </si>
  <si>
    <t>Propionibacterium phage PHL117M01</t>
  </si>
  <si>
    <t>KJ578780</t>
  </si>
  <si>
    <t>Propionibacterium phage PHL132N00</t>
  </si>
  <si>
    <t>KJ578781</t>
  </si>
  <si>
    <t>Propionibacterium phage PHL141N00</t>
  </si>
  <si>
    <t>KJ578783</t>
  </si>
  <si>
    <t>Propionibacterium phage PHL151M00</t>
  </si>
  <si>
    <t>KJ578784</t>
  </si>
  <si>
    <t>Propionibacterium phage PHL151N00</t>
  </si>
  <si>
    <t>KJ578785</t>
  </si>
  <si>
    <t>Propionibacterium phage PHL152M00</t>
  </si>
  <si>
    <t>KJ578786</t>
  </si>
  <si>
    <t>Propionibacterium phage PHL163M00</t>
  </si>
  <si>
    <t>KJ578787</t>
  </si>
  <si>
    <t>Propionibacterium phage PHL171M01</t>
  </si>
  <si>
    <t>KJ578788</t>
  </si>
  <si>
    <t>Propionibacterium phage PHL179M00</t>
  </si>
  <si>
    <t>KJ578789</t>
  </si>
  <si>
    <t>Propionibacterium phage PHL194M00</t>
  </si>
  <si>
    <t>KJ578790</t>
  </si>
  <si>
    <t>Propionibacterium phage PHL199M00</t>
  </si>
  <si>
    <t>KJ578791</t>
  </si>
  <si>
    <t>Propionibacterium phage PHL301M00</t>
  </si>
  <si>
    <t>KJ578792</t>
  </si>
  <si>
    <t>Propionibacterium phage PHL308M00</t>
  </si>
  <si>
    <t>KR337653</t>
  </si>
  <si>
    <t>Propionibacterium phage Pirate</t>
  </si>
  <si>
    <t>KR337644</t>
  </si>
  <si>
    <t>Propionibacterium phage Procrass1</t>
  </si>
  <si>
    <t>KR337648</t>
  </si>
  <si>
    <t>Propionibacterium phage SKKY</t>
  </si>
  <si>
    <t>KR337647</t>
  </si>
  <si>
    <t>Propionibacterium phage Solid</t>
  </si>
  <si>
    <t>KR337652</t>
  </si>
  <si>
    <t>Propionibacterium phage Stormborn</t>
  </si>
  <si>
    <t>KR337646</t>
  </si>
  <si>
    <t>Propionibacterium phage Wizzo</t>
  </si>
  <si>
    <t>JQ067089</t>
  </si>
  <si>
    <t>Pseudomonas phage PaMx28</t>
  </si>
  <si>
    <t>JQ067093</t>
  </si>
  <si>
    <t>Pseudomonas phage PaMx74</t>
  </si>
  <si>
    <t>KF416342</t>
  </si>
  <si>
    <t>Mycobacterium phage Papyrus</t>
  </si>
  <si>
    <t>JF704112</t>
  </si>
  <si>
    <t>Mycobacterium phage Send513</t>
  </si>
  <si>
    <t>JN412589</t>
  </si>
  <si>
    <t>DQ398047</t>
  </si>
  <si>
    <t>GU580941</t>
  </si>
  <si>
    <t>Rhodococcus phage ReqiPepy6</t>
  </si>
  <si>
    <t>GU580942</t>
  </si>
  <si>
    <t xml:space="preserve">Rhodococcus phage ReqiPoco6 </t>
  </si>
  <si>
    <t>AF424781</t>
  </si>
  <si>
    <t>AY954964</t>
  </si>
  <si>
    <t>AY954958</t>
  </si>
  <si>
    <t>AY954952</t>
  </si>
  <si>
    <t>AY954963</t>
  </si>
  <si>
    <t>AY954951</t>
  </si>
  <si>
    <t>AY954962</t>
  </si>
  <si>
    <t>DQ908929</t>
  </si>
  <si>
    <t>AY954953</t>
  </si>
  <si>
    <t>AY954966</t>
  </si>
  <si>
    <t>AY954967</t>
  </si>
  <si>
    <t>AY954960</t>
  </si>
  <si>
    <t>AY954950</t>
  </si>
  <si>
    <t>AY954965</t>
  </si>
  <si>
    <t>DQ517338</t>
  </si>
  <si>
    <t>DQ831957</t>
  </si>
  <si>
    <t>AY954959</t>
  </si>
  <si>
    <t>JN192400</t>
  </si>
  <si>
    <t>JN192401</t>
  </si>
  <si>
    <t>EU861004</t>
  </si>
  <si>
    <t>DQ834250</t>
  </si>
  <si>
    <t>AP001553</t>
  </si>
  <si>
    <t>AP008953</t>
  </si>
  <si>
    <t>AP008954</t>
  </si>
  <si>
    <t>AB370268</t>
  </si>
  <si>
    <t>AB370205</t>
  </si>
  <si>
    <t>DQ530359</t>
  </si>
  <si>
    <t>DQ530360</t>
  </si>
  <si>
    <t>DQ530362</t>
  </si>
  <si>
    <t>GU477322</t>
  </si>
  <si>
    <t>AY954968</t>
  </si>
  <si>
    <t>GQ478081</t>
  </si>
  <si>
    <t>GQ478084</t>
  </si>
  <si>
    <t>GQ478086</t>
  </si>
  <si>
    <t>Picardvirus</t>
  </si>
  <si>
    <t>Streptomyces virus Picard</t>
  </si>
  <si>
    <t>2019.021B.zip</t>
  </si>
  <si>
    <t>KY092480.1</t>
  </si>
  <si>
    <t>MG944218</t>
  </si>
  <si>
    <t>Microbacterium phage Pikmin</t>
  </si>
  <si>
    <t>KX557277.1</t>
  </si>
  <si>
    <t>Corynebacterium phage Poushou</t>
  </si>
  <si>
    <t>KY363465</t>
  </si>
  <si>
    <t>Providencia phage vB_PreS_PR1</t>
  </si>
  <si>
    <t>JX120799.2</t>
  </si>
  <si>
    <t>Listeria phage LP-030-2</t>
  </si>
  <si>
    <t>AJ312240.2</t>
  </si>
  <si>
    <t>Listeria phage PSA</t>
  </si>
  <si>
    <t>Psimunavirus psiM2</t>
  </si>
  <si>
    <t>2019.077B.zip</t>
  </si>
  <si>
    <t>psiM2</t>
  </si>
  <si>
    <t>AF065411</t>
  </si>
  <si>
    <t>Quhwahvirus</t>
  </si>
  <si>
    <t>Microbacterium phage KaiHaiDragon</t>
  </si>
  <si>
    <t>2019.023B.zip</t>
  </si>
  <si>
    <t>MH590600.1</t>
  </si>
  <si>
    <t>Microbacterium phage Paschalis</t>
  </si>
  <si>
    <t>MH155873.1</t>
  </si>
  <si>
    <t>Microbacterium phage Quhwah</t>
  </si>
  <si>
    <t>MH271321.1</t>
  </si>
  <si>
    <t>Raleighvirus</t>
  </si>
  <si>
    <t>Streptomyces virus Darolandstone</t>
  </si>
  <si>
    <t>2019.079B.zip</t>
  </si>
  <si>
    <t>MH825699.1</t>
  </si>
  <si>
    <t>Streptomyces virus Raleigh</t>
  </si>
  <si>
    <t>KY092484.1</t>
  </si>
  <si>
    <t>JN116827</t>
  </si>
  <si>
    <t>Rhodococcus phage RER2</t>
  </si>
  <si>
    <t>KF977490</t>
  </si>
  <si>
    <t>Rhizobium phage vB_RglS_P106B</t>
  </si>
  <si>
    <t>MF467948</t>
  </si>
  <si>
    <t>Streptomyces phage DrGrey</t>
  </si>
  <si>
    <t>KX670790</t>
  </si>
  <si>
    <t>Streptomyces phage Rima</t>
  </si>
  <si>
    <t>Rogerhendrixvirus</t>
  </si>
  <si>
    <t>Microbacterium virus Hendrix</t>
  </si>
  <si>
    <t>2019.024B.zip</t>
  </si>
  <si>
    <t>MH183162.1</t>
  </si>
  <si>
    <t>Ronaldovirus</t>
  </si>
  <si>
    <t>Gordonia virus Fryberger</t>
  </si>
  <si>
    <t>2019.025B.zip</t>
  </si>
  <si>
    <t>MH479913.1</t>
  </si>
  <si>
    <t>Gordonia virus Ronaldo</t>
  </si>
  <si>
    <t>MH479925.1</t>
  </si>
  <si>
    <t>JF974294</t>
  </si>
  <si>
    <t>Aeromonas phage pIS4-A</t>
  </si>
  <si>
    <t>Rowavirus</t>
  </si>
  <si>
    <t>Streptomyces virus Rowa</t>
  </si>
  <si>
    <t>2019.084B.zip</t>
  </si>
  <si>
    <t>MG593803.1</t>
  </si>
  <si>
    <t>Ruthyvirus</t>
  </si>
  <si>
    <t>Gordonia virus Ruthy</t>
  </si>
  <si>
    <t>2019.026B.zip</t>
  </si>
  <si>
    <t>MH536826.1</t>
  </si>
  <si>
    <t>KM652554.1</t>
  </si>
  <si>
    <t>Streptomyces phage Jay2jay</t>
  </si>
  <si>
    <t>MF155946.1</t>
  </si>
  <si>
    <t>Streptomyces phage Mildred21</t>
  </si>
  <si>
    <t>MF347636.1</t>
  </si>
  <si>
    <t>Streptomyces phage NootNoot</t>
  </si>
  <si>
    <t>MF347637.1</t>
  </si>
  <si>
    <t>Streptomyces phage Paradiddles</t>
  </si>
  <si>
    <t>MF347638.1</t>
  </si>
  <si>
    <t>Streptomyces phage Peebs</t>
  </si>
  <si>
    <t>MF347639.1</t>
  </si>
  <si>
    <t>Streptomyces phage Samisti12</t>
  </si>
  <si>
    <t>KU245542</t>
  </si>
  <si>
    <t>Pseudomonas phage SM1</t>
  </si>
  <si>
    <t>Samwavirus</t>
  </si>
  <si>
    <t>Corynebacterium virus SamW</t>
  </si>
  <si>
    <t>2019.027B.zip</t>
  </si>
  <si>
    <t>MH727560.1</t>
  </si>
  <si>
    <t>KF626668</t>
  </si>
  <si>
    <t>Xylella phage Salvo</t>
  </si>
  <si>
    <t>KF626665</t>
  </si>
  <si>
    <t>Xylella phage Sano</t>
  </si>
  <si>
    <t>Sansavirus</t>
  </si>
  <si>
    <t>Caulobacter virus Sansa</t>
  </si>
  <si>
    <t>2019.028B.zip</t>
  </si>
  <si>
    <t>KT001913.1</t>
  </si>
  <si>
    <t>AB712291</t>
  </si>
  <si>
    <t>KF192053</t>
  </si>
  <si>
    <t>JF731128</t>
  </si>
  <si>
    <t>KJ094032</t>
  </si>
  <si>
    <t>HE962497</t>
  </si>
  <si>
    <t>Sashavirus</t>
  </si>
  <si>
    <t>Salmonella virus Sasha</t>
  </si>
  <si>
    <t>2019.085B.zip</t>
  </si>
  <si>
    <t>KX987158.1</t>
  </si>
  <si>
    <t>AJ278322.4</t>
  </si>
  <si>
    <t>Corynebacterium phage BFK20</t>
  </si>
  <si>
    <t>MF975637</t>
  </si>
  <si>
    <t>Streptomyces phage Scap1</t>
  </si>
  <si>
    <t>Schnabeltiervirus</t>
  </si>
  <si>
    <t>Gordonia virus Schnabeltier</t>
  </si>
  <si>
    <t>2019.087B.zip</t>
  </si>
  <si>
    <t>KU963252.2</t>
  </si>
  <si>
    <t>Schubertvirus</t>
  </si>
  <si>
    <t>Microbacterium virus Schubert</t>
  </si>
  <si>
    <t>2019.030B.zip</t>
  </si>
  <si>
    <t>MK308637.1</t>
  </si>
  <si>
    <t>NC_007806</t>
  </si>
  <si>
    <t>Pseudomonas phage 73</t>
  </si>
  <si>
    <t>HG962376</t>
  </si>
  <si>
    <t>Pseudomonas phage vB_PaeS_SCH_Ab26</t>
  </si>
  <si>
    <t>JQ307387</t>
  </si>
  <si>
    <t>Pseudomonas phage vB_Pae-Kakheti25</t>
  </si>
  <si>
    <t>KP064094</t>
  </si>
  <si>
    <t>Escherichia phage CAjan</t>
  </si>
  <si>
    <t>KM236243</t>
  </si>
  <si>
    <t>Escherichia phage Seurat</t>
  </si>
  <si>
    <t>Seussvirus</t>
  </si>
  <si>
    <t>Caulobacter virus Seuss</t>
  </si>
  <si>
    <t>2019.089B.zip</t>
  </si>
  <si>
    <t>KT001914.1</t>
  </si>
  <si>
    <t>KF929199</t>
  </si>
  <si>
    <t>Staphylococcus phage vB_SepS_SEP9</t>
  </si>
  <si>
    <t>KJ804259</t>
  </si>
  <si>
    <t>Staphylococcus phage 6ec</t>
  </si>
  <si>
    <t>KP296791</t>
  </si>
  <si>
    <t>Paenibacillus phage Diva</t>
  </si>
  <si>
    <t>KP202972</t>
  </si>
  <si>
    <t>Paenibacillus phage HB10c2</t>
  </si>
  <si>
    <t>KP296793</t>
  </si>
  <si>
    <t>Paenibacillus phage Rani</t>
  </si>
  <si>
    <t>KP296795</t>
  </si>
  <si>
    <t>Paenibacillus phage Shelly</t>
  </si>
  <si>
    <t>KP296796</t>
  </si>
  <si>
    <t>Paenibacillus phage Sitara</t>
  </si>
  <si>
    <t>KT361650</t>
  </si>
  <si>
    <t>Paenibacillus phage Willow</t>
  </si>
  <si>
    <t>DQ227763</t>
  </si>
  <si>
    <t>JQ740813</t>
  </si>
  <si>
    <t>JQ740788</t>
  </si>
  <si>
    <t>JQ740787</t>
  </si>
  <si>
    <t>JQ740804</t>
  </si>
  <si>
    <t>JQ740789</t>
  </si>
  <si>
    <t>EU221285</t>
  </si>
  <si>
    <t>AF009630</t>
  </si>
  <si>
    <t>FJ848882</t>
  </si>
  <si>
    <t>FJ848883</t>
  </si>
  <si>
    <t>FJ848884</t>
  </si>
  <si>
    <t>FJ848885</t>
  </si>
  <si>
    <t>DQ227764</t>
  </si>
  <si>
    <t>GQ979703</t>
  </si>
  <si>
    <t>DQ054536</t>
  </si>
  <si>
    <t>AF011378</t>
  </si>
  <si>
    <t>FJ848881</t>
  </si>
  <si>
    <t>KF669661</t>
  </si>
  <si>
    <t>Bacillus phage Slash</t>
  </si>
  <si>
    <t>KP696447</t>
  </si>
  <si>
    <t>Bacillus phage Stahl</t>
  </si>
  <si>
    <t>KF669663</t>
  </si>
  <si>
    <t>Bacillus phage Staley</t>
  </si>
  <si>
    <t>KP696448</t>
  </si>
  <si>
    <t>Bacillus phage Stills</t>
  </si>
  <si>
    <t>KU998247</t>
  </si>
  <si>
    <t>Gordonia phage Bachita</t>
  </si>
  <si>
    <t>KU998246</t>
  </si>
  <si>
    <t>Gordonia phage ClubL</t>
  </si>
  <si>
    <t>KU998244</t>
  </si>
  <si>
    <t>Gordonia phage Smoothie</t>
  </si>
  <si>
    <t>Sonalivirus</t>
  </si>
  <si>
    <t>Arthobacter virus Sonali</t>
  </si>
  <si>
    <t>2019.033B.zip</t>
  </si>
  <si>
    <t>MK411746.1</t>
  </si>
  <si>
    <t>KU998249</t>
  </si>
  <si>
    <t>Gordonia phage Soups</t>
  </si>
  <si>
    <t>KX557284</t>
  </si>
  <si>
    <t>Gordonia phage Strosahl</t>
  </si>
  <si>
    <t>MH001454</t>
  </si>
  <si>
    <t>Gordonia phage Wait</t>
  </si>
  <si>
    <t>MH153810</t>
  </si>
  <si>
    <t>Gordonia phage Sour</t>
  </si>
  <si>
    <t>Squashvirus</t>
  </si>
  <si>
    <t>Microbacterium virus Hyperion</t>
  </si>
  <si>
    <t>2019.034B.zip</t>
  </si>
  <si>
    <t>MH153803.1</t>
  </si>
  <si>
    <t>Microbacterium virus Squash</t>
  </si>
  <si>
    <t>MH153813.1</t>
  </si>
  <si>
    <t>CP000625</t>
  </si>
  <si>
    <t xml:space="preserve">AY453853 </t>
  </si>
  <si>
    <t xml:space="preserve">AF447491 </t>
  </si>
  <si>
    <t>KP202970</t>
  </si>
  <si>
    <t>Achromobacter phage 83-24</t>
  </si>
  <si>
    <t>KP202969</t>
  </si>
  <si>
    <t>Achromobacter phage JWX</t>
  </si>
  <si>
    <t>KU160669</t>
  </si>
  <si>
    <t>Arthrobacter phage Tank</t>
  </si>
  <si>
    <t>Terapinvirus</t>
  </si>
  <si>
    <t>Gordonia virus Suzy</t>
  </si>
  <si>
    <t>2019.035B.zip</t>
  </si>
  <si>
    <t>MH271313.1</t>
  </si>
  <si>
    <t>Gordonia virus Terapin</t>
  </si>
  <si>
    <t>KX557285.1</t>
  </si>
  <si>
    <t>Tigunavirus</t>
  </si>
  <si>
    <t>2019.082B.zip</t>
  </si>
  <si>
    <t>JX182372.1</t>
  </si>
  <si>
    <t>JF704106</t>
  </si>
  <si>
    <t>HM152764</t>
  </si>
  <si>
    <t>Mycobacterium virus CrimD</t>
  </si>
  <si>
    <t>HM152767.2</t>
  </si>
  <si>
    <t>Mycobacterium phage Fionnbharth</t>
  </si>
  <si>
    <t>Mycobacterium virus JAWS</t>
  </si>
  <si>
    <t>JN185608.1</t>
  </si>
  <si>
    <t>JN243855</t>
  </si>
  <si>
    <t>Mycobacterium virus MacnCheese</t>
  </si>
  <si>
    <t>JX042579.1</t>
  </si>
  <si>
    <t>JF937104</t>
  </si>
  <si>
    <t>AF068845</t>
  </si>
  <si>
    <t>KR011062</t>
  </si>
  <si>
    <t>Tsukamurella phage TIN2</t>
  </si>
  <si>
    <t>KR011064</t>
  </si>
  <si>
    <t>Tsukamurella phage TIN3</t>
  </si>
  <si>
    <t>KR011063</t>
  </si>
  <si>
    <t>Tsukamurella phage TIN4</t>
  </si>
  <si>
    <t>KR935215</t>
  </si>
  <si>
    <t>Rhodobacter phage RcSpartan</t>
  </si>
  <si>
    <t>KR935213</t>
  </si>
  <si>
    <t>Rhodobacter phage RcTitan</t>
  </si>
  <si>
    <t>KX648391</t>
  </si>
  <si>
    <t>Mycobacterium phage Tortellini</t>
  </si>
  <si>
    <t>AY954957</t>
  </si>
  <si>
    <t>AY954956</t>
  </si>
  <si>
    <t>AY954955</t>
  </si>
  <si>
    <t>EU861005</t>
  </si>
  <si>
    <t>AF424782</t>
  </si>
  <si>
    <t>AB045978</t>
  </si>
  <si>
    <t>MF668286.1</t>
  </si>
  <si>
    <t>Rhodococcus phage Trina</t>
  </si>
  <si>
    <t>Trinevirus</t>
  </si>
  <si>
    <t>Gordonia virus Trine</t>
  </si>
  <si>
    <t>2019.036B.zip</t>
  </si>
  <si>
    <t>MH271318.1</t>
  </si>
  <si>
    <t>KT755656.1</t>
  </si>
  <si>
    <t>Paenibacillus phage Tripp</t>
  </si>
  <si>
    <t>KU599889</t>
  </si>
  <si>
    <t>Flavobacterium phage 1H</t>
  </si>
  <si>
    <t>KU599888</t>
  </si>
  <si>
    <t>Flavobacterium phage 23T</t>
  </si>
  <si>
    <t>KU599887</t>
  </si>
  <si>
    <t>Flavobacterium phage 2A</t>
  </si>
  <si>
    <t>KC959568</t>
  </si>
  <si>
    <t>Flavobacterium phage 6H</t>
  </si>
  <si>
    <t>Vashvirus</t>
  </si>
  <si>
    <t>Streptomyces virus Lilbooboo</t>
  </si>
  <si>
    <t>2019.102B.zip</t>
  </si>
  <si>
    <t>MK450431.1</t>
  </si>
  <si>
    <t>Streptomyces virus Vash</t>
  </si>
  <si>
    <t>MK450421.1</t>
  </si>
  <si>
    <t>KT361654</t>
  </si>
  <si>
    <t>Paenibacillus phage Vegas</t>
  </si>
  <si>
    <t>KU998237</t>
  </si>
  <si>
    <t>Gordonia phage Vendetta</t>
  </si>
  <si>
    <t>KR072689.1</t>
  </si>
  <si>
    <t>Paracoccus phage Shpa</t>
  </si>
  <si>
    <t>MG948468</t>
  </si>
  <si>
    <t>Pantoea phage vB_PagS_Vid5</t>
  </si>
  <si>
    <t>Acinetobacter phage YMC/09/02/B1251</t>
  </si>
  <si>
    <t>Acinetobacter phage YMC11/11/R3177</t>
  </si>
  <si>
    <t>MG812487</t>
  </si>
  <si>
    <t>Gordonia phage Brandonk123</t>
  </si>
  <si>
    <t>MF919514</t>
  </si>
  <si>
    <t>Gordonia phage Lennon</t>
  </si>
  <si>
    <t>KU963250</t>
  </si>
  <si>
    <t>Gordonia phage Vivi2</t>
  </si>
  <si>
    <t>Vojvodinavirus</t>
  </si>
  <si>
    <t>Bordetella virus CN1</t>
  </si>
  <si>
    <t>2019.094B.zip</t>
  </si>
  <si>
    <t>KY000218.1</t>
  </si>
  <si>
    <t>Bordetella virus CN2</t>
  </si>
  <si>
    <t>KY000219.1</t>
  </si>
  <si>
    <t>Bordetella virus FP1</t>
  </si>
  <si>
    <t>KY000220.1</t>
  </si>
  <si>
    <t>Bordetella virus MW2</t>
  </si>
  <si>
    <t>KY000221.1</t>
  </si>
  <si>
    <t>DQ289555</t>
  </si>
  <si>
    <t>KX774321</t>
  </si>
  <si>
    <t>Rhodococcus phage Weasels2</t>
  </si>
  <si>
    <t>DQ398052</t>
  </si>
  <si>
    <t>Mycobacterium phage Wildcat</t>
  </si>
  <si>
    <t>MG757153</t>
  </si>
  <si>
    <t>Gordonia phage BillNye</t>
  </si>
  <si>
    <t>KU963245</t>
  </si>
  <si>
    <t>Gordonia phage Hotorobo</t>
  </si>
  <si>
    <t>KU998240</t>
  </si>
  <si>
    <t>Gordonia phage Woes</t>
  </si>
  <si>
    <t>KP876466</t>
  </si>
  <si>
    <t>Streptomyces phage TP1604</t>
  </si>
  <si>
    <t>KP876465</t>
  </si>
  <si>
    <t>Streptomyces phage YDN12</t>
  </si>
  <si>
    <t>HM151342</t>
  </si>
  <si>
    <t>Roseobacter phage RDJL Phi 1</t>
  </si>
  <si>
    <t>KT266805</t>
  </si>
  <si>
    <t>Roseobacter phage RDJL Phi 2</t>
  </si>
  <si>
    <t>AP008979</t>
  </si>
  <si>
    <t>DQ777876</t>
  </si>
  <si>
    <t>AY299121</t>
  </si>
  <si>
    <t>Yangvirus</t>
  </si>
  <si>
    <t>Arthobacter virus Yang</t>
  </si>
  <si>
    <t>MH834629.1</t>
  </si>
  <si>
    <t>KC758116</t>
  </si>
  <si>
    <t>Pseudomonas phage LKO4</t>
  </si>
  <si>
    <t>JX131330</t>
  </si>
  <si>
    <t>Pseudomonas phage MP1412</t>
  </si>
  <si>
    <t>KT734862</t>
  </si>
  <si>
    <t>Pseudomonas phage PAE1</t>
  </si>
  <si>
    <t>KU963248</t>
  </si>
  <si>
    <t>Gordonia phage Yvonnetastic</t>
  </si>
  <si>
    <t>Zetavirus</t>
  </si>
  <si>
    <t>Microbacterium virus Zeta1847</t>
  </si>
  <si>
    <t>2019.097B.zip</t>
  </si>
  <si>
    <t>MH271320.1</t>
  </si>
  <si>
    <t>JN116826</t>
  </si>
  <si>
    <t>KP296792.1</t>
  </si>
  <si>
    <t>Bacteriophage Lily</t>
  </si>
  <si>
    <t>Monodnaviria</t>
  </si>
  <si>
    <t>Loebvirae</t>
  </si>
  <si>
    <t>Hofneiviricota</t>
  </si>
  <si>
    <t>Faserviricetes</t>
  </si>
  <si>
    <t>Tubulavirales</t>
  </si>
  <si>
    <t>Affertcholeramvirus</t>
  </si>
  <si>
    <t>ssDNA(+)</t>
  </si>
  <si>
    <t>2019.061B.zip</t>
  </si>
  <si>
    <t>HQ224500</t>
  </si>
  <si>
    <t>Bifilivirus</t>
  </si>
  <si>
    <t>AF428260</t>
  </si>
  <si>
    <t>Capistrivirus</t>
  </si>
  <si>
    <t>AY714348</t>
  </si>
  <si>
    <t>Coriovirus</t>
  </si>
  <si>
    <t>M57538</t>
  </si>
  <si>
    <t>ssDNA</t>
  </si>
  <si>
    <t>D89074</t>
  </si>
  <si>
    <t xml:space="preserve">V. cholera phage/prophage fs1 </t>
  </si>
  <si>
    <t>AY242528</t>
  </si>
  <si>
    <t>Vibrio phage VGJ</t>
  </si>
  <si>
    <t>Ralstonia virus RS551</t>
  </si>
  <si>
    <t>KX179905</t>
  </si>
  <si>
    <t>AB937974</t>
  </si>
  <si>
    <t>Ralstonia phage RS603</t>
  </si>
  <si>
    <t>AB259123</t>
  </si>
  <si>
    <t>Ralstonia phage RSM1</t>
  </si>
  <si>
    <t>AB434711</t>
  </si>
  <si>
    <t>Ralstonia phage RSM3</t>
  </si>
  <si>
    <t>Infulavirus</t>
  </si>
  <si>
    <t>U02303</t>
  </si>
  <si>
    <t>X14336</t>
  </si>
  <si>
    <t>enterobacteria phage I2-2</t>
  </si>
  <si>
    <t>X02139</t>
  </si>
  <si>
    <t>Escherichia coli phage IKe</t>
  </si>
  <si>
    <t>Parhipatevirus</t>
  </si>
  <si>
    <t>HM064452</t>
  </si>
  <si>
    <t>Primolicivirus</t>
  </si>
  <si>
    <t>X52107</t>
  </si>
  <si>
    <t>Psecadovirus</t>
  </si>
  <si>
    <t>EF489910</t>
  </si>
  <si>
    <t>Restivirus</t>
  </si>
  <si>
    <t>AB259124</t>
  </si>
  <si>
    <t>AB002632</t>
  </si>
  <si>
    <t xml:space="preserve">V. cholera phage fs2 </t>
  </si>
  <si>
    <t>KC357596</t>
  </si>
  <si>
    <t>Vibrio phage VFJ</t>
  </si>
  <si>
    <t>Scuticavirus</t>
  </si>
  <si>
    <t>HG315669</t>
  </si>
  <si>
    <t>Staminivirus</t>
  </si>
  <si>
    <t>AM040673</t>
  </si>
  <si>
    <t>Subteminivirus</t>
  </si>
  <si>
    <t>HG007973</t>
  </si>
  <si>
    <t>Tertilicivirus</t>
  </si>
  <si>
    <t>M11912</t>
  </si>
  <si>
    <t>Thomixvirus</t>
  </si>
  <si>
    <t>LC035386</t>
  </si>
  <si>
    <t>Versovirus</t>
  </si>
  <si>
    <t>AB043678</t>
  </si>
  <si>
    <t>Vicialiavirus</t>
  </si>
  <si>
    <t>JN848801</t>
  </si>
  <si>
    <t>Villovirus</t>
  </si>
  <si>
    <t>AB012574</t>
  </si>
  <si>
    <t>Xylivirus</t>
  </si>
  <si>
    <t>KX181651</t>
  </si>
  <si>
    <t>Plectroviridae</t>
  </si>
  <si>
    <t>Suturavirus</t>
  </si>
  <si>
    <t>AF133242</t>
  </si>
  <si>
    <t>U28974</t>
  </si>
  <si>
    <t>Spiroplasma phage/prophage SpV1-C74</t>
  </si>
  <si>
    <t>X51344</t>
  </si>
  <si>
    <t xml:space="preserve">Spiroplasma phage/prophage SpV1-R8A2B </t>
  </si>
  <si>
    <t>EF506570</t>
  </si>
  <si>
    <t>Spiroplasma phage SkV1CR23x</t>
  </si>
  <si>
    <t>Sangervirae</t>
  </si>
  <si>
    <t>Phixviricota</t>
  </si>
  <si>
    <t>Malgrandaviricetes</t>
  </si>
  <si>
    <t>Petitvirales</t>
  </si>
  <si>
    <t>DQ079870</t>
  </si>
  <si>
    <t>Escherichia phage ID21</t>
  </si>
  <si>
    <t>DQ079871</t>
  </si>
  <si>
    <t>Escherichia phage ID32</t>
  </si>
  <si>
    <t>DQ079876</t>
  </si>
  <si>
    <t>Escherichia phage ID62</t>
  </si>
  <si>
    <t>DQ079875</t>
  </si>
  <si>
    <t>Escherichia phage NC28</t>
  </si>
  <si>
    <t>DQ079879</t>
  </si>
  <si>
    <t>Escherichia phage NC29</t>
  </si>
  <si>
    <t>DQ079872</t>
  </si>
  <si>
    <t>Escherichia phage NC35</t>
  </si>
  <si>
    <t>DQ079874</t>
  </si>
  <si>
    <t>Escherichia phage WA45</t>
  </si>
  <si>
    <t>DQ079877</t>
  </si>
  <si>
    <t>Escherichia phage ID52</t>
  </si>
  <si>
    <t>DQ079869</t>
  </si>
  <si>
    <t>Escherichia phage ID2 Moscow/ID/2001</t>
  </si>
  <si>
    <t>Shotokuvirae</t>
  </si>
  <si>
    <t>Cossaviricota</t>
  </si>
  <si>
    <t>Mouviricetes</t>
  </si>
  <si>
    <t>Polivirales</t>
  </si>
  <si>
    <t>Papovaviricetes</t>
  </si>
  <si>
    <t>Sepolyvirales</t>
  </si>
  <si>
    <t>AB972940</t>
  </si>
  <si>
    <t>BatPyV5b-2</t>
  </si>
  <si>
    <t>JQ958886</t>
  </si>
  <si>
    <t>BatPyV-3a</t>
  </si>
  <si>
    <t>JQ958887</t>
  </si>
  <si>
    <t>BatPyV-4a</t>
  </si>
  <si>
    <t>JX159987</t>
  </si>
  <si>
    <t>ApanPyV1 isolate #1961</t>
  </si>
  <si>
    <t>JX520659</t>
  </si>
  <si>
    <t>CardiodermaPyV-KY336</t>
  </si>
  <si>
    <t>JQ958889</t>
  </si>
  <si>
    <t>BatPyV-4b</t>
  </si>
  <si>
    <t>AB767298</t>
  </si>
  <si>
    <t>VmPyV1</t>
  </si>
  <si>
    <t>AB767297</t>
  </si>
  <si>
    <t>VmPyV3</t>
  </si>
  <si>
    <t>AB972945</t>
  </si>
  <si>
    <t>BatPyV5a</t>
  </si>
  <si>
    <t>JX520660</t>
  </si>
  <si>
    <t>EidolonPyV-KY270</t>
  </si>
  <si>
    <t>HQ385752</t>
  </si>
  <si>
    <t>GgorgPyV1 isolate #5766</t>
  </si>
  <si>
    <t>HM011556</t>
  </si>
  <si>
    <t>MCPyV isolate R17b</t>
  </si>
  <si>
    <t>GU989205</t>
  </si>
  <si>
    <t>TSPyV</t>
  </si>
  <si>
    <t>HQ696595</t>
  </si>
  <si>
    <t>HPyV9 isolate #hu2540</t>
  </si>
  <si>
    <t>KF954417</t>
  </si>
  <si>
    <t>NJPyV isolate NJ-PyV-2013</t>
  </si>
  <si>
    <t>Human polyomavirus 14</t>
  </si>
  <si>
    <t>2019.004D.zip</t>
  </si>
  <si>
    <t>KY404016</t>
  </si>
  <si>
    <t>LIPyV</t>
  </si>
  <si>
    <t>JX159986</t>
  </si>
  <si>
    <t>MfasPyV1 isolate #2085</t>
  </si>
  <si>
    <t>Hamster polyomavirus</t>
  </si>
  <si>
    <t>MschPyV1</t>
  </si>
  <si>
    <t>LC185213</t>
  </si>
  <si>
    <t>Miniopterus schreibersii polyomavirus 1 12SuB07</t>
  </si>
  <si>
    <t>MschPyV2</t>
  </si>
  <si>
    <t>LC185216</t>
  </si>
  <si>
    <t>Miniopterus schreibersii polyomavirus 2 12SuB08</t>
  </si>
  <si>
    <t>JQ958893</t>
  </si>
  <si>
    <t>BatPyV-3b</t>
  </si>
  <si>
    <t>Murine polyomavirus</t>
  </si>
  <si>
    <t>JX520658</t>
  </si>
  <si>
    <t>OtomopsPyV-KY156</t>
  </si>
  <si>
    <t>JX520664</t>
  </si>
  <si>
    <t>OtomopsPyV-KY157</t>
  </si>
  <si>
    <t>FR692334</t>
  </si>
  <si>
    <t>ChPyV-Bob</t>
  </si>
  <si>
    <t>HQ385746</t>
  </si>
  <si>
    <t>PtrovPyV1a isolate #6444</t>
  </si>
  <si>
    <t>HQ385748</t>
  </si>
  <si>
    <t>PtrovPyV2a isolate #6512</t>
  </si>
  <si>
    <t>JX159980</t>
  </si>
  <si>
    <t>PtrovPyV3 isolate #3161</t>
  </si>
  <si>
    <t>JX159981</t>
  </si>
  <si>
    <t>PtrovPyV4 isolate #3147</t>
  </si>
  <si>
    <t>JX159982</t>
  </si>
  <si>
    <t>PtrovPyV5 isolate #5743</t>
  </si>
  <si>
    <t>JX159983</t>
  </si>
  <si>
    <t>PtrosPyV2 isolate #6350</t>
  </si>
  <si>
    <t>AB767294</t>
  </si>
  <si>
    <t>YbPyV1</t>
  </si>
  <si>
    <t>JX159984</t>
  </si>
  <si>
    <t>PrufPyV1 isolate #4601</t>
  </si>
  <si>
    <t>FN356901</t>
  </si>
  <si>
    <t>OraPyV-Pi</t>
  </si>
  <si>
    <t>FN356900</t>
  </si>
  <si>
    <t>OraPyV-Bo</t>
  </si>
  <si>
    <t>JQ178241</t>
  </si>
  <si>
    <t>RacPyV</t>
  </si>
  <si>
    <t>AB972944</t>
  </si>
  <si>
    <t>BatPyV5b-1</t>
  </si>
  <si>
    <t>KR075943</t>
  </si>
  <si>
    <t>Rattus norvegicus polyomavirus 1, isolate 3690</t>
  </si>
  <si>
    <t>JX308829</t>
  </si>
  <si>
    <t>HPyV12 isolate #hu1403</t>
  </si>
  <si>
    <t>SminPyV1</t>
  </si>
  <si>
    <t>MF374999</t>
  </si>
  <si>
    <t>Sorex coronatus polyomavirus 1 GER_#7586_MU08/1013</t>
  </si>
  <si>
    <t>ScorPyV1</t>
  </si>
  <si>
    <t>MF401583</t>
  </si>
  <si>
    <t>Sorex minutus polyomavirus 1 GER_#7607_MU10/2265</t>
  </si>
  <si>
    <t>JQ958888</t>
  </si>
  <si>
    <t>BatPyV-B0454</t>
  </si>
  <si>
    <t>Tupaia belangeri polyomavirus 1</t>
  </si>
  <si>
    <t>MK443498</t>
  </si>
  <si>
    <t>AB972941</t>
  </si>
  <si>
    <t>BatPyV6a</t>
  </si>
  <si>
    <t>JQ958890</t>
  </si>
  <si>
    <t>BatPyV-2c</t>
  </si>
  <si>
    <t>CfamPyV1</t>
  </si>
  <si>
    <t>KY341899</t>
  </si>
  <si>
    <t>Canis familiaris polyomavirus 1 R006926 CT2015</t>
  </si>
  <si>
    <t>JX159988</t>
  </si>
  <si>
    <t>CalbPyV1 isolate #2141</t>
  </si>
  <si>
    <t>JX159985</t>
  </si>
  <si>
    <t>CeryPyV1 isolate #4077</t>
  </si>
  <si>
    <t>AB767299</t>
  </si>
  <si>
    <t>VmPyV2</t>
  </si>
  <si>
    <t>JQ958892</t>
  </si>
  <si>
    <t>BatPyV2a</t>
  </si>
  <si>
    <t>AB972947</t>
  </si>
  <si>
    <t>BatPyV6b</t>
  </si>
  <si>
    <t>AB972946</t>
  </si>
  <si>
    <t>BatPyV6c</t>
  </si>
  <si>
    <t>Enhydra lutris polyomavirus 1</t>
  </si>
  <si>
    <t>KM282376</t>
  </si>
  <si>
    <t>6831-13</t>
  </si>
  <si>
    <t>JQ412134</t>
  </si>
  <si>
    <t>EPyV isolate CU03</t>
  </si>
  <si>
    <t>BK polyomavirus</t>
  </si>
  <si>
    <t>JC polyomavirus</t>
  </si>
  <si>
    <t>EF127906</t>
  </si>
  <si>
    <t>KIPyV strain Stockholm 60</t>
  </si>
  <si>
    <t>EF444549</t>
  </si>
  <si>
    <t>WUPyV</t>
  </si>
  <si>
    <t>KF147833</t>
  </si>
  <si>
    <t>AelPyV1</t>
  </si>
  <si>
    <t>Simian virus 40</t>
  </si>
  <si>
    <t>AB588640</t>
  </si>
  <si>
    <t>MasPyV</t>
  </si>
  <si>
    <t>KP644238</t>
  </si>
  <si>
    <t>MmelPyV1-FR</t>
  </si>
  <si>
    <t>KR612373</t>
  </si>
  <si>
    <t>Microtus arvalis polyomavirus 1, isolate KS13/0947</t>
  </si>
  <si>
    <t>JX520661</t>
  </si>
  <si>
    <t>MiniopterusPyV-KY369</t>
  </si>
  <si>
    <t>Murine pneumotropic virus</t>
  </si>
  <si>
    <t>Mus musculus polyomavirus 3</t>
  </si>
  <si>
    <t>MF175082</t>
  </si>
  <si>
    <t>MPoV3/NYC/2015/K003/3347</t>
  </si>
  <si>
    <t>KR612368</t>
  </si>
  <si>
    <t>Myodes glareolus polyomavirus 1, isolate KS/14/281</t>
  </si>
  <si>
    <t>FJ188392</t>
  </si>
  <si>
    <t>MyoPyV isolate VM2008_14</t>
  </si>
  <si>
    <t>KT884050</t>
  </si>
  <si>
    <t>Pan troglodytes verus polyomavirus 8, isolate Ch-Regina</t>
  </si>
  <si>
    <t>AB767295</t>
  </si>
  <si>
    <t>YbPyV2</t>
  </si>
  <si>
    <t>JX520662</t>
  </si>
  <si>
    <t>PteronotusPyV-GTM203</t>
  </si>
  <si>
    <t>JQ958891</t>
  </si>
  <si>
    <t>BatPyV-2b</t>
  </si>
  <si>
    <t>RaegPyV1</t>
  </si>
  <si>
    <t>LC185218</t>
  </si>
  <si>
    <t>Rousettus aegyptiacus polyomavirus 1 12SuB01</t>
  </si>
  <si>
    <t>AM748741</t>
  </si>
  <si>
    <t>SqPyV isolate Squi0106</t>
  </si>
  <si>
    <t>JX159989</t>
  </si>
  <si>
    <t>SsciPyV1 isolate #2033</t>
  </si>
  <si>
    <t>GQ331138</t>
  </si>
  <si>
    <t>SLPyV, CSLPyV</t>
  </si>
  <si>
    <t>HM011560</t>
  </si>
  <si>
    <t>HPyV6 strain 607a</t>
  </si>
  <si>
    <t>HM011566</t>
  </si>
  <si>
    <t>HPyV7 strain 713a</t>
  </si>
  <si>
    <t>JQ898291</t>
  </si>
  <si>
    <t>MWPyV strain MA095</t>
  </si>
  <si>
    <t>JX463183</t>
  </si>
  <si>
    <t>StLPyV strain MA138</t>
  </si>
  <si>
    <t>AY140894</t>
  </si>
  <si>
    <t>GHPyV</t>
  </si>
  <si>
    <t>Budgerigar fledgling disease polyomavirus</t>
  </si>
  <si>
    <t>DQ192570</t>
  </si>
  <si>
    <t>CPyV</t>
  </si>
  <si>
    <t>KF360862</t>
  </si>
  <si>
    <t>Butcherbird PyV</t>
  </si>
  <si>
    <t>KP033140</t>
  </si>
  <si>
    <t>AdPyV</t>
  </si>
  <si>
    <t>DQ192571</t>
  </si>
  <si>
    <t>FPyV</t>
  </si>
  <si>
    <t>GU345044</t>
  </si>
  <si>
    <t>CaPyV</t>
  </si>
  <si>
    <t>AmelPyV1</t>
  </si>
  <si>
    <t>KY612371</t>
  </si>
  <si>
    <t>giant panda polyomavirus GPPyV1</t>
  </si>
  <si>
    <t>Bovine polyomavirus</t>
  </si>
  <si>
    <t>KP071318</t>
  </si>
  <si>
    <t>Black sea bass polyomavirus 1</t>
  </si>
  <si>
    <t>KC594077</t>
  </si>
  <si>
    <t>PlotPyV1</t>
  </si>
  <si>
    <t>KY549442</t>
  </si>
  <si>
    <t>raccoon-associated polyomavirus 2 Rac2</t>
  </si>
  <si>
    <t>SaurPyV1</t>
  </si>
  <si>
    <t>KX643371</t>
  </si>
  <si>
    <t>Sparus aurata polyomavirus 1 SA9poly</t>
  </si>
  <si>
    <t>TberPyV1</t>
  </si>
  <si>
    <t>MG800627</t>
  </si>
  <si>
    <t>Emerald notothen polyomavirus 1 BIS330</t>
  </si>
  <si>
    <t>Zurhausenvirales</t>
  </si>
  <si>
    <t>KF741371</t>
  </si>
  <si>
    <t>Equus asinus papillomavirus 1</t>
  </si>
  <si>
    <t>KC876045</t>
  </si>
  <si>
    <t>Rupicapra rupicapra papillomavirus 1</t>
  </si>
  <si>
    <t>KC858264</t>
  </si>
  <si>
    <t>Eptesicus serotinus papillomavirus 2</t>
  </si>
  <si>
    <t>KC460986</t>
  </si>
  <si>
    <t>Talpa europaea papillomavirus 1</t>
  </si>
  <si>
    <t>KC858263</t>
  </si>
  <si>
    <t>Eptesicus serotinus papillomavirus 1</t>
  </si>
  <si>
    <t>JQ692938</t>
  </si>
  <si>
    <t>Miniopterus schreibersii papillomavirus 1</t>
  </si>
  <si>
    <t>JX123128</t>
  </si>
  <si>
    <t>Eidolon helvum papillomavirus 1</t>
  </si>
  <si>
    <t>KC862318</t>
  </si>
  <si>
    <t>Human papillomavirus 167</t>
  </si>
  <si>
    <t>KF006399</t>
  </si>
  <si>
    <t>Human papillomavirus 172</t>
  </si>
  <si>
    <t>KC108721</t>
  </si>
  <si>
    <t>Human papillomavirus 175</t>
  </si>
  <si>
    <t>KJ130020</t>
  </si>
  <si>
    <t>Human papillomavirus 178</t>
  </si>
  <si>
    <t>HG530535</t>
  </si>
  <si>
    <t>Human papillomavirus 184</t>
  </si>
  <si>
    <t>KR816174</t>
  </si>
  <si>
    <t>Human papillomavirus 187</t>
  </si>
  <si>
    <t>KP769769</t>
  </si>
  <si>
    <t>Human papillomavirus 204</t>
  </si>
  <si>
    <t>KP205502</t>
  </si>
  <si>
    <t>Trichechus manatus papillomavirus 3</t>
  </si>
  <si>
    <t>JX972168</t>
  </si>
  <si>
    <t>Felis catus papillomavirus 3</t>
  </si>
  <si>
    <t>KC858266</t>
  </si>
  <si>
    <t>Rhinolophus ferrumequinum papillomavirus 1</t>
  </si>
  <si>
    <t>KJ173785</t>
  </si>
  <si>
    <t>KF857586</t>
  </si>
  <si>
    <t>Vulpes vulpes papillomavirus 1</t>
  </si>
  <si>
    <t>KJ452243</t>
  </si>
  <si>
    <t>Fulmarus glacialis papillomavirus 1</t>
  </si>
  <si>
    <t>KC810012</t>
  </si>
  <si>
    <t>Rangifer tarandus papillomavirus 2</t>
  </si>
  <si>
    <t>Quintoviricetes</t>
  </si>
  <si>
    <t>Piccovirales</t>
  </si>
  <si>
    <t>Aquambidensovirus</t>
  </si>
  <si>
    <t>Asteroid aquambidensovirus 1</t>
  </si>
  <si>
    <t>ssDNA(+/-)</t>
  </si>
  <si>
    <t>2019.010D.zip</t>
  </si>
  <si>
    <t>SSaDV</t>
  </si>
  <si>
    <t>KM052275</t>
  </si>
  <si>
    <t>Decapod aquambidensovirus 1</t>
  </si>
  <si>
    <t>CqDV</t>
  </si>
  <si>
    <t>KP410261</t>
  </si>
  <si>
    <t>Blattambidensovirus</t>
  </si>
  <si>
    <t>Blattodean blattambidensovirus 1</t>
  </si>
  <si>
    <t>BgDV1</t>
  </si>
  <si>
    <t>AY189948</t>
  </si>
  <si>
    <t>Hemiambidensovirus</t>
  </si>
  <si>
    <t>Hemipteran hemiambidensovirus 1</t>
  </si>
  <si>
    <t>DplDV1</t>
  </si>
  <si>
    <t>FJ040397</t>
  </si>
  <si>
    <t>Hemipteran hemiambidensovirus 2</t>
  </si>
  <si>
    <t>MpDV1</t>
  </si>
  <si>
    <t>AY148187</t>
  </si>
  <si>
    <t>Miniambidensovirus</t>
  </si>
  <si>
    <t>Orthopteran miniambidensovirus 1</t>
  </si>
  <si>
    <t>AdMDV</t>
  </si>
  <si>
    <t>KF275669</t>
  </si>
  <si>
    <t>Pefuambidensovirus</t>
  </si>
  <si>
    <t>Blattodean pefuambidensovirus 1</t>
  </si>
  <si>
    <t>PfDV</t>
  </si>
  <si>
    <t>AF192260</t>
  </si>
  <si>
    <t>Penstylhamaparvovirus</t>
  </si>
  <si>
    <t>Decapod penstylhamaparvovirus 1</t>
  </si>
  <si>
    <t>PstDV1</t>
  </si>
  <si>
    <t>AF273215</t>
  </si>
  <si>
    <t>Protoambidensovirus</t>
  </si>
  <si>
    <t>Dipteran protoambidensovirus 1</t>
  </si>
  <si>
    <t>CpDV</t>
  </si>
  <si>
    <t>FJ810126</t>
  </si>
  <si>
    <t>Lepidopteran protoambidensovirus 1</t>
  </si>
  <si>
    <t>GmDV</t>
  </si>
  <si>
    <t>L32896</t>
  </si>
  <si>
    <t>Scindoambidensovirus</t>
  </si>
  <si>
    <t>Hemipteran scindoambidensovirus 1</t>
  </si>
  <si>
    <t>PcDV</t>
  </si>
  <si>
    <t>AY032882</t>
  </si>
  <si>
    <t>Hymenopteran scindoambidensovirus 1</t>
  </si>
  <si>
    <t>SiDV</t>
  </si>
  <si>
    <t>KC991097</t>
  </si>
  <si>
    <t>Orthopteran scindoambidensovirus 1</t>
  </si>
  <si>
    <t>AdDV</t>
  </si>
  <si>
    <t>HQ827781</t>
  </si>
  <si>
    <t>Hamaparvovirinae</t>
  </si>
  <si>
    <t>Brevihamaparvovirus</t>
  </si>
  <si>
    <t>Dipteran brevihamaparvovirus 1</t>
  </si>
  <si>
    <t>AgDV</t>
  </si>
  <si>
    <t>EU233812</t>
  </si>
  <si>
    <t>Dipteran brevihamaparvovirus 2</t>
  </si>
  <si>
    <t>AalDV2</t>
  </si>
  <si>
    <t>X74945</t>
  </si>
  <si>
    <t>Chaphamaparvovirus</t>
  </si>
  <si>
    <t>Carnivore chaphamaparvovirus 1</t>
  </si>
  <si>
    <t>CaChV 1A</t>
  </si>
  <si>
    <t>MH893826</t>
  </si>
  <si>
    <t>Chiropteran chaphamaparvovirus 1</t>
  </si>
  <si>
    <t>DrChPV</t>
  </si>
  <si>
    <t>NC032097</t>
  </si>
  <si>
    <t>Galliform chaphamaparvovirus 1</t>
  </si>
  <si>
    <t>TPV2</t>
  </si>
  <si>
    <t>KF925531</t>
  </si>
  <si>
    <t>Galliform chaphamaparvovirus 2</t>
  </si>
  <si>
    <t>ChChPV2</t>
  </si>
  <si>
    <t>MG846442</t>
  </si>
  <si>
    <t>Galliform chaphamaparvovirus 3</t>
  </si>
  <si>
    <t>ChChPV-HK</t>
  </si>
  <si>
    <t>KM254174</t>
  </si>
  <si>
    <t>Rodent chaphamaparvovirus 1</t>
  </si>
  <si>
    <t>MKPV</t>
  </si>
  <si>
    <t>MH670587</t>
  </si>
  <si>
    <t>Rodent chaphamaparvovirus 2</t>
  </si>
  <si>
    <t>RPV2</t>
  </si>
  <si>
    <t>KX272741</t>
  </si>
  <si>
    <t>Ungulate chaphamaparvovirus 1</t>
  </si>
  <si>
    <t>PPV7</t>
  </si>
  <si>
    <t>MG543471</t>
  </si>
  <si>
    <t>Hepanhamaparvovirus</t>
  </si>
  <si>
    <t>Decapod hepanhamaparvovirus 1</t>
  </si>
  <si>
    <t>FcHDV</t>
  </si>
  <si>
    <t>GU371276</t>
  </si>
  <si>
    <t>Ichthamaparvovirus</t>
  </si>
  <si>
    <t>Syngnathid ichthamaparvovirus 1</t>
  </si>
  <si>
    <t>ScChPV</t>
  </si>
  <si>
    <t>MN049932</t>
  </si>
  <si>
    <t>Carnivore amdoparvovirus 5</t>
  </si>
  <si>
    <t>RpAPV</t>
  </si>
  <si>
    <t>KT878839</t>
  </si>
  <si>
    <t>Artiparvovirus</t>
  </si>
  <si>
    <t>Chiropteran artiparvovirus 1</t>
  </si>
  <si>
    <t>AjPV</t>
  </si>
  <si>
    <t>JQ037754</t>
  </si>
  <si>
    <t>Gruiform aveparvovirus 1</t>
  </si>
  <si>
    <t>RcPV</t>
  </si>
  <si>
    <t>KY312546</t>
  </si>
  <si>
    <t>Rodent bocaparvovirus 1</t>
  </si>
  <si>
    <t>RBoV</t>
  </si>
  <si>
    <t>KT454512</t>
  </si>
  <si>
    <t>Rodent bocaparvovirus 2</t>
  </si>
  <si>
    <t>MuBoV</t>
  </si>
  <si>
    <t>MF175080</t>
  </si>
  <si>
    <t>Ungulate bocaparvovirus 7</t>
  </si>
  <si>
    <t>DBoV1</t>
  </si>
  <si>
    <t>KY640430</t>
  </si>
  <si>
    <t>Ungulate bocaparvovirus 8</t>
  </si>
  <si>
    <t>DBoV2</t>
  </si>
  <si>
    <t>KY640438</t>
  </si>
  <si>
    <t>Pinniped copiparvovirus 1</t>
  </si>
  <si>
    <t>SesaV</t>
  </si>
  <si>
    <t>KM035804</t>
  </si>
  <si>
    <t>Ungulate copiparvovirus 3</t>
  </si>
  <si>
    <t>RdPV</t>
  </si>
  <si>
    <t>MK091524</t>
  </si>
  <si>
    <t>Ungulate copiparvovirus 4</t>
  </si>
  <si>
    <t>PPV6</t>
  </si>
  <si>
    <t>KX384823</t>
  </si>
  <si>
    <t>Ungulate copiparvovirus 5</t>
  </si>
  <si>
    <t>BosaV</t>
  </si>
  <si>
    <t>KY019139</t>
  </si>
  <si>
    <t>Ungulate copiparvovirus 6</t>
  </si>
  <si>
    <t>EqPV-H</t>
  </si>
  <si>
    <t>MG136722</t>
  </si>
  <si>
    <t>Rodent dependoparvovirus 1</t>
  </si>
  <si>
    <t>MAAV1</t>
  </si>
  <si>
    <t>MF416383</t>
  </si>
  <si>
    <t>Rodent dependoparvovirus 2</t>
  </si>
  <si>
    <t>MAAV2</t>
  </si>
  <si>
    <t>MF416384</t>
  </si>
  <si>
    <t>BDPV</t>
  </si>
  <si>
    <t>KP733794</t>
  </si>
  <si>
    <t>bearded dragon parvovirus 2014</t>
  </si>
  <si>
    <t>Pinniped erythroparvovirus 1</t>
  </si>
  <si>
    <t>SePV</t>
  </si>
  <si>
    <t>KF373759</t>
  </si>
  <si>
    <t>Loriparvovirus</t>
  </si>
  <si>
    <t>Primate loriparvovirus 1</t>
  </si>
  <si>
    <t>SLPV</t>
  </si>
  <si>
    <t>KP120516</t>
  </si>
  <si>
    <t>Carnivore protoparvovirus</t>
  </si>
  <si>
    <t>SoPV</t>
  </si>
  <si>
    <t>KU561552</t>
  </si>
  <si>
    <t>Primate protoparvovirus 4</t>
  </si>
  <si>
    <t>TuV</t>
  </si>
  <si>
    <t>KJ495710</t>
  </si>
  <si>
    <t>Cressdnaviricota</t>
  </si>
  <si>
    <t>Arfiviricetes</t>
  </si>
  <si>
    <t>Baphyvirales</t>
  </si>
  <si>
    <t>Cirlivirales</t>
  </si>
  <si>
    <t>GU799606</t>
  </si>
  <si>
    <t>barbel circovirus</t>
  </si>
  <si>
    <t>KT783484</t>
  </si>
  <si>
    <t>Tadarida brasiliensis circovirus 1</t>
  </si>
  <si>
    <t>KJ641727</t>
  </si>
  <si>
    <t>bat circovirus 5 isolate BtPa-CV-1/NX2013</t>
  </si>
  <si>
    <t>KJ641724</t>
  </si>
  <si>
    <t>bat circovirus 6 isolate BtRa-CV/JS2013</t>
  </si>
  <si>
    <t>KJ641723</t>
  </si>
  <si>
    <t>bat circovirus 7 isolate BtRs-CV/HuB2013</t>
  </si>
  <si>
    <t>KJ641711</t>
  </si>
  <si>
    <t>bat circovirus 8 isolate BtMr-CV/GD2012</t>
  </si>
  <si>
    <t>BatACV10</t>
  </si>
  <si>
    <t>KX756986</t>
  </si>
  <si>
    <t>bat circovirus Acheng30</t>
  </si>
  <si>
    <t>BatACV11</t>
  </si>
  <si>
    <t>KX756996</t>
  </si>
  <si>
    <t>bat circovirus Mengyuan2</t>
  </si>
  <si>
    <t>Bat associated circovirus 12</t>
  </si>
  <si>
    <t>2019.002D.zip</t>
  </si>
  <si>
    <t>BatACV12</t>
  </si>
  <si>
    <t>KJ641716</t>
  </si>
  <si>
    <t>CV/GD2012</t>
  </si>
  <si>
    <t>KC241982</t>
  </si>
  <si>
    <t>canine circovirus isolate UCD1-1698</t>
  </si>
  <si>
    <t>Civet circovirus</t>
  </si>
  <si>
    <t>CivCV</t>
  </si>
  <si>
    <t>LC416389</t>
  </si>
  <si>
    <t>Pl-CV3</t>
  </si>
  <si>
    <t>JQ011377</t>
  </si>
  <si>
    <t>European catfish circovirus isolate H5 (Silurus glanis circovirus)</t>
  </si>
  <si>
    <t>KJ020099</t>
  </si>
  <si>
    <t>mink circovirus</t>
  </si>
  <si>
    <t>Mosquito associated circovirus 1</t>
  </si>
  <si>
    <t>MosACV1</t>
  </si>
  <si>
    <t>MH188038</t>
  </si>
  <si>
    <t>CCirVL/Fresno</t>
  </si>
  <si>
    <t>DQ146997</t>
  </si>
  <si>
    <t>raven circovirus</t>
  </si>
  <si>
    <t>RoACV1</t>
  </si>
  <si>
    <t>KY370034</t>
  </si>
  <si>
    <t>rodent circovirus RtMc-CV-1/Tibet2014</t>
  </si>
  <si>
    <t>RoACV2</t>
  </si>
  <si>
    <t>KY370042</t>
  </si>
  <si>
    <t>rodent circovirus RtAc-CV-2/GZ2015</t>
  </si>
  <si>
    <t>RoACV3</t>
  </si>
  <si>
    <t>KY370039</t>
  </si>
  <si>
    <t>rodent circovirus RtMc-CV-2/Tibet2014</t>
  </si>
  <si>
    <t>RoACV4</t>
  </si>
  <si>
    <t>KY370029</t>
  </si>
  <si>
    <t>rodent circovirus RtAs-CV/IM2014</t>
  </si>
  <si>
    <t>RoACV5</t>
  </si>
  <si>
    <t>KY370027</t>
  </si>
  <si>
    <t>rodent circovirus RtNe-CV/YN2013</t>
  </si>
  <si>
    <t>RoACV6</t>
  </si>
  <si>
    <t>KY370037</t>
  </si>
  <si>
    <t>rodent circovirus RtAd-CV/SAX2015</t>
  </si>
  <si>
    <t>Rodent associated circovirus 7</t>
  </si>
  <si>
    <t>RoACV7</t>
  </si>
  <si>
    <t>MF497827</t>
  </si>
  <si>
    <t>FJ01</t>
  </si>
  <si>
    <t>TiACV1</t>
  </si>
  <si>
    <t>KU230452</t>
  </si>
  <si>
    <t>avian-like circovirus A1</t>
  </si>
  <si>
    <t>TiACV2</t>
  </si>
  <si>
    <t>KX987146</t>
  </si>
  <si>
    <t>tick circovirus hlj-Ic.518</t>
  </si>
  <si>
    <t>KP793918</t>
  </si>
  <si>
    <t>zebra finch circovirus</t>
  </si>
  <si>
    <t>Ant associated cyclovirus 1</t>
  </si>
  <si>
    <t>AntACyV1</t>
  </si>
  <si>
    <t>MH545511</t>
  </si>
  <si>
    <t>KY_I1338b_D1_CN</t>
  </si>
  <si>
    <t>KJ641714</t>
  </si>
  <si>
    <t>BtRp-CV-14/GD2012</t>
  </si>
  <si>
    <t>KJ641740</t>
  </si>
  <si>
    <t>BtRf-CV-24/YN2010</t>
  </si>
  <si>
    <t>KJ641715</t>
  </si>
  <si>
    <t>BtRp-CV-52/GD2012</t>
  </si>
  <si>
    <t>KJ641720</t>
  </si>
  <si>
    <t>BtTp-CV-2/GX2012</t>
  </si>
  <si>
    <t>KM382270</t>
  </si>
  <si>
    <t>POA/2012/VI</t>
  </si>
  <si>
    <t>KJ641717</t>
  </si>
  <si>
    <t>BtMspp-CV/GD2012</t>
  </si>
  <si>
    <t>KM382269</t>
  </si>
  <si>
    <t>POA/2012/II</t>
  </si>
  <si>
    <t>KJ641728</t>
  </si>
  <si>
    <t>BtPa-CV-2/NX2013</t>
  </si>
  <si>
    <t>KT732785</t>
  </si>
  <si>
    <t>Tbat_H_103699</t>
  </si>
  <si>
    <t>KT732786</t>
  </si>
  <si>
    <t>Tbat_H_88317</t>
  </si>
  <si>
    <t>KT732788</t>
  </si>
  <si>
    <t>Tbat_H_103923</t>
  </si>
  <si>
    <t>Chicken associated cyclovirus 2</t>
  </si>
  <si>
    <t>ChickACyV2</t>
  </si>
  <si>
    <t>MG846358</t>
  </si>
  <si>
    <t>RS/BR/2015/4</t>
  </si>
  <si>
    <t>DuACyV-1</t>
  </si>
  <si>
    <t>KY851116</t>
  </si>
  <si>
    <t>duck associated cyclovirus 1 DuACyV-1/1</t>
  </si>
  <si>
    <t>KM017740</t>
  </si>
  <si>
    <t>feline cyclovirus</t>
  </si>
  <si>
    <t>KR902499</t>
  </si>
  <si>
    <t>Cyclovirus Equ1</t>
  </si>
  <si>
    <t>KJ831064</t>
  </si>
  <si>
    <t>SL-108277</t>
  </si>
  <si>
    <t>RoACyV1</t>
  </si>
  <si>
    <t>KY370028</t>
  </si>
  <si>
    <t>rodent circovirus RtRf-CV-2/YN2013</t>
  </si>
  <si>
    <t>RoACyV2</t>
  </si>
  <si>
    <t>KY370026</t>
  </si>
  <si>
    <t>rodent circovirus RtRs-CV/YN2013</t>
  </si>
  <si>
    <t>Spider associated cyclovirus 1</t>
  </si>
  <si>
    <t>SpACyV1</t>
  </si>
  <si>
    <t>MH545516</t>
  </si>
  <si>
    <t>BC_I1647E_H3</t>
  </si>
  <si>
    <t>LC018134</t>
  </si>
  <si>
    <t>TsCyV-1_JP-NUBS-2014</t>
  </si>
  <si>
    <t>Cremevirales</t>
  </si>
  <si>
    <t>Mulpavirales</t>
  </si>
  <si>
    <t>DNA-R: EF546813, DNA-U3: EF546809, DNA-S: EF546810, DNA-M: EF546811, DNA-C: EF546812, DNA-N: EF546808</t>
  </si>
  <si>
    <t xml:space="preserve">Q767 </t>
  </si>
  <si>
    <t>DNA-R: S56276, DNA-U3: L41576, DNA-S: L41574, DNA-M: L41575, DNA-C: L41578, DNA-N: L41577</t>
  </si>
  <si>
    <t>Australia</t>
  </si>
  <si>
    <t>DNA-R: JX867550, DNA-U3: KF435143, DNA-S: JX867540, DNA-M: JX569847, DNA-C: JX867548, DNA-N: JX867546, DNA-U1: KF435145, DNA-U2: KF435146, DNA-U4: KF435147</t>
  </si>
  <si>
    <t xml:space="preserve">India:Kalimpong </t>
  </si>
  <si>
    <t>KC978949 - KC978956</t>
  </si>
  <si>
    <t>BMLRV - [AZ,47]</t>
  </si>
  <si>
    <t>DNA-R: GQ150778, DNA-U1: GQ150783, DNA-M: GQ150781, DNA-S: GQ150779, DNA-U2: GQ150784, DNA-N: GQ150782, DNA-C: GQ150780, DNA-U4: GQ150785</t>
  </si>
  <si>
    <t xml:space="preserve">JKI-2000 </t>
  </si>
  <si>
    <t>DNA-R: AJ132180, DNA-U1: AJ132181, DNA-M: AJ132182, DNA-S: AJ132183, DNA-U2: AJ132184, DNA-N: AJ132186, DNA-C: AJ132179, DNA-U4: AJ749902</t>
  </si>
  <si>
    <t>EV1-93</t>
  </si>
  <si>
    <t>DNA-R: HE654123, DNA-U1: HE654128, DNA-M: HE654125, DNA-S: HE654124, DNA-U2: HE654129, DNA-N: HE654127, DNA-C: HE654126, DNA-U4: HE654130</t>
  </si>
  <si>
    <t xml:space="preserve">Eth-231 </t>
  </si>
  <si>
    <t>DNA-C: AB000923, DNA-U1: AB000924, DNA-N: AB000925, DNA-U2: AB000926, DNA-M: AB000927, DNA-S: AB009046, DNA-R: AB027511, DNA-U4: AB255373</t>
  </si>
  <si>
    <t xml:space="preserve">N </t>
  </si>
  <si>
    <t>DNA-R: GU553134, DNA-U1: JN133283, DNA-M: JN133281, DNA-S: JN133279, DNA-U2: JN133284, DNA-N: JN133282, DNA-C: JN133280, DNA-U4: JN133285</t>
  </si>
  <si>
    <t xml:space="preserve">Drohndorf-15 </t>
  </si>
  <si>
    <t>KC979054 - KC979059</t>
  </si>
  <si>
    <t>PYSV- [AT,15]</t>
  </si>
  <si>
    <t>DNA-M: U16730, DNA-C: U16732, DNA-N: U16733, DNA-S: U16734, DNA-U1: U16736, DNA-R: AJ290434</t>
  </si>
  <si>
    <t>F</t>
  </si>
  <si>
    <t>Recrevirales</t>
  </si>
  <si>
    <t>Redondoviridae</t>
  </si>
  <si>
    <t>Torbevirus</t>
  </si>
  <si>
    <t>Brisavirus</t>
  </si>
  <si>
    <t>2019.011D.zip</t>
  </si>
  <si>
    <t>KY052047</t>
  </si>
  <si>
    <t>LC</t>
  </si>
  <si>
    <t>Vientovirus</t>
  </si>
  <si>
    <t>MK059763</t>
  </si>
  <si>
    <t>FB</t>
  </si>
  <si>
    <t>Repensiviricetes</t>
  </si>
  <si>
    <t>Geplafuvirales</t>
  </si>
  <si>
    <t>EmLV</t>
  </si>
  <si>
    <t>MG001960</t>
  </si>
  <si>
    <t>Exomis microphylla associated virus 2-90-C1</t>
  </si>
  <si>
    <t>KC430935</t>
  </si>
  <si>
    <t>Abutilon golden mosaic virus - [Mexico:Yucatan:2007]</t>
  </si>
  <si>
    <t>ACMBFV</t>
  </si>
  <si>
    <t>HE616777</t>
  </si>
  <si>
    <t>African cassava mosaic Burkina Faso virus BF-Oua-127-08</t>
  </si>
  <si>
    <t>Ageratum leaf curl Sichuan virus</t>
  </si>
  <si>
    <t>2019.022P.zip</t>
  </si>
  <si>
    <t>ALCScV</t>
  </si>
  <si>
    <t>MG917697</t>
  </si>
  <si>
    <t>CN-Sc-SC770-16</t>
  </si>
  <si>
    <t>BLCrV</t>
  </si>
  <si>
    <t>KX857725</t>
  </si>
  <si>
    <t>bean leaf crumple virus CO-HA-15</t>
  </si>
  <si>
    <t>BYVMDV</t>
  </si>
  <si>
    <t>FJ515747</t>
  </si>
  <si>
    <t>bhendi yellow vein mosaic Delhi virus IN-OY131-04</t>
  </si>
  <si>
    <t>Bitter gourd yellow mosaic virus</t>
  </si>
  <si>
    <t>BgYMV</t>
  </si>
  <si>
    <t>KY860899</t>
  </si>
  <si>
    <t>IN-16</t>
  </si>
  <si>
    <t>BleYVV</t>
  </si>
  <si>
    <t>KF446659</t>
  </si>
  <si>
    <t>Blechum yellow vein virus TW-W1-12</t>
  </si>
  <si>
    <t>KC426927, KC426928</t>
  </si>
  <si>
    <t>Capraria yellow spot virus - [Mexico:Yucatan:Conkal:2007]</t>
  </si>
  <si>
    <t>HE617299, HE617300</t>
  </si>
  <si>
    <t>Cassava mosaic Madagascar virus - [Madgascar:Toliary:2006]</t>
  </si>
  <si>
    <t>HE580234</t>
  </si>
  <si>
    <t>Catharanthus yellow mosaic virus - [Pakistan:Lahore:KN4]</t>
  </si>
  <si>
    <t>HM626515</t>
  </si>
  <si>
    <t>Chenopodium leaf curl virus - [USA:Florida:Citra:2007]</t>
  </si>
  <si>
    <t>ChiLCAV</t>
  </si>
  <si>
    <t>KM880103</t>
  </si>
  <si>
    <t>chilli leaf curl Ahmedabad virus IN-Ahm-14</t>
  </si>
  <si>
    <t>ChiLCBV</t>
  </si>
  <si>
    <t>HM992939</t>
  </si>
  <si>
    <t>chilli leaf curl Bhavanisagar virus IN-Bha-10</t>
  </si>
  <si>
    <t>ChiLCGV</t>
  </si>
  <si>
    <t>KJ957157</t>
  </si>
  <si>
    <t>chilli leaf curl Gonda virus IN-Gon-13</t>
  </si>
  <si>
    <t>FM877858</t>
  </si>
  <si>
    <t>Chilli leaf curl India virus - [India:2008]</t>
  </si>
  <si>
    <t>HM007106</t>
  </si>
  <si>
    <t>Chilli leaf curl Kanpur virus [India:Kanpur:2008]</t>
  </si>
  <si>
    <t>ChiLCSLV</t>
  </si>
  <si>
    <t>JN555601</t>
  </si>
  <si>
    <t>chilli leaf curl Sri Lanka virus LK-CL14-09</t>
  </si>
  <si>
    <t>HM007121</t>
  </si>
  <si>
    <t>Chilli leaf curl Vellanad virus - [India:Vellanad:2008]</t>
  </si>
  <si>
    <t>EF408037</t>
  </si>
  <si>
    <t>Clerodendron yellow mosaic virus - [India:Iari:2006]</t>
  </si>
  <si>
    <t>FJ011668, FJ011669</t>
  </si>
  <si>
    <t>Clerodendrum golden mosaic China virus - [China:Fuzhou 7:2007]</t>
  </si>
  <si>
    <t>FN396966</t>
  </si>
  <si>
    <t>Clerodendrum golden mosaic Jiangsu virus - [China:Jiangsu XY2:2008]</t>
  </si>
  <si>
    <t>KC196077</t>
  </si>
  <si>
    <t>Corchorus yellow vein mosaic virus - [India:Maharashtra:2011]</t>
  </si>
  <si>
    <t>KF358470</t>
  </si>
  <si>
    <t>Cotton chlorotic spot virus - [Brazil:Campina Grande B012:2009]</t>
  </si>
  <si>
    <t>Cowpea bright yellow mosaic virus</t>
  </si>
  <si>
    <t>CoBYMV</t>
  </si>
  <si>
    <t>MH469731</t>
  </si>
  <si>
    <t>BR-PE–088-11</t>
  </si>
  <si>
    <t>EF165536</t>
  </si>
  <si>
    <t>Crassocephalum yellow vein virus - [China:Jinhong:2005]</t>
  </si>
  <si>
    <t>Croton golden mosaic virus</t>
  </si>
  <si>
    <t>CroGMV</t>
  </si>
  <si>
    <t>KX156613</t>
  </si>
  <si>
    <t>CO-Fl_Va-14</t>
  </si>
  <si>
    <t>DaLCV</t>
  </si>
  <si>
    <t>MF402918</t>
  </si>
  <si>
    <t>Datura leaf curl virus SD- Kha435-16</t>
  </si>
  <si>
    <t>EYVV</t>
  </si>
  <si>
    <t>KT390456</t>
  </si>
  <si>
    <t>Eclipta yellow vein virus IN-WOK44-14</t>
  </si>
  <si>
    <t>Emilia yellow vein Fujian virus</t>
  </si>
  <si>
    <t>EYVFjV</t>
  </si>
  <si>
    <t>MH035670</t>
  </si>
  <si>
    <t>CN-Fj-Zz01-17</t>
  </si>
  <si>
    <t>EYVTHV</t>
  </si>
  <si>
    <t>KY373213</t>
  </si>
  <si>
    <t>Emilia yellow vein Thailand virus TH-4872_6-15</t>
  </si>
  <si>
    <t>EU377539</t>
  </si>
  <si>
    <t>Emilia yellow vein virus - [China:Fuzhou 1:2007]</t>
  </si>
  <si>
    <t>JQ866297</t>
  </si>
  <si>
    <t>French bean leaf curl virus - [India:Kanpur:2011]</t>
  </si>
  <si>
    <t>KF429251</t>
  </si>
  <si>
    <t>Hedyotis uncinella yellow mosaic virus - [Vietnam:VN1]</t>
  </si>
  <si>
    <t>KC898543</t>
  </si>
  <si>
    <t>Hemidesmus yellow mosaic virus - [India:Tirupati:H1:2012]</t>
  </si>
  <si>
    <t>Hibiscus golden mosaic virus</t>
  </si>
  <si>
    <t>HGMV</t>
  </si>
  <si>
    <t>MK558061</t>
  </si>
  <si>
    <t>BR-IgM1-16</t>
  </si>
  <si>
    <t>Hollyhock yellow vein virus</t>
  </si>
  <si>
    <t>HoYVV</t>
  </si>
  <si>
    <t>MG373552</t>
  </si>
  <si>
    <t>IN-ND-VIRO 881-16</t>
  </si>
  <si>
    <t>JacYVV</t>
  </si>
  <si>
    <t>KY617094</t>
  </si>
  <si>
    <t>Jacquemontia yellow vein virus VE-Zu 1915_1-10</t>
  </si>
  <si>
    <t>EU798996</t>
  </si>
  <si>
    <t>Jatropha leaf curl virus - [India:New Delhi:2007]</t>
  </si>
  <si>
    <t>JX025358</t>
  </si>
  <si>
    <t>Jatropha mosaic Nigeria virus - [Nigeria:2:2011]</t>
  </si>
  <si>
    <t>KF723258, KF723261</t>
  </si>
  <si>
    <t>Jatropha mosaic virus - [Jamaica:Spanish Town 1:2004]</t>
  </si>
  <si>
    <t>FJ177030</t>
  </si>
  <si>
    <t>Jatropha yellow mosaic virus - [India:Kathaupahadi:2008]</t>
  </si>
  <si>
    <t>KC577540</t>
  </si>
  <si>
    <t>Malvastrum leaf curl Philippines virus - [Philippines:Mc1:2012]</t>
  </si>
  <si>
    <t>Malvastrum yellow vein Lahore virus</t>
  </si>
  <si>
    <t>MalYVLahV</t>
  </si>
  <si>
    <t>MF683828</t>
  </si>
  <si>
    <t>PK-Lah-J47-13</t>
  </si>
  <si>
    <t>Melon yellow mosaic virus</t>
  </si>
  <si>
    <t>MeYMV</t>
  </si>
  <si>
    <t>MH665365</t>
  </si>
  <si>
    <t>TH-Me-MS-9-15</t>
  </si>
  <si>
    <t>EU360303</t>
  </si>
  <si>
    <t>Mesta yellow vein mosaic Bahraich virus - [India:Bahraich:2007]</t>
  </si>
  <si>
    <t>Passionfruit leaf curl virus</t>
  </si>
  <si>
    <t>PLCV</t>
  </si>
  <si>
    <t>MK087122</t>
  </si>
  <si>
    <t>IN-Kar-Fb-2018</t>
  </si>
  <si>
    <t>PepLRV</t>
  </si>
  <si>
    <t>KC769819</t>
  </si>
  <si>
    <t>pepper leafroll virus VE-Zu 1915_1-10</t>
  </si>
  <si>
    <t>Pepper yellow leaf curl Aceh virus</t>
  </si>
  <si>
    <t>PepYLCAV</t>
  </si>
  <si>
    <t>LC387327</t>
  </si>
  <si>
    <t>ID-BAPep-V2-17</t>
  </si>
  <si>
    <t>PepYLCV2</t>
  </si>
  <si>
    <t>KT809345</t>
  </si>
  <si>
    <t>pepper yellow leaf curl Indonesia virus 2 ID-PSSWS14-09</t>
  </si>
  <si>
    <t>KC149938</t>
  </si>
  <si>
    <t>Pepper yellow leaf curl virus - [China:YN65- 1:2010]</t>
  </si>
  <si>
    <t>JX183732</t>
  </si>
  <si>
    <t>Pouzolzia golden mosaic virus - [China:TY01:2012]</t>
  </si>
  <si>
    <t>KF414123</t>
  </si>
  <si>
    <t>Pouzolzia mosaic Guangdong virus - [Taiwan:Miaoli:ML13W1:2013]</t>
  </si>
  <si>
    <t>PouYMV</t>
  </si>
  <si>
    <t>KF927128</t>
  </si>
  <si>
    <t>Pouzolzia yellow mosaic virus TW-ML13W1-13</t>
  </si>
  <si>
    <t>JQ793786</t>
  </si>
  <si>
    <t>Premna leaf curl virus - [Vietnam:VN7:2011]</t>
  </si>
  <si>
    <t>HM777508, HM777510</t>
  </si>
  <si>
    <t>Rhynchosia yellow mosaic India virus - [India:Thiruvananthapuram:JRH1:2009]</t>
  </si>
  <si>
    <t>JN809819</t>
  </si>
  <si>
    <t>Sauropus leaf curl virus - [Thailand:Kamphaengsaen:AFSP5e:2010]</t>
  </si>
  <si>
    <t>JX857691</t>
  </si>
  <si>
    <t>Sida ciliaris golden mosaic virus - [Venezuela:Lara:M3:2009]</t>
  </si>
  <si>
    <t>EU710751</t>
  </si>
  <si>
    <t>Sida common mosaic virus - [Brazil:Coimbra 4:2007]</t>
  </si>
  <si>
    <t>FN436001</t>
  </si>
  <si>
    <t>Sida golden mosaic Brazil virus - [Brazil:Mato Grosso do Sul:2007]</t>
  </si>
  <si>
    <t>JX857693</t>
  </si>
  <si>
    <t>Sida golden mosaic Lara virus - [Venezuela:Lara:M1:2009]</t>
  </si>
  <si>
    <t>EU710750</t>
  </si>
  <si>
    <t>Sida yellow leaf curl virus - [Brazil:Coimbra3:2007]</t>
  </si>
  <si>
    <t>HM357458</t>
  </si>
  <si>
    <t>Sidastrum golden leaf spot virus - [Brazil:DF334:2010]</t>
  </si>
  <si>
    <t>GQ472985, GQ472986</t>
  </si>
  <si>
    <t>Soybean chlorotic blotch virus - [Nigeria:Soybean 19:2007]</t>
  </si>
  <si>
    <t>KF660223</t>
  </si>
  <si>
    <t>Spinach yellow vein virus - [India:Sikar:AS22]</t>
  </si>
  <si>
    <t>FJ455449</t>
  </si>
  <si>
    <t>Sunn hemp leaf distortion virus - [India:Barrackpore 1:2008]</t>
  </si>
  <si>
    <t>KC907406</t>
  </si>
  <si>
    <t>Sweet potato leaf curl Henan virus - [China:Henan 10:2012]</t>
  </si>
  <si>
    <t>Sweet potato leaf curl Hubei virus</t>
  </si>
  <si>
    <t>SPLCHbV</t>
  </si>
  <si>
    <t>MH577011</t>
  </si>
  <si>
    <t>CN-Hubei22-17</t>
  </si>
  <si>
    <t>SPLCSdV</t>
  </si>
  <si>
    <t>KU323597</t>
  </si>
  <si>
    <t>sweet potato leaf curl Shandong virus CN-SD-14</t>
  </si>
  <si>
    <t>KC488316</t>
  </si>
  <si>
    <t>Sweet potato leaf curl Sichuan virus 1 - [China:Sichuan 15:2012]</t>
  </si>
  <si>
    <t>KF156759</t>
  </si>
  <si>
    <t>Sweet potato leaf curl Sichuan virus 2 - [China:Sichuan 14:2012]</t>
  </si>
  <si>
    <t>AM701760</t>
  </si>
  <si>
    <t>Tobacco leaf curl Comoros virus - [Comoros:Simboussa:2004]</t>
  </si>
  <si>
    <t>Tobacco leaf curl Dominican Republic virus</t>
  </si>
  <si>
    <t>TbLCDOV</t>
  </si>
  <si>
    <t>MH514011</t>
  </si>
  <si>
    <t>DO-CG-15</t>
  </si>
  <si>
    <t>KC791690</t>
  </si>
  <si>
    <t>Tomato bright yellow mosaic virus - [Brazil:BA167:2012]</t>
  </si>
  <si>
    <t>KC791691</t>
  </si>
  <si>
    <t>Tomato bright yellow mottle virus - [Brazil:TO167:2008]</t>
  </si>
  <si>
    <t>Tomato chlorotic leaf curl virus</t>
  </si>
  <si>
    <t>ToCLCV</t>
  </si>
  <si>
    <t>MK558058</t>
  </si>
  <si>
    <t>BR-Alt1-16</t>
  </si>
  <si>
    <t>HM357456</t>
  </si>
  <si>
    <t>Tomato golden leaf distortion virus - [Brazil:TO45:2007]</t>
  </si>
  <si>
    <t>JF803252</t>
  </si>
  <si>
    <t>Tomato interveinal chlorosis virus - [Brazil:Pernambuco:Mdc2681:2004]</t>
  </si>
  <si>
    <t>ToLCJV</t>
  </si>
  <si>
    <t>AB236323</t>
  </si>
  <si>
    <t>tomato leaf curl Japan virus JP-Miy-01</t>
  </si>
  <si>
    <t>ToLCKV2</t>
  </si>
  <si>
    <t>KF551578</t>
  </si>
  <si>
    <t>tomato leaf curl Karnataka virus 2 IN-TC289-10</t>
  </si>
  <si>
    <t>ToLCKV3</t>
  </si>
  <si>
    <t>KF551585</t>
  </si>
  <si>
    <t>tomato leaf curl Karnataka virus 3 IN-TC235-09</t>
  </si>
  <si>
    <t>HF912280</t>
  </si>
  <si>
    <t>Tomato leaf curl Liwa virus - [Oman:Liwa:LW1:2012]</t>
  </si>
  <si>
    <t>Tomato leaf curl Mahe virus</t>
  </si>
  <si>
    <t>ToLCMahV</t>
  </si>
  <si>
    <t>MH410152</t>
  </si>
  <si>
    <t>SC-Pra-SC8-1b-17</t>
  </si>
  <si>
    <t>JQ897969</t>
  </si>
  <si>
    <t>Tomato leaf curl New Delhi virus 2 - [India:IANDS1:2011]</t>
  </si>
  <si>
    <t>KF551592</t>
  </si>
  <si>
    <t>Tomato leaf curl New Delhi virus 4 - [India:Junagad:TC306:2011]</t>
  </si>
  <si>
    <t>ToLCNDV5</t>
  </si>
  <si>
    <t>EF450316</t>
  </si>
  <si>
    <t>tomato leaf curl New Delhi virus 5 BD-cuc-06</t>
  </si>
  <si>
    <t>AM884015, AM992534</t>
  </si>
  <si>
    <t>Tomato leaf curl Palampur virus - [India:Palampur:2007]</t>
  </si>
  <si>
    <t>EU862323</t>
  </si>
  <si>
    <t>Tomato leaf curl Patna virus - [India:Patna:2008]</t>
  </si>
  <si>
    <t>ToLCPVV</t>
  </si>
  <si>
    <t>KY196216</t>
  </si>
  <si>
    <t>tomato leaf curl purple vein virus BR-P793-15</t>
  </si>
  <si>
    <t>DQ339117</t>
  </si>
  <si>
    <t>Tomato leaf curl Rajasthan virus - [India:Rajasthan:2005]</t>
  </si>
  <si>
    <t>FJ237614</t>
  </si>
  <si>
    <t>Tomato leaf curl Sulawesi virus - [Indonesia:Sulawesi:Langowan F101:2006]</t>
  </si>
  <si>
    <t>ToLCTZV</t>
  </si>
  <si>
    <t>DQ519575</t>
  </si>
  <si>
    <t>tomato leaf curl Tanzania virus TZ-Ten-05</t>
  </si>
  <si>
    <t>ToSLCKV</t>
  </si>
  <si>
    <t>KP195267</t>
  </si>
  <si>
    <t>tomato severe leaf curl Kalakada virus IN-TC101-07</t>
  </si>
  <si>
    <t>Tomato twisted leaf virus</t>
  </si>
  <si>
    <t>ToTLV</t>
  </si>
  <si>
    <t>MK440292</t>
  </si>
  <si>
    <t>VE-Be6.6H-05</t>
  </si>
  <si>
    <t>ToWMV</t>
  </si>
  <si>
    <t>KY449275</t>
  </si>
  <si>
    <t>tomato wrinkled mosaic virus VE-Tru427-06</t>
  </si>
  <si>
    <t xml:space="preserve">FN543425, FN543426 </t>
  </si>
  <si>
    <t>Velvel bean severe mosaic virus - [India:Lucknow:2008]</t>
  </si>
  <si>
    <t>VeYVFjV</t>
  </si>
  <si>
    <t>JF265670</t>
  </si>
  <si>
    <t>Vernonia yellow vein Fujian virus CN-Fj-09</t>
  </si>
  <si>
    <t>KC430936</t>
  </si>
  <si>
    <t>Vigna yellow mosaic virus - [Mexico:Morelos:Yautepec:2007]</t>
  </si>
  <si>
    <t>WAAV3</t>
  </si>
  <si>
    <t>KT444609</t>
  </si>
  <si>
    <t>West African Asystasia virus 3 BJ-58-14</t>
  </si>
  <si>
    <t>KP732474</t>
  </si>
  <si>
    <t>ALCV-[44-1E]</t>
  </si>
  <si>
    <t>HF921459</t>
  </si>
  <si>
    <t>EcmLV-[Dar10]</t>
  </si>
  <si>
    <t>JX094280</t>
  </si>
  <si>
    <t>FbSLSV-[1]</t>
  </si>
  <si>
    <t>KT214389</t>
  </si>
  <si>
    <t>PlLV-[ALA13_Pl11]</t>
  </si>
  <si>
    <t>JQ901105</t>
  </si>
  <si>
    <t>GRBV-[RT(456)17NOV10]</t>
  </si>
  <si>
    <t>PrLV</t>
  </si>
  <si>
    <t>MF510408</t>
  </si>
  <si>
    <t>Prunus geminivirus A PL4</t>
  </si>
  <si>
    <t>WvLV</t>
  </si>
  <si>
    <t>MF185002</t>
  </si>
  <si>
    <t>wild Vitis virus 1 WVV1-NY1298</t>
  </si>
  <si>
    <t>KJ437671</t>
  </si>
  <si>
    <t>ACSV [NG-g84-oba-2007]</t>
  </si>
  <si>
    <t>Maize streak dwarfing virus</t>
  </si>
  <si>
    <t>2019.002P.zip</t>
  </si>
  <si>
    <t>MSDV</t>
  </si>
  <si>
    <t>MK329300</t>
  </si>
  <si>
    <t>ET-Adama Zuria-MV1-16</t>
  </si>
  <si>
    <t>MSMV</t>
  </si>
  <si>
    <t>MF167297</t>
  </si>
  <si>
    <t>maize striate mosaic virus BR_974_Pla_2016</t>
  </si>
  <si>
    <t>RLV 1</t>
  </si>
  <si>
    <t>KY962377</t>
  </si>
  <si>
    <t>rice latent virus 1 NA67</t>
  </si>
  <si>
    <t>RLV 2</t>
  </si>
  <si>
    <t>KY962381</t>
  </si>
  <si>
    <t>rice latent virus 2 NA24</t>
  </si>
  <si>
    <t>KJ187746</t>
  </si>
  <si>
    <t>SWSA-A [SD-VARX-2013]</t>
  </si>
  <si>
    <t>KF806702</t>
  </si>
  <si>
    <t>SgMaV-1 [US-DB-2012]</t>
  </si>
  <si>
    <t>Sesame curly top virus</t>
  </si>
  <si>
    <t>2019.001P.zip</t>
  </si>
  <si>
    <t>SeCTV</t>
  </si>
  <si>
    <t>MF344550</t>
  </si>
  <si>
    <t>PK-Lay-Se386-12</t>
  </si>
  <si>
    <t>JQ920490</t>
  </si>
  <si>
    <t>CCDaV-[TK4]</t>
  </si>
  <si>
    <t>KP303687</t>
  </si>
  <si>
    <t>MMDaV-[AK1-8]</t>
  </si>
  <si>
    <t>KF371641</t>
  </si>
  <si>
    <t>P9</t>
  </si>
  <si>
    <t>KT862253</t>
  </si>
  <si>
    <t>52 Fec78023 cow</t>
  </si>
  <si>
    <t>KM510192</t>
  </si>
  <si>
    <t>BasCV-3 NZ-NZG01 Sef-2012</t>
  </si>
  <si>
    <t>JQ412056</t>
  </si>
  <si>
    <t>G14</t>
  </si>
  <si>
    <t>KT309029</t>
  </si>
  <si>
    <t>KT862243</t>
  </si>
  <si>
    <t>27 Fec79971 chicken</t>
  </si>
  <si>
    <t>KT862242</t>
  </si>
  <si>
    <t>27 Fec16497 chicken</t>
  </si>
  <si>
    <t>JX185429</t>
  </si>
  <si>
    <t>FL2-5X-2010</t>
  </si>
  <si>
    <t>KT862248</t>
  </si>
  <si>
    <t>30 Fec80061 horse</t>
  </si>
  <si>
    <t>KF371638</t>
  </si>
  <si>
    <t>as50</t>
  </si>
  <si>
    <t>KF371636</t>
  </si>
  <si>
    <t>P24a</t>
  </si>
  <si>
    <t>KF371637</t>
  </si>
  <si>
    <t>P24b</t>
  </si>
  <si>
    <t>KF371639</t>
  </si>
  <si>
    <t>P24c</t>
  </si>
  <si>
    <t>KF413620</t>
  </si>
  <si>
    <t>VNHJ1W</t>
  </si>
  <si>
    <t>KT862245</t>
  </si>
  <si>
    <t>29 Fec80018 llama</t>
  </si>
  <si>
    <t>KF371635</t>
  </si>
  <si>
    <t>as24</t>
  </si>
  <si>
    <t>KJ641719</t>
  </si>
  <si>
    <t>BtMf-CV-23/GD2012</t>
  </si>
  <si>
    <t>KP263547</t>
  </si>
  <si>
    <t>478d</t>
  </si>
  <si>
    <t>HQ335086</t>
  </si>
  <si>
    <t>SDBVL G</t>
  </si>
  <si>
    <t>KM598385</t>
  </si>
  <si>
    <t>OdaGmV-1-US-260BC-12</t>
  </si>
  <si>
    <t>KM598387</t>
  </si>
  <si>
    <t>OdaGmV-2-US-1642KW-12</t>
  </si>
  <si>
    <t>KT253577</t>
  </si>
  <si>
    <t>PaGmV-1 TO STO14-29204 2014</t>
  </si>
  <si>
    <t>KT862250</t>
  </si>
  <si>
    <t>49 Fec80061 pig</t>
  </si>
  <si>
    <t>KF371640</t>
  </si>
  <si>
    <t>as5</t>
  </si>
  <si>
    <t>KT732804</t>
  </si>
  <si>
    <t>Tbat 45285</t>
  </si>
  <si>
    <t>KT732792</t>
  </si>
  <si>
    <t>Tbat 103791</t>
  </si>
  <si>
    <t>KT732797</t>
  </si>
  <si>
    <t>Tbat A 103852</t>
  </si>
  <si>
    <t>KT732814</t>
  </si>
  <si>
    <t>Tbat H 103806</t>
  </si>
  <si>
    <t>KT732801</t>
  </si>
  <si>
    <t>Tbat 12377</t>
  </si>
  <si>
    <t>KT732803</t>
  </si>
  <si>
    <t>Tbat 103951</t>
  </si>
  <si>
    <t>KT732807</t>
  </si>
  <si>
    <t>Tbat A 103746</t>
  </si>
  <si>
    <t>KT732806</t>
  </si>
  <si>
    <t>Tbat 31579</t>
  </si>
  <si>
    <t>KT732795</t>
  </si>
  <si>
    <t>Tbat 21383</t>
  </si>
  <si>
    <t>KT732794</t>
  </si>
  <si>
    <t>Tbat H 103958</t>
  </si>
  <si>
    <t>KR912221</t>
  </si>
  <si>
    <t>Ch-zjrat-01</t>
  </si>
  <si>
    <t>SsHADV-1</t>
  </si>
  <si>
    <t>GQ365709</t>
  </si>
  <si>
    <t>Sclerotinia sclerotiorum hypovirulence associated DNA virus 1</t>
  </si>
  <si>
    <t>KJ547638</t>
  </si>
  <si>
    <t>BS3917</t>
  </si>
  <si>
    <t>KJ547641</t>
  </si>
  <si>
    <t>BS4117</t>
  </si>
  <si>
    <t>KJ547636</t>
  </si>
  <si>
    <t>BS4014</t>
  </si>
  <si>
    <t>KJ547640</t>
  </si>
  <si>
    <t>BS3972</t>
  </si>
  <si>
    <t>KJ547639</t>
  </si>
  <si>
    <t>BS3970</t>
  </si>
  <si>
    <t>KT862249</t>
  </si>
  <si>
    <t>47 Fec80064 sheep</t>
  </si>
  <si>
    <t>KT598248</t>
  </si>
  <si>
    <t>SlaGemV1-1</t>
  </si>
  <si>
    <t>JX185428</t>
  </si>
  <si>
    <t>TO-DFS3B2-2010</t>
  </si>
  <si>
    <t>KT862254</t>
  </si>
  <si>
    <t>53 Fec7 dog</t>
  </si>
  <si>
    <t>KT862238</t>
  </si>
  <si>
    <t>4 Fec7 duck</t>
  </si>
  <si>
    <t>KT732790</t>
  </si>
  <si>
    <t>Tbat A 103952</t>
  </si>
  <si>
    <t>KJ547635</t>
  </si>
  <si>
    <t>BS3963</t>
  </si>
  <si>
    <t>KF371632</t>
  </si>
  <si>
    <t>P14</t>
  </si>
  <si>
    <t>KP263543</t>
  </si>
  <si>
    <t>588t</t>
  </si>
  <si>
    <t>KF371634</t>
  </si>
  <si>
    <t>P21</t>
  </si>
  <si>
    <t>KF371633</t>
  </si>
  <si>
    <t>P22</t>
  </si>
  <si>
    <t>LK931483</t>
  </si>
  <si>
    <t>HCBI8.215</t>
  </si>
  <si>
    <t>JX185430</t>
  </si>
  <si>
    <t>FL1-2X-2010</t>
  </si>
  <si>
    <t>LK931485</t>
  </si>
  <si>
    <t>MSSI2.225</t>
  </si>
  <si>
    <t>KP133075</t>
  </si>
  <si>
    <t>SL1</t>
  </si>
  <si>
    <t>KP987887</t>
  </si>
  <si>
    <t>GemyC1c</t>
  </si>
  <si>
    <t>KT363839</t>
  </si>
  <si>
    <t>GeTz1</t>
  </si>
  <si>
    <t>KU343137</t>
  </si>
  <si>
    <t>HV-GcV2</t>
  </si>
  <si>
    <t>KP263545</t>
  </si>
  <si>
    <t>160b</t>
  </si>
  <si>
    <t>KT732813</t>
  </si>
  <si>
    <t>Tbat A 64418</t>
  </si>
  <si>
    <t>KJ547642</t>
  </si>
  <si>
    <t>BS3911</t>
  </si>
  <si>
    <t>KJ641726</t>
  </si>
  <si>
    <t>BtRf-CV-8/NM2013</t>
  </si>
  <si>
    <t>KJ547643</t>
  </si>
  <si>
    <t>BS4149</t>
  </si>
  <si>
    <t>KT732798</t>
  </si>
  <si>
    <t>Tbat A 103779</t>
  </si>
  <si>
    <t>KT732800</t>
  </si>
  <si>
    <t>Tbat H 103921</t>
  </si>
  <si>
    <t>LK931484</t>
  </si>
  <si>
    <t>HCB19.212</t>
  </si>
  <si>
    <t>KJ938717</t>
  </si>
  <si>
    <t>FaGmCV-13</t>
  </si>
  <si>
    <t>KJ547634</t>
  </si>
  <si>
    <t>BS3913</t>
  </si>
  <si>
    <t>KF371631</t>
  </si>
  <si>
    <t>as35</t>
  </si>
  <si>
    <t>KF371630</t>
  </si>
  <si>
    <t>as3</t>
  </si>
  <si>
    <t>KP974693</t>
  </si>
  <si>
    <t>DB1</t>
  </si>
  <si>
    <t>Trapavirae</t>
  </si>
  <si>
    <t>Saleviricota</t>
  </si>
  <si>
    <t>Huolimaviricetes</t>
  </si>
  <si>
    <t>Haloruvirales</t>
  </si>
  <si>
    <t>Alphapleolipovirus HHPV1</t>
  </si>
  <si>
    <t>2019.104B.zip</t>
  </si>
  <si>
    <t>HHPV-1</t>
  </si>
  <si>
    <t>GU321093</t>
  </si>
  <si>
    <t>Alphapleolipovirus HHPV2</t>
  </si>
  <si>
    <t>HHPV-2</t>
  </si>
  <si>
    <t>KF056323</t>
  </si>
  <si>
    <t>Alphapleolipovirus HRPV1</t>
  </si>
  <si>
    <t>HRPV-1</t>
  </si>
  <si>
    <t>FJ685651</t>
  </si>
  <si>
    <t>Alphapleolipovirus HRPV2</t>
  </si>
  <si>
    <t>HRPV-2</t>
  </si>
  <si>
    <t>JN882264</t>
  </si>
  <si>
    <t>Alphapleolipovirus HRPV6</t>
  </si>
  <si>
    <t>HRPV-6</t>
  </si>
  <si>
    <t>JN882266</t>
  </si>
  <si>
    <t>Betapleolipovirus HGPV1</t>
  </si>
  <si>
    <t>HGPV-1</t>
  </si>
  <si>
    <t>JN882267</t>
  </si>
  <si>
    <t>Betapleolipovirus HHPV3</t>
  </si>
  <si>
    <t>2019.105B.zip</t>
  </si>
  <si>
    <t>HHPV3</t>
  </si>
  <si>
    <t>KX344510</t>
  </si>
  <si>
    <t>Betapleolipovirus HHPV4</t>
  </si>
  <si>
    <t>HHPV4</t>
  </si>
  <si>
    <t>KY264020</t>
  </si>
  <si>
    <t>Betapleolipovirus HRPV3</t>
  </si>
  <si>
    <t>HRPV-3</t>
  </si>
  <si>
    <t>JN882265</t>
  </si>
  <si>
    <t>Betapleolipovirus HRPV9</t>
  </si>
  <si>
    <t>HRPV9</t>
  </si>
  <si>
    <t>KY965934</t>
  </si>
  <si>
    <t>Betapleolipovirus HRPV10</t>
  </si>
  <si>
    <t>HRPV10</t>
  </si>
  <si>
    <t>MG550111</t>
  </si>
  <si>
    <t>Betapleolipovirus HRPV11</t>
  </si>
  <si>
    <t>HRPV11</t>
  </si>
  <si>
    <t>MG550113</t>
  </si>
  <si>
    <t>Betapleolipovirus HRPV12</t>
  </si>
  <si>
    <t>HRPV12</t>
  </si>
  <si>
    <t>MG550110</t>
  </si>
  <si>
    <t>Betapleolipovirus SNJ2</t>
  </si>
  <si>
    <t>SNJ2</t>
  </si>
  <si>
    <t>AJVG01000023</t>
  </si>
  <si>
    <t>Gammapleolipovirus His2</t>
  </si>
  <si>
    <t>His2</t>
  </si>
  <si>
    <t>AF191797</t>
  </si>
  <si>
    <t>Orthornavirae</t>
  </si>
  <si>
    <t>Duplornaviricota</t>
  </si>
  <si>
    <t>Chrymotiviricetes</t>
  </si>
  <si>
    <t>Ghabrivirales</t>
  </si>
  <si>
    <t>dsRNA</t>
  </si>
  <si>
    <t>RNA1: AJ781166, RNA2: AJ781165, RNA3: AJ781164, RNA4: AJ781163</t>
  </si>
  <si>
    <t>Turkey</t>
  </si>
  <si>
    <t>AMAV</t>
  </si>
  <si>
    <t>dsRNA 1: FJ899675; dsRNA 2: FJ899676; dsRNA 3: FJ899675</t>
  </si>
  <si>
    <t>Anthurium mosaic-associated virus Anthurium sp. PHA</t>
  </si>
  <si>
    <t>RNA1: FN178512, RNA2: FN178513, RNA3: FN178514, RNA4: FN178515</t>
  </si>
  <si>
    <t xml:space="preserve">A-56 </t>
  </si>
  <si>
    <t>BcCV1</t>
  </si>
  <si>
    <t>dsRNA 1: KP782031; dsRNA 2: KP782030; dsRNA 3: KP782029</t>
  </si>
  <si>
    <t>Brassica campestris chrysovirus 1 Brassica campestris var. purpurea Hubei</t>
  </si>
  <si>
    <t>CgCV1</t>
  </si>
  <si>
    <t>dsRNA 1: KT581957; dsRNA 2: KT581958; dsRNA 3: KT581959</t>
  </si>
  <si>
    <t>Colletotrichum gloeosporioides chrysovirus 1 Colletotrichum gloeosporioides HZ-1</t>
  </si>
  <si>
    <t>HvV145S-A9</t>
  </si>
  <si>
    <t>RNA1: AF297176; RNA2: AF297177; RNA3: AF297178; RNA4: AF297179</t>
  </si>
  <si>
    <t>Helminthosporium victoriae virus 145S-A9</t>
  </si>
  <si>
    <t>IjCV1</t>
  </si>
  <si>
    <t>dsRNA 1: KX898416; dsRNA 2: KX898417; dsRNA 3: KX898418; dsRNA 4: KX898419</t>
  </si>
  <si>
    <t>Isaria javanica chrysovirus 1 Isaria javanica IjCV-1</t>
  </si>
  <si>
    <t>MpCV1</t>
  </si>
  <si>
    <t>dsRNA 1: KP900886; dsRNA 2: KP900887; dsRNA 3: KP900888; dsRNA 4: KP900889</t>
  </si>
  <si>
    <t>Macrophomina phaseolina chrysovirus 1 Macrophomina phaseolina TN263</t>
  </si>
  <si>
    <t>RNA1: AF296439, RNA2: AF296440, RNA3: AF296441, RNA4: AF296442</t>
  </si>
  <si>
    <t>ATTC 9480</t>
  </si>
  <si>
    <t>PaCV</t>
  </si>
  <si>
    <t>dsRNA 1: KJ418374; dsRNA 2: KJ418375; dsRNA 3: KJ418376</t>
  </si>
  <si>
    <t>Persea americana chrysovirus Persea americana cv. Fuerte from Spain</t>
  </si>
  <si>
    <t>RsCV1</t>
  </si>
  <si>
    <t>dsRNA 1: JQ045335; dsRNA 2: JQ045336; dsRNA 3: JQ045337</t>
  </si>
  <si>
    <t>Raphanus sativas chrysovirus 1 Raphanus sativus cv. Duan-ye 13</t>
  </si>
  <si>
    <t>SCLV</t>
  </si>
  <si>
    <t>dsRNA 1: MF176340; dsRNA 2: MF176341; dsRNA 3: MF176342; dsRNA 4: MF176343</t>
  </si>
  <si>
    <t>Shuangao chryso-like virus Culex quinquefasciatus mosWSB68555</t>
  </si>
  <si>
    <t>RNA1: HM004067, RNA2: HM004068, RNA3: HM004069, RNA4: HM004070</t>
  </si>
  <si>
    <t xml:space="preserve">China </t>
  </si>
  <si>
    <t>AaCV1</t>
  </si>
  <si>
    <t>dsRNA 1: LC350277; dsRNA 2: LC350278; dsRNA 3: LC350279; dsRNA 4: LC350280; dsRNA 5: LC350281</t>
  </si>
  <si>
    <t>Alternaria alternata chrysovirus 1 Alternaria alternata Japanese pear pathotype N18</t>
  </si>
  <si>
    <t>BdCV1</t>
  </si>
  <si>
    <t>dsRNA 1: KF688736; dsRNA 2: KF688737; dsRNA 3: KF688738; dsRNA 4: KF688739</t>
  </si>
  <si>
    <t>Botryosphaeria dothidea chrysovirus 1 Botryosphaeria dothidea LW-1</t>
  </si>
  <si>
    <t>CfCV1</t>
  </si>
  <si>
    <t>dsRNA 1: MG425969; dsRNA 2: MG425970; dsRNA 3: MG425971; dsRNA 4: MG425972; dsRNA 5: MG425973; dsRNA 6: MG425974; dsRNA 7: MG425975</t>
  </si>
  <si>
    <t>Colletotrichum fructicola chrysovirus 1 Colletotrichum fructicola FJ-4</t>
  </si>
  <si>
    <t>FgV2</t>
  </si>
  <si>
    <t>dsRNA 1: HQ343295; dsRNA 2: HQ343296; dsRNA 3: HQ343297; dsRNA 4: HQ343298; dsRNA 5: HQ343299</t>
  </si>
  <si>
    <t>Fusarium graminearum dsRNA mycovirus 2 Fusarium graminearum 98-8-60</t>
  </si>
  <si>
    <t>FodV</t>
  </si>
  <si>
    <t>dsRNA 1: KP876629; dsRNA 2: KP876630; dsRNA 3: KP876631; dsRNA 4: KP876632</t>
  </si>
  <si>
    <t>Fusarium oxysporum f. sp. dianthi mycovirus 1 Fusarium oxysporum f. sp. dianthi Fod116</t>
  </si>
  <si>
    <t>MoCV1-A</t>
  </si>
  <si>
    <t>dsRNA 1: AB560761; dsRNA 2: AB560762; dsRNA 3: AB560763; dsRNA 4: AB560764; dsRNA 5: AB700631</t>
  </si>
  <si>
    <t>Magnaporthe oryzae chrysovirus 1-A Magnaporthe oryzae from Viet Nam</t>
  </si>
  <si>
    <t>PjCV1</t>
  </si>
  <si>
    <t>dsRNA 1: KT601115; dsRNA 2: KT601116; dsRNA 3: KT601117; dsRNA 4: KT601118</t>
  </si>
  <si>
    <t>Penicillium janczewskii chrysovirus 1 Penicillium janczewskii MUT4358</t>
  </si>
  <si>
    <t>PjCV2</t>
  </si>
  <si>
    <t>dsRNA 1: KT950836; dsRNA 2: KT950837; dsRNA 3: KT950838; dsRNA 4: KT950839</t>
  </si>
  <si>
    <t>Penicillium janczewskii chrysovirus 2 Penicillium janczewskii MUT4359</t>
  </si>
  <si>
    <t>RNA1: AB512282, RNA2: AB512283</t>
  </si>
  <si>
    <t>1/W779</t>
  </si>
  <si>
    <t>RNA1: AB620061, RNA2: AB620062, RNA3: AB620063, RNA4: AB620064</t>
  </si>
  <si>
    <t xml:space="preserve">W1075 </t>
  </si>
  <si>
    <t>L13218</t>
  </si>
  <si>
    <t>Wang</t>
  </si>
  <si>
    <t>M92355</t>
  </si>
  <si>
    <t>U32108</t>
  </si>
  <si>
    <t>J04692</t>
  </si>
  <si>
    <t>Icho</t>
  </si>
  <si>
    <t>U01060</t>
  </si>
  <si>
    <t>Bruenn</t>
  </si>
  <si>
    <t>KC610514</t>
  </si>
  <si>
    <t xml:space="preserve">NRRL Y-11571 </t>
  </si>
  <si>
    <t>HQ158596</t>
  </si>
  <si>
    <t xml:space="preserve">Buekk </t>
  </si>
  <si>
    <t>U01059</t>
  </si>
  <si>
    <t>P1H1</t>
  </si>
  <si>
    <t>JN997472</t>
  </si>
  <si>
    <t>Baeza</t>
  </si>
  <si>
    <t>JN997473</t>
  </si>
  <si>
    <t>U08999</t>
  </si>
  <si>
    <t>T1</t>
  </si>
  <si>
    <t>AF127178</t>
  </si>
  <si>
    <t>Bessarab</t>
  </si>
  <si>
    <t>AF325840</t>
  </si>
  <si>
    <t>HQ607520</t>
  </si>
  <si>
    <t xml:space="preserve">TVV4-OC3 </t>
  </si>
  <si>
    <t>HE588147</t>
  </si>
  <si>
    <t>Coutts</t>
  </si>
  <si>
    <t>HE572591</t>
  </si>
  <si>
    <t xml:space="preserve">Bb06/02 </t>
  </si>
  <si>
    <t>AY561500</t>
  </si>
  <si>
    <t>Park</t>
  </si>
  <si>
    <t>AF527633</t>
  </si>
  <si>
    <t>Cheng</t>
  </si>
  <si>
    <t>AM261427</t>
  </si>
  <si>
    <t xml:space="preserve">P23 </t>
  </si>
  <si>
    <t>AF337175</t>
  </si>
  <si>
    <t>type A, HR2</t>
  </si>
  <si>
    <t>AB085814</t>
  </si>
  <si>
    <t>Osaki</t>
  </si>
  <si>
    <t>U41345</t>
  </si>
  <si>
    <t>Huang</t>
  </si>
  <si>
    <t>AB176964</t>
  </si>
  <si>
    <t>Yokoi</t>
  </si>
  <si>
    <t>AB300379</t>
  </si>
  <si>
    <t>Namba</t>
  </si>
  <si>
    <t>AB742454</t>
  </si>
  <si>
    <t xml:space="preserve">W1029 </t>
  </si>
  <si>
    <t>AF038665</t>
  </si>
  <si>
    <t>Preisig</t>
  </si>
  <si>
    <t>AF039080</t>
  </si>
  <si>
    <t>FR750562</t>
  </si>
  <si>
    <t xml:space="preserve">Spain:Castilla y Leon </t>
  </si>
  <si>
    <t>Resentoviricetes</t>
  </si>
  <si>
    <t>Reovirales</t>
  </si>
  <si>
    <t>S1: DQ126101, S2: DQ126102, S3: DQ126103, S4: DQ126104, S5: DQ126105, S6: DQ126106, S7: DQ126107, S8: DQ126108, S9: DQ126109, S10: DQ126110, S11: DQ126111</t>
  </si>
  <si>
    <t xml:space="preserve">Netherlands </t>
  </si>
  <si>
    <t>RNA1: U73201, RNA2: U73202, RNA3: U72757, RNA4: U36562, RNA5: U36563, RNA6: U36564, RNA7: U36402, RNA8: U36565, RNA9: U36566, RNA10: U36567, RNA11: U36568, RNA12: U36569</t>
  </si>
  <si>
    <t>China</t>
  </si>
  <si>
    <t>RNA1: AB254451, RNA2: D86439, RNA3: D13774, RNA4: AB254452, RNA5: D76429, RNA6: AB254454, RNA7: AB254453, RNA8: D13410, RNA9: D01047, RNA10: D13411, RNA11: AB030009, RNA12: AB254455</t>
  </si>
  <si>
    <t>Thailand</t>
  </si>
  <si>
    <t>RNA4: M24117, RNA5: J03020, RNA6: M24116, RNA7: X14218, RNA8: J04344, RNA9: M24115, RNA10: M24114, RNA11: X14219, RNA12: M11133</t>
  </si>
  <si>
    <t>Asamizu</t>
  </si>
  <si>
    <t>RVF</t>
  </si>
  <si>
    <t>Seg1: JN596591, Seg2: JQ919995, Seg3: JQ919997, Seg4: JQ919996, Seg5: JQ919999, Seg6: HQ403603, Seg7: JQ920001, Seg8: JQ920000, Seg9: JQ919998, Seg10: JQ920003, Seg11: JQ920002</t>
  </si>
  <si>
    <t>RVF/Chicken-wt/DEU/03V0568/2003/GXP[X]</t>
  </si>
  <si>
    <t>RVG</t>
  </si>
  <si>
    <t>Seg1: JN596592, Seg2: JQ920004, Seg3: JQ920006, Seg4: JQ920005, Seg5: JQ920008, Seg6: HQ403604, Seg7: JQ920010, Seg8: JQ920009, Seg9: JQ920007, Seg10: JQ920011, Seg11: JQ920012</t>
  </si>
  <si>
    <t>RVG/Chicken-wt/DEU/03V0567/2003/GXP[X]</t>
  </si>
  <si>
    <t>RVH</t>
  </si>
  <si>
    <t>Seg1: DQ113897, Seg2: DQ113898, Seg3: DQ113899, Seg4: DQ113900, Seg5: DQ113901, Seg6: DQ113902, Seg7: DQ113903, Seg8: DQ113904, Seg9: DQ113905, Seg10: DQ113906, Seg11: DQ113907</t>
  </si>
  <si>
    <t>RVX/Human-tc/CHN/NADRV-J19/1997/GXP[X]</t>
  </si>
  <si>
    <t>Seg5:KM369887,Seg8:KM369888,Seg7:KM369889,Seg10:KM369890,Seg11:KM369891,Seg1:KM369892,Seg2:KM369893,Seg3:KM369894,Seg4:KM369895,Seg6:KM369896,Seg9:KM369897</t>
  </si>
  <si>
    <t>RVI/Dog-wt/HUN/KE135/2012/G1P1</t>
  </si>
  <si>
    <t>Rotavirus J</t>
  </si>
  <si>
    <t>2019.029M.zip</t>
  </si>
  <si>
    <t>RVJ</t>
  </si>
  <si>
    <t>KX756619 - KX756629</t>
  </si>
  <si>
    <t>BO4351/Ms/2014</t>
  </si>
  <si>
    <t>Colorado tick fever coltivirus</t>
  </si>
  <si>
    <t>2019.027M.zip</t>
  </si>
  <si>
    <t>Eyach coltivirus</t>
  </si>
  <si>
    <t>Kundal coltivirus</t>
  </si>
  <si>
    <t>KUNDV</t>
  </si>
  <si>
    <t>MH327935;MH327936;MH327937;MH327938;MH327939;MH327940;MH327941;MH327942;MH327943;MH327944;MH327945;MH327946</t>
  </si>
  <si>
    <t>MCL-13-T-316</t>
  </si>
  <si>
    <t>Tai Forest coltivirus</t>
  </si>
  <si>
    <t>TFRV</t>
  </si>
  <si>
    <t>KX989543; KX989544; KX989545; MF511051; MF511052; MF511053; MF511054; KX989546; MF511055; MF511056</t>
  </si>
  <si>
    <t>B30</t>
  </si>
  <si>
    <t>Tarumizu coltivirus</t>
  </si>
  <si>
    <t>TarTV</t>
  </si>
  <si>
    <t>LC275144; LC275145; LC275146; LC275147; LC275148; LC275149; LC275150; LC275151; LC275152; LC275153; LC275154; LC275155; LC275156; LC275157; LC275158; LC275159; LC275160; LC275161; LC275162; LC275163; LC275164; LC275165; LC275166; LC275167; LC275168; LC275169; LC275170; LC275171; LC275172; LC275173; LC2751754; LC275175; LC275176; LC275177; LC275178; LC275179</t>
  </si>
  <si>
    <t>13T269;13T276;13T117</t>
  </si>
  <si>
    <t>S1: AY029520, S2: AF049704, S3: AF359556, S4: AF049705, S5: AY029521, S6: AF356083, S7: AY789927, S8: AY297693, S9: AF050086, S10: AY297694</t>
  </si>
  <si>
    <t>McQualter</t>
  </si>
  <si>
    <t>S6: X55701, S7: L76562, S8: L76561, S10: L76560</t>
  </si>
  <si>
    <t>Italy</t>
  </si>
  <si>
    <t>S1: AF499925, S2: AF499926, S3: AF499928, S4: AF395873, S5: AY607587, S6: AF499927, S7: AY923115, S8: AF395872, S9: DQ023312, S10: AY607586</t>
  </si>
  <si>
    <t>Argentina</t>
  </si>
  <si>
    <t>S1: D49693, S2: D49694, S3: D49695, S4: D49696, S5: D49697, S6: D49698, S7: D49699, S8: D26127, S9: D49700, S10: D14691</t>
  </si>
  <si>
    <t>Izumo</t>
  </si>
  <si>
    <t>S7: AB011024, S8: AB011025, S9: AB011026, S10: AB011027</t>
  </si>
  <si>
    <t>Uyeda</t>
  </si>
  <si>
    <t>S1: AJ294757, S2: AJ409145, S3: AJ293984, S4: AJ409146, S5: AJ409147, S6: AJ409148, S7: AJ297427, S8: AJ297431, S9: AJ297430, S10: AJ297433</t>
  </si>
  <si>
    <t>China:Zhejiang</t>
  </si>
  <si>
    <t>SRBSDV</t>
  </si>
  <si>
    <t>Seg1 FN563989, Seg2 FN563990, Seg3 FN563991, Seg4 FN563992, Seg5 FN563993, Seg6 FN563994, Seg7 FN563995, Seg8 FN563996, Seg9 EU523359, Seg10 EU523360</t>
  </si>
  <si>
    <t>SRBSDV/HN</t>
  </si>
  <si>
    <t>S1: AY277888, S2: AY277889, S3: AY277890, S4: AB179636, S5: AB179637, S6: AB179638, S7: AB179639, S8: AB179640, S9: AB179641, S10: AB179642, S11: AB179643</t>
  </si>
  <si>
    <t>Suzuki</t>
  </si>
  <si>
    <t>S1: AB102674, S2: AB098022, S3: AB102675, S5: AB073276, S5: AB098023, S6: AB073277, S7: AB073278, S8: AB073279, S9: AB073280, S10: AB073281, S11: AB073282, S12: AB073283</t>
  </si>
  <si>
    <t>Broome orthoreovirus</t>
  </si>
  <si>
    <t>2019.024M.zip</t>
  </si>
  <si>
    <t>BrRV</t>
  </si>
  <si>
    <t>GQ258977-86</t>
  </si>
  <si>
    <t>Neoavian orthoreovirus</t>
  </si>
  <si>
    <t>PyRV</t>
  </si>
  <si>
    <t>KF741756-65</t>
  </si>
  <si>
    <t>Pycno-1</t>
  </si>
  <si>
    <t>KR337473-KR337482</t>
  </si>
  <si>
    <t>MH050607</t>
  </si>
  <si>
    <t>Testudine orthoreovirus</t>
  </si>
  <si>
    <t>ChRV</t>
  </si>
  <si>
    <t>KT696547-56</t>
  </si>
  <si>
    <t>CH1197/96</t>
  </si>
  <si>
    <t>RNA1: AF020334, RNA2: AF020335, RNA3: AF020336, RNA4: U66714, RNA5: U33633, RNA6: AF020337, RNA7: U66713, RNA8: L46682, RNA9: L38899, RNA10: U66712</t>
  </si>
  <si>
    <t>Vidaverviricetes</t>
  </si>
  <si>
    <t>Mindivirales</t>
  </si>
  <si>
    <t>Kitrinoviricota</t>
  </si>
  <si>
    <t>Alsuviricetes</t>
  </si>
  <si>
    <t>Hepelivirales</t>
  </si>
  <si>
    <t>ssRNA(+)</t>
  </si>
  <si>
    <t>RNA1: D84410, RNA2: D84411, RNA3: D84412, RNA4: D84413</t>
  </si>
  <si>
    <t>S</t>
  </si>
  <si>
    <t>RNA1: AF280539, RNA2: AF061869, RNA3: AF280540, RNA4: AF280541</t>
  </si>
  <si>
    <t>EA</t>
  </si>
  <si>
    <t>RNA1: AB818898, RNA2: AB818899</t>
  </si>
  <si>
    <t xml:space="preserve">S </t>
  </si>
  <si>
    <t>RNA1: EU099844, RNA2: EU099845</t>
  </si>
  <si>
    <t>Colombia</t>
  </si>
  <si>
    <t>GU345042</t>
  </si>
  <si>
    <t>R63</t>
  </si>
  <si>
    <t>JQ001749</t>
  </si>
  <si>
    <t>BatHEV/BS7/GE/2009</t>
  </si>
  <si>
    <t>HQ731075</t>
  </si>
  <si>
    <t>Heenan88</t>
  </si>
  <si>
    <t>Martellivirales</t>
  </si>
  <si>
    <t>RNA1: L00163, RNA2: X01572, RNA3: K02703</t>
  </si>
  <si>
    <t>RNA1: AB724113, RNA2: AB724114, RNA3: AB724115</t>
  </si>
  <si>
    <t xml:space="preserve">Japan </t>
  </si>
  <si>
    <t>RNA1: AJ272327, RNA2: AJ272328, RNA3: AJ272329</t>
  </si>
  <si>
    <t>Apulia</t>
  </si>
  <si>
    <t>RNA1: M65138, RNA2: M64713, RNA3: M60291</t>
  </si>
  <si>
    <t>Dzianott</t>
  </si>
  <si>
    <t>RNA1: X58456, RNA2: X58457, RNA3: X58458</t>
  </si>
  <si>
    <t>KU1 (ATCC66)</t>
  </si>
  <si>
    <t>RNA1: AB194806, RNA2: AB194807, RNA3: AB194808</t>
  </si>
  <si>
    <t>KU1</t>
  </si>
  <si>
    <t>RNA1: M65139, RNA2: M28817, RNA3: M28818</t>
  </si>
  <si>
    <t>Allison</t>
  </si>
  <si>
    <t>RNA1: AB444583, RNA2: AB444584, RNA3: AB444585</t>
  </si>
  <si>
    <t>RNA1: AB080598, RNA2: AB080599, RNA3: AB080600</t>
  </si>
  <si>
    <t>RNA1: D00356, RNA2: D00355, RNA3: D10538</t>
  </si>
  <si>
    <t>Fny</t>
  </si>
  <si>
    <t>RNA1: FM881899, RNA2: FM881900, RNA3: FM881901</t>
  </si>
  <si>
    <t>Lithuania</t>
  </si>
  <si>
    <t>RNA1: U15728, RNA2: U15729, RNA3: U15730</t>
  </si>
  <si>
    <t>ER</t>
  </si>
  <si>
    <t>RNA1: D10044, RNA2: D10663, RNA3: AJ277268</t>
  </si>
  <si>
    <t>V</t>
  </si>
  <si>
    <t>RNA1: AF235033, RNA2: AF235165, RNA3: AF235166</t>
  </si>
  <si>
    <t>Scott</t>
  </si>
  <si>
    <t>RNA1: AF174584, RNA2: AF174585, RNA3: U15608</t>
  </si>
  <si>
    <t>Shiel</t>
  </si>
  <si>
    <t>RNA1: EU919666, RNA2: EU919667, RNA3: X86352</t>
  </si>
  <si>
    <t>USA</t>
  </si>
  <si>
    <t>RNA1: DQ091193, RNA2: DQ091194, RNA3: DQ091195</t>
  </si>
  <si>
    <t>UK</t>
  </si>
  <si>
    <t>RNA1: KF031037, RNA2: KF031038, RNA3: KF031039</t>
  </si>
  <si>
    <t xml:space="preserve">Berkely </t>
  </si>
  <si>
    <t>RNA1: U23715, RNA2: U17726, RNA3: U17390</t>
  </si>
  <si>
    <t>RNA1: EF584664, RNA2: EF584665, RNA3: U17389</t>
  </si>
  <si>
    <t>Li</t>
  </si>
  <si>
    <t>RNA1: U57047, RNA2: U34050, RNA3: U85399</t>
  </si>
  <si>
    <t>RNA1: AY682102, RNA2: AY707771, RNA3: AY707772</t>
  </si>
  <si>
    <t>CFRA 9087</t>
  </si>
  <si>
    <t>RNA1: AY500236, RNA2: AY500237, RNA3: AY500238</t>
  </si>
  <si>
    <t>RNA1: HE572565, RNA2: FN669168, RNA3: FN669169</t>
  </si>
  <si>
    <t>Varga</t>
  </si>
  <si>
    <t>RNA2: EU919669, RNA3: U17391</t>
  </si>
  <si>
    <t>Netherlands</t>
  </si>
  <si>
    <t>RNA1: AY496068, RNA2: AY496069, RNA3: U35145</t>
  </si>
  <si>
    <t>Ge</t>
  </si>
  <si>
    <t>RNA1: U57648, RNA2: AF277662, RNA3: L28145</t>
  </si>
  <si>
    <t>ch 137</t>
  </si>
  <si>
    <t>RNA1: JN416771, RNA2: JN416772, RNA3: JN416773</t>
  </si>
  <si>
    <t xml:space="preserve">Chr3 </t>
  </si>
  <si>
    <t>RNA1: U93192, RNA2: U93193, RNA3: U93194</t>
  </si>
  <si>
    <t>RNA1: DQ318818, RNA2: AY743591, RNA3: AY363228</t>
  </si>
  <si>
    <t>Maryland</t>
  </si>
  <si>
    <t>RNA1: U80934, RNA2: U75538, RNA3: X00435</t>
  </si>
  <si>
    <t>WC</t>
  </si>
  <si>
    <t>RNA1: AF226160, RNA2: AF226161, RNA3: AF226162</t>
  </si>
  <si>
    <t>RNA1: X94346, RNA2: X94347, RNA3: X76993</t>
  </si>
  <si>
    <t>Grieco</t>
  </si>
  <si>
    <t>AiPoV1</t>
  </si>
  <si>
    <t>MH206615</t>
  </si>
  <si>
    <t>air potato ampelovirus 1 FL</t>
  </si>
  <si>
    <t>KC904540</t>
  </si>
  <si>
    <t>Mississippi1</t>
  </si>
  <si>
    <t>JQ023131</t>
  </si>
  <si>
    <t>AF037268</t>
  </si>
  <si>
    <t>NY1</t>
  </si>
  <si>
    <t>FJ467503</t>
  </si>
  <si>
    <t xml:space="preserve">LR106 </t>
  </si>
  <si>
    <t>AF531505</t>
  </si>
  <si>
    <t>USA6b</t>
  </si>
  <si>
    <t>AF414119</t>
  </si>
  <si>
    <t>Melzer</t>
  </si>
  <si>
    <t>Pistachio ampelovirus A</t>
  </si>
  <si>
    <t>2019.007P.zip</t>
  </si>
  <si>
    <t>PAVA</t>
  </si>
  <si>
    <t>MF198462</t>
  </si>
  <si>
    <t>W10</t>
  </si>
  <si>
    <t>EF546442</t>
  </si>
  <si>
    <t xml:space="preserve">USA </t>
  </si>
  <si>
    <t>Arracacha virus 1</t>
  </si>
  <si>
    <t>ArrV-1</t>
  </si>
  <si>
    <t>MG919988</t>
  </si>
  <si>
    <t>MS#6</t>
  </si>
  <si>
    <t>X73476</t>
  </si>
  <si>
    <t>U</t>
  </si>
  <si>
    <t>Blackcurrant closterovirus 1</t>
  </si>
  <si>
    <t>BCCV-1</t>
  </si>
  <si>
    <t>MH267701</t>
  </si>
  <si>
    <t>BC</t>
  </si>
  <si>
    <t>FJ869862</t>
  </si>
  <si>
    <t xml:space="preserve">Germany </t>
  </si>
  <si>
    <t>U16304</t>
  </si>
  <si>
    <t>T36 quick decline</t>
  </si>
  <si>
    <t>AY881628</t>
  </si>
  <si>
    <t>93/955</t>
  </si>
  <si>
    <t>AY792620</t>
  </si>
  <si>
    <t>NCGR MEN 454.004</t>
  </si>
  <si>
    <t>DQ357218</t>
  </si>
  <si>
    <t xml:space="preserve">HCRL Glen Clova </t>
  </si>
  <si>
    <t>Rehmannia virus 1</t>
  </si>
  <si>
    <t>ReV-1</t>
  </si>
  <si>
    <t>MH033657</t>
  </si>
  <si>
    <t>Rg</t>
  </si>
  <si>
    <t>KJ748003</t>
  </si>
  <si>
    <t>RLRaV-CWR.1</t>
  </si>
  <si>
    <t>DQ860839</t>
  </si>
  <si>
    <t>KT203917</t>
  </si>
  <si>
    <t>TV1-AnHui</t>
  </si>
  <si>
    <t>RNA1: EU191904, RNA2: EU191905</t>
  </si>
  <si>
    <t xml:space="preserve">Bn-03 </t>
  </si>
  <si>
    <t>RNA1: AY330918, RNA2: AY330919</t>
  </si>
  <si>
    <t>USA, strawberry pallidosis</t>
  </si>
  <si>
    <t>RNA1: AY776334, RNA2: AY776335</t>
  </si>
  <si>
    <t>South Carolina</t>
  </si>
  <si>
    <t>RNA1: AY242077, RNA2: AY242078</t>
  </si>
  <si>
    <t>AlLM</t>
  </si>
  <si>
    <t>RNA1: GQ225585, RNA2: GQ376201</t>
  </si>
  <si>
    <t xml:space="preserve">Fayetteville </t>
  </si>
  <si>
    <t>RNA1: FJ380118, RNA2: FJ380119</t>
  </si>
  <si>
    <t xml:space="preserve">California </t>
  </si>
  <si>
    <t>RNA1: U15440, RNA2: U15441</t>
  </si>
  <si>
    <t>RNA1: AJ557128, RNA2: AJ557129, RNA3: AJ508757</t>
  </si>
  <si>
    <t>Peru:Cajamarca</t>
  </si>
  <si>
    <t>RNA1: AY488137, RNA2: AY488138</t>
  </si>
  <si>
    <t>M1</t>
  </si>
  <si>
    <t>RNA1: AJ428554, RNA2: AJ428555</t>
  </si>
  <si>
    <t>Uganda EA</t>
  </si>
  <si>
    <t>RNA1:KR002686,RNA2:KR002687</t>
  </si>
  <si>
    <t>TwVCV-Yesan</t>
  </si>
  <si>
    <t>RNA1: AY903447, RNA2: AY903448</t>
  </si>
  <si>
    <t>Florida</t>
  </si>
  <si>
    <t>RNA1: FJ815440, RNA2: FJ815441</t>
  </si>
  <si>
    <t xml:space="preserve">Orange County, CA </t>
  </si>
  <si>
    <t>KR349464</t>
  </si>
  <si>
    <t>ArPV1-HN</t>
  </si>
  <si>
    <t>HM588723</t>
  </si>
  <si>
    <t xml:space="preserve">Kahaluu-1 </t>
  </si>
  <si>
    <t>Partial genomic RNA (JQ599282)</t>
  </si>
  <si>
    <t>SJ1</t>
  </si>
  <si>
    <t>Partial genomic RNA (JQ599283)</t>
  </si>
  <si>
    <t>Partial genomic RNA (JQ599284)</t>
  </si>
  <si>
    <t>HE588185</t>
  </si>
  <si>
    <t xml:space="preserve">AA42 </t>
  </si>
  <si>
    <t>Y10237</t>
  </si>
  <si>
    <t>UW2</t>
  </si>
  <si>
    <t>AcV1</t>
  </si>
  <si>
    <t>KX857665</t>
  </si>
  <si>
    <t>actinidia virus 1 K75</t>
  </si>
  <si>
    <t>AB733585</t>
  </si>
  <si>
    <t>Iwate-2012</t>
  </si>
  <si>
    <t>KJ572575</t>
  </si>
  <si>
    <t xml:space="preserve">NCGR MEN 454 </t>
  </si>
  <si>
    <t>AB923924</t>
  </si>
  <si>
    <t>PeBV1-variant 1</t>
  </si>
  <si>
    <t>Agaricus bisporus alphaendornavirus 1</t>
  </si>
  <si>
    <t>2019.023P.zip</t>
  </si>
  <si>
    <t>AbEV1</t>
  </si>
  <si>
    <t>KY357509</t>
  </si>
  <si>
    <t>Cluster bean alphaendornavirus 1</t>
  </si>
  <si>
    <t>CBEV1</t>
  </si>
  <si>
    <t>MG764084</t>
  </si>
  <si>
    <t>KT727022</t>
  </si>
  <si>
    <t>CL-01</t>
  </si>
  <si>
    <t>KT388110</t>
  </si>
  <si>
    <t>HBJZ1506</t>
  </si>
  <si>
    <t>JX678977</t>
  </si>
  <si>
    <t>South Africa</t>
  </si>
  <si>
    <t>Helianthus annuus alphaendornavirus</t>
  </si>
  <si>
    <t>HaEV</t>
  </si>
  <si>
    <t>MF362666</t>
  </si>
  <si>
    <t>BJ</t>
  </si>
  <si>
    <t>KT721705</t>
  </si>
  <si>
    <t>Nerz</t>
  </si>
  <si>
    <t>KR080326</t>
  </si>
  <si>
    <t>CS</t>
  </si>
  <si>
    <t>KF562072</t>
  </si>
  <si>
    <t>Phaseolus vulgaris alphaendornavirus 3</t>
  </si>
  <si>
    <t>PvEV3</t>
  </si>
  <si>
    <t>MG242064</t>
  </si>
  <si>
    <t>Clouseau</t>
  </si>
  <si>
    <t>KF311065</t>
  </si>
  <si>
    <t>R0959</t>
  </si>
  <si>
    <t>Rhizoctonia solani alphaendornavirus 2</t>
  </si>
  <si>
    <t>RsEV2</t>
  </si>
  <si>
    <t>KT823701</t>
  </si>
  <si>
    <t>Illinois1</t>
  </si>
  <si>
    <t>KP239989</t>
  </si>
  <si>
    <t>817-14 Hunan</t>
  </si>
  <si>
    <t>DQ399289</t>
  </si>
  <si>
    <t>AU58</t>
  </si>
  <si>
    <t>Rosellinia necatrix betaendornavirus 1</t>
  </si>
  <si>
    <t>RnEV1</t>
  </si>
  <si>
    <t>LC076696</t>
  </si>
  <si>
    <t>W1141</t>
  </si>
  <si>
    <t>Sclerotinia minor betaendornavirus 1</t>
  </si>
  <si>
    <t>SmEV1</t>
  </si>
  <si>
    <t>MG255170</t>
  </si>
  <si>
    <t>LC22</t>
  </si>
  <si>
    <t>KJ123645</t>
  </si>
  <si>
    <t>Sclerotinia sclerotiorum endornavirus 11691</t>
  </si>
  <si>
    <t>HQ380014</t>
  </si>
  <si>
    <t>Jaszag</t>
  </si>
  <si>
    <t>RNA1:JN651148,RNA2:JN651149,RNA3:JN651150,RNA4:JN651151</t>
  </si>
  <si>
    <t>Georgia</t>
  </si>
  <si>
    <t>Tea plant necrotic ring blotch virus</t>
  </si>
  <si>
    <t>2019.005P.zip</t>
  </si>
  <si>
    <t>TPNRBV</t>
  </si>
  <si>
    <t>RNA1: MG781152; RNA2: MG781153; RNA3: MG781154; RNA4: MG781155</t>
  </si>
  <si>
    <t>RNA1: DQ352194, RNA2: DQ352195</t>
  </si>
  <si>
    <t xml:space="preserve">Cordeiropolis </t>
  </si>
  <si>
    <t>RNA1:JX000024,RNA2:JX000025</t>
  </si>
  <si>
    <t>L147V1</t>
  </si>
  <si>
    <t>RNA1: HQ852052, RNA2: HQ852053, RNA3: HQ852054</t>
  </si>
  <si>
    <t xml:space="preserve">WAI 1-1 </t>
  </si>
  <si>
    <t>Mayoviridae</t>
  </si>
  <si>
    <t>PrLBaV</t>
  </si>
  <si>
    <t>RNA1:LT221868 and RNA2: LT221869</t>
  </si>
  <si>
    <t>privet leaf blotch-associated virus</t>
  </si>
  <si>
    <t>RNA1: S51557, RNA2: S55890</t>
  </si>
  <si>
    <t>R15</t>
  </si>
  <si>
    <t>Pteridovirus</t>
  </si>
  <si>
    <t>Japanese holly fern mottle pteridovirus</t>
  </si>
  <si>
    <t>2019.025P.zip</t>
  </si>
  <si>
    <t>JHFMoV</t>
  </si>
  <si>
    <t>FJ907327; FJ907329</t>
  </si>
  <si>
    <t>DI</t>
  </si>
  <si>
    <t>Maize associated pteridovirus</t>
  </si>
  <si>
    <t>MaPV</t>
  </si>
  <si>
    <t>MK112502; MK112503</t>
  </si>
  <si>
    <t>RNA1: AJ012005, RNA2: AJ012006</t>
  </si>
  <si>
    <t>China:Yantai</t>
  </si>
  <si>
    <t>RNA1: AB033689, RNA2: AB033690</t>
  </si>
  <si>
    <t>JT</t>
  </si>
  <si>
    <t>RNA1: AJ132578, RNA2: AJ132579</t>
  </si>
  <si>
    <t>United Kingdom</t>
  </si>
  <si>
    <t>RNA1: AJ132576, RNA2: AJ132577</t>
  </si>
  <si>
    <t>France</t>
  </si>
  <si>
    <t>RNA1: L07937, RNA2: L07938</t>
  </si>
  <si>
    <t>1988 wild-type</t>
  </si>
  <si>
    <t>RNA1: AB033691, RNA2: AB033692</t>
  </si>
  <si>
    <t>Shirako</t>
  </si>
  <si>
    <t>RNA1: KP760461, RNA2: KP760462</t>
  </si>
  <si>
    <t>Canning Mills</t>
  </si>
  <si>
    <t>RNA1: AB976029, RNA2: AB976030</t>
  </si>
  <si>
    <t>RNA1: J04342, RNA2: X03854, RNA3: M16576</t>
  </si>
  <si>
    <t>Type</t>
  </si>
  <si>
    <t>RNA2: Z46351</t>
  </si>
  <si>
    <t>Solovyev</t>
  </si>
  <si>
    <t>RNA2: M81486</t>
  </si>
  <si>
    <t>Agranovsky</t>
  </si>
  <si>
    <t>RNA1: X99149, RNA2: AF447397</t>
  </si>
  <si>
    <t>Hyderabad</t>
  </si>
  <si>
    <t>RNA1: X78602, RNA2: L07269</t>
  </si>
  <si>
    <t>87/TGTA2</t>
  </si>
  <si>
    <t>RNA1: Z97873, RNA2: U64512, RNA3: Z66493</t>
  </si>
  <si>
    <t>Ahlum</t>
  </si>
  <si>
    <t>RNA1: AJ223596, RNA2: AJ223597, RNA3: AJ223598</t>
  </si>
  <si>
    <t>Koenig</t>
  </si>
  <si>
    <t>RNA1: D86636, RNA2: D86637, RNA3: D86638</t>
  </si>
  <si>
    <t>RNA1:KT225271,RNA2:KT225272,RNA3:KT225273</t>
  </si>
  <si>
    <t>IS9</t>
  </si>
  <si>
    <t>RNA1: AJ238607, RNA2: AJ243719, RNA3: AJ277556</t>
  </si>
  <si>
    <t>Sw</t>
  </si>
  <si>
    <t>DQ355023</t>
  </si>
  <si>
    <t>AM398436</t>
  </si>
  <si>
    <t>EU043335</t>
  </si>
  <si>
    <t xml:space="preserve">CMMoV-Kr </t>
  </si>
  <si>
    <t>JN566124</t>
  </si>
  <si>
    <t xml:space="preserve">Larrimah </t>
  </si>
  <si>
    <t>AF321057</t>
  </si>
  <si>
    <t>D12505</t>
  </si>
  <si>
    <t>SH</t>
  </si>
  <si>
    <t>AB261167</t>
  </si>
  <si>
    <t>Kubota</t>
  </si>
  <si>
    <t>HM026454</t>
  </si>
  <si>
    <t xml:space="preserve">P </t>
  </si>
  <si>
    <t>AB917427</t>
  </si>
  <si>
    <t xml:space="preserve">J </t>
  </si>
  <si>
    <t>AF395898</t>
  </si>
  <si>
    <t xml:space="preserve">Singapore </t>
  </si>
  <si>
    <t>AJ295948</t>
  </si>
  <si>
    <t>C1</t>
  </si>
  <si>
    <t>DQ356949</t>
  </si>
  <si>
    <t>Peru</t>
  </si>
  <si>
    <t>D13438</t>
  </si>
  <si>
    <t>TMV-Ob</t>
  </si>
  <si>
    <t>X82130</t>
  </si>
  <si>
    <t>ORSV</t>
  </si>
  <si>
    <t>AB089381</t>
  </si>
  <si>
    <t>Japan</t>
  </si>
  <si>
    <t>HQ389540</t>
  </si>
  <si>
    <t>M81413</t>
  </si>
  <si>
    <t>KJ395757</t>
  </si>
  <si>
    <t>Plu-Ind-1</t>
  </si>
  <si>
    <t>JF729471</t>
  </si>
  <si>
    <t xml:space="preserve">South Korea </t>
  </si>
  <si>
    <t>EF375551</t>
  </si>
  <si>
    <t xml:space="preserve">Henan </t>
  </si>
  <si>
    <t>HQ667979</t>
  </si>
  <si>
    <t>Kons.1105-R14</t>
  </si>
  <si>
    <t>AM040955</t>
  </si>
  <si>
    <t>Willingmann</t>
  </si>
  <si>
    <t>M34077</t>
  </si>
  <si>
    <t>Solis</t>
  </si>
  <si>
    <t>V01408</t>
  </si>
  <si>
    <t>variant 1</t>
  </si>
  <si>
    <t>KT383474</t>
  </si>
  <si>
    <t>Tom1-Jo</t>
  </si>
  <si>
    <t>AF332868</t>
  </si>
  <si>
    <t>Queensland</t>
  </si>
  <si>
    <t>ToMMV</t>
  </si>
  <si>
    <t>KF477193</t>
  </si>
  <si>
    <t xml:space="preserve">MX5 </t>
  </si>
  <si>
    <t>U03387</t>
  </si>
  <si>
    <t>TuVCV-OSU</t>
  </si>
  <si>
    <t>AB017503</t>
  </si>
  <si>
    <t>Shizua</t>
  </si>
  <si>
    <t>YTMMV</t>
  </si>
  <si>
    <t>KF495564</t>
  </si>
  <si>
    <t xml:space="preserve">Cervantes </t>
  </si>
  <si>
    <t>U30944</t>
  </si>
  <si>
    <t>OSRMV</t>
  </si>
  <si>
    <t>AJ295949</t>
  </si>
  <si>
    <t>Type strain K</t>
  </si>
  <si>
    <t>RNA1: X14006, RNA2: X51828</t>
  </si>
  <si>
    <t>SP5</t>
  </si>
  <si>
    <t>RNA1: L23972, RNA2: X03241</t>
  </si>
  <si>
    <t>CAM</t>
  </si>
  <si>
    <t>RNA1: AF166084, RNA2: Z36974</t>
  </si>
  <si>
    <t>PpK20</t>
  </si>
  <si>
    <t>JN053266</t>
  </si>
  <si>
    <t xml:space="preserve">BB_Ellis-1 </t>
  </si>
  <si>
    <t>AB010300</t>
  </si>
  <si>
    <t>Sumi</t>
  </si>
  <si>
    <t>KM379144</t>
  </si>
  <si>
    <t xml:space="preserve">Mesi 13 </t>
  </si>
  <si>
    <t>AB010302</t>
  </si>
  <si>
    <t>KF555653</t>
  </si>
  <si>
    <t xml:space="preserve">SW10 </t>
  </si>
  <si>
    <t>AJ292230</t>
  </si>
  <si>
    <t>YH</t>
  </si>
  <si>
    <t>U89243</t>
  </si>
  <si>
    <t>Korea</t>
  </si>
  <si>
    <t>M97264</t>
  </si>
  <si>
    <t>Kanyuka</t>
  </si>
  <si>
    <t>AY055762</t>
  </si>
  <si>
    <t>Howitt</t>
  </si>
  <si>
    <t>EU489641</t>
  </si>
  <si>
    <t xml:space="preserve">US1 </t>
  </si>
  <si>
    <t>JX040635</t>
  </si>
  <si>
    <t xml:space="preserve">Y1 </t>
  </si>
  <si>
    <t>AF406744</t>
  </si>
  <si>
    <t>K1</t>
  </si>
  <si>
    <t>KC923234</t>
  </si>
  <si>
    <t>Mariginiup11</t>
  </si>
  <si>
    <t>FJ670570</t>
  </si>
  <si>
    <t>AB206396</t>
  </si>
  <si>
    <t>AY863024</t>
  </si>
  <si>
    <t>Pennsylavania</t>
  </si>
  <si>
    <t>AB304848</t>
  </si>
  <si>
    <t>D26017</t>
  </si>
  <si>
    <t>O</t>
  </si>
  <si>
    <t>AF308158</t>
  </si>
  <si>
    <t>Taiwan</t>
  </si>
  <si>
    <t>U23414</t>
  </si>
  <si>
    <t>Brazil</t>
  </si>
  <si>
    <t>D29630</t>
  </si>
  <si>
    <t>Sit</t>
  </si>
  <si>
    <t>U62963</t>
  </si>
  <si>
    <t>Singapore</t>
  </si>
  <si>
    <t>M62730</t>
  </si>
  <si>
    <t>Bancroft</t>
  </si>
  <si>
    <t>AJ620114</t>
  </si>
  <si>
    <t>Kr</t>
  </si>
  <si>
    <t>AY707100</t>
  </si>
  <si>
    <t>PD 109</t>
  </si>
  <si>
    <t>AM745758</t>
  </si>
  <si>
    <t>Karaj</t>
  </si>
  <si>
    <t>AJ633822</t>
  </si>
  <si>
    <t>DQ660333</t>
  </si>
  <si>
    <t>Cote</t>
  </si>
  <si>
    <t>AY789138</t>
  </si>
  <si>
    <t>NCGR MEN 454</t>
  </si>
  <si>
    <t>D13747</t>
  </si>
  <si>
    <t>Zuidema</t>
  </si>
  <si>
    <t>AB219105</t>
  </si>
  <si>
    <t>J</t>
  </si>
  <si>
    <t>AY366209</t>
  </si>
  <si>
    <t>CC10</t>
  </si>
  <si>
    <t>D13957</t>
  </si>
  <si>
    <t>AF484251</t>
  </si>
  <si>
    <t>Sp-13</t>
  </si>
  <si>
    <t>AB353071</t>
  </si>
  <si>
    <t>Z21647</t>
  </si>
  <si>
    <t>S73580</t>
  </si>
  <si>
    <t>Xu</t>
  </si>
  <si>
    <t>D00344</t>
  </si>
  <si>
    <t>X3</t>
  </si>
  <si>
    <t>AY366207</t>
  </si>
  <si>
    <t xml:space="preserve">K11 </t>
  </si>
  <si>
    <t>D12517</t>
  </si>
  <si>
    <t>MY-18</t>
  </si>
  <si>
    <t>JN389521</t>
  </si>
  <si>
    <t xml:space="preserve">IT </t>
  </si>
  <si>
    <t>AB066288</t>
  </si>
  <si>
    <t>X06728</t>
  </si>
  <si>
    <t>Forster</t>
  </si>
  <si>
    <t>KJ711908</t>
  </si>
  <si>
    <t>T551</t>
  </si>
  <si>
    <t>AY366208</t>
  </si>
  <si>
    <t>B1</t>
  </si>
  <si>
    <t>AY147260</t>
  </si>
  <si>
    <t>AB051848</t>
  </si>
  <si>
    <t>D</t>
  </si>
  <si>
    <t>JQ245696</t>
  </si>
  <si>
    <t xml:space="preserve">Bittergold </t>
  </si>
  <si>
    <t>L25658</t>
  </si>
  <si>
    <t>NJ-2</t>
  </si>
  <si>
    <t>AM493895</t>
  </si>
  <si>
    <t xml:space="preserve">Punjab </t>
  </si>
  <si>
    <t>EF527260</t>
  </si>
  <si>
    <t>HQ184471</t>
  </si>
  <si>
    <t xml:space="preserve">Ghana </t>
  </si>
  <si>
    <t>AJ620300</t>
  </si>
  <si>
    <t>type strain: K</t>
  </si>
  <si>
    <t>KJ415259</t>
  </si>
  <si>
    <t>5/18-05-2010</t>
  </si>
  <si>
    <t>JF320810</t>
  </si>
  <si>
    <t xml:space="preserve">WA-1 </t>
  </si>
  <si>
    <t>FJ196835</t>
  </si>
  <si>
    <t xml:space="preserve">G5 </t>
  </si>
  <si>
    <t>DQ098905</t>
  </si>
  <si>
    <t>AB032469</t>
  </si>
  <si>
    <t>EU527979</t>
  </si>
  <si>
    <t>EU754720</t>
  </si>
  <si>
    <t xml:space="preserve">NZ </t>
  </si>
  <si>
    <t>EU074853</t>
  </si>
  <si>
    <t>AJ516059</t>
  </si>
  <si>
    <t>South Korea</t>
  </si>
  <si>
    <t>JN039374</t>
  </si>
  <si>
    <t>AM158439</t>
  </si>
  <si>
    <t xml:space="preserve">Zhangzhou </t>
  </si>
  <si>
    <t>AM182569</t>
  </si>
  <si>
    <t>Hangzhou</t>
  </si>
  <si>
    <t>DQ455582</t>
  </si>
  <si>
    <t>Israel</t>
  </si>
  <si>
    <t>KP784454</t>
  </si>
  <si>
    <t xml:space="preserve">ATCC PV-264 </t>
  </si>
  <si>
    <t>EU162589</t>
  </si>
  <si>
    <t xml:space="preserve">WP </t>
  </si>
  <si>
    <t>EF492068</t>
  </si>
  <si>
    <t xml:space="preserve">BR </t>
  </si>
  <si>
    <t>AY505475</t>
  </si>
  <si>
    <t>PV-0341</t>
  </si>
  <si>
    <t>EU433397</t>
  </si>
  <si>
    <t>Canada</t>
  </si>
  <si>
    <t>HM584819</t>
  </si>
  <si>
    <t>Huhhot</t>
  </si>
  <si>
    <t>D14449</t>
  </si>
  <si>
    <t>Russian wild type</t>
  </si>
  <si>
    <t>EU020009</t>
  </si>
  <si>
    <t xml:space="preserve">Arg </t>
  </si>
  <si>
    <t>AJ863509</t>
  </si>
  <si>
    <t>Leona</t>
  </si>
  <si>
    <t>FJ685618</t>
  </si>
  <si>
    <t xml:space="preserve">Washington </t>
  </si>
  <si>
    <t>AJ292226</t>
  </si>
  <si>
    <t>YH1</t>
  </si>
  <si>
    <t>JX212747</t>
  </si>
  <si>
    <t xml:space="preserve">Sosa 29 </t>
  </si>
  <si>
    <t>AY461421</t>
  </si>
  <si>
    <t>Uganda</t>
  </si>
  <si>
    <t>D21829</t>
  </si>
  <si>
    <t>PA66</t>
  </si>
  <si>
    <t>HQ339956</t>
  </si>
  <si>
    <t xml:space="preserve">A18 </t>
  </si>
  <si>
    <t>FJ824737</t>
  </si>
  <si>
    <t xml:space="preserve">tatao5 </t>
  </si>
  <si>
    <t>AF057136</t>
  </si>
  <si>
    <t>Meng</t>
  </si>
  <si>
    <t>GVT</t>
  </si>
  <si>
    <t>MF095096</t>
  </si>
  <si>
    <t>grapevine virus T Cho</t>
  </si>
  <si>
    <t>EF693898</t>
  </si>
  <si>
    <t xml:space="preserve">Agua-4N6 </t>
  </si>
  <si>
    <t>JX277553</t>
  </si>
  <si>
    <t xml:space="preserve">BM-01 </t>
  </si>
  <si>
    <t>AY072921</t>
  </si>
  <si>
    <t>Morales</t>
  </si>
  <si>
    <t>AF017780</t>
  </si>
  <si>
    <t>Zhang</t>
  </si>
  <si>
    <t>AF237816</t>
  </si>
  <si>
    <t>Rott</t>
  </si>
  <si>
    <t>KC218926</t>
  </si>
  <si>
    <t>95CI192R3</t>
  </si>
  <si>
    <t>KF030846</t>
  </si>
  <si>
    <t>95CI205R1 (s1)</t>
  </si>
  <si>
    <t>AF314662</t>
  </si>
  <si>
    <t>Gambley</t>
  </si>
  <si>
    <t>AF315308</t>
  </si>
  <si>
    <t>Thompson</t>
  </si>
  <si>
    <t>AB004063</t>
  </si>
  <si>
    <t>Li-23</t>
  </si>
  <si>
    <t>X82547</t>
  </si>
  <si>
    <t>Germany</t>
  </si>
  <si>
    <t>CuVA</t>
  </si>
  <si>
    <t>KT763043</t>
  </si>
  <si>
    <t>currant virus A Holandsky cerveny</t>
  </si>
  <si>
    <t>MuVA</t>
  </si>
  <si>
    <t>MG783575</t>
  </si>
  <si>
    <t>mume virus A PM14</t>
  </si>
  <si>
    <t>KF533711</t>
  </si>
  <si>
    <t>CBV-1_S20</t>
  </si>
  <si>
    <t>KF533710</t>
  </si>
  <si>
    <t>CBV-2_S15</t>
  </si>
  <si>
    <t>AJ318061</t>
  </si>
  <si>
    <t>SRA-153</t>
  </si>
  <si>
    <t>JX173276</t>
  </si>
  <si>
    <t xml:space="preserve">SW3.3 </t>
  </si>
  <si>
    <t>JX173277</t>
  </si>
  <si>
    <t>HQ241409</t>
  </si>
  <si>
    <t xml:space="preserve">HarVA-57 </t>
  </si>
  <si>
    <t>ASbLV</t>
  </si>
  <si>
    <t>MF440375</t>
  </si>
  <si>
    <t>actinidia seed borne latent virus Auckland</t>
  </si>
  <si>
    <t>HG008921</t>
  </si>
  <si>
    <t>VC</t>
  </si>
  <si>
    <t>KM507061</t>
  </si>
  <si>
    <t>Aze204</t>
  </si>
  <si>
    <t>Ravavirus</t>
  </si>
  <si>
    <t>Ribes americanum virus A</t>
  </si>
  <si>
    <t>2019.012P.zip</t>
  </si>
  <si>
    <t>RAVA</t>
  </si>
  <si>
    <t>MF166685</t>
  </si>
  <si>
    <t>Oregon</t>
  </si>
  <si>
    <t>EU835937</t>
  </si>
  <si>
    <t>KF700262</t>
  </si>
  <si>
    <t>C21</t>
  </si>
  <si>
    <t>M58152</t>
  </si>
  <si>
    <t>P863</t>
  </si>
  <si>
    <t>AY713379</t>
  </si>
  <si>
    <t>Sus2</t>
  </si>
  <si>
    <t>AF170028</t>
  </si>
  <si>
    <t>SA1162-21</t>
  </si>
  <si>
    <t>D88448</t>
  </si>
  <si>
    <t>Yoshikawa</t>
  </si>
  <si>
    <t>FR877530</t>
  </si>
  <si>
    <t>DQ117579</t>
  </si>
  <si>
    <t xml:space="preserve">2022-01 (CA-1) </t>
  </si>
  <si>
    <t>JN427015</t>
  </si>
  <si>
    <t xml:space="preserve">TP7-93B </t>
  </si>
  <si>
    <t>BVA</t>
  </si>
  <si>
    <t>MG254193</t>
  </si>
  <si>
    <t>blackberry virus A Osage</t>
  </si>
  <si>
    <t>X75433</t>
  </si>
  <si>
    <t>Is 151</t>
  </si>
  <si>
    <t>X75448</t>
  </si>
  <si>
    <t>Saldarelli</t>
  </si>
  <si>
    <t>AB432910</t>
  </si>
  <si>
    <t xml:space="preserve">TvAQ7 </t>
  </si>
  <si>
    <t>JX105428</t>
  </si>
  <si>
    <t xml:space="preserve">AUD46129 </t>
  </si>
  <si>
    <t>GVG</t>
  </si>
  <si>
    <t>MF405923</t>
  </si>
  <si>
    <t>grapevine virus G VID561</t>
  </si>
  <si>
    <t>GVH</t>
  </si>
  <si>
    <t>MF521889</t>
  </si>
  <si>
    <t>grapevine virus H TT2016-3</t>
  </si>
  <si>
    <t>GVI</t>
  </si>
  <si>
    <t>MF927925</t>
  </si>
  <si>
    <t>grapevine virus I VID499</t>
  </si>
  <si>
    <t>GVJ</t>
  </si>
  <si>
    <t>MG637048</t>
  </si>
  <si>
    <t>grapevine virus J KS</t>
  </si>
  <si>
    <t>WMA</t>
  </si>
  <si>
    <t>KY363796</t>
  </si>
  <si>
    <t>watermelon virus A KF15</t>
  </si>
  <si>
    <t>AF238884</t>
  </si>
  <si>
    <t>FJ915122</t>
  </si>
  <si>
    <t xml:space="preserve">GSM-8 </t>
  </si>
  <si>
    <t>AY884005</t>
  </si>
  <si>
    <t>Maccheroni</t>
  </si>
  <si>
    <t>FJ436028</t>
  </si>
  <si>
    <t>AF265566</t>
  </si>
  <si>
    <t>Costa Rica</t>
  </si>
  <si>
    <t>U87832</t>
  </si>
  <si>
    <t>Edwards</t>
  </si>
  <si>
    <t>FJ444852</t>
  </si>
  <si>
    <t xml:space="preserve">CN1/1 </t>
  </si>
  <si>
    <t>KT273411</t>
  </si>
  <si>
    <t>12C51</t>
  </si>
  <si>
    <t>AY751780</t>
  </si>
  <si>
    <t>JX508291</t>
  </si>
  <si>
    <t xml:space="preserve">Col </t>
  </si>
  <si>
    <t>JX508290</t>
  </si>
  <si>
    <t xml:space="preserve">Hu </t>
  </si>
  <si>
    <t>AF195000</t>
  </si>
  <si>
    <t>Bernal</t>
  </si>
  <si>
    <t>FN563123</t>
  </si>
  <si>
    <t>AY789137</t>
  </si>
  <si>
    <t>Tzanetakis</t>
  </si>
  <si>
    <t>J04374</t>
  </si>
  <si>
    <t>Osorio-Keese</t>
  </si>
  <si>
    <t>AF098523</t>
  </si>
  <si>
    <t>Srifah</t>
  </si>
  <si>
    <t>D00637</t>
  </si>
  <si>
    <t>Jervis Bay</t>
  </si>
  <si>
    <t>AY751778</t>
  </si>
  <si>
    <t>Nemisia</t>
  </si>
  <si>
    <t>EF554577</t>
  </si>
  <si>
    <t xml:space="preserve">PV-0264 </t>
  </si>
  <si>
    <t>J04375</t>
  </si>
  <si>
    <t>Ding</t>
  </si>
  <si>
    <t>Y16104</t>
  </si>
  <si>
    <t>Ranjith-Kumar</t>
  </si>
  <si>
    <t>AY751779</t>
  </si>
  <si>
    <t>AY751777</t>
  </si>
  <si>
    <t>X07441</t>
  </si>
  <si>
    <t>Morch</t>
  </si>
  <si>
    <t>KC840043</t>
  </si>
  <si>
    <t>SC50</t>
  </si>
  <si>
    <t>AJ271595</t>
  </si>
  <si>
    <t>Bradel</t>
  </si>
  <si>
    <t>AJ309022</t>
  </si>
  <si>
    <t>MT48</t>
  </si>
  <si>
    <t>Flasuviricetes</t>
  </si>
  <si>
    <t>Amarillovirales</t>
  </si>
  <si>
    <t>KP325401</t>
  </si>
  <si>
    <t>NZP1 (equine)</t>
  </si>
  <si>
    <t>U22304</t>
  </si>
  <si>
    <t>GBV-B (primate)</t>
  </si>
  <si>
    <t>KC551800</t>
  </si>
  <si>
    <t>BWC08 (primate)</t>
  </si>
  <si>
    <t>KC815310</t>
  </si>
  <si>
    <t>RHV-339 (rodent)</t>
  </si>
  <si>
    <t>KC411784</t>
  </si>
  <si>
    <t>NLR-AP70 (rodent)</t>
  </si>
  <si>
    <t>KJ950938</t>
  </si>
  <si>
    <t>NrHV-1/NYC-C12 (rodent)</t>
  </si>
  <si>
    <t>KJ950939</t>
  </si>
  <si>
    <t>NrHV-1/NYC-E43 (rodent)</t>
  </si>
  <si>
    <t>KC411806</t>
  </si>
  <si>
    <t>SAR-3 (rodent)</t>
  </si>
  <si>
    <t>KC411777</t>
  </si>
  <si>
    <t>RMU10-3382 (rodent)</t>
  </si>
  <si>
    <t>KC796074</t>
  </si>
  <si>
    <t>PDB-829 (bat)</t>
  </si>
  <si>
    <t>KC796077</t>
  </si>
  <si>
    <t>PDB-112 (bat)</t>
  </si>
  <si>
    <t>KC796078</t>
  </si>
  <si>
    <t>PDB-491.1 (bat)</t>
  </si>
  <si>
    <t>KP641127</t>
  </si>
  <si>
    <t>463 (bovine)</t>
  </si>
  <si>
    <t>U44402</t>
  </si>
  <si>
    <t>PNF2161 (GBV-C, primate)</t>
  </si>
  <si>
    <t>KC145265</t>
  </si>
  <si>
    <t>horse_A1 (equine)</t>
  </si>
  <si>
    <t>KC410872</t>
  </si>
  <si>
    <t>C0035 (equine)</t>
  </si>
  <si>
    <t>KC796080</t>
  </si>
  <si>
    <t>PDB-1698 (bat)</t>
  </si>
  <si>
    <t>KC796076</t>
  </si>
  <si>
    <t>PDB-620 (bat)</t>
  </si>
  <si>
    <t>KT439329</t>
  </si>
  <si>
    <t>AK-790 (human PgV2)</t>
  </si>
  <si>
    <t>KC796088</t>
  </si>
  <si>
    <t>PDB-1715 (bat)</t>
  </si>
  <si>
    <t>KC815311</t>
  </si>
  <si>
    <t>CC61 (rodent)</t>
  </si>
  <si>
    <t>KU351669</t>
  </si>
  <si>
    <t>PPgV_903 (pig)</t>
  </si>
  <si>
    <t>Magsaviricetes</t>
  </si>
  <si>
    <t>Nodamuvirales</t>
  </si>
  <si>
    <t>Sinhaliviridae</t>
  </si>
  <si>
    <t>HQ871931</t>
  </si>
  <si>
    <t>HQ888865</t>
  </si>
  <si>
    <t>Tolucaviricetes</t>
  </si>
  <si>
    <t>Tolivirales</t>
  </si>
  <si>
    <t>KU297983</t>
  </si>
  <si>
    <t>alfalfa enamovirus 1</t>
  </si>
  <si>
    <t>Birdsfoot trefoil enamovirus 1</t>
  </si>
  <si>
    <t>2019.013P.zip</t>
  </si>
  <si>
    <t>BFTEV1</t>
  </si>
  <si>
    <t>MH614261</t>
  </si>
  <si>
    <t>SRS271068</t>
  </si>
  <si>
    <t>CVEV</t>
  </si>
  <si>
    <t>HF679486</t>
  </si>
  <si>
    <t>citrus vein enation virus VE-1</t>
  </si>
  <si>
    <t>GEV1</t>
  </si>
  <si>
    <t>KX645875</t>
  </si>
  <si>
    <t>Grapevine enamovirus 1 CS-BR</t>
  </si>
  <si>
    <t>HM439775</t>
  </si>
  <si>
    <t xml:space="preserve">ID </t>
  </si>
  <si>
    <t>Apple associated luteovirus</t>
  </si>
  <si>
    <t>2019.024P.zip</t>
  </si>
  <si>
    <t>AaLV</t>
  </si>
  <si>
    <t>MF580384</t>
  </si>
  <si>
    <t>AaLV-A68</t>
  </si>
  <si>
    <t>Apple luteovirus 1</t>
  </si>
  <si>
    <t>ALV1</t>
  </si>
  <si>
    <t>MF120198</t>
  </si>
  <si>
    <t>ALV1-PA8</t>
  </si>
  <si>
    <t>KC571999</t>
  </si>
  <si>
    <t xml:space="preserve">K439 </t>
  </si>
  <si>
    <t>D11028</t>
  </si>
  <si>
    <t>PS1</t>
  </si>
  <si>
    <t>AF218798</t>
  </si>
  <si>
    <t>129 (group b)</t>
  </si>
  <si>
    <t>X07653</t>
  </si>
  <si>
    <t>AF441393</t>
  </si>
  <si>
    <t>Domier</t>
  </si>
  <si>
    <t>ChaLV</t>
  </si>
  <si>
    <t>KX159470</t>
  </si>
  <si>
    <t>cherry-associated luteovirus Prunus 43</t>
  </si>
  <si>
    <t>NSPaV</t>
  </si>
  <si>
    <t>KT273409</t>
  </si>
  <si>
    <t>nectarine stem pitting associated virus SF04522E</t>
  </si>
  <si>
    <t>Red clover associated luteovirus</t>
  </si>
  <si>
    <t>RCaV</t>
  </si>
  <si>
    <t>MG597244</t>
  </si>
  <si>
    <t>RCaV-HZ8</t>
  </si>
  <si>
    <t>EU024678</t>
  </si>
  <si>
    <t>AB038147</t>
  </si>
  <si>
    <t>strain YS, isolate M93-1</t>
  </si>
  <si>
    <t>AF352024</t>
  </si>
  <si>
    <t>2a</t>
  </si>
  <si>
    <t>X83110</t>
  </si>
  <si>
    <t>2ITB</t>
  </si>
  <si>
    <t>AF473561</t>
  </si>
  <si>
    <t>AY695933</t>
  </si>
  <si>
    <t>UK-1</t>
  </si>
  <si>
    <t>AF235168</t>
  </si>
  <si>
    <t>Mex-1</t>
  </si>
  <si>
    <t>L25299</t>
  </si>
  <si>
    <t>NY</t>
  </si>
  <si>
    <t>AY956384</t>
  </si>
  <si>
    <t xml:space="preserve">Et-fb-am1 </t>
  </si>
  <si>
    <t>GU167940</t>
  </si>
  <si>
    <t xml:space="preserve">ARG </t>
  </si>
  <si>
    <t>X76931</t>
  </si>
  <si>
    <t>Faba bean polerovirus 1</t>
  </si>
  <si>
    <t>2019.014P.zip</t>
  </si>
  <si>
    <t>FBPV1</t>
  </si>
  <si>
    <t>MH464873</t>
  </si>
  <si>
    <t>KC921392</t>
  </si>
  <si>
    <t xml:space="preserve">MtFE87 </t>
  </si>
  <si>
    <t>EU000534</t>
  </si>
  <si>
    <t xml:space="preserve">China:Beijing </t>
  </si>
  <si>
    <t>PeVYV-1</t>
  </si>
  <si>
    <t>AB594828</t>
  </si>
  <si>
    <t>pepper vein yellows virus 1 JP-Oki-09</t>
  </si>
  <si>
    <t>PeVYV-2</t>
  </si>
  <si>
    <t>HM439608</t>
  </si>
  <si>
    <t>pepper vein yellows virus 2 IL-02</t>
  </si>
  <si>
    <t>PeVYV-3</t>
  </si>
  <si>
    <t>KP326573</t>
  </si>
  <si>
    <t>pepper vein yellows virus 3 CN-HN-13</t>
  </si>
  <si>
    <t>PeVYV-4</t>
  </si>
  <si>
    <t>KU999109</t>
  </si>
  <si>
    <t>pepper vein yellows virus 4 AU-12KNX1-15</t>
  </si>
  <si>
    <t>PeVYV-5</t>
  </si>
  <si>
    <t>KY523072</t>
  </si>
  <si>
    <t>pepper vein yellows virus 5 ES-Alm2-13</t>
  </si>
  <si>
    <t>PeVYV-6</t>
  </si>
  <si>
    <t>LT559483</t>
  </si>
  <si>
    <t>pepper vein yellows virus 6 GR-PX3-14</t>
  </si>
  <si>
    <t>D00530</t>
  </si>
  <si>
    <t>Pumpkin polerovirus</t>
  </si>
  <si>
    <t>PuPV</t>
  </si>
  <si>
    <t>MG800833</t>
  </si>
  <si>
    <t>PuPV -PuPV</t>
  </si>
  <si>
    <t>JQ700308</t>
  </si>
  <si>
    <t xml:space="preserve">SABYV-TW19 </t>
  </si>
  <si>
    <t>AF157029</t>
  </si>
  <si>
    <t>A</t>
  </si>
  <si>
    <t>EF529624</t>
  </si>
  <si>
    <t xml:space="preserve">Longlin </t>
  </si>
  <si>
    <t>X13063</t>
  </si>
  <si>
    <t>FL-1</t>
  </si>
  <si>
    <t>U57305</t>
  </si>
  <si>
    <t>FJ188473</t>
  </si>
  <si>
    <t xml:space="preserve">Weddel </t>
  </si>
  <si>
    <t>KJ918748</t>
  </si>
  <si>
    <t xml:space="preserve"> 18-2</t>
  </si>
  <si>
    <t>Z69910</t>
  </si>
  <si>
    <t>MC1</t>
  </si>
  <si>
    <t>EU151723</t>
  </si>
  <si>
    <t>PHEL5235</t>
  </si>
  <si>
    <t>U03563</t>
  </si>
  <si>
    <t>Demler</t>
  </si>
  <si>
    <t>AF402620</t>
  </si>
  <si>
    <t>Baoshan</t>
  </si>
  <si>
    <t>DQ219415</t>
  </si>
  <si>
    <t>GQ244431</t>
  </si>
  <si>
    <t>AF192772</t>
  </si>
  <si>
    <t>Shanghai</t>
  </si>
  <si>
    <t>HQ677625</t>
  </si>
  <si>
    <t>EF207438</t>
  </si>
  <si>
    <t xml:space="preserve">Alaska </t>
  </si>
  <si>
    <t>AJ514833</t>
  </si>
  <si>
    <t>MZ10</t>
  </si>
  <si>
    <t>U72332</t>
  </si>
  <si>
    <t>Xiong</t>
  </si>
  <si>
    <t>X85989</t>
  </si>
  <si>
    <t>citrus</t>
  </si>
  <si>
    <t>AY616760</t>
  </si>
  <si>
    <t>GP</t>
  </si>
  <si>
    <t>PoNV</t>
  </si>
  <si>
    <t>KP901095</t>
  </si>
  <si>
    <t>potato necrosis virus QV323</t>
  </si>
  <si>
    <t>M33002</t>
  </si>
  <si>
    <t>FM-1B</t>
  </si>
  <si>
    <t>DQ227315</t>
  </si>
  <si>
    <t xml:space="preserve">Israel </t>
  </si>
  <si>
    <t>AJ557804</t>
  </si>
  <si>
    <t>Iran</t>
  </si>
  <si>
    <t>EF589670</t>
  </si>
  <si>
    <t>AJ243370</t>
  </si>
  <si>
    <t>pigeonpea</t>
  </si>
  <si>
    <t>KF482072</t>
  </si>
  <si>
    <t>Nigerian isolate</t>
  </si>
  <si>
    <t>ssRNA</t>
  </si>
  <si>
    <t>X83964</t>
  </si>
  <si>
    <t>Boonham</t>
  </si>
  <si>
    <t>L16015</t>
  </si>
  <si>
    <t>CL</t>
  </si>
  <si>
    <t>X86448</t>
  </si>
  <si>
    <t>D86123</t>
  </si>
  <si>
    <t>Takemoto</t>
  </si>
  <si>
    <t>M22445</t>
  </si>
  <si>
    <t>Carrington</t>
  </si>
  <si>
    <t>AF452884</t>
  </si>
  <si>
    <t>Cao</t>
  </si>
  <si>
    <t>X94560</t>
  </si>
  <si>
    <t>Lot</t>
  </si>
  <si>
    <t>U62546</t>
  </si>
  <si>
    <t>Y13463</t>
  </si>
  <si>
    <t>Ciuffreda</t>
  </si>
  <si>
    <t>U20976</t>
  </si>
  <si>
    <t>You</t>
  </si>
  <si>
    <t>M29671</t>
  </si>
  <si>
    <t>Riviere</t>
  </si>
  <si>
    <t>AB086951</t>
  </si>
  <si>
    <t>FJ457015</t>
  </si>
  <si>
    <t>FJ768020</t>
  </si>
  <si>
    <t xml:space="preserve">Cauca </t>
  </si>
  <si>
    <t>X14736</t>
  </si>
  <si>
    <t>Nutter</t>
  </si>
  <si>
    <t>EU081018</t>
  </si>
  <si>
    <t xml:space="preserve">Scotland </t>
  </si>
  <si>
    <t>U55002</t>
  </si>
  <si>
    <t>USA:Kansas</t>
  </si>
  <si>
    <t>TPAV</t>
  </si>
  <si>
    <t>JX848617</t>
  </si>
  <si>
    <t xml:space="preserve">05TGP00369 </t>
  </si>
  <si>
    <t>ClCMV</t>
  </si>
  <si>
    <t>KX712140</t>
  </si>
  <si>
    <t>clematis chlorotic mottle virus Minnesota</t>
  </si>
  <si>
    <t>ELV</t>
  </si>
  <si>
    <t>AY038066</t>
  </si>
  <si>
    <t>ATCC:PV522</t>
  </si>
  <si>
    <t>GR57</t>
  </si>
  <si>
    <t>AY038069</t>
  </si>
  <si>
    <t>AY613852</t>
  </si>
  <si>
    <t>PV-0193</t>
  </si>
  <si>
    <t>DSMZ-PV0304</t>
  </si>
  <si>
    <t>AY038068</t>
  </si>
  <si>
    <t xml:space="preserve">DSMZ-PV0304 </t>
  </si>
  <si>
    <t>MN-3</t>
  </si>
  <si>
    <t>KC166238</t>
  </si>
  <si>
    <t xml:space="preserve">MN-3 </t>
  </si>
  <si>
    <t>X62493</t>
  </si>
  <si>
    <t>Bari-Dr. Gallitelli</t>
  </si>
  <si>
    <t>X85215</t>
  </si>
  <si>
    <t>Rubino</t>
  </si>
  <si>
    <t>CBLV-Bulgaria</t>
  </si>
  <si>
    <t>AY163842</t>
  </si>
  <si>
    <t>cucumber Bulgarian latent virus Bulgaria</t>
  </si>
  <si>
    <t>M25270</t>
  </si>
  <si>
    <t>Rochon</t>
  </si>
  <si>
    <t>X15511</t>
  </si>
  <si>
    <t>JQ864181</t>
  </si>
  <si>
    <t xml:space="preserve">Israeli </t>
  </si>
  <si>
    <t>AY830918</t>
  </si>
  <si>
    <t>nipplefruit</t>
  </si>
  <si>
    <t>JX182425</t>
  </si>
  <si>
    <t xml:space="preserve">MPV-EM81 </t>
  </si>
  <si>
    <t>AJ607402</t>
  </si>
  <si>
    <t>Heinze</t>
  </si>
  <si>
    <t>M21958</t>
  </si>
  <si>
    <t>cherry</t>
  </si>
  <si>
    <t>AF266518</t>
  </si>
  <si>
    <t>Louie</t>
  </si>
  <si>
    <t>RNA1: L18870, RNA2: M88589</t>
  </si>
  <si>
    <t>Kendall</t>
  </si>
  <si>
    <t>RNA1: J04357, RNA2: X08021</t>
  </si>
  <si>
    <t>RNA1: L07884, RNA2: S46028</t>
  </si>
  <si>
    <t>Lenarviricota</t>
  </si>
  <si>
    <t>Allassoviricetes</t>
  </si>
  <si>
    <t>Levivirales</t>
  </si>
  <si>
    <t>Amabiliviricetes</t>
  </si>
  <si>
    <t>Wolframvirales</t>
  </si>
  <si>
    <t>AF039063</t>
  </si>
  <si>
    <t>37-4C</t>
  </si>
  <si>
    <t>U90136</t>
  </si>
  <si>
    <t>Howeltoviricetes</t>
  </si>
  <si>
    <t>Cryppavirales</t>
  </si>
  <si>
    <t>Mitoviridae</t>
  </si>
  <si>
    <t>L31849</t>
  </si>
  <si>
    <t>CpNB631</t>
  </si>
  <si>
    <t>AJ004930</t>
  </si>
  <si>
    <t>OnuLd</t>
  </si>
  <si>
    <t>AJ132754</t>
  </si>
  <si>
    <t>AJ132755</t>
  </si>
  <si>
    <t>AJ132756</t>
  </si>
  <si>
    <t>Miaviricetes</t>
  </si>
  <si>
    <t>Ourlivirales</t>
  </si>
  <si>
    <t>BOLV</t>
  </si>
  <si>
    <t>LN827955</t>
  </si>
  <si>
    <t>Botrytis ourmia-like virus HAZ2-3</t>
  </si>
  <si>
    <t>SsOLV2</t>
  </si>
  <si>
    <t>KP900929</t>
  </si>
  <si>
    <t>Sclerotinia sclerotiorum ourmia-like virus 2 291</t>
  </si>
  <si>
    <t>MOLV1</t>
  </si>
  <si>
    <t>LT593139</t>
  </si>
  <si>
    <t>Magnaporthe oryzae ourmia-like virus Guy 11</t>
  </si>
  <si>
    <t>RsOLV1</t>
  </si>
  <si>
    <t>KP900921</t>
  </si>
  <si>
    <t>Rhizoctonia solani ourmia-like virus 1 RsAG2</t>
  </si>
  <si>
    <t>RNA1: FJ157981, RNA2: FJ157982, RNA3: FJ157983</t>
  </si>
  <si>
    <t xml:space="preserve">IC </t>
  </si>
  <si>
    <t>RNA1: EU770620, RNA2: EU770621, RNA3: EU770622</t>
  </si>
  <si>
    <t xml:space="preserve">VE450 </t>
  </si>
  <si>
    <t>RNA1: EU770623, RNA2: EU770624, RNA3: EU770625</t>
  </si>
  <si>
    <t xml:space="preserve">VE9 </t>
  </si>
  <si>
    <t>SsOLV1</t>
  </si>
  <si>
    <t>KP900928</t>
  </si>
  <si>
    <t>Sclerotinia sclerotiorum ourmia-like virus 1 334</t>
  </si>
  <si>
    <t>SlaOurV1-1</t>
  </si>
  <si>
    <t>KT598235</t>
  </si>
  <si>
    <t>Soybean leaf-associated ourmiavirus 1 SlaOurV1-1</t>
  </si>
  <si>
    <t>SlaOurV2-1</t>
  </si>
  <si>
    <t>KT598247</t>
  </si>
  <si>
    <t>Soybean leaf-associated ourmiavirus 2</t>
  </si>
  <si>
    <t>ssRNA(-)</t>
  </si>
  <si>
    <t>BhSCV-4</t>
  </si>
  <si>
    <t>KX883990; KX883991</t>
  </si>
  <si>
    <t>Beihai sesarmid crab virus 4 SCJXSX38901</t>
  </si>
  <si>
    <t>WzQLV-2</t>
  </si>
  <si>
    <t>KX884000; KX884001</t>
  </si>
  <si>
    <t>Wenzhou qínvirus-like virus 2 WZRBX42684</t>
  </si>
  <si>
    <t>HbQLV-1</t>
  </si>
  <si>
    <t>KX883992; KX883993</t>
  </si>
  <si>
    <t>Húbei qínvirus-like virus 1 SCM49583</t>
  </si>
  <si>
    <t>SxQLV-1</t>
  </si>
  <si>
    <t>KX883996; KX883997</t>
  </si>
  <si>
    <t>Sanxiá qínvirus-like virus 1 SXXX11646</t>
  </si>
  <si>
    <t>ShQLV-1</t>
  </si>
  <si>
    <t>KX883994; KX883995</t>
  </si>
  <si>
    <t>Shahé qínvirus-like virus 1 SHWC0209c11359</t>
  </si>
  <si>
    <t>WzQLV-1</t>
  </si>
  <si>
    <t>KX884002; KX884003</t>
  </si>
  <si>
    <t>Wenzhou qínvirus-like virus 1 WZSLuoI86141</t>
  </si>
  <si>
    <t>WhIV-15</t>
  </si>
  <si>
    <t>KX883998; KX883999</t>
  </si>
  <si>
    <t>Wuhàn insect virus 15 WHCCII13252</t>
  </si>
  <si>
    <t>XzNV-3</t>
  </si>
  <si>
    <t>KX884004; KX884005</t>
  </si>
  <si>
    <t>Xinzhou nematode virus 3 XZSJSC65579</t>
  </si>
  <si>
    <t>KJ704366-KJ704368</t>
  </si>
  <si>
    <t>Arkansas-5</t>
  </si>
  <si>
    <t>RNA1: AY654892, RNA2: AY654893, RNA3: AY654894</t>
  </si>
  <si>
    <t>P-121</t>
  </si>
  <si>
    <t>RNA3: DQ885455</t>
  </si>
  <si>
    <t xml:space="preserve">Fr220205/9 </t>
  </si>
  <si>
    <t>RNA1: AY535016, RNA2: AY535017, RNA3: AY535018, RNA4: AY535019</t>
  </si>
  <si>
    <t>Belg-2</t>
  </si>
  <si>
    <t>RNA1: AF525933, RNA2: AF525934, RNA3: AF525935, RNA4: AF525936</t>
  </si>
  <si>
    <t>LS301-O</t>
  </si>
  <si>
    <t>TcTV-4</t>
  </si>
  <si>
    <t>KM817599</t>
  </si>
  <si>
    <t>Tachéng tick virus 4 TCRP-1</t>
  </si>
  <si>
    <t>BhBV-9</t>
  </si>
  <si>
    <t>KX884409</t>
  </si>
  <si>
    <t>Beihai barnacle virus 9 BHTH10927</t>
  </si>
  <si>
    <t>HbCV-3</t>
  </si>
  <si>
    <t>KX884416</t>
  </si>
  <si>
    <t>Húbei coleoptera virus 3 QCM109726</t>
  </si>
  <si>
    <t>BTV-3</t>
  </si>
  <si>
    <t>KM817593</t>
  </si>
  <si>
    <t>Bólè tick virus 3 BL199</t>
  </si>
  <si>
    <t>WlCV-14</t>
  </si>
  <si>
    <t>KX884451; KX884452</t>
  </si>
  <si>
    <t>Wenling crustacean virus 14 WLJQ104130</t>
  </si>
  <si>
    <t>CpTV-2</t>
  </si>
  <si>
    <t>KM817594</t>
  </si>
  <si>
    <t>Changpíng tick virus 2 CP1-4</t>
  </si>
  <si>
    <t>WzCV-3</t>
  </si>
  <si>
    <t>KM817603</t>
  </si>
  <si>
    <t>Wenzhou crab virus 3 RBX9</t>
  </si>
  <si>
    <t>WcLFV-3</t>
  </si>
  <si>
    <t>KM817604; KM817605</t>
  </si>
  <si>
    <t>Wuchang cockroach virus 3 WCZL-1</t>
  </si>
  <si>
    <t>WzCV-2</t>
  </si>
  <si>
    <t>KM817602; KM817601</t>
  </si>
  <si>
    <t>Wenzhou crab virus 2 ZCX13</t>
  </si>
  <si>
    <t>WlCV-13</t>
  </si>
  <si>
    <t>KX884453; KX884454</t>
  </si>
  <si>
    <t>Wenling crustacean virus 13 WLJQ104251</t>
  </si>
  <si>
    <t>CpTV-3</t>
  </si>
  <si>
    <t>KM817595</t>
  </si>
  <si>
    <t>Changpíng tick virus 3 CP1-3</t>
  </si>
  <si>
    <t>BhHCV-3</t>
  </si>
  <si>
    <t>KX884404</t>
  </si>
  <si>
    <t>Beihai hermit crab virus 3 BHJJX21702</t>
  </si>
  <si>
    <t>WhLFV-7</t>
  </si>
  <si>
    <t>KM817609; KM817608</t>
  </si>
  <si>
    <t>Wuhàn louse fly virus 7 BFJSC-3</t>
  </si>
  <si>
    <t>HbCLV-1</t>
  </si>
  <si>
    <t>KX884424; KX884425</t>
  </si>
  <si>
    <t>Húbei chuvirus-like virus 1 QTM26249</t>
  </si>
  <si>
    <t>HbCLV-3</t>
  </si>
  <si>
    <t>KX884427</t>
  </si>
  <si>
    <t>Húbei chuvirus-like virus 3 QTM26698</t>
  </si>
  <si>
    <t>IjRV-1</t>
  </si>
  <si>
    <t>KU095839</t>
  </si>
  <si>
    <t>Imjin River virus 1 A12.2496/ROK/2012</t>
  </si>
  <si>
    <t>SgLWV</t>
  </si>
  <si>
    <t>KM817613</t>
  </si>
  <si>
    <t>Shuangào lacewing virus QSA01</t>
  </si>
  <si>
    <t>LsSV-1</t>
  </si>
  <si>
    <t>KM817597; KM817596</t>
  </si>
  <si>
    <t>Líshí spider virus 1 LSZZ11</t>
  </si>
  <si>
    <t>LSTCV-1</t>
  </si>
  <si>
    <t>KU230451</t>
  </si>
  <si>
    <t>lone star tick chuvirus 1 RTS21</t>
  </si>
  <si>
    <t>WhLFV-6</t>
  </si>
  <si>
    <t>KM817607; KM817606</t>
  </si>
  <si>
    <t>Wuhàn louse fly virus 6 BFJSC-2</t>
  </si>
  <si>
    <t>WhMV-8</t>
  </si>
  <si>
    <t>KM817610</t>
  </si>
  <si>
    <t>Wuhàn mosquito virus 8 XC2-7</t>
  </si>
  <si>
    <t>HbMV-8</t>
  </si>
  <si>
    <t>KX884444</t>
  </si>
  <si>
    <t>Húbei myriapoda virus 8 WGML66308</t>
  </si>
  <si>
    <t>HbOV-11</t>
  </si>
  <si>
    <t>KX884419</t>
  </si>
  <si>
    <t>Húbei odonate virus 11 QTM161788</t>
  </si>
  <si>
    <t>SxASC-4</t>
  </si>
  <si>
    <t>KX884439</t>
  </si>
  <si>
    <t>Sanxiá atyid shrimp virus 4 SXXX37205</t>
  </si>
  <si>
    <t>SyFV-1</t>
  </si>
  <si>
    <t>KM817598</t>
  </si>
  <si>
    <t>Shayáng fly virus 1 SYY3-1 </t>
  </si>
  <si>
    <t>SFKV</t>
  </si>
  <si>
    <t>KM460042</t>
  </si>
  <si>
    <t>Suffolk virus FI3</t>
  </si>
  <si>
    <t>Taiyuan mivirus</t>
  </si>
  <si>
    <t>2019.018M.zip</t>
  </si>
  <si>
    <t>TYLeV</t>
  </si>
  <si>
    <t>MH708020</t>
  </si>
  <si>
    <t>Tn/2017</t>
  </si>
  <si>
    <t>WlCV-15</t>
  </si>
  <si>
    <t>KX884458</t>
  </si>
  <si>
    <t>Wenling crustacean virus 15 WLJQ91782</t>
  </si>
  <si>
    <t>WhTV-2</t>
  </si>
  <si>
    <t>KM817611</t>
  </si>
  <si>
    <t>Wuhàn tick virus 2 X78-1</t>
  </si>
  <si>
    <t>XzNV-5</t>
  </si>
  <si>
    <t>KX884461</t>
  </si>
  <si>
    <t>Xinzhou nematode virus 5 XZSJSC65765</t>
  </si>
  <si>
    <t>Hexartovirus</t>
  </si>
  <si>
    <t>Barnacle hexartovirus</t>
  </si>
  <si>
    <t>2019.021M.zip</t>
  </si>
  <si>
    <t>BhBV-8</t>
  </si>
  <si>
    <t>KX884410</t>
  </si>
  <si>
    <t>Caligid hexartovirus</t>
  </si>
  <si>
    <t>LsNSRV-1</t>
  </si>
  <si>
    <t>MG489864</t>
  </si>
  <si>
    <t>BhRLV-1</t>
  </si>
  <si>
    <t>KX884412</t>
  </si>
  <si>
    <t>Běihǎi rhabdo-like virus 1 BHTSS15727</t>
  </si>
  <si>
    <t>HbRLV-6</t>
  </si>
  <si>
    <t>KX884421</t>
  </si>
  <si>
    <t>Húběi rhabdo-like virus 6 QTM24798</t>
  </si>
  <si>
    <t>HbRLV-8</t>
  </si>
  <si>
    <t>KX884420</t>
  </si>
  <si>
    <t>Húběi rhabdo-like virus 8 QTM19395</t>
  </si>
  <si>
    <t>HbRLV-5</t>
  </si>
  <si>
    <t>KX884446</t>
  </si>
  <si>
    <t>Húběi rhabdo-like virus 5 WHSFII19440</t>
  </si>
  <si>
    <t>KX431032</t>
  </si>
  <si>
    <t>Pteromalus puparum negative-strand RNA virus 1 HZ</t>
  </si>
  <si>
    <t>BhRLV-2</t>
  </si>
  <si>
    <t>KX884413</t>
  </si>
  <si>
    <t>Běihǎi rhabdo-like virus 2 BHTSS7258</t>
  </si>
  <si>
    <t>Sharpbelly cultervirus</t>
  </si>
  <si>
    <t>WhSBV</t>
  </si>
  <si>
    <t>MG599939.1</t>
  </si>
  <si>
    <t>Wǔhàn sharpbelly bornavirus DSYS4497</t>
  </si>
  <si>
    <t>LGSV-1</t>
  </si>
  <si>
    <t>KM114265</t>
  </si>
  <si>
    <t>Loveridge's garter snake virus 1 [ex RBV-1]</t>
  </si>
  <si>
    <t>LN713681</t>
  </si>
  <si>
    <t>variegated squirrel bornavirus 1, isolate squirrel brain</t>
  </si>
  <si>
    <t>KC464471</t>
  </si>
  <si>
    <t>canary bornavirus 1</t>
  </si>
  <si>
    <t>KF680099</t>
  </si>
  <si>
    <t>estrildid finch bornavirus 1</t>
  </si>
  <si>
    <t>GU249595</t>
  </si>
  <si>
    <t>parrot bornavirus 1</t>
  </si>
  <si>
    <t>PaBV-5</t>
  </si>
  <si>
    <t>KR612223</t>
  </si>
  <si>
    <t>Parrot bornavirus 5</t>
  </si>
  <si>
    <t>KF578398</t>
  </si>
  <si>
    <t>aquatic bird bornavirus 1</t>
  </si>
  <si>
    <t>Lloviu virus/M.schreibersii-wt/ESP/2003/Asturias-Bat86</t>
  </si>
  <si>
    <t>Dianlovirus</t>
  </si>
  <si>
    <t>Mengla dianlovirus</t>
  </si>
  <si>
    <t>2019.011M.zip</t>
  </si>
  <si>
    <t>MLAV</t>
  </si>
  <si>
    <t>KX371887</t>
  </si>
  <si>
    <t>Menglà virus/Rousettus-wt/CHN/2015/Sharén-Bat9447-1</t>
  </si>
  <si>
    <t>Bombali ebolavirus</t>
  </si>
  <si>
    <t>2019.007M.zip</t>
  </si>
  <si>
    <t>BOMV</t>
  </si>
  <si>
    <t>MF319185</t>
  </si>
  <si>
    <t>Bombali virus/M.condylurus-wt/SLE/2016/PREDICT_SLAB000156</t>
  </si>
  <si>
    <t>Bundibugyo virus/H.sapiens-tc/UGA/2007/Butalya-811250</t>
  </si>
  <si>
    <t>Reston virus/M.fascicularis-tc/USA/1989/Philippines89-Pennsylvania</t>
  </si>
  <si>
    <t>Sudan virus/H.sapiens-tc/UGA/2000/Gulu-808892</t>
  </si>
  <si>
    <t>Taï Forest virus/H.sapiens-tc/CIV/1994/Pauléoula-CI</t>
  </si>
  <si>
    <t>Ebola virus/H.sapiens-tc/COD/1976/Yambuku-Mayinga</t>
  </si>
  <si>
    <t>Marburg virus/H.sapiens-tc/KEN/1980/Mt. Elgon-Musoke</t>
  </si>
  <si>
    <t>XlLV</t>
  </si>
  <si>
    <t>MG599980.1</t>
  </si>
  <si>
    <t>Xīlǎng virus (previously "Wēnlǐng frogfish filovirus") XYHYS28627</t>
  </si>
  <si>
    <t>HUJV</t>
  </si>
  <si>
    <t>MG599981.1</t>
  </si>
  <si>
    <t>Huángjiāo virus (previously "Wēnlǐng thamnaconus septentrionalis " LQMMTII17328</t>
  </si>
  <si>
    <t>SxWSV-4</t>
  </si>
  <si>
    <t>KM817633</t>
  </si>
  <si>
    <t>Sānxiá water strider virus 4 SXSSP12</t>
  </si>
  <si>
    <t>HbRLV-3</t>
  </si>
  <si>
    <t>KX884417</t>
  </si>
  <si>
    <t>Húběi rhabdo-like virus 3 QCM135517</t>
  </si>
  <si>
    <t>LsSV-2</t>
  </si>
  <si>
    <t>KM817632</t>
  </si>
  <si>
    <t>Lĭshì spider virus 2</t>
  </si>
  <si>
    <t>HbOV-10</t>
  </si>
  <si>
    <t>KX884418</t>
  </si>
  <si>
    <t>Húběi odonate virus 10 QTM133243</t>
  </si>
  <si>
    <t>TcTV-6</t>
  </si>
  <si>
    <t>KM817641</t>
  </si>
  <si>
    <t>Tǎchéng tick virus 6 TCRP-2</t>
  </si>
  <si>
    <t>WcRNV-2</t>
  </si>
  <si>
    <t>KX884441</t>
  </si>
  <si>
    <t>Wǔchāng romanomermis nematode virus 2 WCLSXC55347</t>
  </si>
  <si>
    <t>Hubramonavirus</t>
  </si>
  <si>
    <t>Hubei hubramonavirus</t>
  </si>
  <si>
    <t>2019.001F.zip</t>
  </si>
  <si>
    <t>HbRLV-4</t>
  </si>
  <si>
    <t>KX884403</t>
  </si>
  <si>
    <t>arthropodmix13990</t>
  </si>
  <si>
    <t>Lentinula hubramonavirus</t>
  </si>
  <si>
    <t>LeNSRV-1</t>
  </si>
  <si>
    <t>LC466007</t>
  </si>
  <si>
    <t>HG3</t>
  </si>
  <si>
    <t>SLaNSRV-3</t>
  </si>
  <si>
    <t>KT598228</t>
  </si>
  <si>
    <t>soybean leaf-associated negative-stranded RNA virus 3 1</t>
  </si>
  <si>
    <t>SsNSRV-4</t>
  </si>
  <si>
    <t>KP900930</t>
  </si>
  <si>
    <t>Sclerotinia sclerotiorum negative-stranded RNA virus 4 257</t>
  </si>
  <si>
    <t>SaNSRV-1</t>
  </si>
  <si>
    <t>KT598225</t>
  </si>
  <si>
    <t>soybean leaf-associated negative-stranded RNA virus 1 1</t>
  </si>
  <si>
    <t>Húběi rhabdo-like virus 4 arthropodmix13990</t>
  </si>
  <si>
    <t>SaNSRV-2</t>
  </si>
  <si>
    <t>KT598227</t>
  </si>
  <si>
    <t>soybean leaf-associated negative-stranded RNA virus 2 1</t>
  </si>
  <si>
    <t>SaNSRV-4</t>
  </si>
  <si>
    <t>KT598229</t>
  </si>
  <si>
    <t>soybean leaf-associated negative-stranded RNA virus 4 1</t>
  </si>
  <si>
    <t>SsNSRV-1</t>
  </si>
  <si>
    <t>KJ186782</t>
  </si>
  <si>
    <t>Sclerotinia sclerotiorum negative-stranded RNA virus 1 AH-98</t>
  </si>
  <si>
    <t>BhRLV-4</t>
  </si>
  <si>
    <t>KX884406</t>
  </si>
  <si>
    <t>Běihǎi rhabdo-like virus 4 BHJP58499</t>
  </si>
  <si>
    <t>BhRLV-5</t>
  </si>
  <si>
    <t>KX884407</t>
  </si>
  <si>
    <t>Běihǎi rhabdo-like virus 5 BHJP63888 </t>
  </si>
  <si>
    <t>BhRLV-3</t>
  </si>
  <si>
    <t>KX884408</t>
  </si>
  <si>
    <t>Běihǎi rhabdo-like virus 3 BHNXC39077</t>
  </si>
  <si>
    <t>BhRLV-6</t>
  </si>
  <si>
    <t>KX884405</t>
  </si>
  <si>
    <t>Běihǎi rhabdo-like virus 6 BHJJX49420</t>
  </si>
  <si>
    <t>WlCV-12</t>
  </si>
  <si>
    <t>KX884457</t>
  </si>
  <si>
    <t>Wēnlǐng crustacean virus 12 WLJQ47777</t>
  </si>
  <si>
    <t>WzCV-1</t>
  </si>
  <si>
    <t>KM817644</t>
  </si>
  <si>
    <t>Wēnzhōu crab virus 1</t>
  </si>
  <si>
    <t>SNVV</t>
  </si>
  <si>
    <t>KF530058</t>
  </si>
  <si>
    <t>BA-T</t>
  </si>
  <si>
    <t>ONCV</t>
  </si>
  <si>
    <t>KX257488</t>
  </si>
  <si>
    <t>Orinoco virus UW1</t>
  </si>
  <si>
    <t>WzTWV-1</t>
  </si>
  <si>
    <t>KX884436</t>
  </si>
  <si>
    <t>Wēnzhōu tapeworm virus 1 SGJSC14943 </t>
  </si>
  <si>
    <t>APMV-20</t>
  </si>
  <si>
    <t>MF033136</t>
  </si>
  <si>
    <t>avian paramyxovirus 20 Gull/Kazakhstan/2014</t>
  </si>
  <si>
    <t>Avian orthoavulavirus 21</t>
  </si>
  <si>
    <t>2019.014M; 2019.025M.zip</t>
  </si>
  <si>
    <t>APMV-21</t>
  </si>
  <si>
    <t>MF594598</t>
  </si>
  <si>
    <t>APMV/wild birds/Cheonsu1510/2015</t>
  </si>
  <si>
    <t>Avian orthovulavirus 21</t>
  </si>
  <si>
    <t>2019.014M.zip</t>
  </si>
  <si>
    <t>Synodus synodonvirus</t>
  </si>
  <si>
    <t>2019.016M.zip</t>
  </si>
  <si>
    <t>Oncorhynchus aquaparamyxovirus</t>
  </si>
  <si>
    <t>2019.025M.zip</t>
  </si>
  <si>
    <t>PSPV</t>
  </si>
  <si>
    <t>MH900517</t>
  </si>
  <si>
    <t>Trask river</t>
  </si>
  <si>
    <t>Salmo aquaparamyxovirus</t>
  </si>
  <si>
    <t>CedV</t>
  </si>
  <si>
    <t>JQ001776</t>
  </si>
  <si>
    <t>Cedar virus</t>
  </si>
  <si>
    <t>KV-GH-M74a</t>
  </si>
  <si>
    <t>HQ660129</t>
  </si>
  <si>
    <t>Kumasi virus</t>
  </si>
  <si>
    <t>MojV</t>
  </si>
  <si>
    <t>KF278639</t>
  </si>
  <si>
    <t>Mòjiāng virus</t>
  </si>
  <si>
    <t>BeiV</t>
  </si>
  <si>
    <t>NC007803</t>
  </si>
  <si>
    <t>Beilong virus</t>
  </si>
  <si>
    <t>JV</t>
  </si>
  <si>
    <t>NC007454</t>
  </si>
  <si>
    <t>J-virus</t>
  </si>
  <si>
    <t>MMLV-1</t>
  </si>
  <si>
    <t>MG573140</t>
  </si>
  <si>
    <t>Mount Mabu Lophuromys virus 1 MOZ135_1</t>
  </si>
  <si>
    <t>MMLV-2</t>
  </si>
  <si>
    <t>MG573141</t>
  </si>
  <si>
    <t>Mount Mabu Lophuromys virus 2 MOZ135_2</t>
  </si>
  <si>
    <t>Miniopteran jeilongvirus</t>
  </si>
  <si>
    <t>ShaV</t>
  </si>
  <si>
    <t>MG230624</t>
  </si>
  <si>
    <t>B16-40</t>
  </si>
  <si>
    <t>PMPV-1</t>
  </si>
  <si>
    <t>MG516455</t>
  </si>
  <si>
    <t>Pohorje Myodes paramyxovirus 1 TT02/05</t>
  </si>
  <si>
    <t>TaiV</t>
  </si>
  <si>
    <t>NC025355</t>
  </si>
  <si>
    <t>Tailam virus TL8K</t>
  </si>
  <si>
    <t>JQ411014</t>
  </si>
  <si>
    <t>feline morbillivirus 761U</t>
  </si>
  <si>
    <t>MossV</t>
  </si>
  <si>
    <t>NC005339</t>
  </si>
  <si>
    <t>Mossman virus</t>
  </si>
  <si>
    <t>BaV1</t>
  </si>
  <si>
    <t>MF943130</t>
  </si>
  <si>
    <t>bank vole virus 1 RP12</t>
  </si>
  <si>
    <t>NarV</t>
  </si>
  <si>
    <t>NC017937</t>
  </si>
  <si>
    <t>Nariva virus T&amp;T/1962</t>
  </si>
  <si>
    <t>TupV</t>
  </si>
  <si>
    <t>NC002199</t>
  </si>
  <si>
    <t>Tupaia paramyxovirus</t>
  </si>
  <si>
    <t>CPIV-3</t>
  </si>
  <si>
    <t>NC028362</t>
  </si>
  <si>
    <t>caprine parainfluenzavirus 3 JS2013</t>
  </si>
  <si>
    <t>Squirrel respirovirus</t>
  </si>
  <si>
    <t>2019.019M.zip</t>
  </si>
  <si>
    <t>GSqV</t>
  </si>
  <si>
    <t>LS992584</t>
  </si>
  <si>
    <t>GSqV/LKA/2009</t>
  </si>
  <si>
    <t>SalV</t>
  </si>
  <si>
    <t>NC025386</t>
  </si>
  <si>
    <t>Salem virus USA/1992</t>
  </si>
  <si>
    <t>Mammalian orthorubulavirus 6</t>
  </si>
  <si>
    <t>AlsV</t>
  </si>
  <si>
    <t>MH972568</t>
  </si>
  <si>
    <t>Hervey pararubulavirus</t>
  </si>
  <si>
    <t>HerV</t>
  </si>
  <si>
    <t>KU672593</t>
  </si>
  <si>
    <t>Cynoglossusvirus</t>
  </si>
  <si>
    <t>Cynoglossus cynoglossusvirus</t>
  </si>
  <si>
    <t>WTSPV</t>
  </si>
  <si>
    <t>MG600059</t>
  </si>
  <si>
    <t>XYHYC190750</t>
  </si>
  <si>
    <t>Hoplichthysvirus</t>
  </si>
  <si>
    <t>Hoplichthys hoplichthysvirus</t>
  </si>
  <si>
    <t>WHPV</t>
  </si>
  <si>
    <t>MG600062</t>
  </si>
  <si>
    <t>XYXMC57250</t>
  </si>
  <si>
    <t>Scoliodonvirus</t>
  </si>
  <si>
    <t>Scoliodon scoliodonvirus</t>
  </si>
  <si>
    <t>WPSSPV</t>
  </si>
  <si>
    <t>MG600057</t>
  </si>
  <si>
    <t>DWXCSG11347</t>
  </si>
  <si>
    <t>KC994644</t>
  </si>
  <si>
    <t>Arboretum virus strain Lo-121</t>
  </si>
  <si>
    <t>KX228198</t>
  </si>
  <si>
    <t>Balsa virus strain CoB 76</t>
  </si>
  <si>
    <t>KX228196</t>
  </si>
  <si>
    <t>Coot Bay virus strain EVG5-53</t>
  </si>
  <si>
    <t>Menghai almendravirus</t>
  </si>
  <si>
    <t>2019.033M.zip</t>
  </si>
  <si>
    <t>MRV</t>
  </si>
  <si>
    <t>KX758335</t>
  </si>
  <si>
    <t>KF534749</t>
  </si>
  <si>
    <t>Puerto Almendras virus strain Lo-39</t>
  </si>
  <si>
    <t>KX228197</t>
  </si>
  <si>
    <t>Rio Chico virus strain GAM-195</t>
  </si>
  <si>
    <t>XsNV-4</t>
  </si>
  <si>
    <t>KX884459</t>
  </si>
  <si>
    <t>Xingshan nematode virus 4 XSNXC32924</t>
  </si>
  <si>
    <t>XzNV-4</t>
  </si>
  <si>
    <t>KX884462</t>
  </si>
  <si>
    <t>Xinzhou nematode virus 4 XZSJSC65771</t>
  </si>
  <si>
    <t>Alphanucleorhabdovirus</t>
  </si>
  <si>
    <t>Eggplant mottled dwarf alphanucleorhabdovirus</t>
  </si>
  <si>
    <t>2019.031M.zip</t>
  </si>
  <si>
    <t>EMDV</t>
  </si>
  <si>
    <t>KJ082087</t>
  </si>
  <si>
    <t>Agapanthus</t>
  </si>
  <si>
    <t>Maize Iranian mosaic alphanucleorhabdovirus</t>
  </si>
  <si>
    <t>MIMV</t>
  </si>
  <si>
    <t>MF102281</t>
  </si>
  <si>
    <t>Fars</t>
  </si>
  <si>
    <t>Maize mosaic alphanucleorhabdovirus</t>
  </si>
  <si>
    <t>MMV</t>
  </si>
  <si>
    <t>AY618418</t>
  </si>
  <si>
    <t>Morogoro maize-associated alphanucleorhabdovirus</t>
  </si>
  <si>
    <t>MMaV</t>
  </si>
  <si>
    <t>MK063878</t>
  </si>
  <si>
    <t>16-0112</t>
  </si>
  <si>
    <t>Physostegia chlorotic mottle alphanucleorhabdovirus</t>
  </si>
  <si>
    <t>PhCMoV</t>
  </si>
  <si>
    <t>KX636164</t>
  </si>
  <si>
    <t>PV-1182</t>
  </si>
  <si>
    <t>Potato yellow dwarf alphanucleorhabdovirus</t>
  </si>
  <si>
    <t>PYDV</t>
  </si>
  <si>
    <t>GU734660</t>
  </si>
  <si>
    <t>SYDV</t>
  </si>
  <si>
    <t>Rice yellow stunt alphanucleorhabdovirus</t>
  </si>
  <si>
    <t>RYSV</t>
  </si>
  <si>
    <t>AB011257</t>
  </si>
  <si>
    <t>Taro vein chlorosis alphanucleorhabdovirus</t>
  </si>
  <si>
    <t>TaVCV</t>
  </si>
  <si>
    <t>AY674964</t>
  </si>
  <si>
    <t>Fiji</t>
  </si>
  <si>
    <t>Wheat yellow striate alphanucleorhabdovirus</t>
  </si>
  <si>
    <t>WYSV</t>
  </si>
  <si>
    <t>MG604920</t>
  </si>
  <si>
    <t>SX-HC</t>
  </si>
  <si>
    <t>Arurhavirus</t>
  </si>
  <si>
    <t>Aruac arurhavirus</t>
  </si>
  <si>
    <t>2019.006M.zip</t>
  </si>
  <si>
    <t>ARUV</t>
  </si>
  <si>
    <t>KM204987</t>
  </si>
  <si>
    <t>TRVL9223</t>
  </si>
  <si>
    <t>Inhangapi arurhavirus</t>
  </si>
  <si>
    <t>INHV</t>
  </si>
  <si>
    <t>KM204991</t>
  </si>
  <si>
    <t>BeAr177325</t>
  </si>
  <si>
    <t>Santabarbara arurhavirus</t>
  </si>
  <si>
    <t>SBAV</t>
  </si>
  <si>
    <t>KM350503</t>
  </si>
  <si>
    <t>AR775619</t>
  </si>
  <si>
    <t>Xiburema arurhavirus</t>
  </si>
  <si>
    <t>XIBV</t>
  </si>
  <si>
    <t>KJ636781</t>
  </si>
  <si>
    <t>BeAr362159</t>
  </si>
  <si>
    <t>Betanucleorhabdovirus</t>
  </si>
  <si>
    <t>Alfalfa betanucleorhabdovirus</t>
  </si>
  <si>
    <t>AaNV</t>
  </si>
  <si>
    <t>MG948563</t>
  </si>
  <si>
    <t>Stadl-Paura HZ10-01</t>
  </si>
  <si>
    <t>Blackcurrant betanucleorhabdovirus</t>
  </si>
  <si>
    <t>BCaRV</t>
  </si>
  <si>
    <t>MF543022</t>
  </si>
  <si>
    <t>Veloy</t>
  </si>
  <si>
    <t>Datura yellow vein betanucleorhabdovirus</t>
  </si>
  <si>
    <t>DYVV</t>
  </si>
  <si>
    <t>KM823531</t>
  </si>
  <si>
    <t>Sonchus yellow net betanucleorhabdovirus</t>
  </si>
  <si>
    <t>SYNV</t>
  </si>
  <si>
    <t>L32603</t>
  </si>
  <si>
    <t>Sowthistle yellow vein betanucleorhabdovirus</t>
  </si>
  <si>
    <t>SYVV</t>
  </si>
  <si>
    <t>Trefoil betanucleorhabdovirus</t>
  </si>
  <si>
    <t>BFTV-1</t>
  </si>
  <si>
    <t>MH614262</t>
  </si>
  <si>
    <t>CRogRV</t>
  </si>
  <si>
    <t>KY203909</t>
  </si>
  <si>
    <t>Caligus rogercresseyi rhabdovirus Ch01</t>
  </si>
  <si>
    <t>LSalRV-127</t>
  </si>
  <si>
    <t>KJ958536</t>
  </si>
  <si>
    <t>Lepeophtheirus salmonis rhabdovirus 127 LSRV127</t>
  </si>
  <si>
    <t>LSalRV-9</t>
  </si>
  <si>
    <t>KJ958535</t>
  </si>
  <si>
    <t>Lepeophtheirus salmonis rhabdovirus 9 LSRV9</t>
  </si>
  <si>
    <t>KM204994</t>
  </si>
  <si>
    <t>Curionopolis virus strain BeAr440009</t>
  </si>
  <si>
    <t>KM204995</t>
  </si>
  <si>
    <t>Iriri virus strain BeAr408005</t>
  </si>
  <si>
    <t>KM204984</t>
  </si>
  <si>
    <t>Itacaiunas virus strain BeAr427036</t>
  </si>
  <si>
    <t>KM205012</t>
  </si>
  <si>
    <t>Rochambeau virus strain CaAr16102</t>
  </si>
  <si>
    <t>ADV</t>
  </si>
  <si>
    <t>KP205452</t>
  </si>
  <si>
    <t>alfalfa dwarf virus</t>
  </si>
  <si>
    <t>BYSMV</t>
  </si>
  <si>
    <t>FJ665628</t>
  </si>
  <si>
    <t xml:space="preserve">barley yellow striate mosaic virus </t>
  </si>
  <si>
    <t>BNYV</t>
  </si>
  <si>
    <t xml:space="preserve">broccoli necrotic yellows virus </t>
  </si>
  <si>
    <t>Cabbage cytorhabdovirus</t>
  </si>
  <si>
    <t>2019.030M.zip</t>
  </si>
  <si>
    <t>CCyV-1</t>
  </si>
  <si>
    <t>KY810772</t>
  </si>
  <si>
    <t>FERA_050726</t>
  </si>
  <si>
    <t>KT381973</t>
  </si>
  <si>
    <t xml:space="preserve">Colocasia bobone disease- associated virus </t>
  </si>
  <si>
    <t>FLSV</t>
  </si>
  <si>
    <t xml:space="preserve">Festuca leaf streak virus </t>
  </si>
  <si>
    <t>LNYV</t>
  </si>
  <si>
    <t>AJ867584</t>
  </si>
  <si>
    <t xml:space="preserve">lettuce necrotic yellows virus </t>
  </si>
  <si>
    <t>LYMoV</t>
  </si>
  <si>
    <t>EF687738</t>
  </si>
  <si>
    <t xml:space="preserve">lettuce yellow mottle virus </t>
  </si>
  <si>
    <t>Maize yellow striate cytorhabdovirus</t>
  </si>
  <si>
    <t>MYSV</t>
  </si>
  <si>
    <t>KY884303</t>
  </si>
  <si>
    <t>Maize-associated cytorhabdovirus</t>
  </si>
  <si>
    <t>MaCV</t>
  </si>
  <si>
    <t>KY965147</t>
  </si>
  <si>
    <t>NCMV</t>
  </si>
  <si>
    <t>GU985153</t>
  </si>
  <si>
    <t xml:space="preserve">northern cereal mosaic virus </t>
  </si>
  <si>
    <t>Papaya cytorhabdovirus</t>
  </si>
  <si>
    <t>PpVE</t>
  </si>
  <si>
    <t>MH282832</t>
  </si>
  <si>
    <t>Los Rios_Ec</t>
  </si>
  <si>
    <t>Persimmon cytorhabdovirus</t>
  </si>
  <si>
    <t>PeVA</t>
  </si>
  <si>
    <t>AB735628</t>
  </si>
  <si>
    <t>Kaki13-14</t>
  </si>
  <si>
    <t>Raspberry vein chlorosis cytorhabdovirus</t>
  </si>
  <si>
    <t>RVCV</t>
  </si>
  <si>
    <t>MK240091</t>
  </si>
  <si>
    <t>Hutton_1</t>
  </si>
  <si>
    <t>Rice stripe mosaic cytorhabdovirus</t>
  </si>
  <si>
    <t>RSMV</t>
  </si>
  <si>
    <t>KX525586</t>
  </si>
  <si>
    <t>GD-LD</t>
  </si>
  <si>
    <t>SonV</t>
  </si>
  <si>
    <t xml:space="preserve">sonchus virus </t>
  </si>
  <si>
    <t>SCV</t>
  </si>
  <si>
    <t xml:space="preserve">strawberry crinkle virus </t>
  </si>
  <si>
    <t>Tomato yellow mottle-associated cytorhabdovirus</t>
  </si>
  <si>
    <t>TYMaV</t>
  </si>
  <si>
    <t>KY075646</t>
  </si>
  <si>
    <t>WASMV</t>
  </si>
  <si>
    <t xml:space="preserve">wheat American striate mosaic virus </t>
  </si>
  <si>
    <t>Wuhan 4 insect cytorhabdovirus</t>
  </si>
  <si>
    <t>WuIV-4</t>
  </si>
  <si>
    <t>KM817650</t>
  </si>
  <si>
    <t>YCYC03</t>
  </si>
  <si>
    <t>Wuhan 5 insect cytorhabdovirus</t>
  </si>
  <si>
    <t>WuIV-5</t>
  </si>
  <si>
    <t>KM817651</t>
  </si>
  <si>
    <t>YCYC02</t>
  </si>
  <si>
    <t>Wuhan 6 insect cytorhabdovirus</t>
  </si>
  <si>
    <t>WuIV-6</t>
  </si>
  <si>
    <t>KM817652</t>
  </si>
  <si>
    <t>SXCC01-1</t>
  </si>
  <si>
    <t>Yerba mate chlorosis-associated cytorhabdovirus</t>
  </si>
  <si>
    <t>YmCaV</t>
  </si>
  <si>
    <t>KY366322</t>
  </si>
  <si>
    <t>Montecarlo</t>
  </si>
  <si>
    <t>CiCSV</t>
  </si>
  <si>
    <t>S: KY700685, L: KY700686</t>
  </si>
  <si>
    <t>citrus chlorotic spot virus Trs1</t>
  </si>
  <si>
    <t>CiLV-N</t>
  </si>
  <si>
    <t>S: KY751404, L: KY751405</t>
  </si>
  <si>
    <t>citrus leprosis virus N MAS1</t>
  </si>
  <si>
    <t>ClCSV</t>
  </si>
  <si>
    <t>S: MG938506, L: MG938507</t>
  </si>
  <si>
    <t>Clerodendrum chlorotic spot virus Prb1</t>
  </si>
  <si>
    <t>CoRSV</t>
  </si>
  <si>
    <t>KF812525 (RNA1), KF812526 (RNA2)</t>
  </si>
  <si>
    <t>coffee ringspot virus isolate Lavras</t>
  </si>
  <si>
    <t>OFV</t>
  </si>
  <si>
    <t>AB244417 (RNA1), AB244418 (RNA2)</t>
  </si>
  <si>
    <t>orchid fleck virus isolate So</t>
  </si>
  <si>
    <t>ARV</t>
  </si>
  <si>
    <t>JN935380</t>
  </si>
  <si>
    <t xml:space="preserve">Adelaide River virus </t>
  </si>
  <si>
    <t>BRMV</t>
  </si>
  <si>
    <t>HM461974</t>
  </si>
  <si>
    <t xml:space="preserve">Berrimah virus </t>
  </si>
  <si>
    <t>BEFV</t>
  </si>
  <si>
    <t>AF234533</t>
  </si>
  <si>
    <t xml:space="preserve">bovine ephemeral fever virus </t>
  </si>
  <si>
    <t>JQ941664</t>
  </si>
  <si>
    <t>Kimberley virus (CS368)</t>
  </si>
  <si>
    <t>KM085029</t>
  </si>
  <si>
    <t>Koolpinyah virus (DPP833)</t>
  </si>
  <si>
    <t>KOTV</t>
  </si>
  <si>
    <t>HM474855</t>
  </si>
  <si>
    <t xml:space="preserve">kotonkan virus </t>
  </si>
  <si>
    <t>OBOV</t>
  </si>
  <si>
    <t>HM856902</t>
  </si>
  <si>
    <t xml:space="preserve">Obodhiang virus </t>
  </si>
  <si>
    <t>KM085030</t>
  </si>
  <si>
    <t>Yata virus (DakAr B2181)</t>
  </si>
  <si>
    <t>Gammanucleorhabdovirus</t>
  </si>
  <si>
    <t>Maize fine streak gammanucleorhabdovirus</t>
  </si>
  <si>
    <t>MFSV</t>
  </si>
  <si>
    <t>AY618417</t>
  </si>
  <si>
    <t>FLAV</t>
  </si>
  <si>
    <t>KM205002</t>
  </si>
  <si>
    <t xml:space="preserve">Flanders virus </t>
  </si>
  <si>
    <t>KM205022</t>
  </si>
  <si>
    <t>Gray Lodge virus BFN3187</t>
  </si>
  <si>
    <t>KM205011</t>
  </si>
  <si>
    <t>Hart Park virus AR7C</t>
  </si>
  <si>
    <t>Holmes hapavirus</t>
  </si>
  <si>
    <t>2019.003M.zip</t>
  </si>
  <si>
    <t>HOJV</t>
  </si>
  <si>
    <t>KY421919</t>
  </si>
  <si>
    <t>DPP1163</t>
  </si>
  <si>
    <t>KM205016</t>
  </si>
  <si>
    <t>Joinjakaka virus AusMK7937</t>
  </si>
  <si>
    <t>KM204989</t>
  </si>
  <si>
    <t>Kamese virus MP6186</t>
  </si>
  <si>
    <t>KM204986</t>
  </si>
  <si>
    <t>La Joya virus J-134</t>
  </si>
  <si>
    <t>KM205010</t>
  </si>
  <si>
    <t>Landjia viruS DakAnB769d</t>
  </si>
  <si>
    <t>KM205008</t>
  </si>
  <si>
    <t>Manitoba virus Mn936-77</t>
  </si>
  <si>
    <t>KM205005</t>
  </si>
  <si>
    <t>Marco virus BeAn40290</t>
  </si>
  <si>
    <t>KM205014</t>
  </si>
  <si>
    <t>Mosqueiro virus BeAr185559</t>
  </si>
  <si>
    <t>KM204993</t>
  </si>
  <si>
    <t>Mossuril virus SAAr1995</t>
  </si>
  <si>
    <t>NGAV</t>
  </si>
  <si>
    <t>FJ715959</t>
  </si>
  <si>
    <t xml:space="preserve">Ngaingan virus </t>
  </si>
  <si>
    <t>KM204988</t>
  </si>
  <si>
    <t>Ord River virus OR1023</t>
  </si>
  <si>
    <t>KM205025</t>
  </si>
  <si>
    <t>Parry Creek virus OR189</t>
  </si>
  <si>
    <t>EF612701</t>
  </si>
  <si>
    <t xml:space="preserve">Wongabel virus </t>
  </si>
  <si>
    <t>KM204983</t>
  </si>
  <si>
    <t>Barur virus 6235</t>
  </si>
  <si>
    <t>KC676792</t>
  </si>
  <si>
    <t>Fikirini rhabdovirus KEN352</t>
  </si>
  <si>
    <t>KM205001</t>
  </si>
  <si>
    <t>Fukuoka virus FUK-11</t>
  </si>
  <si>
    <t>KM204992</t>
  </si>
  <si>
    <t>Kern Canyon virus M03790</t>
  </si>
  <si>
    <t>KM205021</t>
  </si>
  <si>
    <t>Keuraliba virus Dak AnD5314</t>
  </si>
  <si>
    <t>KC984953</t>
  </si>
  <si>
    <t>Kolente virus DakArK7292</t>
  </si>
  <si>
    <t>KJ179955</t>
  </si>
  <si>
    <t>Kumasi rhabdovirus M35</t>
  </si>
  <si>
    <t>KM205006</t>
  </si>
  <si>
    <t>Le Dantec virus DakHD763</t>
  </si>
  <si>
    <t>KM205026</t>
  </si>
  <si>
    <t>Mount Elgon bat virus BP846</t>
  </si>
  <si>
    <t>AB609604</t>
  </si>
  <si>
    <t>Nishimuro virus</t>
  </si>
  <si>
    <t>KM205017</t>
  </si>
  <si>
    <t>Nkolbisson virus YM 31-65</t>
  </si>
  <si>
    <t>KM204998</t>
  </si>
  <si>
    <t>Oita virus 296-1972</t>
  </si>
  <si>
    <t>VAPV</t>
  </si>
  <si>
    <t>MG021441</t>
  </si>
  <si>
    <t>Vaprio virus VAPV_2016</t>
  </si>
  <si>
    <t>KM817654</t>
  </si>
  <si>
    <t>Wuhan louse fly virus 5 BFJSC-5</t>
  </si>
  <si>
    <t>KM817662</t>
  </si>
  <si>
    <t>Yongjia tick virus 2 YJ1-2</t>
  </si>
  <si>
    <t>ARAV</t>
  </si>
  <si>
    <t>EF614259</t>
  </si>
  <si>
    <t xml:space="preserve">Aravan virus </t>
  </si>
  <si>
    <t>ABLV</t>
  </si>
  <si>
    <t>AF081020</t>
  </si>
  <si>
    <t xml:space="preserve">Australian bat lyssavirus </t>
  </si>
  <si>
    <t>BBLV</t>
  </si>
  <si>
    <t>JF311903</t>
  </si>
  <si>
    <t xml:space="preserve">Bokeloh bat lyssavirus </t>
  </si>
  <si>
    <t>DUVV</t>
  </si>
  <si>
    <t>EU293119</t>
  </si>
  <si>
    <t xml:space="preserve">Duvenhage virus </t>
  </si>
  <si>
    <t>EBLV-1</t>
  </si>
  <si>
    <t>EF157976</t>
  </si>
  <si>
    <t>European bat lyssavirus 1</t>
  </si>
  <si>
    <t>EBLV-2</t>
  </si>
  <si>
    <t>EF157977</t>
  </si>
  <si>
    <t>European bat lyssavirus 2</t>
  </si>
  <si>
    <t>IKOV</t>
  </si>
  <si>
    <t>JX193798</t>
  </si>
  <si>
    <t xml:space="preserve">Ikoma virus </t>
  </si>
  <si>
    <t>IRKV</t>
  </si>
  <si>
    <t>EF614260</t>
  </si>
  <si>
    <t xml:space="preserve">Irkut virus </t>
  </si>
  <si>
    <t>KHUV</t>
  </si>
  <si>
    <t>EF614261</t>
  </si>
  <si>
    <t xml:space="preserve">Khujand virus </t>
  </si>
  <si>
    <t>LBV</t>
  </si>
  <si>
    <t>EU293108</t>
  </si>
  <si>
    <t xml:space="preserve">Lagos bat virus </t>
  </si>
  <si>
    <t>MOKV</t>
  </si>
  <si>
    <t>Y09762</t>
  </si>
  <si>
    <t xml:space="preserve">Mokola virus </t>
  </si>
  <si>
    <t>RABV</t>
  </si>
  <si>
    <t>M13215</t>
  </si>
  <si>
    <t xml:space="preserve">rabies virus </t>
  </si>
  <si>
    <t>SHIBV</t>
  </si>
  <si>
    <t>GU170201</t>
  </si>
  <si>
    <t xml:space="preserve">Shimoni bat virus </t>
  </si>
  <si>
    <t>Taiwan bat lyssavirus</t>
  </si>
  <si>
    <t>2019.001M.zip</t>
  </si>
  <si>
    <t>TWBLV</t>
  </si>
  <si>
    <t>MF472710</t>
  </si>
  <si>
    <t>TN/2016</t>
  </si>
  <si>
    <t>WCBV</t>
  </si>
  <si>
    <t>EF614258</t>
  </si>
  <si>
    <t xml:space="preserve">West Caucasian bat virus </t>
  </si>
  <si>
    <t>Mousrhavirus</t>
  </si>
  <si>
    <t>Moussa mousrhavirus</t>
  </si>
  <si>
    <t>2019.012M.zip</t>
  </si>
  <si>
    <t>MOUV</t>
  </si>
  <si>
    <t>FJ985748</t>
  </si>
  <si>
    <t>C23</t>
  </si>
  <si>
    <t>HIRV</t>
  </si>
  <si>
    <t>AF104985</t>
  </si>
  <si>
    <t xml:space="preserve">Hirame rhabdovirus </t>
  </si>
  <si>
    <t>SHRV</t>
  </si>
  <si>
    <t>AF147498</t>
  </si>
  <si>
    <t xml:space="preserve">snakehead rhabdovirus </t>
  </si>
  <si>
    <t>Ohlsrhavirus</t>
  </si>
  <si>
    <t>Culex ohlsrhavirus</t>
  </si>
  <si>
    <t>2019.032M.zip</t>
  </si>
  <si>
    <t>CRLV</t>
  </si>
  <si>
    <t>MF176333</t>
  </si>
  <si>
    <t>mosWSB71420</t>
  </si>
  <si>
    <t>Northcreek ohlsrhavirus</t>
  </si>
  <si>
    <t>NORCV</t>
  </si>
  <si>
    <t>KF360970; KF360971; KF360972; KF360973</t>
  </si>
  <si>
    <t>Ohlsdorf ohlsrhavirus</t>
  </si>
  <si>
    <t>OHLDV</t>
  </si>
  <si>
    <t>KY768856</t>
  </si>
  <si>
    <t>Germany/2012/Oc.cantans</t>
  </si>
  <si>
    <t>Riverside ohlsrhavirus</t>
  </si>
  <si>
    <t>RISV</t>
  </si>
  <si>
    <t>KU248085</t>
  </si>
  <si>
    <t>Drava-1</t>
  </si>
  <si>
    <t>Tongilchon ohlsrhavirus</t>
  </si>
  <si>
    <t>TCHV-1</t>
  </si>
  <si>
    <t>KU095840</t>
  </si>
  <si>
    <t>A12.2676/ROK/2012</t>
  </si>
  <si>
    <t>EVEX, EVA</t>
  </si>
  <si>
    <t>X827265</t>
  </si>
  <si>
    <t xml:space="preserve">eel virus European X, eel virus American </t>
  </si>
  <si>
    <t>PRV</t>
  </si>
  <si>
    <t>JX679246</t>
  </si>
  <si>
    <t xml:space="preserve">perch rhabdovirus </t>
  </si>
  <si>
    <t>LTRV</t>
  </si>
  <si>
    <t>AF434992</t>
  </si>
  <si>
    <t xml:space="preserve">lake trout rhabdovirus </t>
  </si>
  <si>
    <t>GQ375258</t>
  </si>
  <si>
    <t>GQ410979</t>
  </si>
  <si>
    <t>SVCV</t>
  </si>
  <si>
    <t>U18101</t>
  </si>
  <si>
    <t xml:space="preserve">spring viremia of carp virus </t>
  </si>
  <si>
    <t>PFRV, GrCRV, TenRV</t>
  </si>
  <si>
    <t>FJ872827, KC113518, KC113517</t>
  </si>
  <si>
    <t xml:space="preserve">pike fry rhabdovirus, grass carp virus, Tench rhabdovirus </t>
  </si>
  <si>
    <t>KJ399977</t>
  </si>
  <si>
    <t>Almpiwar virus MRM4059</t>
  </si>
  <si>
    <t>KM205000</t>
  </si>
  <si>
    <t>Chaco virus BeAn42217</t>
  </si>
  <si>
    <t>Charleville sripuvirus</t>
  </si>
  <si>
    <t>2019.013M.zip</t>
  </si>
  <si>
    <t>CHVV</t>
  </si>
  <si>
    <t>MH899109</t>
  </si>
  <si>
    <t>Ch9824</t>
  </si>
  <si>
    <t>Cuiaba sripuvirus</t>
  </si>
  <si>
    <t>CUIV</t>
  </si>
  <si>
    <t>MH899110</t>
  </si>
  <si>
    <t>BeAn 227841</t>
  </si>
  <si>
    <t>Hainan sripuvirus</t>
  </si>
  <si>
    <t>HnBSTRV</t>
  </si>
  <si>
    <t>MG600016</t>
  </si>
  <si>
    <t>HKCCG762</t>
  </si>
  <si>
    <t>KC585008</t>
  </si>
  <si>
    <t>Niakha virus DakArD88909</t>
  </si>
  <si>
    <t>KM205004</t>
  </si>
  <si>
    <t>Sena Madureira virus BeAn303197</t>
  </si>
  <si>
    <t>KM205023</t>
  </si>
  <si>
    <t>Sripur virus 733646</t>
  </si>
  <si>
    <t>Sunrhavirus</t>
  </si>
  <si>
    <t>Garba sunrhavirus</t>
  </si>
  <si>
    <t>2019.004M.zip</t>
  </si>
  <si>
    <t>GARV</t>
  </si>
  <si>
    <t>KM204982</t>
  </si>
  <si>
    <t>DakAnB439a</t>
  </si>
  <si>
    <t>Harrison sunrhavirus</t>
  </si>
  <si>
    <t>HARDV</t>
  </si>
  <si>
    <t>KJ432573</t>
  </si>
  <si>
    <t>CS75</t>
  </si>
  <si>
    <t>Kwatta sunrhavirus</t>
  </si>
  <si>
    <t>KWAV</t>
  </si>
  <si>
    <t>KM204985</t>
  </si>
  <si>
    <t>A57</t>
  </si>
  <si>
    <t>Oakvale sunrhavirus</t>
  </si>
  <si>
    <t>OVV</t>
  </si>
  <si>
    <t>JF705876</t>
  </si>
  <si>
    <t>CS1342</t>
  </si>
  <si>
    <t>Sunguru sunrhavirus</t>
  </si>
  <si>
    <t>SUNV</t>
  </si>
  <si>
    <t>KF395226</t>
  </si>
  <si>
    <t>Ug41</t>
  </si>
  <si>
    <t>Walkabout sunrhavirus</t>
  </si>
  <si>
    <t>WACV</t>
  </si>
  <si>
    <t>KJ432572</t>
  </si>
  <si>
    <t>CS1056</t>
  </si>
  <si>
    <t>JX297815</t>
  </si>
  <si>
    <t>Bas-Congo virus</t>
  </si>
  <si>
    <t>CPV</t>
  </si>
  <si>
    <t>GQ294473</t>
  </si>
  <si>
    <t xml:space="preserve">Coastal Plains virus </t>
  </si>
  <si>
    <t>KP324827</t>
  </si>
  <si>
    <t>Ekpoma virus 1</t>
  </si>
  <si>
    <t>KP324828</t>
  </si>
  <si>
    <t>Ekpoma virus 2</t>
  </si>
  <si>
    <t>KM204997</t>
  </si>
  <si>
    <t>Sweetwater Branch virus UF-11</t>
  </si>
  <si>
    <t>BAV, TIBV</t>
  </si>
  <si>
    <t>KP688373, GQ294472</t>
  </si>
  <si>
    <t xml:space="preserve">Bivens Arm virus , Tibrogargan virus </t>
  </si>
  <si>
    <t>DURV</t>
  </si>
  <si>
    <t>FJ952155</t>
  </si>
  <si>
    <t xml:space="preserve">Durham virus </t>
  </si>
  <si>
    <t>KM204999</t>
  </si>
  <si>
    <t>Klamath virus M-1056</t>
  </si>
  <si>
    <t>TUPV</t>
  </si>
  <si>
    <t>AY840978</t>
  </si>
  <si>
    <t xml:space="preserve">Tupaia virus </t>
  </si>
  <si>
    <t>LBVaV</t>
  </si>
  <si>
    <t>AB075039, AB114138</t>
  </si>
  <si>
    <t>lettuce big vein-associated virus (LBVaV)</t>
  </si>
  <si>
    <t>VSAV</t>
  </si>
  <si>
    <t>EU373658</t>
  </si>
  <si>
    <t xml:space="preserve">vesicular stomatitis Alagoas virus </t>
  </si>
  <si>
    <t>JX569193</t>
  </si>
  <si>
    <t>American bat vesiculovirus strain TFFN-2013</t>
  </si>
  <si>
    <t>CJSV</t>
  </si>
  <si>
    <t>KM205015</t>
  </si>
  <si>
    <t xml:space="preserve">Carajas virus </t>
  </si>
  <si>
    <t>CHPV</t>
  </si>
  <si>
    <t>GU212856</t>
  </si>
  <si>
    <t xml:space="preserve">Chandipura virus </t>
  </si>
  <si>
    <t>COCV</t>
  </si>
  <si>
    <t>EU373657</t>
  </si>
  <si>
    <t xml:space="preserve">Cocal virus </t>
  </si>
  <si>
    <t>VSIV</t>
  </si>
  <si>
    <t>AF473864</t>
  </si>
  <si>
    <t xml:space="preserve">vesicular stomatitis Indiana virus </t>
  </si>
  <si>
    <t>ISFV</t>
  </si>
  <si>
    <t>AJ810084</t>
  </si>
  <si>
    <t xml:space="preserve">Isfahan virus </t>
  </si>
  <si>
    <t>KM204996</t>
  </si>
  <si>
    <t>Jurona virus strain BeAr 40578</t>
  </si>
  <si>
    <t>KC412247</t>
  </si>
  <si>
    <t>Malpais Spring virus strain 85-488NM</t>
  </si>
  <si>
    <t>MARAV</t>
  </si>
  <si>
    <t>HQ660076</t>
  </si>
  <si>
    <t xml:space="preserve">Maraba virus </t>
  </si>
  <si>
    <t>KM205007</t>
  </si>
  <si>
    <t>Morreton virus strain CoAr191048</t>
  </si>
  <si>
    <t>VSNJV</t>
  </si>
  <si>
    <t>JX121110</t>
  </si>
  <si>
    <t xml:space="preserve">vesicular stomatitis New Jersey virus </t>
  </si>
  <si>
    <t>HM566195</t>
  </si>
  <si>
    <t>Perinet virus strain DakArMg802</t>
  </si>
  <si>
    <t>PIRYV</t>
  </si>
  <si>
    <t xml:space="preserve">Piry virus </t>
  </si>
  <si>
    <t>KM205024</t>
  </si>
  <si>
    <t>Radi virus 2 strain ISS Phl-166</t>
  </si>
  <si>
    <t>JF911700</t>
  </si>
  <si>
    <t>Yug Bogdanovac virus strain YU4-76</t>
  </si>
  <si>
    <t>JN192445</t>
  </si>
  <si>
    <t>Sunshine Coast virus (formerly Sunshine virus)</t>
  </si>
  <si>
    <t>BLHV</t>
  </si>
  <si>
    <t>KX148552</t>
  </si>
  <si>
    <t>Bolahun virus</t>
  </si>
  <si>
    <t>HbDV-11</t>
  </si>
  <si>
    <t>KX884430</t>
  </si>
  <si>
    <t>Húběi diptera virus 11 SCM51501 </t>
  </si>
  <si>
    <t>DuniV-1</t>
  </si>
  <si>
    <t>KR822819</t>
  </si>
  <si>
    <t>Drosophila unispina virus 1</t>
  </si>
  <si>
    <t>HbRLV-7</t>
  </si>
  <si>
    <t>KX884428</t>
  </si>
  <si>
    <t>Húběi rhabdo-like virus 7 QTM26925</t>
  </si>
  <si>
    <t>HbOV-5</t>
  </si>
  <si>
    <t>KX884463</t>
  </si>
  <si>
    <t>Húběi orthoptera virus 5 ZCM94262</t>
  </si>
  <si>
    <t>SgFV-2</t>
  </si>
  <si>
    <t>KM817638</t>
  </si>
  <si>
    <t>Shuāngào fly virus 2 QSA05</t>
  </si>
  <si>
    <t>XcMV</t>
  </si>
  <si>
    <t>KM817661</t>
  </si>
  <si>
    <t>Xīnchéng mosquito virus</t>
  </si>
  <si>
    <t>BhSCV-3</t>
  </si>
  <si>
    <t>KX884032; KX884033</t>
  </si>
  <si>
    <t>Beihai sesarmid crab virus 3 SCJXSX39048</t>
  </si>
  <si>
    <t>ShYLV-1</t>
  </si>
  <si>
    <t>KX884034; KX884035</t>
  </si>
  <si>
    <t>Shahé yuèvirus-like virus 1 SHWC0209c11789</t>
  </si>
  <si>
    <t>ssRNA(+/-)</t>
  </si>
  <si>
    <t>WlFV-2</t>
  </si>
  <si>
    <t>gb MG599866.1 (L); gb MG599867.1 (S); gb MG599868.1 (M)</t>
  </si>
  <si>
    <t>Wēnlǐngfrogfish arenavirus 2 XYHYG24857</t>
  </si>
  <si>
    <t>WlFV-1</t>
  </si>
  <si>
    <t>gb MG599863.1 (L); gb MG599864.1 (S); gb MG599865.1 (M)</t>
  </si>
  <si>
    <t>Wēnlǐng frogfish arenavirus 1 XYHYG11303</t>
  </si>
  <si>
    <t>Muikkunen hartmanivirus</t>
  </si>
  <si>
    <t>2019.008M.zip</t>
  </si>
  <si>
    <t>DaMV-1</t>
  </si>
  <si>
    <t>S: MH483026, L: MH778629</t>
  </si>
  <si>
    <t>F18-5</t>
  </si>
  <si>
    <t>Schoolhouse hartmanivirus</t>
  </si>
  <si>
    <t>OScV-1</t>
  </si>
  <si>
    <t>S: MH483024, L: MH483025</t>
  </si>
  <si>
    <t>F17-0012-1 and -3</t>
  </si>
  <si>
    <t>Zurich hartmanivirus</t>
  </si>
  <si>
    <t>VPZV-1</t>
  </si>
  <si>
    <t>S: MH483031, L: MH483032</t>
  </si>
  <si>
    <t>S14-369 to -79 pool</t>
  </si>
  <si>
    <t>Alxa mammarenavirus</t>
  </si>
  <si>
    <t>2019.020M.zip</t>
  </si>
  <si>
    <t>ALXV</t>
  </si>
  <si>
    <t>S: KY432893; L: KY432892</t>
  </si>
  <si>
    <t>RtDs-AreV-IM2014</t>
  </si>
  <si>
    <t>Chevrier mammarenavirus</t>
  </si>
  <si>
    <t>2019.009M.zip</t>
  </si>
  <si>
    <t>LIJV</t>
  </si>
  <si>
    <t>S: MF414202, L: MF414201</t>
  </si>
  <si>
    <t>KS4</t>
  </si>
  <si>
    <t>GAIV</t>
  </si>
  <si>
    <t>S: KJ855308, L: KJ855307</t>
  </si>
  <si>
    <t>Gairo virus isolate TZ-27421</t>
  </si>
  <si>
    <t>L:KC669693,S:KC669698</t>
  </si>
  <si>
    <t>Loei River virus, isolate R5074</t>
  </si>
  <si>
    <t>L segment: AB693151, S segment: AB693150</t>
  </si>
  <si>
    <t>Lunk virus, isolate NKS-1</t>
  </si>
  <si>
    <t>MRLV</t>
  </si>
  <si>
    <t>S: KM272987, L: KP867641</t>
  </si>
  <si>
    <t>Mariental virus isolate N27</t>
  </si>
  <si>
    <t>L segment: GU078661, S segment: GU078660</t>
  </si>
  <si>
    <t>Merino Walk virus, isolate Merino Walk</t>
  </si>
  <si>
    <t>OKAV</t>
  </si>
  <si>
    <t>S: KM272988, L: KP867642</t>
  </si>
  <si>
    <t>Okahandja virus isolate N73</t>
  </si>
  <si>
    <t>Planalto mammarenavirus</t>
  </si>
  <si>
    <t>2019.010M.zip</t>
  </si>
  <si>
    <t>APOV</t>
  </si>
  <si>
    <t>S: MF317490, L: MF317491</t>
  </si>
  <si>
    <t>LBCE 12071</t>
  </si>
  <si>
    <t>L:AB972429,S:AB972428</t>
  </si>
  <si>
    <t>Solvezi virus 13ZR68</t>
  </si>
  <si>
    <t>WENV</t>
  </si>
  <si>
    <t>S: KJ909794, L: KJ909795</t>
  </si>
  <si>
    <t>Wēnzhōu virus isolate Wencheng Rn-242</t>
  </si>
  <si>
    <t>Xapuri mammarenavirus</t>
  </si>
  <si>
    <t>2019.005M.zip</t>
  </si>
  <si>
    <t>XAPV</t>
  </si>
  <si>
    <t>S: MG976578, L: MG976577</t>
  </si>
  <si>
    <t>LBCE 19881</t>
  </si>
  <si>
    <t>JQ717262, JQ717261</t>
  </si>
  <si>
    <t>California Academy of Sciences virus</t>
  </si>
  <si>
    <t>JQ717263, JQ717264</t>
  </si>
  <si>
    <t>Golden Gate virus</t>
  </si>
  <si>
    <t>KC508669, KC508670</t>
  </si>
  <si>
    <t>Boa AV NL B3</t>
  </si>
  <si>
    <t>WlCV-9</t>
  </si>
  <si>
    <t>L: KX884856; M: KX884857; S: KX884858</t>
  </si>
  <si>
    <t>Wenling crustacean virus 9 WLJQ100911</t>
  </si>
  <si>
    <t>RNA1:KT861481,RNA2:KT861482,RNA3:KT861483,RNA4:KT861484,RNA5:KT861485</t>
  </si>
  <si>
    <t>Actinidia chlorotic ringspot associated virus HN-6</t>
  </si>
  <si>
    <t>Blackberry leaf mottle associated emaravirus</t>
  </si>
  <si>
    <t>2019.010P.zip</t>
  </si>
  <si>
    <t>BLMaV</t>
  </si>
  <si>
    <t>KY056657-KY056661</t>
  </si>
  <si>
    <t>Arkansas</t>
  </si>
  <si>
    <t>RNA1:HF912243,RNA2:HF912244,RNA3:HF912245,RNA4:HF912246,RNA5:HG939489,RNA6:HG939490</t>
  </si>
  <si>
    <t>pigeonpea sterility mosaic virus isolate ICP8863</t>
  </si>
  <si>
    <t>Pistacia emaravirus B</t>
  </si>
  <si>
    <t>2019.011P.zip</t>
  </si>
  <si>
    <t>PiVB</t>
  </si>
  <si>
    <t>MH727572-MH727579</t>
  </si>
  <si>
    <t>Isolate 55</t>
  </si>
  <si>
    <t>RNA1:JF795479,RNA2:JF795480,RNA3:JF795481,RNA4:JF795482,RNA5:KU904300</t>
  </si>
  <si>
    <t>redbud yellow ringspot virus isolate Arkansas</t>
  </si>
  <si>
    <t>WEMBV</t>
  </si>
  <si>
    <t>MG599943</t>
  </si>
  <si>
    <t>Wēnlǐng minipizza batfish virus XQTMS16810</t>
  </si>
  <si>
    <t>WEYGV</t>
  </si>
  <si>
    <t>MG599946</t>
  </si>
  <si>
    <t>Wēnlǐng yellow goosefish virus XQTMS34106</t>
  </si>
  <si>
    <t>WERSV</t>
  </si>
  <si>
    <t>MG599949</t>
  </si>
  <si>
    <t>Wēnlǐng red spikefish virus XTXMS70955</t>
  </si>
  <si>
    <t>WEHV</t>
  </si>
  <si>
    <t>MG599952</t>
  </si>
  <si>
    <t>Wēnlǐng hagfish virus DHMMS25300</t>
  </si>
  <si>
    <t>Brno loanvirus</t>
  </si>
  <si>
    <t>2019.017M.zip</t>
  </si>
  <si>
    <t>BRNV</t>
  </si>
  <si>
    <t>KX845678, KX845679, KX845680</t>
  </si>
  <si>
    <t>7/2012/CZE</t>
  </si>
  <si>
    <t>LQUV</t>
  </si>
  <si>
    <t>M: JX465402; S: JX465422</t>
  </si>
  <si>
    <t>Lóngquán virus Longquan- Rs-32</t>
  </si>
  <si>
    <t>LAIV</t>
  </si>
  <si>
    <t>L: KM102249; M: KM102248; S: KM102247</t>
  </si>
  <si>
    <t>Láibin virus BT20</t>
  </si>
  <si>
    <t>NVAV</t>
  </si>
  <si>
    <t>L: KR072623; M: KR072622; S: KR072621</t>
  </si>
  <si>
    <t>Nova virus 3483 (Te34)</t>
  </si>
  <si>
    <t>QZNV</t>
  </si>
  <si>
    <t>L: KU950715; M: KU950714; S: KU950713</t>
  </si>
  <si>
    <t>Quezon virus MT1720/1657</t>
  </si>
  <si>
    <t>M:EU929075,S:EU929072</t>
  </si>
  <si>
    <t>Asama virus N10</t>
  </si>
  <si>
    <t>L:KC880347,M:KC880344,S:KC880341</t>
  </si>
  <si>
    <t>Asikkala virus CZ/Beskydy/412/2010/Sm</t>
  </si>
  <si>
    <t>L:KC631784,M:KC631783,S:KC631782</t>
  </si>
  <si>
    <t>Bowé virus VN1512</t>
  </si>
  <si>
    <t>L:KX551962,M:KX551961,S:KX551960</t>
  </si>
  <si>
    <t>Bruges virus BE/Vieux-Genappe/TE/2013/1</t>
  </si>
  <si>
    <t>L:EF543525,M:EF543526,S:EF543524</t>
  </si>
  <si>
    <t>Cao Bang virus 3</t>
  </si>
  <si>
    <t>M:DQ285047,S:DQ285046</t>
  </si>
  <si>
    <t>Choclo virus MSB96073</t>
  </si>
  <si>
    <t>M:JF796036,S:JF796022</t>
  </si>
  <si>
    <t>Dabieshan virus Yongjia-Nc-58</t>
  </si>
  <si>
    <t>L:KT899703,M:KT899702,S:KT899701</t>
  </si>
  <si>
    <t>Fugong virus FG10</t>
  </si>
  <si>
    <t>M:EU072488,S:EU072480</t>
  </si>
  <si>
    <t>Fusong virus Fusong-Mf-682</t>
  </si>
  <si>
    <t>L:HQ834697,M:HQ834696,S:HQ834695</t>
  </si>
  <si>
    <t>Jeju virus 10-11</t>
  </si>
  <si>
    <t>L:KJ857320,M:KJ857337,S:KJ857341</t>
  </si>
  <si>
    <t>Kenkeme virus Fuyuan-Sr-326</t>
  </si>
  <si>
    <t>L:HQ404253,M:HM756287,S:HM756286</t>
  </si>
  <si>
    <t>Luxi virus LX309</t>
  </si>
  <si>
    <t>L:EU788002,M:AY363179,S:AB689164</t>
  </si>
  <si>
    <t>Maporal virus HV-97021050</t>
  </si>
  <si>
    <t>L:AB620102,M:AB620101,S:AB620100</t>
  </si>
  <si>
    <t>Montano virus 104/2006</t>
  </si>
  <si>
    <t>M:KF494345,S:KF481954</t>
  </si>
  <si>
    <t>Necocli virus HV-O0020002</t>
  </si>
  <si>
    <t>M:FJ539167,S:FJ539166</t>
  </si>
  <si>
    <t>Oxbow virus Ng1453</t>
  </si>
  <si>
    <t>L:HM015221,M:HM015219,S:HM015223</t>
  </si>
  <si>
    <t>Rockport virus MSB57412</t>
  </si>
  <si>
    <t>SWSV</t>
  </si>
  <si>
    <t>KY651020</t>
  </si>
  <si>
    <t>Seewis virus EWS25</t>
  </si>
  <si>
    <t>TIGV</t>
  </si>
  <si>
    <t>KU934008</t>
  </si>
  <si>
    <t>Tigray virus ET2121</t>
  </si>
  <si>
    <t>M:JX465403,S:JX465423</t>
  </si>
  <si>
    <t>Yakeshi virus Yakeshi-Si-210</t>
  </si>
  <si>
    <t>MJNV</t>
  </si>
  <si>
    <t>L: KJ420567; M: KJ420541; S: KJ420559</t>
  </si>
  <si>
    <t>Imjin virus Cixi-Cl-23</t>
  </si>
  <si>
    <t>TPMV</t>
  </si>
  <si>
    <t>L: DQ825770; M: DQ825771; S: AY526097</t>
  </si>
  <si>
    <t>Thottopalayam virus VRC 66412</t>
  </si>
  <si>
    <t>HOLGV</t>
  </si>
  <si>
    <t>MG599940</t>
  </si>
  <si>
    <t>Hainan oriental lead-toed gecko virus LPXYF84819</t>
  </si>
  <si>
    <t>LEPMV</t>
  </si>
  <si>
    <t>KX280012-14</t>
  </si>
  <si>
    <t>Leptomonas moramango leishbunyavirus LepmorLBV1b</t>
  </si>
  <si>
    <t>HbMV-5</t>
  </si>
  <si>
    <t>L: KX884758; M: KX884759; S: KX884760</t>
  </si>
  <si>
    <t>Húbei myriapoda virus 5 GCM10499</t>
  </si>
  <si>
    <t>ERV</t>
  </si>
  <si>
    <t>S: MH017274, M: MH017280, L: MH017286</t>
  </si>
  <si>
    <t>Estero Real virus K329</t>
  </si>
  <si>
    <t>L:KP406723,M:KP406724,S:KP406725</t>
  </si>
  <si>
    <t>Hazara virus</t>
  </si>
  <si>
    <t>L:KR537444,M:KR537445,S:KR537446</t>
  </si>
  <si>
    <t>Kasokero virus</t>
  </si>
  <si>
    <t>L:KR537447,M:KR537448,S:KR537449</t>
  </si>
  <si>
    <t>Keterah virus</t>
  </si>
  <si>
    <t>L:KM464726,M:KM464725,S:KM464724</t>
  </si>
  <si>
    <t>Nairobi sheep disease virus</t>
  </si>
  <si>
    <t>L:KM817683,M:KM817717,S:KM817743</t>
  </si>
  <si>
    <t>Tǎchéng tick virus 1</t>
  </si>
  <si>
    <t>SySV-1</t>
  </si>
  <si>
    <t>L: KM817676; M: KM817712; S: KM817738</t>
  </si>
  <si>
    <t>Shayáng spider virus 1 SYZZ-4</t>
  </si>
  <si>
    <t>SxWSV-1</t>
  </si>
  <si>
    <t>L: KM817674; M: KM817711 S: KM817737</t>
  </si>
  <si>
    <t>Sanxiá water strider virus 1 SXSSP08</t>
  </si>
  <si>
    <t>L:JQ659256,M:JQ659257,S:JQ659258</t>
  </si>
  <si>
    <t>Herbert virus C60/CI/2004</t>
  </si>
  <si>
    <t>L:KF590577,M:KF590576,S:KF590575</t>
  </si>
  <si>
    <t>Kibale virus P07/UG/2008</t>
  </si>
  <si>
    <t>L:KF590574,M:KF590573,S:KF590572</t>
  </si>
  <si>
    <t>Taï virus F47/CI/2004</t>
  </si>
  <si>
    <t>Acara virus (ACAV), Moriche virus (MORV)</t>
  </si>
  <si>
    <t>AINOV</t>
  </si>
  <si>
    <t>L: NC_018465; M: NC_018459; S: NC_018460,</t>
  </si>
  <si>
    <t>Aino virus</t>
  </si>
  <si>
    <t>Akabane virus (AKAV), Sabo virus (SABOV), Tinaroo virus (TINV), Yaba-7 virus (Y7V)</t>
  </si>
  <si>
    <t>Alajuela virus (ALJV), San Juan virus (SJV)</t>
  </si>
  <si>
    <t>ANADV</t>
  </si>
  <si>
    <t>L: KU159766; M: KU159765; S: KU159764</t>
  </si>
  <si>
    <t>Anadyr viurs</t>
  </si>
  <si>
    <t>AMBV</t>
  </si>
  <si>
    <t>L: JN572062; M: JN572063; S: JN572064</t>
  </si>
  <si>
    <t>Anhembi virus</t>
  </si>
  <si>
    <t>Anopheles A virus (ANAV), Arumateua virus (ARTV), Caraipé virus (CPEV), Las Maloyas virus (LMV), Lukuni virus (LUKV), Trombetas virus (TRMV), Tucuruí virus (TUC(R)V)</t>
  </si>
  <si>
    <t>Anopheles B virus (ANBV), Boracéia virus (BORV)</t>
  </si>
  <si>
    <t>Bakau virus (BAKV), Ketapang virus (KETV), Nola virus (NOLAV), Tanjong Rabok virus (TRV), Telok Forest virus (TFV)</t>
  </si>
  <si>
    <t>BATV</t>
  </si>
  <si>
    <t>L: JX846606; M: JX846605; S: JX846604</t>
  </si>
  <si>
    <t>Batai virus</t>
  </si>
  <si>
    <t>Batama virus (BMAV)</t>
  </si>
  <si>
    <t>KX161718-20</t>
  </si>
  <si>
    <t>Bellavista virus PRD0552</t>
  </si>
  <si>
    <t>Benevides virus (BVSV)</t>
  </si>
  <si>
    <t>Bertioga virus (BERV), Cananeia virus (CNAV), Guaratuba virus (GTBV), Itimirim virus (ITIV), Mirim virus (MIRV)</t>
  </si>
  <si>
    <t>Bimiti virus (BIMV)</t>
  </si>
  <si>
    <t>BIRV</t>
  </si>
  <si>
    <t>L: MH370821; M: MH370822; S: MH370823</t>
  </si>
  <si>
    <t>Birao virus</t>
  </si>
  <si>
    <t>Botambi virus (BOTV)</t>
  </si>
  <si>
    <t>BOZOV</t>
  </si>
  <si>
    <t>L: MH370824; M: MH370825; S: MH370826</t>
  </si>
  <si>
    <t>Bozo virus</t>
  </si>
  <si>
    <t>Anadyr virus (ANADV), Batai virus (BATV), Birao virus (BIRV), Bozo virus (BOZOV), Bunyamwera virus (BUNV), Cache Valley virus (CVV), Fort Sherman virus (FSV), Germiston virus (GERV), Iaco virus (IACOV), Ilesha virus (ILEV), Lokern virus (LOKV), Maguari virus (MAGV), Mboke virus (MBOV), Ngari virus (NRIV), Northway virus (NORV), Playas virus (PLAV), Potosi virus (POTV), Santa Rosa virus (SARV), Shokwe virus (SHOV), Stanfield virus, Tensaw virus (TENV), Tlacotalpan virus (TLAV), Xingu virus (XINV)</t>
  </si>
  <si>
    <t>Benfica virus (BENV), Bushbush virus (BSBV), Juan Diaz virus (JDV)</t>
  </si>
  <si>
    <t>BUTV</t>
  </si>
  <si>
    <t>L: KF697160; M: KF697161; S: KF697162</t>
  </si>
  <si>
    <t>Buttonwillow virus</t>
  </si>
  <si>
    <t>Bwamba virus (BWAV), Pongola virus (PGAV)</t>
  </si>
  <si>
    <t>CVV</t>
  </si>
  <si>
    <t>L: KX100135; M: KX100134; S: KX100133</t>
  </si>
  <si>
    <t>Cache Valley virus</t>
  </si>
  <si>
    <t>CPOV</t>
  </si>
  <si>
    <t>L: JN968590; M: JN968591; S: JN968592</t>
  </si>
  <si>
    <t>Cachoeira Porteira virus</t>
  </si>
  <si>
    <t>California encephalitis virus (CEV), Inkoo virus (INKV), Jamestown Canyon virus (JCV), Jerry Slough virus (JSV), Keystone virus (KEYV), Khatanga virus (KHATV), La Crosse virus (LACV), Lumbo virus (LUMV), Melao virus (MELV), Morro Bay virus (MBV), San Angelo virus (SAV), Serra do Navio virus (SDNV), snowshoe hare virus (SSHV), South River virus (SORV), Tahyña virus (TAHV), Trivittatus virus (TVTV)</t>
  </si>
  <si>
    <t>Capim virus (CAPV)</t>
  </si>
  <si>
    <t>Apeú virus (APEUV), Bruconha virus (BRUV), Caraparú virus (CARV), Itaya virus, Ossa virus (OSSAV), Vinces virus (VINV)</t>
  </si>
  <si>
    <t>CQV</t>
  </si>
  <si>
    <t>L: JQ675598; M: JQ675599; S: JQ675600</t>
  </si>
  <si>
    <t>Cát Quế virus</t>
  </si>
  <si>
    <t>Catú virus (CATUV)</t>
  </si>
  <si>
    <t>KU178983-85</t>
  </si>
  <si>
    <t>Enseada virus 76V-25880</t>
  </si>
  <si>
    <t>FPV</t>
  </si>
  <si>
    <t>L: KF697138; M: KF697137; S: KF697136</t>
  </si>
  <si>
    <t>Facey's paddock virus</t>
  </si>
  <si>
    <t>FSV</t>
  </si>
  <si>
    <t>L: KX100132; M: KX100131; S: KX100130</t>
  </si>
  <si>
    <t>Fort Sherman virus</t>
  </si>
  <si>
    <t>Gamboa virus (GAMV), Pueblo Viejo virus (PVV)</t>
  </si>
  <si>
    <t>Guajará virus (GJAV)</t>
  </si>
  <si>
    <t>Ananindeua virus (ANUV), Guamá virus (GMAV), Mahogany Hammock virus (MHV), Moju virus (MOJUV)</t>
  </si>
  <si>
    <t>Guaroa virus (GROV)</t>
  </si>
  <si>
    <t>IACOV</t>
  </si>
  <si>
    <t>L: JN572065; M: JN572066; S: JN572067</t>
  </si>
  <si>
    <t>Iaco virus</t>
  </si>
  <si>
    <t>ILEV</t>
  </si>
  <si>
    <t>L: KF234075; M: KF234074; S: KF234073</t>
  </si>
  <si>
    <t>Ilesha virus</t>
  </si>
  <si>
    <t>INGV</t>
  </si>
  <si>
    <t>L: KF697139; M: KF697140; S: KF697141</t>
  </si>
  <si>
    <t>Ingwavuma virus</t>
  </si>
  <si>
    <t>JCV</t>
  </si>
  <si>
    <t>L: HM007352; M: HM007351; S: HM007350</t>
  </si>
  <si>
    <t>Jamestown Canyon virus</t>
  </si>
  <si>
    <t>JASTV</t>
  </si>
  <si>
    <t>L: JQ675603; M: JQ675602; S: JQ675601</t>
  </si>
  <si>
    <t>Jatobal virus</t>
  </si>
  <si>
    <t>Kaeng Khoi virus (KKV)</t>
  </si>
  <si>
    <t>Kairi virus (KRIV)</t>
  </si>
  <si>
    <t>KEYV</t>
  </si>
  <si>
    <t>L: KX817321; M: KX817322; S: KX817323</t>
  </si>
  <si>
    <t>Keystone virus</t>
  </si>
  <si>
    <t>Koongol virus (KOOV), Wongal virus (WONV)</t>
  </si>
  <si>
    <t>LACV</t>
  </si>
  <si>
    <t>L: EF485032; M: EF485031; S: EF485030</t>
  </si>
  <si>
    <t>La Crosse virus</t>
  </si>
  <si>
    <t>LEAV</t>
  </si>
  <si>
    <t>L: HM627178; M: HM627177; S: HM627176</t>
  </si>
  <si>
    <t>Leanyer virus</t>
  </si>
  <si>
    <t>LUMV</t>
  </si>
  <si>
    <t>L: KX817324; M: KX817325; S: KX817326</t>
  </si>
  <si>
    <t>Lumbo virus</t>
  </si>
  <si>
    <t>MCAV</t>
  </si>
  <si>
    <t>L: JN572068; M: JN572069; S: JN572070</t>
  </si>
  <si>
    <t>Macauã virus</t>
  </si>
  <si>
    <t>Madrid virus (MADV)</t>
  </si>
  <si>
    <t>MAGV</t>
  </si>
  <si>
    <t>L: KY910429; M: KY910430; S: KY910431</t>
  </si>
  <si>
    <t>Maguari virus, Northway virus</t>
  </si>
  <si>
    <t>Main Drain virus (MDV)</t>
  </si>
  <si>
    <t>Buttonwillow virus (BUTV), Cat Que virus, Ingwavuma virus (INGV), Inini virus (INIV), Manzanilla virus (MANV), Mermet virus (MERV)</t>
  </si>
  <si>
    <t>Gumbo Limbo virus (GLV), Marituba virus (MTBV), Murutucú virus (MURV), Nepuyo virus (NEPV), Restan virus (RESV), Zungarococha virus (ZUNV)</t>
  </si>
  <si>
    <t>MELV</t>
  </si>
  <si>
    <t>L: KX817327; M: KX817328; S: KX817329</t>
  </si>
  <si>
    <t>Melao virus</t>
  </si>
  <si>
    <t>MERV</t>
  </si>
  <si>
    <t>L: KF697153; M: KF697151; S: KF697152</t>
  </si>
  <si>
    <t>Mermet virus</t>
  </si>
  <si>
    <t>Minatitlan virus (MNTV), Palestina virus (PLSV)</t>
  </si>
  <si>
    <t>M’Poko virus (MPOV), Yaba-1 virus (Y1V)</t>
  </si>
  <si>
    <t>Nyando virus (NDV), Eret(mapodites), virus (ERETV)</t>
  </si>
  <si>
    <t>Bobia virus (BIAV), Dabakala virus (DABV), Olifantsvlei virus (OLIV), Oubi virus (OUBIV)</t>
  </si>
  <si>
    <t>Itaquí virus (ITQV), Oriboca virus (ORIV)</t>
  </si>
  <si>
    <t>Facey’s Paddock virus (FPV), Iquitos virus (IQTV), Madre de Dios virus (MDDV), Oropouche virus (OROV), Perdões virus, Pintupo virus, Utinga virus (UTIV), Utive virus (UVV/UTVEV)</t>
  </si>
  <si>
    <t>Abras virus (ABRV), Babahoya virus (BABV), Pahayokee virus (PAHV), Patois virus (PATV), Shark River virus (SRV)</t>
  </si>
  <si>
    <t>PEAV</t>
  </si>
  <si>
    <t>L: HE795093; M: HE795094; S: HE795095</t>
  </si>
  <si>
    <t>Peaton virus</t>
  </si>
  <si>
    <t>POTV</t>
  </si>
  <si>
    <t>L: MF066368; M: MF066369; S: MF066370</t>
  </si>
  <si>
    <t>Potosi virus</t>
  </si>
  <si>
    <t>SABOV</t>
  </si>
  <si>
    <t>L: HE795096; M: HE795097; S: HE795098</t>
  </si>
  <si>
    <t>Sabo virus</t>
  </si>
  <si>
    <t>SAV</t>
  </si>
  <si>
    <t>L: KX817330; M: KX817331; S: KX817332</t>
  </si>
  <si>
    <t>San Angelo virus</t>
  </si>
  <si>
    <t>SANV</t>
  </si>
  <si>
    <t>L: HE795099; M: HE795100; S: HE795101</t>
  </si>
  <si>
    <t>Sango virus</t>
  </si>
  <si>
    <t>SBV</t>
  </si>
  <si>
    <t>L: KC355457; M: KC355458; S: KC355460</t>
  </si>
  <si>
    <t>Schmallenberg virus</t>
  </si>
  <si>
    <t>SDNV</t>
  </si>
  <si>
    <t>L: KX817333; M: KX817334; S: KX817335</t>
  </si>
  <si>
    <t>Serra do Navio virus</t>
  </si>
  <si>
    <t>Aino virus (AINOV), Kaikalur virus (KAIV), Shuni virus (SHUV)</t>
  </si>
  <si>
    <t>Simbu virus (SIMV)</t>
  </si>
  <si>
    <t>SSHV</t>
  </si>
  <si>
    <t>L: EU203678; M: EU262553; S: EU294510</t>
  </si>
  <si>
    <t>snowshoe hare virus</t>
  </si>
  <si>
    <t>SORV</t>
  </si>
  <si>
    <t>L: JN572071; M: JN572072; S: JN572073</t>
  </si>
  <si>
    <t>Sororoca virus</t>
  </si>
  <si>
    <t>CoAr 1071 virus (CA1071V), CoAr 3627 virus (CA3627V), Tacaiuma virus (TCMV), Virgin River virus (VRV)</t>
  </si>
  <si>
    <t>TAHV</t>
  </si>
  <si>
    <t>L: EU665255; M: EU622819; S: EU622820</t>
  </si>
  <si>
    <t>Ťahyňa virus</t>
  </si>
  <si>
    <t>TATV</t>
  </si>
  <si>
    <t>KP792676-78</t>
  </si>
  <si>
    <t>Tataguine virus H9963</t>
  </si>
  <si>
    <t>TENV</t>
  </si>
  <si>
    <t>L: FJ943510; M: FJ943508; S: FJ943505</t>
  </si>
  <si>
    <t>Tensaw virus</t>
  </si>
  <si>
    <t>Bahig virus (BAHV), Matruh virus (MTRV), Tete virus (TETEV), Tsuruse virus (TSUV), Weldona virus (WELV)</t>
  </si>
  <si>
    <t>Thimiri virus (THIV)</t>
  </si>
  <si>
    <t>Timboteua virus (TBTV)</t>
  </si>
  <si>
    <t>TVTV</t>
  </si>
  <si>
    <t>L: KR149249; M: KR149248; S: KR149247</t>
  </si>
  <si>
    <t>trivittatus virus</t>
  </si>
  <si>
    <t>Lednice virus (LEDV), Turlock virus (TURV), Umbre virus (UMBV)</t>
  </si>
  <si>
    <t>UTIV</t>
  </si>
  <si>
    <t>L: KF697154; M: KF697155; S: KF697156</t>
  </si>
  <si>
    <t>Utinga virus</t>
  </si>
  <si>
    <t>WITV</t>
  </si>
  <si>
    <t>KP792688-90</t>
  </si>
  <si>
    <t>Witwatersrand virus SAAr 1062</t>
  </si>
  <si>
    <t>Anhembi virus (AMBV), BeAr 328208 virus (BAV), Cachoeira Porteira virus (CPOV), Iaco virus (IACOV), Macaua virus (MCAV), Rio Pracupi virus, Sororoca virus (SORV), Taiassui virus (TAIAV), Tucunduba virus (TUCV), Wyeomyia virus (WYOV)</t>
  </si>
  <si>
    <t>Zegla virus (ZEGV)</t>
  </si>
  <si>
    <t>Caimito pacuvirus</t>
  </si>
  <si>
    <t>2019.022M.zip</t>
  </si>
  <si>
    <t>CAIV</t>
  </si>
  <si>
    <t>L: MK330759, M: MK330760, S: MK330761</t>
  </si>
  <si>
    <t>VP-488A</t>
  </si>
  <si>
    <t>Chilibre pacuvirus</t>
  </si>
  <si>
    <t>2019.022M; 2019.026M.zip</t>
  </si>
  <si>
    <t>CHIV</t>
  </si>
  <si>
    <t>L: MK330762, M: MK330763, S: MK330764</t>
  </si>
  <si>
    <t>VP-118D</t>
  </si>
  <si>
    <t>PACV</t>
  </si>
  <si>
    <t>KM225254-6</t>
  </si>
  <si>
    <t>Pacui virus BEAN27326</t>
  </si>
  <si>
    <t>KM225257-9</t>
  </si>
  <si>
    <t>Rio Preto da Eva virus BEAR540870</t>
  </si>
  <si>
    <t>KM225260-2</t>
  </si>
  <si>
    <t>Tapirapé virus BEAN767592</t>
  </si>
  <si>
    <t>SgIV-1</t>
  </si>
  <si>
    <t>L: KM817679; M: KM817714; S: KM817739</t>
  </si>
  <si>
    <t>Shuangào insect virus 1 QSA02</t>
  </si>
  <si>
    <t>FERV</t>
  </si>
  <si>
    <t>L: KP710246; M: KP710264; S: KP710267</t>
  </si>
  <si>
    <t>Ferak virus C51- CI-2004</t>
  </si>
  <si>
    <t>JONV</t>
  </si>
  <si>
    <t>L: KP710232; M: KP710240; S: KP710243</t>
  </si>
  <si>
    <t>jonchet virus B81-CI-2004</t>
  </si>
  <si>
    <t>Anopheles orthophasmavirus</t>
  </si>
  <si>
    <t>2019.028M.zip</t>
  </si>
  <si>
    <t>AtOPV</t>
  </si>
  <si>
    <t>MH822966; MH822967; MH822968</t>
  </si>
  <si>
    <t>CPLV</t>
  </si>
  <si>
    <t>L: MF176242.1, M: MF176243.1, S: MF176244.1</t>
  </si>
  <si>
    <t>Culex phasma-like viru</t>
  </si>
  <si>
    <t>GBEEV</t>
  </si>
  <si>
    <t>L: KY053854.1, M: KY053855.1, S: KY053856.1</t>
  </si>
  <si>
    <t>Ganda bee virus</t>
  </si>
  <si>
    <t>L:KJ434182,M:KJ434183,S:KJ434184</t>
  </si>
  <si>
    <t>Kigluaik phantom virus G10N</t>
  </si>
  <si>
    <t>HbOV-1</t>
  </si>
  <si>
    <t>L: NC_032151.1, M: NC_032153.1, S: NC_032152.1</t>
  </si>
  <si>
    <t>Húběi odonate virus 8</t>
  </si>
  <si>
    <t>HbOV-9</t>
  </si>
  <si>
    <t>L: NC_032135.1, M: NC_032136.1, S: NC_032137.1</t>
  </si>
  <si>
    <t>Húběi odonate virus 9</t>
  </si>
  <si>
    <t>L:KM817688,M:KM817721,S:KM817748</t>
  </si>
  <si>
    <t>Wǔchāng cockroach virus 1 ECZL-5</t>
  </si>
  <si>
    <t>L:KM817697,M:KM817726,S:KM817758</t>
  </si>
  <si>
    <t>Wǔhàn mosquito virus 1 WT3-15</t>
  </si>
  <si>
    <t>L:KM817698,M:KM817727,S:KM817759</t>
  </si>
  <si>
    <t>Wǔhàn mosquito virus 2 QN2-7</t>
  </si>
  <si>
    <t>SxWSV-2</t>
  </si>
  <si>
    <t>KX650646-47, KM817675</t>
  </si>
  <si>
    <t>Sānxiá water strider virus 2 SXSSP02</t>
  </si>
  <si>
    <t>WhIV-2</t>
  </si>
  <si>
    <t>L: KM817692; M: KM817724; S: KM817753</t>
  </si>
  <si>
    <t>Wuhàn insect virus 2 WHDL02</t>
  </si>
  <si>
    <t>Bandavirus</t>
  </si>
  <si>
    <t>Bhanja bandavirus</t>
  </si>
  <si>
    <t>2019.026M.zip</t>
  </si>
  <si>
    <t>BHAV</t>
  </si>
  <si>
    <t>JX961616; JX961617; JX961618</t>
  </si>
  <si>
    <t>ibAr2709</t>
  </si>
  <si>
    <t>Dabie bandavirus</t>
  </si>
  <si>
    <t>2019.015M.zip</t>
  </si>
  <si>
    <t>SFTSV</t>
  </si>
  <si>
    <t>L: HM745930, M: HM745931, S: HM745932</t>
  </si>
  <si>
    <t>HB29</t>
  </si>
  <si>
    <t>Guertu bandavirus</t>
  </si>
  <si>
    <t>GTV</t>
  </si>
  <si>
    <t>L: KT328593, M: KT328592, S: KT328591</t>
  </si>
  <si>
    <t>DXM</t>
  </si>
  <si>
    <t>Heartland bandavirus</t>
  </si>
  <si>
    <t>HRTV</t>
  </si>
  <si>
    <t>L: KJ740148, M: KJ740147, S: KJ740146</t>
  </si>
  <si>
    <t>TN</t>
  </si>
  <si>
    <t>Hunter Island bandavirus</t>
  </si>
  <si>
    <t>HUIV</t>
  </si>
  <si>
    <t>KF848980; KF848981; KF848982</t>
  </si>
  <si>
    <t>Kismaayo bandavirus</t>
  </si>
  <si>
    <t>KISV</t>
  </si>
  <si>
    <t>KM114252; KM114253; KM114254</t>
  </si>
  <si>
    <t>LEIV3641A</t>
  </si>
  <si>
    <t>Lone Star bandavirus</t>
  </si>
  <si>
    <t>LSV</t>
  </si>
  <si>
    <t>KC589005; KC589006; KC589007</t>
  </si>
  <si>
    <t>TMA 1381</t>
  </si>
  <si>
    <t>HbDV-3</t>
  </si>
  <si>
    <t>L: KX884796; M: KX884797; S; KX884798</t>
  </si>
  <si>
    <t>Húbei diptera virus 3 SCM17647</t>
  </si>
  <si>
    <t>CCGaV</t>
  </si>
  <si>
    <t>KX960111 and KX960112</t>
  </si>
  <si>
    <t>Citrus concave gum-associated virus CGW2</t>
  </si>
  <si>
    <t>Coguvirus eburi</t>
  </si>
  <si>
    <t>2019.004P.zip</t>
  </si>
  <si>
    <t>CiVA</t>
  </si>
  <si>
    <t>RNA1: MG764565; RNA2: MG764566</t>
  </si>
  <si>
    <t>Entovirus</t>
  </si>
  <si>
    <t>Entoleuca entovirus</t>
  </si>
  <si>
    <t>EnPLV-1</t>
  </si>
  <si>
    <t>MF375882; MK140653</t>
  </si>
  <si>
    <t>E115-5</t>
  </si>
  <si>
    <t>L:KF543244,M:KF543245,S:KF543246</t>
  </si>
  <si>
    <t>Cumuto virus TR7094</t>
  </si>
  <si>
    <t>L:HQ541738,M:HQ541737,S:HQ541736</t>
  </si>
  <si>
    <t>Gouléako virus A5/CI/2004</t>
  </si>
  <si>
    <t>L:KM817703,M:KM817730,S:KM817763</t>
  </si>
  <si>
    <t>Yíchāng insect virus YCYC01</t>
  </si>
  <si>
    <t>WhHV</t>
  </si>
  <si>
    <t>L: KM817690; M: KM817723; S: KM817751</t>
  </si>
  <si>
    <t>Wuhàn horsefly virus JJ2-1</t>
  </si>
  <si>
    <t>HbDV-4</t>
  </si>
  <si>
    <t>L: KX884809; M: KX884810; S: KX884811</t>
  </si>
  <si>
    <t>Húbei diptera virus 4 SCM94992</t>
  </si>
  <si>
    <t>HbLV-1</t>
  </si>
  <si>
    <t>L: KX884772; M: KX884773; S: LCM141331</t>
  </si>
  <si>
    <t>Húbei lepidoptera virus 1 LCM141331</t>
  </si>
  <si>
    <t>Ixovirus</t>
  </si>
  <si>
    <t>Blackleg ixovirus</t>
  </si>
  <si>
    <t>BTPV-1</t>
  </si>
  <si>
    <t>KM048313; KM048314</t>
  </si>
  <si>
    <t>H12</t>
  </si>
  <si>
    <t>Norway ixovirus</t>
  </si>
  <si>
    <t>NIXV</t>
  </si>
  <si>
    <t>MF141052; MF141053</t>
  </si>
  <si>
    <t>NOR/A2/Bronnoya/2014</t>
  </si>
  <si>
    <t>Scapularis ixovirus</t>
  </si>
  <si>
    <t>BTPV-3</t>
  </si>
  <si>
    <t>KU230449; KU230450</t>
  </si>
  <si>
    <t>A1</t>
  </si>
  <si>
    <t>LLV</t>
  </si>
  <si>
    <t>KX774630-31, MG256515</t>
  </si>
  <si>
    <t>Laurel Lake virus RTS65</t>
  </si>
  <si>
    <t>Lentinuvirus</t>
  </si>
  <si>
    <t>Lentinula lentinuvirus</t>
  </si>
  <si>
    <t>LeNSRV-2</t>
  </si>
  <si>
    <t>LC466008; LC466009</t>
  </si>
  <si>
    <t>MTHV</t>
  </si>
  <si>
    <t>L: KX272883; M: KX272884; S: KX272885</t>
  </si>
  <si>
    <t>Mothra virus JG1</t>
  </si>
  <si>
    <t>L:KT693187,M:KT693188,S:KT693189</t>
  </si>
  <si>
    <t>Badu virus TS6347</t>
  </si>
  <si>
    <t>Dipteran phasivirus</t>
  </si>
  <si>
    <t>ssDNA(-)</t>
  </si>
  <si>
    <t>Renamed,Moved,Removed as Type Species,</t>
  </si>
  <si>
    <t>HbDV-5</t>
  </si>
  <si>
    <t>KX884799; KX884800; KX884801</t>
  </si>
  <si>
    <t>SCM245062</t>
  </si>
  <si>
    <t>Fly phasivirus</t>
  </si>
  <si>
    <t>WhFV-1</t>
  </si>
  <si>
    <t>KM817689; KM817722; KM817749</t>
  </si>
  <si>
    <t>SYY1-9</t>
  </si>
  <si>
    <t>L:KR003786,M:KR003784,S:KR003785</t>
  </si>
  <si>
    <t>Phasi Charoen-like virus Rio</t>
  </si>
  <si>
    <t>L:KM817700,M:KM817728,S:KM817761</t>
  </si>
  <si>
    <t>Wǔtái mosquito virus QN3-5</t>
  </si>
  <si>
    <t>Adana phlebovirus</t>
  </si>
  <si>
    <t>ADAV</t>
  </si>
  <si>
    <t>KJ939330; KJ939331; KJ939332</t>
  </si>
  <si>
    <t>Aguacate phlebovirus</t>
  </si>
  <si>
    <t>AGUV</t>
  </si>
  <si>
    <t>HM566137; HM566138; HM566139</t>
  </si>
  <si>
    <t>VP-175A</t>
  </si>
  <si>
    <t>Alcube phlebovirus</t>
  </si>
  <si>
    <t>ACBV</t>
  </si>
  <si>
    <t>KR363190; KR363191; KR363192</t>
  </si>
  <si>
    <t>S20</t>
  </si>
  <si>
    <t>Alenquer phlebovirus</t>
  </si>
  <si>
    <t>ALEV</t>
  </si>
  <si>
    <t>HM119401; HM119402; HM119403</t>
  </si>
  <si>
    <t>Ambe phlebovirus</t>
  </si>
  <si>
    <t>ABEV</t>
  </si>
  <si>
    <t>KX611382; KX611383; KX611384</t>
  </si>
  <si>
    <t>BeAr407981</t>
  </si>
  <si>
    <t>Anhanga phlebovirus</t>
  </si>
  <si>
    <t>ANHV</t>
  </si>
  <si>
    <t>KX611385; KX611386; KX611387</t>
  </si>
  <si>
    <t>BeAn46852</t>
  </si>
  <si>
    <t>Arumowot phlebovirus</t>
  </si>
  <si>
    <t>AMTV</t>
  </si>
  <si>
    <t>MF593931; MF593932; MF593933</t>
  </si>
  <si>
    <t>Ar 1286-64</t>
  </si>
  <si>
    <t>Buenaventura phlebovirus</t>
  </si>
  <si>
    <t>BUEV</t>
  </si>
  <si>
    <t>KP272001; KP272002; KP272003</t>
  </si>
  <si>
    <t>CoAr3319</t>
  </si>
  <si>
    <t>Bujaru virus (BUJV), Munguba virus (MUNV)</t>
  </si>
  <si>
    <t>Cacao phlebovirus</t>
  </si>
  <si>
    <t>CACV</t>
  </si>
  <si>
    <t>MK330756; MK330757; MK330758</t>
  </si>
  <si>
    <t>Campana phlebovirus</t>
  </si>
  <si>
    <t>CMAV</t>
  </si>
  <si>
    <t>KP272040; KP272041; KP272042</t>
  </si>
  <si>
    <t>VP-334K</t>
  </si>
  <si>
    <t>Alenquer virus (ALEV), Ariquemes virus (ARQV), Candiru virus (CDUV), Itaituba virus (ITAV), Jacunda virus (JCNV), Maldonado virus (MLOV), Morumbi virus (MR(M), BV), Mucura virus (MCRV/MRAV), Nique virus (NIQV), Oriximiná virus (ORXV), Serra Norte virus (SRNV), Turuna virus (TUAV)</t>
  </si>
  <si>
    <t>Chagres phlebovirus</t>
  </si>
  <si>
    <t>CHGV</t>
  </si>
  <si>
    <t>HM566146; HM566147; HM566148</t>
  </si>
  <si>
    <t>Cocle phlebovirus</t>
  </si>
  <si>
    <t>CCLV</t>
  </si>
  <si>
    <t>KP272034; KP272035; KP272036</t>
  </si>
  <si>
    <t>GML244915</t>
  </si>
  <si>
    <t>Dashli phlebovirus</t>
  </si>
  <si>
    <t>DASV</t>
  </si>
  <si>
    <t>KP771821; KP771822; KP771823</t>
  </si>
  <si>
    <t>Durania phlebovirus</t>
  </si>
  <si>
    <t>DRNV</t>
  </si>
  <si>
    <t>HM566155; HM566156; HM566157</t>
  </si>
  <si>
    <t>Co Ar 171162</t>
  </si>
  <si>
    <t>Echarate phlebovirus</t>
  </si>
  <si>
    <t>ECHV</t>
  </si>
  <si>
    <t>HM119410; HM119411; HM119412</t>
  </si>
  <si>
    <t>Frijoles virus (FRIV), Joa virus (JOAV)</t>
  </si>
  <si>
    <t>Gabek phlebovirus</t>
  </si>
  <si>
    <t>GFV</t>
  </si>
  <si>
    <t>KF297903; KF297904; KF297905</t>
  </si>
  <si>
    <t>Sud AN 754-61</t>
  </si>
  <si>
    <t>Gordil phlebovirus</t>
  </si>
  <si>
    <t>GORV</t>
  </si>
  <si>
    <t>KF297900; KF297901; KF297902</t>
  </si>
  <si>
    <t>Dak ANBr 496d</t>
  </si>
  <si>
    <t>Icoaraci phlebovirus</t>
  </si>
  <si>
    <t>ICOV</t>
  </si>
  <si>
    <t>MK330768; MK330769; MK330770</t>
  </si>
  <si>
    <t>BeAn24262</t>
  </si>
  <si>
    <t>Itaituba phlebovirus</t>
  </si>
  <si>
    <t>ITAV</t>
  </si>
  <si>
    <t>HM119416; HM119417; HM119418</t>
  </si>
  <si>
    <t>Itaporanga phlebovirus</t>
  </si>
  <si>
    <t>ITPV</t>
  </si>
  <si>
    <t>MK330771; MK330772; MK330773</t>
  </si>
  <si>
    <t>original</t>
  </si>
  <si>
    <t>Ixcanal phlebovirus</t>
  </si>
  <si>
    <t>IXCV</t>
  </si>
  <si>
    <t>HM566161; HM566162; HM566163</t>
  </si>
  <si>
    <t>CA Ar 170897</t>
  </si>
  <si>
    <t>Karimabad phlebovirus</t>
  </si>
  <si>
    <t>KARV</t>
  </si>
  <si>
    <t>KF297909; KF297910; KF297911</t>
  </si>
  <si>
    <t>91045-AG</t>
  </si>
  <si>
    <t>La Gloria phlebovirus</t>
  </si>
  <si>
    <t>LAGV</t>
  </si>
  <si>
    <t>MK524332; MK524333; MK524334</t>
  </si>
  <si>
    <t>SP0584-PA-2014</t>
  </si>
  <si>
    <t>Lara phlebovirus</t>
  </si>
  <si>
    <t>RICV</t>
  </si>
  <si>
    <t>HM566185; HM566186; HM566187</t>
  </si>
  <si>
    <t>GGP-2011a</t>
  </si>
  <si>
    <t>Leticia phlebovirus</t>
  </si>
  <si>
    <t>LETV</t>
  </si>
  <si>
    <t>HM566152; HM566153; HM566154</t>
  </si>
  <si>
    <t>CoAr171616</t>
  </si>
  <si>
    <t>Maldonado phlebovirus</t>
  </si>
  <si>
    <t>MLOV</t>
  </si>
  <si>
    <t>HM119413; HM119414; HM119415</t>
  </si>
  <si>
    <t>FMD 0077</t>
  </si>
  <si>
    <t>Massilia phlebovirus</t>
  </si>
  <si>
    <t>MASV</t>
  </si>
  <si>
    <t>EU725771; EU7257712; EU725773</t>
  </si>
  <si>
    <t>W</t>
  </si>
  <si>
    <t>Medjerda phlebovirus</t>
  </si>
  <si>
    <t>MVV</t>
  </si>
  <si>
    <t>KU255114; KU255115; KU297253</t>
  </si>
  <si>
    <t>T131</t>
  </si>
  <si>
    <t>Mona Grita phlebovirus</t>
  </si>
  <si>
    <t>MOGV</t>
  </si>
  <si>
    <t>MK524337; MK524338; MK524339</t>
  </si>
  <si>
    <t>SP0260-PA-2014</t>
  </si>
  <si>
    <t>MKWV</t>
  </si>
  <si>
    <t>L: LC063770.1; S: LC063769.1; M: LC063768.1</t>
  </si>
  <si>
    <t>Mukawa virus MKW73</t>
  </si>
  <si>
    <t>Munguba phlebovirus</t>
  </si>
  <si>
    <t>MUNV</t>
  </si>
  <si>
    <t>HM566164; HM566165; HM566166</t>
  </si>
  <si>
    <t>Naples phlebovirus</t>
  </si>
  <si>
    <t>SFNV</t>
  </si>
  <si>
    <t>HM566170; HM566171; HM566172</t>
  </si>
  <si>
    <t>Nique phlebovirus</t>
  </si>
  <si>
    <t>NIQV</t>
  </si>
  <si>
    <t>HM119425; HM119426; HM119427</t>
  </si>
  <si>
    <t>Ntepes phlebovirus</t>
  </si>
  <si>
    <t>NTPV</t>
  </si>
  <si>
    <t>MF695810; MF695811; MF695812</t>
  </si>
  <si>
    <t>MRG54-KE-2014</t>
  </si>
  <si>
    <t>Odrenisrou phlebovirus</t>
  </si>
  <si>
    <t>ODRV</t>
  </si>
  <si>
    <t>HM566173; HM566174; HM566175</t>
  </si>
  <si>
    <t>Oriximina phlebovirus</t>
  </si>
  <si>
    <t>ORXV</t>
  </si>
  <si>
    <t>HM119434; HM119435; HM119436</t>
  </si>
  <si>
    <t>Pena Blanca phlebovirus</t>
  </si>
  <si>
    <t>PEBV</t>
  </si>
  <si>
    <t>MK524341; MK524342; MK524343</t>
  </si>
  <si>
    <t>SP1683-PA-2014</t>
  </si>
  <si>
    <t>Punique phlebovirus</t>
  </si>
  <si>
    <t>PUNV</t>
  </si>
  <si>
    <t>JF920133; JF920134; JF920135</t>
  </si>
  <si>
    <t>PI-B4-2008</t>
  </si>
  <si>
    <t>Buenaventura virus (BUEV), Capira virus (CAPIV), Cocle virus (CCLV), Leticia virus (LTCV), Punta Toro virus (PTV)</t>
  </si>
  <si>
    <t>Rift Valley fever virus (RVFV)</t>
  </si>
  <si>
    <t>Rio Grande phlebovirus</t>
  </si>
  <si>
    <t>RGV</t>
  </si>
  <si>
    <t>MK503253; MK503254; MK503255</t>
  </si>
  <si>
    <t>TBM3-204</t>
  </si>
  <si>
    <t>Saint Floris phlebovirus</t>
  </si>
  <si>
    <t>SAFV</t>
  </si>
  <si>
    <t>JF920136; JF920137; JF920138</t>
  </si>
  <si>
    <t>Dak ANB 512</t>
  </si>
  <si>
    <t>Salanga phlebovirus</t>
  </si>
  <si>
    <t>SLGV</t>
  </si>
  <si>
    <t>KC669549; KC669550; KC669551</t>
  </si>
  <si>
    <t>AnB 904a</t>
  </si>
  <si>
    <t>Adana virus, Adria virus (ADRV), Arbia virus (ARBV), Arumowot virus (AMTV), Medjerda Valley virus, Odrenisrou virus (ODRV), Olbia virus (OLBV), Salehabad virus (SALV)</t>
  </si>
  <si>
    <t>Salobo phlabovirus</t>
  </si>
  <si>
    <t>SLBOV</t>
  </si>
  <si>
    <t>HM627183; HM627184; HM627185</t>
  </si>
  <si>
    <t>Sicilian phlebovirus</t>
  </si>
  <si>
    <t>SFCV</t>
  </si>
  <si>
    <t>GQ847511; GQ847512; GQ847513</t>
  </si>
  <si>
    <t>Izmir 19</t>
  </si>
  <si>
    <t>Tapara phlebovirus</t>
  </si>
  <si>
    <t>TPRV</t>
  </si>
  <si>
    <t>KX611397; KX611398; KX611399</t>
  </si>
  <si>
    <t>BeAr413570</t>
  </si>
  <si>
    <t>Tehran phlebovirus</t>
  </si>
  <si>
    <t>THEV</t>
  </si>
  <si>
    <t>JF939846; JF939847; JF939848</t>
  </si>
  <si>
    <t>I-47</t>
  </si>
  <si>
    <t>Tico phebovirus</t>
  </si>
  <si>
    <t>TICV</t>
  </si>
  <si>
    <t>MK524345; MK524346; MK524347</t>
  </si>
  <si>
    <t>SP0157-PA-2013</t>
  </si>
  <si>
    <t>Toros phlebovirus</t>
  </si>
  <si>
    <t>TORV</t>
  </si>
  <si>
    <t>KP966619; KP966620; KP966621</t>
  </si>
  <si>
    <t>Toscana phlebovirus</t>
  </si>
  <si>
    <t>TOSV</t>
  </si>
  <si>
    <t>X68414; X53794; X89628</t>
  </si>
  <si>
    <t>ISS.Phl.3</t>
  </si>
  <si>
    <t>Tres Almendras phlebovirus</t>
  </si>
  <si>
    <t>TRAV</t>
  </si>
  <si>
    <t>MK524348; MK524349; MK524350</t>
  </si>
  <si>
    <t>SP0412-PA-2013</t>
  </si>
  <si>
    <t>Turuna phlebovirus</t>
  </si>
  <si>
    <t>TUAV</t>
  </si>
  <si>
    <t>HM119431; HM119432; HM119431</t>
  </si>
  <si>
    <t>Uriurana phlebovirus</t>
  </si>
  <si>
    <t>URIV</t>
  </si>
  <si>
    <t>HM566188; HM566189; HM566190</t>
  </si>
  <si>
    <t>BeAr479776</t>
  </si>
  <si>
    <t>Urucuri phlebovirus</t>
  </si>
  <si>
    <t>URUV</t>
  </si>
  <si>
    <t>KX611403; KX611404; KX611405</t>
  </si>
  <si>
    <t>BeAn100049</t>
  </si>
  <si>
    <t>Viola phlebovirus</t>
  </si>
  <si>
    <t>VIOV</t>
  </si>
  <si>
    <t>MF289183; MF289184; MH119632</t>
  </si>
  <si>
    <t>BR/MT_PanAr2015</t>
  </si>
  <si>
    <t>Zerdali phlebovirus</t>
  </si>
  <si>
    <t>ZERV</t>
  </si>
  <si>
    <t>KP966616; KP966617; KP966618</t>
  </si>
  <si>
    <t>PGYV</t>
  </si>
  <si>
    <t>L: KX852391; M: KX852390; S: KX852389</t>
  </si>
  <si>
    <t>Pidgey virus M6</t>
  </si>
  <si>
    <t>Rubodvirus</t>
  </si>
  <si>
    <t>Apple rubodvirus 1</t>
  </si>
  <si>
    <t>ARWV-1</t>
  </si>
  <si>
    <t>MF062125; MF062126; MF062127; MF0621278; MF062129</t>
  </si>
  <si>
    <t>982-11</t>
  </si>
  <si>
    <t>Apple rubodvirus 2</t>
  </si>
  <si>
    <t>ARWV-2</t>
  </si>
  <si>
    <t>MF062139; MF062140; MF062141; MF062142; MF062143</t>
  </si>
  <si>
    <t>R12</t>
  </si>
  <si>
    <t>Melon tenuivirus</t>
  </si>
  <si>
    <t>MeCSV</t>
  </si>
  <si>
    <t>MH817469; MH817470; MH817471; MH817472; MH817473; MH817474; MH817475; MH817476</t>
  </si>
  <si>
    <t>E11-018</t>
  </si>
  <si>
    <t>Uukuvirus</t>
  </si>
  <si>
    <t>American dog uukuvirus</t>
  </si>
  <si>
    <t>KM048311; KM048312</t>
  </si>
  <si>
    <t>FI6</t>
  </si>
  <si>
    <t>Dabieshan uukuvirus</t>
  </si>
  <si>
    <t>DbsTV</t>
  </si>
  <si>
    <t>KM817666; KM817733</t>
  </si>
  <si>
    <t>D3</t>
  </si>
  <si>
    <t>Grand Arbaud uukuvirus</t>
  </si>
  <si>
    <t>GAV</t>
  </si>
  <si>
    <t>JF838327; JF838328; JF838329</t>
  </si>
  <si>
    <t>Argas 27</t>
  </si>
  <si>
    <t>Huangpi uukuvirus</t>
  </si>
  <si>
    <t>Kabuto mountain uukuvirus</t>
  </si>
  <si>
    <t>Kaisodi uukuvirus</t>
  </si>
  <si>
    <t>KASDV</t>
  </si>
  <si>
    <t>MG581739; MG581740; MG581741</t>
  </si>
  <si>
    <t>G14132</t>
  </si>
  <si>
    <t>Lihan uukuvirus</t>
  </si>
  <si>
    <t>LITV</t>
  </si>
  <si>
    <t>KM817672; KM817736</t>
  </si>
  <si>
    <t>LH-1</t>
  </si>
  <si>
    <t>Murre uukuvirus</t>
  </si>
  <si>
    <t>MURV</t>
  </si>
  <si>
    <t>JF838330; JF838331; JF838332</t>
  </si>
  <si>
    <t>Murre H</t>
  </si>
  <si>
    <t>Pacific coast uukuvirus</t>
  </si>
  <si>
    <t>PACTV</t>
  </si>
  <si>
    <t>KU933936; KU933937</t>
  </si>
  <si>
    <t>Docc2011cons</t>
  </si>
  <si>
    <t>Precarious Point uukuvirus</t>
  </si>
  <si>
    <t>PPV</t>
  </si>
  <si>
    <t>HM566181; HM566179; HM566180</t>
  </si>
  <si>
    <t>Rukutama uukuvirus</t>
  </si>
  <si>
    <t>RUKV</t>
  </si>
  <si>
    <t>KF892052; KF892053; KF892054</t>
  </si>
  <si>
    <t>LEIV-6269C</t>
  </si>
  <si>
    <t>Schmidt uukuvirus</t>
  </si>
  <si>
    <t>EGAV</t>
  </si>
  <si>
    <t>HM566159; HM566158; HM566160</t>
  </si>
  <si>
    <t>EgAN 1825-61</t>
  </si>
  <si>
    <t>Silverwater uukuvirus</t>
  </si>
  <si>
    <t>SILV</t>
  </si>
  <si>
    <t>KM114257; KM114255; KM114256</t>
  </si>
  <si>
    <t>Can131</t>
  </si>
  <si>
    <t>Tacheng uukuvirus</t>
  </si>
  <si>
    <t>TcTV-2</t>
  </si>
  <si>
    <t>KM817684; KM817744</t>
  </si>
  <si>
    <t>TC252</t>
  </si>
  <si>
    <t>Uukuniemi uukuvirus</t>
  </si>
  <si>
    <t>Yongjia uukuvirus</t>
  </si>
  <si>
    <t>YjTV-1</t>
  </si>
  <si>
    <t>KM817704; KM817764</t>
  </si>
  <si>
    <t>YJ1-1</t>
  </si>
  <si>
    <t>Zaliv Terpeniya uukuvirus</t>
  </si>
  <si>
    <t>ZTV</t>
  </si>
  <si>
    <t>HM566191; HM566192; HM566193</t>
  </si>
  <si>
    <t>WzSV-1</t>
  </si>
  <si>
    <t>KM817686, KM817719, KM817746</t>
  </si>
  <si>
    <t>Wēnzhōu shrimp virus 1 BJDX-5</t>
  </si>
  <si>
    <t>Alstroemeria necrotic streak orthotospovirus</t>
  </si>
  <si>
    <t>2019.006P.zip</t>
  </si>
  <si>
    <t>ANSV</t>
  </si>
  <si>
    <t>L: MG696851; M: MG696852; S: MG696853</t>
  </si>
  <si>
    <t>San Vicente 3</t>
  </si>
  <si>
    <t>Alstroemeria yellow spot orthotospovirus</t>
  </si>
  <si>
    <t>AYSV</t>
  </si>
  <si>
    <t>L: MF469033; M: MF469034; S: MF469035</t>
  </si>
  <si>
    <t>Als-2000</t>
  </si>
  <si>
    <t>BeNMV</t>
  </si>
  <si>
    <t>JN587268, JN587269, JF417980</t>
  </si>
  <si>
    <t>bean necrotic mosaic virus TF-SP</t>
  </si>
  <si>
    <t>CCSV</t>
  </si>
  <si>
    <t>AY867502, FJ822961, FJ822962</t>
  </si>
  <si>
    <t>calla lily chlorotic spot virus Calla lily</t>
  </si>
  <si>
    <t>CaCV</t>
  </si>
  <si>
    <t>DQ256123, DQ256125, DQ256124</t>
  </si>
  <si>
    <t>Capsicum chlorosis virus AIT</t>
  </si>
  <si>
    <t>CSNV</t>
  </si>
  <si>
    <t>KM114548, KM114547, KM114546</t>
  </si>
  <si>
    <t>Chrysanthemum stem necrosis virus PD4412741</t>
  </si>
  <si>
    <t>Groundnut bud necrosis orthotospovirus</t>
  </si>
  <si>
    <t>Groundnut chlorotic fan spot orthotospovirus</t>
  </si>
  <si>
    <t>GCFSV</t>
  </si>
  <si>
    <t>L: KP146140; M: KP146141; S: AF080526</t>
  </si>
  <si>
    <t>PD2</t>
  </si>
  <si>
    <t>Groundnut ringspot orthotospovirus</t>
  </si>
  <si>
    <t>Groundnut yellow spot orthotospovirus</t>
  </si>
  <si>
    <t>Hippeastrum chlorotic ringspot orthotospovirus</t>
  </si>
  <si>
    <t>HCRV</t>
  </si>
  <si>
    <t>L: HG763861; M: JX833565; S: JX833564</t>
  </si>
  <si>
    <t>HLS1-2</t>
  </si>
  <si>
    <t>Impatiens necrotic spot orthotospovirus</t>
  </si>
  <si>
    <t>Iris yellow spot orthotospovirus</t>
  </si>
  <si>
    <t>KX698422, KX698423, KX698424</t>
  </si>
  <si>
    <t>melon severe mosaic virus VE440-A</t>
  </si>
  <si>
    <t>AB038343, AB061773, AB061774</t>
  </si>
  <si>
    <t>melon yellow spot virus Tospo-melo</t>
  </si>
  <si>
    <t>Mulberry vein banding associated orthotospovirus</t>
  </si>
  <si>
    <t>MVBaV</t>
  </si>
  <si>
    <t>L: KM819698; M: KM819699; S: KM819701</t>
  </si>
  <si>
    <t>XCSY-3</t>
  </si>
  <si>
    <t>Pepper chlorotic spot orthotospovirus</t>
  </si>
  <si>
    <t>PCSV</t>
  </si>
  <si>
    <t>L: KX247379; M: KX247378; S: KX247377</t>
  </si>
  <si>
    <t>14YV733</t>
  </si>
  <si>
    <t>Polygonum ringspot orthotospovirus</t>
  </si>
  <si>
    <t>SVNV</t>
  </si>
  <si>
    <t>HQ728387, HQ728386, HQ728385</t>
  </si>
  <si>
    <t>soybean vein necrosis virus TN</t>
  </si>
  <si>
    <t>Tomato chlorotic spot orthotospovirus</t>
  </si>
  <si>
    <t>Tomato spotted wilt orthotospovirus</t>
  </si>
  <si>
    <t>Tomato yellow ring orthotospovirus</t>
  </si>
  <si>
    <t>TYRV</t>
  </si>
  <si>
    <t>L: JN560178; M: JN560177; S: AY686718</t>
  </si>
  <si>
    <t>TYRV-t</t>
  </si>
  <si>
    <t>Tomato zonate spot orthotospovirus</t>
  </si>
  <si>
    <t>TZSV</t>
  </si>
  <si>
    <t>L: EF552435; M: EF552434; S: EF552433</t>
  </si>
  <si>
    <t>Tomato-YN</t>
  </si>
  <si>
    <t>Watermelon bud necrosis orthotospovirus</t>
  </si>
  <si>
    <t>Watermelon silver mottle orthotospovirus</t>
  </si>
  <si>
    <t>Zucchini lethal chlorosis orthotospovirus</t>
  </si>
  <si>
    <t>WhMV-2</t>
  </si>
  <si>
    <t>L: KM817696; M: KX650645; S: KM817757</t>
  </si>
  <si>
    <t>Wuhàn millipede virus 2 WHWG03</t>
  </si>
  <si>
    <t>RNA1:KU751814,RNA2:KU751815,RNA3:KU751816,RNA4:KU751817,RNA5:KU751818,RNA6:KU751819,RNA7:KU751820,RNA8:KU751821,RNA9:KU751822,RNA10:KU751823</t>
  </si>
  <si>
    <t xml:space="preserve">Tilapia lake virus isolate Til-4-2011 </t>
  </si>
  <si>
    <t>RNA1:JQ922305,RNA2:JQ922306,RNA3:JQ922307,RNA4:JQ922308,RNA5:JQ922309,RNA6:JQ922310,RNA6:JQ922310,RNA7:JQ922311</t>
  </si>
  <si>
    <t>D/swine/Oklahoma/1334/2011</t>
  </si>
  <si>
    <t>Pisuviricota</t>
  </si>
  <si>
    <t>Duplopiviricetes</t>
  </si>
  <si>
    <t>Durnavirales</t>
  </si>
  <si>
    <t>AcAV1</t>
  </si>
  <si>
    <t>BK010347</t>
  </si>
  <si>
    <t>Allium cepa amalgavirus 1 OH1</t>
  </si>
  <si>
    <t>AcAV2</t>
  </si>
  <si>
    <t>BK010348</t>
  </si>
  <si>
    <t>Allium cepa amalgavirus 2 DH5225</t>
  </si>
  <si>
    <t>HM029246</t>
  </si>
  <si>
    <t xml:space="preserve">MI-1 </t>
  </si>
  <si>
    <t>HQ128706</t>
  </si>
  <si>
    <t xml:space="preserve">GSMNP-Sugld-1 </t>
  </si>
  <si>
    <t>EF442780</t>
  </si>
  <si>
    <t xml:space="preserve">Mexico-1 </t>
  </si>
  <si>
    <t>SpAV1</t>
  </si>
  <si>
    <t>KY695011</t>
  </si>
  <si>
    <t>spinach amalgavirus 1 SRP059420</t>
  </si>
  <si>
    <t>EU371896</t>
  </si>
  <si>
    <t xml:space="preserve">M </t>
  </si>
  <si>
    <t>ZmAV1</t>
  </si>
  <si>
    <t>KY783316</t>
  </si>
  <si>
    <t>Zoostera marina amalgavirus 1 SRP035489-1</t>
  </si>
  <si>
    <t>ZmAV2</t>
  </si>
  <si>
    <t>KY783317</t>
  </si>
  <si>
    <t>Zoostera marina amalgavirus 2 SRP035489-2</t>
  </si>
  <si>
    <t>ZbV-Z</t>
  </si>
  <si>
    <t>KU200450</t>
  </si>
  <si>
    <t>Zygosaccharomyces bailii virus Z 412</t>
  </si>
  <si>
    <t>DQ861913</t>
  </si>
  <si>
    <t xml:space="preserve">EP721 </t>
  </si>
  <si>
    <t>L29010</t>
  </si>
  <si>
    <t>NB58</t>
  </si>
  <si>
    <t>AF188515</t>
  </si>
  <si>
    <t>Michigan WY</t>
  </si>
  <si>
    <t>AY307099</t>
  </si>
  <si>
    <t>SR2</t>
  </si>
  <si>
    <t>RNA1: EU489061, RNA2: EU489062</t>
  </si>
  <si>
    <t xml:space="preserve">Hungary </t>
  </si>
  <si>
    <t>RNA1: FJ550604, RNA2: FJ550605</t>
  </si>
  <si>
    <t>RNA1: AJ781168, RNA2: AJ781167</t>
  </si>
  <si>
    <t>RNA1: AM999771, RNA2: AM999772</t>
  </si>
  <si>
    <t xml:space="preserve">Canada:British Columbia:Mesachie Lake </t>
  </si>
  <si>
    <t>RNA1: AB465308, RNA2: AB465309</t>
  </si>
  <si>
    <t>Magae</t>
  </si>
  <si>
    <t>RNA1: AB025903</t>
  </si>
  <si>
    <t>RNA1: HQ541323, RNA2: HQ541324</t>
  </si>
  <si>
    <t xml:space="preserve">HetRV1-ab1 </t>
  </si>
  <si>
    <t>RNA1: FJ816271, RNA2: FJ816272</t>
  </si>
  <si>
    <t>KF963175, KF963176</t>
  </si>
  <si>
    <t>HetPV12-an1</t>
  </si>
  <si>
    <t>KF963177, KF963178</t>
  </si>
  <si>
    <t>HetPV13-an1</t>
  </si>
  <si>
    <t>KF963186, KF963187</t>
  </si>
  <si>
    <t>HetPV15-pa1</t>
  </si>
  <si>
    <t>RNA1: AB569997, RNA2: AB569998</t>
  </si>
  <si>
    <t xml:space="preserve">W57 </t>
  </si>
  <si>
    <t>RNA1: AY751737, RNA2: AY751738</t>
  </si>
  <si>
    <t>RNA1: AY705784, RNA2: AY705785</t>
  </si>
  <si>
    <t>Boccardo</t>
  </si>
  <si>
    <t>RNA1: L39125, RNA2: L39126</t>
  </si>
  <si>
    <t>2H</t>
  </si>
  <si>
    <t>RNA1: JN196536, RNA2: JN196537</t>
  </si>
  <si>
    <t xml:space="preserve">Fedora17 </t>
  </si>
  <si>
    <t>RNA1: AY603052, RNA2: AY603051</t>
  </si>
  <si>
    <t>Deng</t>
  </si>
  <si>
    <t>RNA1: JX971982, RNA2: JX971983</t>
  </si>
  <si>
    <t xml:space="preserve">IPP_IncarnatSK </t>
  </si>
  <si>
    <t>RNA1: JX971984, RNA2: JX971985</t>
  </si>
  <si>
    <t xml:space="preserve">IPP_hortorum </t>
  </si>
  <si>
    <t>RNA1: AF047013, RNA2: AF015924</t>
  </si>
  <si>
    <t>A11</t>
  </si>
  <si>
    <t>RNA1: HM565953, RNA2: HM565954</t>
  </si>
  <si>
    <t xml:space="preserve">HetRV2-pa1 </t>
  </si>
  <si>
    <t>JN606091, JN606090</t>
  </si>
  <si>
    <t>HetPV7-pa1</t>
  </si>
  <si>
    <t>RNA1: JX625227, RNA2: JX625228</t>
  </si>
  <si>
    <t xml:space="preserve">HetRV8-pa1 </t>
  </si>
  <si>
    <t>RNA1: AF473549</t>
  </si>
  <si>
    <t>Ihrmark</t>
  </si>
  <si>
    <t>RNA1: JX971980, RNA2: JX971981</t>
  </si>
  <si>
    <t xml:space="preserve">IPP_GelbSK </t>
  </si>
  <si>
    <t>RNA1: AY533038, RNA2: AY533036</t>
  </si>
  <si>
    <t>RNA1: EU195326, RNA2: EU195327</t>
  </si>
  <si>
    <t>RNA1: JX971978, RNA2: JX971979</t>
  </si>
  <si>
    <t xml:space="preserve">IPP_Nemaro </t>
  </si>
  <si>
    <t>RNA1: AF133290, RNA2: AF133291</t>
  </si>
  <si>
    <t>RNA1: AB113347, RNA2: AB113348</t>
  </si>
  <si>
    <t>Japan:ayama</t>
  </si>
  <si>
    <t>RNA1: JX971976, RNA2: JX971977</t>
  </si>
  <si>
    <t>RNA1: U95995, RNA2: U95996</t>
  </si>
  <si>
    <t>KSU-1</t>
  </si>
  <si>
    <t>RNA1: HM560702, RNA2: HM560703, RNA3: HM560704</t>
  </si>
  <si>
    <t>RNA2: S63913</t>
  </si>
  <si>
    <t>Xie</t>
  </si>
  <si>
    <t>RNA1: FR687854, RNA2: FR687855</t>
  </si>
  <si>
    <t xml:space="preserve">BN13 </t>
  </si>
  <si>
    <t>RNA1: JN117276</t>
  </si>
  <si>
    <t xml:space="preserve">Jal-01 </t>
  </si>
  <si>
    <t>RNA1: JN117278, RNA2: JN117279</t>
  </si>
  <si>
    <t xml:space="preserve">HW-01 </t>
  </si>
  <si>
    <t>RNA1: EU118277, RNA1: DQ270031, RNA2: EU118278, RNA3: EU118279</t>
  </si>
  <si>
    <t xml:space="preserve">FA0611 </t>
  </si>
  <si>
    <t>RNA1: AF316992, RNA2: AF316993</t>
  </si>
  <si>
    <t>RNA1: AY033436, RNA2: AY033437</t>
  </si>
  <si>
    <t>USA: 331</t>
  </si>
  <si>
    <t>RNA1: D55668, RNA2: D55669</t>
  </si>
  <si>
    <t>Shimosaka</t>
  </si>
  <si>
    <t>RNA1: AY089993, RNA2: AY089994</t>
  </si>
  <si>
    <t>Finland</t>
  </si>
  <si>
    <t>RNA1: AM087202, RNA2: AM087203</t>
  </si>
  <si>
    <t xml:space="preserve">India </t>
  </si>
  <si>
    <t>RNA1: AY738336, RNA2: AY738337</t>
  </si>
  <si>
    <t>RNA1: AY156521, RNA2: AY156522</t>
  </si>
  <si>
    <t>Kim</t>
  </si>
  <si>
    <t>Beihai picobirnavirus</t>
  </si>
  <si>
    <t>2018.006M.zip</t>
  </si>
  <si>
    <t>KX884062, KX884063</t>
  </si>
  <si>
    <t>BHNXC57916</t>
  </si>
  <si>
    <t>Equine picobirnavirus</t>
  </si>
  <si>
    <t>KR902507, KR902508</t>
  </si>
  <si>
    <t>Equ3</t>
  </si>
  <si>
    <t>Pisoniviricetes</t>
  </si>
  <si>
    <t>AAbV</t>
  </si>
  <si>
    <t>GBBW01007738.1</t>
  </si>
  <si>
    <t>Aplysia abyssovirus 1 None</t>
  </si>
  <si>
    <t>OSV-1</t>
  </si>
  <si>
    <t>MF324848; NC_035127</t>
  </si>
  <si>
    <t>Olivier's shrew virus 1 Gkd-1</t>
  </si>
  <si>
    <t>EAV</t>
  </si>
  <si>
    <t>X53459.3</t>
  </si>
  <si>
    <t>APRAV</t>
  </si>
  <si>
    <t>KP026921.1</t>
  </si>
  <si>
    <t>Forest pouched giant rat arterivirus</t>
  </si>
  <si>
    <t>SHFV</t>
  </si>
  <si>
    <t>AF180391.2</t>
  </si>
  <si>
    <t>SHEV</t>
  </si>
  <si>
    <t>KM677927.1</t>
  </si>
  <si>
    <t>Simian hemorrhagic encephalitis virus</t>
  </si>
  <si>
    <t>FSVV</t>
  </si>
  <si>
    <t>KR862307.1</t>
  </si>
  <si>
    <t>Free State vervet virus</t>
  </si>
  <si>
    <t>ZMbV-1</t>
  </si>
  <si>
    <t>KT166441.1</t>
  </si>
  <si>
    <t>Zambian malbrouck virus 1</t>
  </si>
  <si>
    <t>KRCV-2</t>
  </si>
  <si>
    <t>KC787658.1</t>
  </si>
  <si>
    <t>Kibale red colobus virus 2</t>
  </si>
  <si>
    <t>DeMAV</t>
  </si>
  <si>
    <t>KP126831.1</t>
  </si>
  <si>
    <t>DeBrazza’s monkey arterivirus</t>
  </si>
  <si>
    <t>KRTGV</t>
  </si>
  <si>
    <t>JX473849.1</t>
  </si>
  <si>
    <t>Kibale red-tailed guenon virus 1</t>
  </si>
  <si>
    <t>Iotaarterivirus pejah</t>
  </si>
  <si>
    <t>2019.020S-023S.zip</t>
  </si>
  <si>
    <t>PBJV</t>
  </si>
  <si>
    <t>KR139839.1</t>
  </si>
  <si>
    <t>KKCBV</t>
  </si>
  <si>
    <t>KT447550.1</t>
  </si>
  <si>
    <t>Kafue kinda x chacma baboon virus</t>
  </si>
  <si>
    <t>MYBV-1</t>
  </si>
  <si>
    <t>KM110938.1</t>
  </si>
  <si>
    <t>Mikumi yellow baboon virus 1</t>
  </si>
  <si>
    <t>KRCV-1</t>
  </si>
  <si>
    <t>KC787630.1</t>
  </si>
  <si>
    <t>Kibale red colobus virus 1</t>
  </si>
  <si>
    <t>PRRSV-2</t>
  </si>
  <si>
    <t>U87392.3</t>
  </si>
  <si>
    <t>Porcine reproductive and respiratory syndrome virus (American)</t>
  </si>
  <si>
    <t>RatAV</t>
  </si>
  <si>
    <t>KP280006.1</t>
  </si>
  <si>
    <t>RatAV_Ningxia2015</t>
  </si>
  <si>
    <t>KU302440.1</t>
  </si>
  <si>
    <t>Betaarterivirus sheoin</t>
  </si>
  <si>
    <t>RtEiAV</t>
  </si>
  <si>
    <t>KY369968.1</t>
  </si>
  <si>
    <t>PRRSV-1</t>
  </si>
  <si>
    <t>M96262.2</t>
  </si>
  <si>
    <t>Micartevirus</t>
  </si>
  <si>
    <t>Betaarterivirus timiclar</t>
  </si>
  <si>
    <t>RtMcAV</t>
  </si>
  <si>
    <t>KY369967.1</t>
  </si>
  <si>
    <t>LDV</t>
  </si>
  <si>
    <t>U15146.1</t>
  </si>
  <si>
    <t>Rat arterivirus Jilin2014</t>
  </si>
  <si>
    <t>Nuarterivirus</t>
  </si>
  <si>
    <t>Nuarterivirus guemel</t>
  </si>
  <si>
    <t>RtClanAV</t>
  </si>
  <si>
    <t>KY369969.1</t>
  </si>
  <si>
    <t>WPDV</t>
  </si>
  <si>
    <t>JN116253.3</t>
  </si>
  <si>
    <t>Wobbly possum disease virus</t>
  </si>
  <si>
    <t>Cremegaviridae</t>
  </si>
  <si>
    <t>Rodepovirinae</t>
  </si>
  <si>
    <t>Pontunivirus</t>
  </si>
  <si>
    <t>Chinturpovirus 1</t>
  </si>
  <si>
    <t>CBHPTAV</t>
  </si>
  <si>
    <t>MG600025.1</t>
  </si>
  <si>
    <t>Gresnaviridae</t>
  </si>
  <si>
    <t>Reternivirinae</t>
  </si>
  <si>
    <t>Cyclophivirus</t>
  </si>
  <si>
    <t>Ptyasnivirus 1</t>
  </si>
  <si>
    <t>GGGSAV</t>
  </si>
  <si>
    <t>MG600023.1</t>
  </si>
  <si>
    <t>Olifoviridae</t>
  </si>
  <si>
    <t>Gofosavirinae</t>
  </si>
  <si>
    <t>Kukrinivirus</t>
  </si>
  <si>
    <t>Oligodon snake nidovirus 1</t>
  </si>
  <si>
    <t>HOFAV</t>
  </si>
  <si>
    <t>MG600022.1</t>
  </si>
  <si>
    <t>MLeV</t>
  </si>
  <si>
    <t>GECV01031551.1</t>
  </si>
  <si>
    <t>Microhyla letovirus 1 None</t>
  </si>
  <si>
    <t>BtCoV_CDPHE15</t>
  </si>
  <si>
    <t>KF430219.1</t>
  </si>
  <si>
    <t>Bat coronavirus CDPHE15/USA/2006</t>
  </si>
  <si>
    <t>BtCoV_HKU10</t>
  </si>
  <si>
    <t>JQ989271.1</t>
  </si>
  <si>
    <t>Rousettus bat coronavirus HKU10</t>
  </si>
  <si>
    <t>BtRf-AlphaCoV</t>
  </si>
  <si>
    <t>KJ473807.1</t>
  </si>
  <si>
    <t>HCoV_229E</t>
  </si>
  <si>
    <t>AF304460.1</t>
  </si>
  <si>
    <t>LRNV</t>
  </si>
  <si>
    <t>KF294380.2</t>
  </si>
  <si>
    <t>MCoV</t>
  </si>
  <si>
    <t>HM245925.1</t>
  </si>
  <si>
    <t>Mink coronavirus strain WD1127</t>
  </si>
  <si>
    <t>Mi-BatCoV_1A</t>
  </si>
  <si>
    <t>EU420138.1</t>
  </si>
  <si>
    <t>Mi-BatCoV_HKU8</t>
  </si>
  <si>
    <t>EU420139.1</t>
  </si>
  <si>
    <t>BtMr-AlphaCoV</t>
  </si>
  <si>
    <t>KJ473806.1</t>
  </si>
  <si>
    <t>BtNv-AlphaCoV</t>
  </si>
  <si>
    <t>KJ473809.1</t>
  </si>
  <si>
    <t>Pipistrellus kuhlii coronavirus 3398</t>
  </si>
  <si>
    <t>PK-BatCoV_3398</t>
  </si>
  <si>
    <t>MH938449.1</t>
  </si>
  <si>
    <t>PEDV</t>
  </si>
  <si>
    <t>AF353511.1</t>
  </si>
  <si>
    <t>Sc-BatCoV_512</t>
  </si>
  <si>
    <t>DQ648858.1</t>
  </si>
  <si>
    <t>Rh-BatCoV_HKU2</t>
  </si>
  <si>
    <t>EF203065.1</t>
  </si>
  <si>
    <t>HCoV_NL63</t>
  </si>
  <si>
    <t>AY567487.2</t>
  </si>
  <si>
    <t>BtKYNL63</t>
  </si>
  <si>
    <t>KY073745.1</t>
  </si>
  <si>
    <t>Soracovirus</t>
  </si>
  <si>
    <t>Sorex araneus coronavirus T14</t>
  </si>
  <si>
    <t>Sa-CoV_T14</t>
  </si>
  <si>
    <t>KY370053.1</t>
  </si>
  <si>
    <t>Sunacovirus</t>
  </si>
  <si>
    <t>Suncus murinus coronavirus X74</t>
  </si>
  <si>
    <t>Sm-CoV_X74</t>
  </si>
  <si>
    <t>KY967715.1</t>
  </si>
  <si>
    <t>TGEV</t>
  </si>
  <si>
    <t>AJ271965.2</t>
  </si>
  <si>
    <t>HCoV_OC43</t>
  </si>
  <si>
    <t>AY585228.1</t>
  </si>
  <si>
    <t>ChRCoV_HKU24</t>
  </si>
  <si>
    <t>KM349742.1</t>
  </si>
  <si>
    <t>HCoV_HKU1</t>
  </si>
  <si>
    <t>AY597011.2</t>
  </si>
  <si>
    <t>MHV</t>
  </si>
  <si>
    <t>AY700211.1</t>
  </si>
  <si>
    <t>Myodes coronavirus 2JL14</t>
  </si>
  <si>
    <t>MrufCoV_2JL14</t>
  </si>
  <si>
    <t>KY370046.1</t>
  </si>
  <si>
    <t>Bat_Hp-BetaCoV</t>
  </si>
  <si>
    <t>KF636752.1</t>
  </si>
  <si>
    <t>EriCoV</t>
  </si>
  <si>
    <t>KC545383.1</t>
  </si>
  <si>
    <t>Betacoronavirus Erinaceus/VMC/DEU/2012</t>
  </si>
  <si>
    <t>MERS-CoV</t>
  </si>
  <si>
    <t>JX869059.2</t>
  </si>
  <si>
    <t>MERS coronavirus EMC/2012</t>
  </si>
  <si>
    <t>Pi-BatCoV_HKU5</t>
  </si>
  <si>
    <t>EF065509.1</t>
  </si>
  <si>
    <t>Ty-BatCoV_HKU4</t>
  </si>
  <si>
    <t>EF065505.1</t>
  </si>
  <si>
    <t>Eidolon bat coronavirus C704</t>
  </si>
  <si>
    <t>Ei-BatCoV_C704</t>
  </si>
  <si>
    <t>MG693168.1</t>
  </si>
  <si>
    <t>Ro-BatCoV_GCCDC1</t>
  </si>
  <si>
    <t>KU762338.1</t>
  </si>
  <si>
    <t>Ro-BatCoV_HKU9</t>
  </si>
  <si>
    <t>EF065513.1</t>
  </si>
  <si>
    <t>SARS-CoV</t>
  </si>
  <si>
    <t>AY274119.3</t>
  </si>
  <si>
    <t>WiCoV_HKU20</t>
  </si>
  <si>
    <t>JQ065048.1</t>
  </si>
  <si>
    <t>BuCoV_HKU11</t>
  </si>
  <si>
    <t>FJ376619.2</t>
  </si>
  <si>
    <t>CMCoV_HKU21</t>
  </si>
  <si>
    <t>JQ065049.1</t>
  </si>
  <si>
    <t>PoCoV_HKU15</t>
  </si>
  <si>
    <t>JQ065043.2</t>
  </si>
  <si>
    <t>Porcine coronavirus HKU15</t>
  </si>
  <si>
    <t>MuCoV_HKU13</t>
  </si>
  <si>
    <t>FJ376622.1</t>
  </si>
  <si>
    <t>WECoV_HKU16</t>
  </si>
  <si>
    <t>JQ065044.1</t>
  </si>
  <si>
    <t>NHCoV_HKU19</t>
  </si>
  <si>
    <t>JQ065047.1</t>
  </si>
  <si>
    <t>Brangacovirus</t>
  </si>
  <si>
    <t>Goose coronavirus CB17</t>
  </si>
  <si>
    <t>BcanCoV_CB17</t>
  </si>
  <si>
    <t>MK359255.1</t>
  </si>
  <si>
    <t>BWCoV</t>
  </si>
  <si>
    <t>EU111742.1</t>
  </si>
  <si>
    <t>IBV</t>
  </si>
  <si>
    <t>M95169.1</t>
  </si>
  <si>
    <t>Avian coronavirus 9203</t>
  </si>
  <si>
    <t>ACoV_9203</t>
  </si>
  <si>
    <t>KR902510.1</t>
  </si>
  <si>
    <t>Duck coronavirus 2714</t>
  </si>
  <si>
    <t>DuCoV_2714</t>
  </si>
  <si>
    <t>KM454473.1</t>
  </si>
  <si>
    <t>TurrNV</t>
  </si>
  <si>
    <t>KX883629.1</t>
  </si>
  <si>
    <t>Beihai Nido-like virus 1 strain BZL87871 None</t>
  </si>
  <si>
    <t>BlNV</t>
  </si>
  <si>
    <t>SRR2729873</t>
  </si>
  <si>
    <t>CASV</t>
  </si>
  <si>
    <t>KJ125489.1</t>
  </si>
  <si>
    <t>Casuarina virus</t>
  </si>
  <si>
    <t>NseV</t>
  </si>
  <si>
    <t>JQ957874.1</t>
  </si>
  <si>
    <t>Nsé virus</t>
  </si>
  <si>
    <t>HanaV</t>
  </si>
  <si>
    <t>JQ957872.1</t>
  </si>
  <si>
    <t>Hana virus</t>
  </si>
  <si>
    <t>KADV</t>
  </si>
  <si>
    <t>KT966495.2</t>
  </si>
  <si>
    <t>KSaV</t>
  </si>
  <si>
    <t>KC807171.1</t>
  </si>
  <si>
    <t>Karang Sari virus</t>
  </si>
  <si>
    <t>DKNV</t>
  </si>
  <si>
    <t>AB753015.2</t>
  </si>
  <si>
    <t>Dak Nong virus</t>
  </si>
  <si>
    <t>MenoV</t>
  </si>
  <si>
    <t>JQ957873.1</t>
  </si>
  <si>
    <t>Méno virus</t>
  </si>
  <si>
    <t>NDiV</t>
  </si>
  <si>
    <t>DQ458789.2</t>
  </si>
  <si>
    <t>Alphamesonivirus 10</t>
  </si>
  <si>
    <t>DiankeV</t>
  </si>
  <si>
    <t>KY056254.1</t>
  </si>
  <si>
    <t>OFAV</t>
  </si>
  <si>
    <t>KT966491.1</t>
  </si>
  <si>
    <t>PSCNV</t>
  </si>
  <si>
    <t>BK010447-BK010449</t>
  </si>
  <si>
    <t>Planarian Secretory Cell Nidovirus None</t>
  </si>
  <si>
    <t>Nanidovirineae</t>
  </si>
  <si>
    <t>Nanghoshaviridae</t>
  </si>
  <si>
    <t>Chimanivirinae</t>
  </si>
  <si>
    <t>Chimshavirus</t>
  </si>
  <si>
    <t>Nangarvirus 1</t>
  </si>
  <si>
    <t>NGSAV</t>
  </si>
  <si>
    <t>MG600024.1</t>
  </si>
  <si>
    <t>Nanhypoviridae</t>
  </si>
  <si>
    <t>Hyporhamsavirinae</t>
  </si>
  <si>
    <t>Sajorinivirus</t>
  </si>
  <si>
    <t>Halfbeak nidovirus 1</t>
  </si>
  <si>
    <t>WJHAV</t>
  </si>
  <si>
    <t>MG600020.1</t>
  </si>
  <si>
    <t>CharNV</t>
  </si>
  <si>
    <t>KX883628.1</t>
  </si>
  <si>
    <t>Beihai Nido-like virus 2 None</t>
  </si>
  <si>
    <t>DecNV</t>
  </si>
  <si>
    <t>KX883636.1</t>
  </si>
  <si>
    <t>Wenling nido-like virus 1 strain WLJQ99370 None</t>
  </si>
  <si>
    <t>PagRV</t>
  </si>
  <si>
    <t>KX883627.1</t>
  </si>
  <si>
    <t>Beihai hermit crab virus 4 strain BHJJX25971 None</t>
  </si>
  <si>
    <t>AF227196.1</t>
  </si>
  <si>
    <t>Okavirus 1</t>
  </si>
  <si>
    <t>YHV-8</t>
  </si>
  <si>
    <t>KX947267.1</t>
  </si>
  <si>
    <t>YHV</t>
  </si>
  <si>
    <t>EU487200.1</t>
  </si>
  <si>
    <t>WBV</t>
  </si>
  <si>
    <t>DQ898157.1</t>
  </si>
  <si>
    <t>FHMNV</t>
  </si>
  <si>
    <t>GU002364.2</t>
  </si>
  <si>
    <t>Fathead minnow nidovirus</t>
  </si>
  <si>
    <t>CSV</t>
  </si>
  <si>
    <t>KJ681496.1</t>
  </si>
  <si>
    <t>Chinook salmon bafinivirus NIDO</t>
  </si>
  <si>
    <t>BoNV</t>
  </si>
  <si>
    <t>KM589359.1</t>
  </si>
  <si>
    <t>bovine nidovirus TCH5</t>
  </si>
  <si>
    <t>Hepoptovirus</t>
  </si>
  <si>
    <t>Hebius tobanivirus 1</t>
  </si>
  <si>
    <t>HpoToV_33749</t>
  </si>
  <si>
    <t>MG600028.1</t>
  </si>
  <si>
    <t>INTOV</t>
  </si>
  <si>
    <t>KX883638.1</t>
  </si>
  <si>
    <t>Xinzhou toro-like virus strain XZSJSC65757 None</t>
  </si>
  <si>
    <t>Lyctovirus</t>
  </si>
  <si>
    <t>Rebatovirus</t>
  </si>
  <si>
    <t>Lycodon tobanivirus 1</t>
  </si>
  <si>
    <t>GRBSToV</t>
  </si>
  <si>
    <t>MG600030.1</t>
  </si>
  <si>
    <t>BPNV</t>
  </si>
  <si>
    <t>KJ541759.1</t>
  </si>
  <si>
    <t>Ball python nidovirus strain 07-53</t>
  </si>
  <si>
    <t>Morelia tobanivirus 1</t>
  </si>
  <si>
    <t>MVNV</t>
  </si>
  <si>
    <t>MF351889.1</t>
  </si>
  <si>
    <t>Snaturtovirus</t>
  </si>
  <si>
    <t>Berisnavirus 1</t>
  </si>
  <si>
    <t>BRSTV</t>
  </si>
  <si>
    <t>MF685025.1</t>
  </si>
  <si>
    <t>ShNV</t>
  </si>
  <si>
    <t>KX184715.1</t>
  </si>
  <si>
    <t>Shingleback nidovirus 1 None</t>
  </si>
  <si>
    <t>SECTOV</t>
  </si>
  <si>
    <t>KX883637.1</t>
  </si>
  <si>
    <t>Xinzhou nematode virus 6 strain XZSJSC61041 None</t>
  </si>
  <si>
    <t>BRV</t>
  </si>
  <si>
    <t>AY427798.1</t>
  </si>
  <si>
    <t>EToV</t>
  </si>
  <si>
    <t>DQ310701.1, X52374.1</t>
  </si>
  <si>
    <t>PToV</t>
  </si>
  <si>
    <t>JQ860350.1</t>
  </si>
  <si>
    <t>HQ010042</t>
  </si>
  <si>
    <t>Chicken calicivirus V0021/Bayern/GER/2004</t>
  </si>
  <si>
    <t>KX371097</t>
  </si>
  <si>
    <t>Fathead minnow calicivirus USA/MN/2012</t>
  </si>
  <si>
    <t>JQ347522</t>
  </si>
  <si>
    <t>Turkey calicivirus L11043/GER/2011</t>
  </si>
  <si>
    <t>EU391643</t>
  </si>
  <si>
    <t>Tulane virus Tulane</t>
  </si>
  <si>
    <t>KJ577139</t>
  </si>
  <si>
    <t>Atlantic salmon calicivirus Nordland/2011</t>
  </si>
  <si>
    <t>FJ355928</t>
  </si>
  <si>
    <t>St-Valérien calicivirus AB90/CAN/2006</t>
  </si>
  <si>
    <t>KF751885</t>
  </si>
  <si>
    <t>LnApIV-02</t>
  </si>
  <si>
    <t>EF517277</t>
  </si>
  <si>
    <t>Brevicoryne brassicae virus - UK</t>
  </si>
  <si>
    <t>KF843822</t>
  </si>
  <si>
    <t>From Dinocampus coccinellae, Canada</t>
  </si>
  <si>
    <t>KJ629170</t>
  </si>
  <si>
    <t>Lymantria dispar iflavirus 1-Ames</t>
  </si>
  <si>
    <t>JN091707</t>
  </si>
  <si>
    <t>SeIV-1 Spanish isolate</t>
  </si>
  <si>
    <t>KJ186788</t>
  </si>
  <si>
    <t>SeIV-2 Spanish isolate</t>
  </si>
  <si>
    <t>AB469874</t>
  </si>
  <si>
    <t>Hiroshima Bay</t>
  </si>
  <si>
    <t>AB375474</t>
  </si>
  <si>
    <t xml:space="preserve">CtenRNAV01 </t>
  </si>
  <si>
    <t>AB243297</t>
  </si>
  <si>
    <t>RsRNAV06</t>
  </si>
  <si>
    <t>AglaRNAV</t>
  </si>
  <si>
    <t>AB973945</t>
  </si>
  <si>
    <t>Asterionellopsis glacialis RNA virus nk</t>
  </si>
  <si>
    <t>AB193726</t>
  </si>
  <si>
    <t>Japan:Hyogo,Kobe, Kobe Harbor</t>
  </si>
  <si>
    <t>JP-B</t>
  </si>
  <si>
    <t>EF198242</t>
  </si>
  <si>
    <t>Marine RNA virus JP-B None</t>
  </si>
  <si>
    <t>SF-1</t>
  </si>
  <si>
    <t>JN661160</t>
  </si>
  <si>
    <t>Marine RNA virus SF-1 None</t>
  </si>
  <si>
    <t>SF-2</t>
  </si>
  <si>
    <t>KF412901</t>
  </si>
  <si>
    <t>Marine RNA virus SF-2 None</t>
  </si>
  <si>
    <t>SF-3</t>
  </si>
  <si>
    <t>KF478836</t>
  </si>
  <si>
    <t>Marine RNA virus SF-3 None</t>
  </si>
  <si>
    <t>AY337486</t>
  </si>
  <si>
    <t>HaRNAV-SOG263</t>
  </si>
  <si>
    <t>BC-1</t>
  </si>
  <si>
    <t>MG584187</t>
  </si>
  <si>
    <t>Marine RNA virus BC-1 None</t>
  </si>
  <si>
    <t>BC-4</t>
  </si>
  <si>
    <t>MH171300</t>
  </si>
  <si>
    <t>Marine RNA virus BC-4 None</t>
  </si>
  <si>
    <t>PAL128</t>
  </si>
  <si>
    <t>KT727023</t>
  </si>
  <si>
    <t>Marine RNA virus PAL128 None</t>
  </si>
  <si>
    <t>PAL473</t>
  </si>
  <si>
    <t>KT727026</t>
  </si>
  <si>
    <t>Marine RNA virus PAL473 None</t>
  </si>
  <si>
    <t>BC-2</t>
  </si>
  <si>
    <t>MG584188</t>
  </si>
  <si>
    <t>Marine RNA virus BC-2 None</t>
  </si>
  <si>
    <t>BC-3</t>
  </si>
  <si>
    <t>MG584189</t>
  </si>
  <si>
    <t>Marine RNA virus BC-3 None</t>
  </si>
  <si>
    <t>CspRNAV2</t>
  </si>
  <si>
    <t>AB639040</t>
  </si>
  <si>
    <t>Chaetoceros species RNA virus 02 Csp02RNAV01</t>
  </si>
  <si>
    <t>CtenRNAVII</t>
  </si>
  <si>
    <t>AB971661</t>
  </si>
  <si>
    <t>Chaetoceros tenuissimus RNA virus type II SS10-16V</t>
  </si>
  <si>
    <t>JP-A</t>
  </si>
  <si>
    <t>EF198241</t>
  </si>
  <si>
    <t>Marine RNA virus JP-A None</t>
  </si>
  <si>
    <t>PAL156</t>
  </si>
  <si>
    <t>KT727024</t>
  </si>
  <si>
    <t>Marine RNA virus PAL156 None</t>
  </si>
  <si>
    <t>AilV-A1</t>
  </si>
  <si>
    <t>MF327529</t>
  </si>
  <si>
    <t>aimelvirus 1 gpai001</t>
  </si>
  <si>
    <t>KP770140</t>
  </si>
  <si>
    <t>newt picornavirus [newt/2013/HUN]</t>
  </si>
  <si>
    <t>AnaV-A</t>
  </si>
  <si>
    <t>AY563023</t>
  </si>
  <si>
    <t>duck picornavirus TW90A</t>
  </si>
  <si>
    <t>Anativirus B</t>
  </si>
  <si>
    <t>2019.001S.zip</t>
  </si>
  <si>
    <t>KT880670</t>
  </si>
  <si>
    <t>Pf-CHK1/phV</t>
  </si>
  <si>
    <t>KF979333</t>
  </si>
  <si>
    <t>ChPV-2 44C (chicken picornavirus 2)</t>
  </si>
  <si>
    <t>KF979334</t>
  </si>
  <si>
    <t>ChPV-3 45C (chicken picornavirus 3)</t>
  </si>
  <si>
    <t>Boosepivirus</t>
  </si>
  <si>
    <t>Boosepivirus A</t>
  </si>
  <si>
    <t>2019.002S.zip</t>
  </si>
  <si>
    <t>LC006971</t>
  </si>
  <si>
    <t>Bo-11-39/2009/JPN</t>
  </si>
  <si>
    <t>Boosepivirus B</t>
  </si>
  <si>
    <t>LC036579</t>
  </si>
  <si>
    <t>Bo-12-3/2009/JPN</t>
  </si>
  <si>
    <t>Boosepivirus C</t>
  </si>
  <si>
    <t>LR216006</t>
  </si>
  <si>
    <t>England/2004/E1028-04</t>
  </si>
  <si>
    <t>BCV</t>
  </si>
  <si>
    <t>JQ864242</t>
  </si>
  <si>
    <t>Boone cardiovirus 1</t>
  </si>
  <si>
    <t>Cardiovirus D</t>
  </si>
  <si>
    <t>2019.003S.zip</t>
  </si>
  <si>
    <t>EF165067</t>
  </si>
  <si>
    <t>California/81</t>
  </si>
  <si>
    <t>Cardiovirus E</t>
  </si>
  <si>
    <t>KY432930</t>
  </si>
  <si>
    <t>RtMruf-PicoV/JL2014-1</t>
  </si>
  <si>
    <t>Cardiovirus F</t>
  </si>
  <si>
    <t>KY432929</t>
  </si>
  <si>
    <t>RtMrut-PicoV/JL2014-1</t>
  </si>
  <si>
    <t>FJ438907</t>
  </si>
  <si>
    <t>human cosavirus B1 [2263]</t>
  </si>
  <si>
    <t>FJ438908</t>
  </si>
  <si>
    <t>human cosavirus D1 [5004]</t>
  </si>
  <si>
    <t>FJ555055</t>
  </si>
  <si>
    <t>human cosavirus E1 [Australia/81]</t>
  </si>
  <si>
    <t>JN867758</t>
  </si>
  <si>
    <t>human cosavirus F1 [PK5006]</t>
  </si>
  <si>
    <t>Crahelivirus</t>
  </si>
  <si>
    <t>Crahelivirus A</t>
  </si>
  <si>
    <t>2019.004S.zip</t>
  </si>
  <si>
    <t>KY312540</t>
  </si>
  <si>
    <t>yc-1</t>
  </si>
  <si>
    <t>MF188967</t>
  </si>
  <si>
    <t>Hedgehog dicipivirus hedgehog/H14/2015/HUN</t>
  </si>
  <si>
    <t>Diresapivirus</t>
  </si>
  <si>
    <t>Diresapivirus A</t>
  </si>
  <si>
    <t>2019.005S.zip</t>
  </si>
  <si>
    <t>KJ641685</t>
  </si>
  <si>
    <t>BtRf-PicoV/YN2012</t>
  </si>
  <si>
    <t>Diresapivirus B</t>
  </si>
  <si>
    <t>KJ641697</t>
  </si>
  <si>
    <t>BtNv-PicoV-1/SC2013</t>
  </si>
  <si>
    <t>KP345887</t>
  </si>
  <si>
    <t>dromedary camel enterovirus 19CC</t>
  </si>
  <si>
    <t>Felipivirus</t>
  </si>
  <si>
    <t>Felipivirus A</t>
  </si>
  <si>
    <t>2019.006S.zip</t>
  </si>
  <si>
    <t>JN572115</t>
  </si>
  <si>
    <t>073F</t>
  </si>
  <si>
    <t>Fipivirus</t>
  </si>
  <si>
    <t>Fipivirus A</t>
  </si>
  <si>
    <t>2019.007S.zip</t>
  </si>
  <si>
    <t>MG600068</t>
  </si>
  <si>
    <t>DSYC36136</t>
  </si>
  <si>
    <t>Fipivirus B</t>
  </si>
  <si>
    <t>MG600069</t>
  </si>
  <si>
    <t>DSYC47507</t>
  </si>
  <si>
    <t>Fipivirus C</t>
  </si>
  <si>
    <t>MG600095</t>
  </si>
  <si>
    <t>XDXMC21480</t>
  </si>
  <si>
    <t>Fipivirus D</t>
  </si>
  <si>
    <t>MG600075</t>
  </si>
  <si>
    <t>LXMC375591</t>
  </si>
  <si>
    <t>Fipivirus E</t>
  </si>
  <si>
    <t>MG600070</t>
  </si>
  <si>
    <t>LXMC34076</t>
  </si>
  <si>
    <t>Gruhelivirus</t>
  </si>
  <si>
    <t>Gruhelivirus A</t>
  </si>
  <si>
    <t>KY312541</t>
  </si>
  <si>
    <t>yc-2</t>
  </si>
  <si>
    <t>Grusopivirus</t>
  </si>
  <si>
    <t>Grusopivirus A</t>
  </si>
  <si>
    <t>2019.008S.zip</t>
  </si>
  <si>
    <t>KY312544</t>
  </si>
  <si>
    <t>yc-5</t>
  </si>
  <si>
    <t>Grusopivirus B</t>
  </si>
  <si>
    <t>KY312545</t>
  </si>
  <si>
    <t>yc-6</t>
  </si>
  <si>
    <t>KP230449</t>
  </si>
  <si>
    <t>Falcovirus [kestrel/VOVE0622/2013/HUN]</t>
  </si>
  <si>
    <t>Hemipivirus</t>
  </si>
  <si>
    <t>Hemipivirus A</t>
  </si>
  <si>
    <t>2019.009S.zip</t>
  </si>
  <si>
    <t>MG600089</t>
  </si>
  <si>
    <t>LPXYC213122</t>
  </si>
  <si>
    <t>KR703607</t>
  </si>
  <si>
    <t>Phopivirus [New England/USA/2011]</t>
  </si>
  <si>
    <t>KT452742</t>
  </si>
  <si>
    <t>bat hepatovirus [SMG18520Minmav2014]</t>
  </si>
  <si>
    <t>KT452637</t>
  </si>
  <si>
    <t>rodent hepatovirus [RMU101637Micarv2010]</t>
  </si>
  <si>
    <t>KT452735</t>
  </si>
  <si>
    <t>rodent hepatovirus [CIV459Lopsik2004]</t>
  </si>
  <si>
    <t>KT452685</t>
  </si>
  <si>
    <t>rodent hepatovirus [KEF121Sigmas2012]</t>
  </si>
  <si>
    <t>KT452730</t>
  </si>
  <si>
    <t>bat hepatovirus [BUO2BF86Colafr2010]</t>
  </si>
  <si>
    <t>KT452691</t>
  </si>
  <si>
    <t>hedgehog hepatovirus [Igel8Erieur2014]</t>
  </si>
  <si>
    <t>KT452658</t>
  </si>
  <si>
    <t>shrew hepatovirus [KS121232Sorara2012]</t>
  </si>
  <si>
    <t>LC055961</t>
  </si>
  <si>
    <t>kagovirus 1 [Kagoshima-1-22-KoV/2014/Jpn]</t>
  </si>
  <si>
    <t>KT325853</t>
  </si>
  <si>
    <t>rabbit picornavirus [Rabbit01/2013/HUN]</t>
  </si>
  <si>
    <t>KJ641686</t>
  </si>
  <si>
    <t>bat kobuvirus [BtMr-PicoV/JX2010]</t>
  </si>
  <si>
    <t>KC935379</t>
  </si>
  <si>
    <t>SZAL6-KuV/2011/HUN</t>
  </si>
  <si>
    <t xml:space="preserve">BGPV-1 </t>
  </si>
  <si>
    <t>JX134222</t>
  </si>
  <si>
    <t>bluegill/USA/04-032/2003 (bluegill picornavirus 1)</t>
  </si>
  <si>
    <t xml:space="preserve">CPV-1 </t>
  </si>
  <si>
    <t>KF306267</t>
  </si>
  <si>
    <t>F37/06 (carp picornavirus 1)</t>
  </si>
  <si>
    <t xml:space="preserve">FHMPV-1 </t>
  </si>
  <si>
    <t>KF183915</t>
  </si>
  <si>
    <t>fhm/1/MN/USA/2010 (fathead minnow picornavirus 1)</t>
  </si>
  <si>
    <t>LivV-A</t>
  </si>
  <si>
    <t>KX463670</t>
  </si>
  <si>
    <t>livupivirus A1 newt/II-5-Pilis/2014/HUN</t>
  </si>
  <si>
    <t>Ludopivirus</t>
  </si>
  <si>
    <t>Ludopivirus A</t>
  </si>
  <si>
    <t>2019.010S.zip</t>
  </si>
  <si>
    <t>MF358731</t>
  </si>
  <si>
    <t>goose/NLSZK2/HUN/2013</t>
  </si>
  <si>
    <t>MalV-A1</t>
  </si>
  <si>
    <t>KM396707</t>
  </si>
  <si>
    <t>lesavirus 1 Mis101308/2012</t>
  </si>
  <si>
    <t>MalV-B1</t>
  </si>
  <si>
    <t>KM396708</t>
  </si>
  <si>
    <t>lesavirus 2 Nai108015/2012</t>
  </si>
  <si>
    <t>KP054273</t>
  </si>
  <si>
    <t>bat picornavirus BatPV/V1/13 Hun</t>
  </si>
  <si>
    <t>KP100644</t>
  </si>
  <si>
    <t>African bat icavirus PREDICT-06105</t>
  </si>
  <si>
    <t>MiV-D</t>
  </si>
  <si>
    <t>KY512802</t>
  </si>
  <si>
    <t>canine picornavirus A128thr</t>
  </si>
  <si>
    <t>Mosavirus B</t>
  </si>
  <si>
    <t>2019.011S.zip</t>
  </si>
  <si>
    <t>KY855435</t>
  </si>
  <si>
    <t>HT8</t>
  </si>
  <si>
    <t>Mupivirus</t>
  </si>
  <si>
    <t>Mupivirus A</t>
  </si>
  <si>
    <t>2019.012S.zip</t>
  </si>
  <si>
    <t>KY432924</t>
  </si>
  <si>
    <t>RtRn-PicoV/YN2014</t>
  </si>
  <si>
    <t>Myrropivirus</t>
  </si>
  <si>
    <t>Myrropivirus A</t>
  </si>
  <si>
    <t>MG600081</t>
  </si>
  <si>
    <t>LPSF20501</t>
  </si>
  <si>
    <t>Parabovirus</t>
  </si>
  <si>
    <t>Parabovirus A</t>
  </si>
  <si>
    <t>2019.013S.zip</t>
  </si>
  <si>
    <t>MF352412</t>
  </si>
  <si>
    <t>Longwan-Rn37</t>
  </si>
  <si>
    <t>Parabovirus B</t>
  </si>
  <si>
    <t>KY432927</t>
  </si>
  <si>
    <t>RtCb-PicoV/HeB2014</t>
  </si>
  <si>
    <t>Parabovirus C</t>
  </si>
  <si>
    <t>KY432933</t>
  </si>
  <si>
    <t>RtNn-PicoV/HuB2015-1</t>
  </si>
  <si>
    <t>HF677705</t>
  </si>
  <si>
    <t>Sebokele virus 1 An/B/1227/d</t>
  </si>
  <si>
    <t>KF006989</t>
  </si>
  <si>
    <t>ferret parechovirus MpPeV1</t>
  </si>
  <si>
    <t>Parechovirus E</t>
  </si>
  <si>
    <t>2019.014S.zip</t>
  </si>
  <si>
    <t>KY645497</t>
  </si>
  <si>
    <t>falcon/HA18-080/2014/HUN</t>
  </si>
  <si>
    <t>Parechovirus F</t>
  </si>
  <si>
    <t>MG600084</t>
  </si>
  <si>
    <t>LPWC210215</t>
  </si>
  <si>
    <t>PasV-B</t>
  </si>
  <si>
    <t>MF977321</t>
  </si>
  <si>
    <t>waxbill passerivirus waxbill/DB01/HUN/2014</t>
  </si>
  <si>
    <t>Pemapivirus</t>
  </si>
  <si>
    <t>Pemapivirus A</t>
  </si>
  <si>
    <t>MG600108</t>
  </si>
  <si>
    <t>WHWGC151314</t>
  </si>
  <si>
    <t>PoeV-A</t>
  </si>
  <si>
    <t>KU977108</t>
  </si>
  <si>
    <t>poecivirus BCCH-449</t>
  </si>
  <si>
    <t>KC843627</t>
  </si>
  <si>
    <t>F15/05 (eel picornavirus 1)</t>
  </si>
  <si>
    <t>Potamipivirus B</t>
  </si>
  <si>
    <t>2019.015S.zip</t>
  </si>
  <si>
    <t>MK189163</t>
  </si>
  <si>
    <t>TSPV</t>
  </si>
  <si>
    <t>KP233897</t>
  </si>
  <si>
    <t>rabovirus [Berlin/Jan2011/0572]</t>
  </si>
  <si>
    <t>RaBoV-B1</t>
  </si>
  <si>
    <t>KY432926</t>
  </si>
  <si>
    <t>rabovirus B1 RtMp-PicoV/YN2014</t>
  </si>
  <si>
    <t>RaBoV-C1</t>
  </si>
  <si>
    <t>KY855432</t>
  </si>
  <si>
    <t>rabovirus C1 HT5</t>
  </si>
  <si>
    <t>RaBoV-D1</t>
  </si>
  <si>
    <t>MF175072</t>
  </si>
  <si>
    <t>rabovirus D1 MPV/NYC/2014/M005/0074</t>
  </si>
  <si>
    <t>RaV-A</t>
  </si>
  <si>
    <t>KJ415177</t>
  </si>
  <si>
    <t>tortoise rafivirus UF4</t>
  </si>
  <si>
    <t>RaV-B</t>
  </si>
  <si>
    <t>MG600090</t>
  </si>
  <si>
    <t>Hainan gekko similignum picornavirus PXYC222841</t>
  </si>
  <si>
    <t>Rafivirus C</t>
  </si>
  <si>
    <t>2019.016S.zip</t>
  </si>
  <si>
    <t>MG967619</t>
  </si>
  <si>
    <t>cane toad/AU1/Australia/2017</t>
  </si>
  <si>
    <t>Rohelivirus</t>
  </si>
  <si>
    <t>Rohelivirus A</t>
  </si>
  <si>
    <t>2019.017S.zip</t>
  </si>
  <si>
    <t>KX156153</t>
  </si>
  <si>
    <t>rodent/Ds-PicV/IM2014</t>
  </si>
  <si>
    <t>RoV-B</t>
  </si>
  <si>
    <t>KX783423</t>
  </si>
  <si>
    <t>Norway rat rosavirus RNCW0602091R</t>
  </si>
  <si>
    <t>RoV-C</t>
  </si>
  <si>
    <t>KX783424</t>
  </si>
  <si>
    <t>rat rosavirus RASK8F</t>
  </si>
  <si>
    <t>KF387721</t>
  </si>
  <si>
    <t>feline sakobuvirus 1, FFUP1/Portugal/2012</t>
  </si>
  <si>
    <t>KF741227</t>
  </si>
  <si>
    <t>chicken/UCC001/Eire (sicinivirus 1)</t>
  </si>
  <si>
    <t>Symapivirus</t>
  </si>
  <si>
    <t>Symapivirus A</t>
  </si>
  <si>
    <t>MG600076</t>
  </si>
  <si>
    <t>XYHYC185246</t>
  </si>
  <si>
    <t>Teschovirus B</t>
  </si>
  <si>
    <t>2019.018S.zip</t>
  </si>
  <si>
    <t>MG875515</t>
  </si>
  <si>
    <t>HuN41</t>
  </si>
  <si>
    <t>KM873611</t>
  </si>
  <si>
    <t>tortoise picornavirus [14/04]</t>
  </si>
  <si>
    <t>TotV-A1</t>
  </si>
  <si>
    <t>LC113907</t>
  </si>
  <si>
    <t>swine picornavirus Japan Tottori-WOL</t>
  </si>
  <si>
    <t>Tremovirus B</t>
  </si>
  <si>
    <t>2019.019S.zip</t>
  </si>
  <si>
    <t>KY432472</t>
  </si>
  <si>
    <t>CNSR2011</t>
  </si>
  <si>
    <t>Tropivirus</t>
  </si>
  <si>
    <t>Tropivirus A</t>
  </si>
  <si>
    <t>MG600091</t>
  </si>
  <si>
    <t>ZGLXR119682</t>
  </si>
  <si>
    <t>RNA2: L16239</t>
  </si>
  <si>
    <t>C</t>
  </si>
  <si>
    <t>RNA1: AF394606, RNA2: AF394607</t>
  </si>
  <si>
    <t>K-Hancock1</t>
  </si>
  <si>
    <t>RNA2: FJ028650</t>
  </si>
  <si>
    <t>LOEWE cat no. 07013PC</t>
  </si>
  <si>
    <t>RNA1: GU810903, RNA2: GU810904</t>
  </si>
  <si>
    <t xml:space="preserve">EV-11 </t>
  </si>
  <si>
    <t>RNA1: X00206, RNA2: X00729</t>
  </si>
  <si>
    <t>van Wezenbeek</t>
  </si>
  <si>
    <t>RNA1: M83830, RNA2: M83309</t>
  </si>
  <si>
    <t>Chen</t>
  </si>
  <si>
    <t>RNA1: AB295643, RNA2: AB295644</t>
  </si>
  <si>
    <t>RNA1: X64886, RNA2: M14913</t>
  </si>
  <si>
    <t>Shanks</t>
  </si>
  <si>
    <t>RNA1: EU421059, RNA2: EU421060</t>
  </si>
  <si>
    <t xml:space="preserve">CH 99/211 </t>
  </si>
  <si>
    <t>RNA1: AB084450, RNA2: AB084451</t>
  </si>
  <si>
    <t>ATCC PV132</t>
  </si>
  <si>
    <t>RNA1: AF225953, RNA2: AF225954</t>
  </si>
  <si>
    <t>ME</t>
  </si>
  <si>
    <t>RNA1: AB084452, RNA2: AB084453</t>
  </si>
  <si>
    <t>N-1</t>
  </si>
  <si>
    <t>RNA1: KC595304, RNA2: KC595305</t>
  </si>
  <si>
    <t xml:space="preserve">DSMZ PV-0454 </t>
  </si>
  <si>
    <t>RNA1 (JX304792) full, RNA2 (JQ670669) full</t>
  </si>
  <si>
    <t>Scafati-2011</t>
  </si>
  <si>
    <t>RNA1: AY303786, RNA2: AY017339</t>
  </si>
  <si>
    <t>NW</t>
  </si>
  <si>
    <t>RNA1: D00322, RNA2: X04062</t>
  </si>
  <si>
    <t>Tomato black ring -S</t>
  </si>
  <si>
    <t>RNA1: AF368272, RNA2: AF020051</t>
  </si>
  <si>
    <t>Latvala</t>
  </si>
  <si>
    <t>RNA1: AB649296, RNA2: AB649297</t>
  </si>
  <si>
    <t xml:space="preserve">Japan:Iwate, Takizawa-mura </t>
  </si>
  <si>
    <t>RNA1: FR851461, RNA2: FR851462</t>
  </si>
  <si>
    <t xml:space="preserve">E395 </t>
  </si>
  <si>
    <t>RNA1: AB073147, RNA2: AB073148</t>
  </si>
  <si>
    <t>Iwanami</t>
  </si>
  <si>
    <t>RNA1: HE774604, RNA2: AY291207</t>
  </si>
  <si>
    <t xml:space="preserve">A34 </t>
  </si>
  <si>
    <t>RNA1: FN691934, RNA2: FN691935</t>
  </si>
  <si>
    <t xml:space="preserve">Serb1 </t>
  </si>
  <si>
    <t>RNA1: X15346, RNA2: X15163</t>
  </si>
  <si>
    <t>Brault</t>
  </si>
  <si>
    <t>RNA1: HE613269, RNA2: AY291208</t>
  </si>
  <si>
    <t xml:space="preserve">N66 </t>
  </si>
  <si>
    <t>RNA1: D00915, RNA2: X16907</t>
  </si>
  <si>
    <t>F13</t>
  </si>
  <si>
    <t>RNA1: AB518485, RNA2: AB518486</t>
  </si>
  <si>
    <t xml:space="preserve">Japan:Tottori </t>
  </si>
  <si>
    <t>RNA1 (KC904083) full, RNA2 (KC904084) full</t>
  </si>
  <si>
    <t>zj</t>
  </si>
  <si>
    <t>RNA2: AJ277435</t>
  </si>
  <si>
    <t>RNA1: AF016626</t>
  </si>
  <si>
    <t>Michigan grapevine</t>
  </si>
  <si>
    <t>RNA1: KC832887, RNA2: KC832892</t>
  </si>
  <si>
    <t xml:space="preserve">PRI-Ec </t>
  </si>
  <si>
    <t>RNA1: AY303787, RNA2: AY303788</t>
  </si>
  <si>
    <t>RNA1: KJ556849, RNA2: KJ556850</t>
  </si>
  <si>
    <t xml:space="preserve">SK </t>
  </si>
  <si>
    <t>RNA1: AY157993, RNA2: AY157994</t>
  </si>
  <si>
    <t>MJ</t>
  </si>
  <si>
    <t>RNA1: L19655, RNA2: D12477</t>
  </si>
  <si>
    <t>Raspberry</t>
  </si>
  <si>
    <t>RNA1: AB030940, RNA2: AB030941</t>
  </si>
  <si>
    <t>RNA1: JQ437415, RNA2: JQ581051</t>
  </si>
  <si>
    <t xml:space="preserve">Peru </t>
  </si>
  <si>
    <t>RNA1: AJ621357, RNA2: AJ621358</t>
  </si>
  <si>
    <t>RNA1:KT692952,RNA2:KT692953</t>
  </si>
  <si>
    <t xml:space="preserve">currant latent virus isolate Hol 9/6 </t>
  </si>
  <si>
    <t>Cholivirus</t>
  </si>
  <si>
    <t>2019.008P.zip</t>
  </si>
  <si>
    <t>CLVA</t>
  </si>
  <si>
    <t>JN052073; JN052074</t>
  </si>
  <si>
    <t>CLVA-KP2</t>
  </si>
  <si>
    <t>DMaV</t>
  </si>
  <si>
    <t>KU215538; KU215539</t>
  </si>
  <si>
    <t>DMaV-goiana</t>
  </si>
  <si>
    <t>Satsumavirus</t>
  </si>
  <si>
    <t>SDV</t>
  </si>
  <si>
    <t>AB009958; AB009959</t>
  </si>
  <si>
    <t>SDV-S58</t>
  </si>
  <si>
    <t>Stramovirus</t>
  </si>
  <si>
    <t>DQ344639; DQ344640</t>
  </si>
  <si>
    <t>BRNV-Alyth</t>
  </si>
  <si>
    <t>SMoV</t>
  </si>
  <si>
    <t>AJ311875; AJ311876</t>
  </si>
  <si>
    <t>SMoV-NsPer3</t>
  </si>
  <si>
    <t>EU980442</t>
  </si>
  <si>
    <t xml:space="preserve">Anthriscus </t>
  </si>
  <si>
    <t>D14066</t>
  </si>
  <si>
    <t>P121</t>
  </si>
  <si>
    <t>RNA1 KF533719 (partial), RNA2 KF533720 (partial)</t>
  </si>
  <si>
    <t>H6</t>
  </si>
  <si>
    <t>LNLCV</t>
  </si>
  <si>
    <t>RNA1: KC855266, RNA2: KC855267</t>
  </si>
  <si>
    <t>RNA1 KM229700 (full), RNA2 KM229701 (full)</t>
  </si>
  <si>
    <t>AD01</t>
  </si>
  <si>
    <t>RNA1:KU052530,RNA2:KU052531</t>
  </si>
  <si>
    <t xml:space="preserve">squash chlorotic leaf spot virus isolate Su12-10 </t>
  </si>
  <si>
    <t>RNA1: EF681764, RNA2: EF681765</t>
  </si>
  <si>
    <t xml:space="preserve">PRI-TMarV0601 </t>
  </si>
  <si>
    <t>RNA1: DQ388879, RNA2: DQ388880</t>
  </si>
  <si>
    <t xml:space="preserve">PRI-ToTV0301 </t>
  </si>
  <si>
    <t>KT238881</t>
  </si>
  <si>
    <t xml:space="preserve">bellflower vein chlorosis virus isolate CT1 </t>
  </si>
  <si>
    <t>U67839</t>
  </si>
  <si>
    <t>M95497</t>
  </si>
  <si>
    <t>Shen</t>
  </si>
  <si>
    <t>RNA1: AY860978, RNA2: AY860979</t>
  </si>
  <si>
    <t>NCGR MEN 454.001</t>
  </si>
  <si>
    <t>FJ528584</t>
  </si>
  <si>
    <t>Solenopsis invicta virus 3 DM/USA/2007</t>
  </si>
  <si>
    <t>KX024775</t>
  </si>
  <si>
    <t>Nylanderia fulva virus 1 Florida/USA/2011</t>
  </si>
  <si>
    <t>Sobelivirales</t>
  </si>
  <si>
    <t>AB218608</t>
  </si>
  <si>
    <t>HcRNAV34</t>
  </si>
  <si>
    <t>U07551</t>
  </si>
  <si>
    <t>LF-1</t>
  </si>
  <si>
    <t>AJ867490</t>
  </si>
  <si>
    <t>JN620802</t>
  </si>
  <si>
    <t>Switzerland</t>
  </si>
  <si>
    <t>L40905</t>
  </si>
  <si>
    <t>Russia</t>
  </si>
  <si>
    <t>LC019764</t>
  </si>
  <si>
    <t>Cym92-20</t>
  </si>
  <si>
    <t>AM990928</t>
  </si>
  <si>
    <t xml:space="preserve">Burkina Faso:South West Burkina Faso </t>
  </si>
  <si>
    <t>U31286</t>
  </si>
  <si>
    <t>New Zealand</t>
  </si>
  <si>
    <t>JX123318</t>
  </si>
  <si>
    <t>L20893</t>
  </si>
  <si>
    <t>Ivory Coast</t>
  </si>
  <si>
    <t>KC577469</t>
  </si>
  <si>
    <t>Nigeria</t>
  </si>
  <si>
    <t>AB040446</t>
  </si>
  <si>
    <t>AY004291</t>
  </si>
  <si>
    <t>Lokesh</t>
  </si>
  <si>
    <t>AF055887</t>
  </si>
  <si>
    <t>bean strain B</t>
  </si>
  <si>
    <t>M23021</t>
  </si>
  <si>
    <t>Wu</t>
  </si>
  <si>
    <t>AM940437</t>
  </si>
  <si>
    <t xml:space="preserve">United Kingdom:Scotland, Tayside </t>
  </si>
  <si>
    <t>JF495127</t>
  </si>
  <si>
    <t>AF208001</t>
  </si>
  <si>
    <t>p23</t>
  </si>
  <si>
    <t>AY177608</t>
  </si>
  <si>
    <t>Callaway</t>
  </si>
  <si>
    <t>HM754263</t>
  </si>
  <si>
    <t xml:space="preserve">K1 </t>
  </si>
  <si>
    <t>Stelpaviricetes</t>
  </si>
  <si>
    <t>Patatavirales</t>
  </si>
  <si>
    <t>Arepavirus</t>
  </si>
  <si>
    <t>Areca palm necrotic ringspot virus</t>
  </si>
  <si>
    <t>2019.019P.zip</t>
  </si>
  <si>
    <t>ANRSV</t>
  </si>
  <si>
    <t>MH395371</t>
  </si>
  <si>
    <t>XC1</t>
  </si>
  <si>
    <t>Areca palm necrotic spindle-spot virus</t>
  </si>
  <si>
    <t>ANSSV</t>
  </si>
  <si>
    <t>MH330686</t>
  </si>
  <si>
    <t>HNBT</t>
  </si>
  <si>
    <t>AY994084</t>
  </si>
  <si>
    <t>Arkansas 3</t>
  </si>
  <si>
    <t>RNA1:Y10973, RNA2:X90904</t>
  </si>
  <si>
    <t>UK-F</t>
  </si>
  <si>
    <t>RNA1:AJ132268, RNA2:AJ132269</t>
  </si>
  <si>
    <t>China: Yancheng</t>
  </si>
  <si>
    <t>RNA1:AJ306718, RNA2:AJ306719</t>
  </si>
  <si>
    <t>UK Cranbrook</t>
  </si>
  <si>
    <t>RNA1:D86634, RNA2:D86635</t>
  </si>
  <si>
    <t>Celavirus</t>
  </si>
  <si>
    <t>Celery latent virus</t>
  </si>
  <si>
    <t>2019.020P.zip</t>
  </si>
  <si>
    <t>CeLV</t>
  </si>
  <si>
    <t>MH932227</t>
  </si>
  <si>
    <t>Ag097</t>
  </si>
  <si>
    <t>GQ329864</t>
  </si>
  <si>
    <t>Kiabakan</t>
  </si>
  <si>
    <t>AY578085</t>
  </si>
  <si>
    <t>ALM32</t>
  </si>
  <si>
    <t>EU259611</t>
  </si>
  <si>
    <t xml:space="preserve">Florida </t>
  </si>
  <si>
    <t>Z73124</t>
  </si>
  <si>
    <t>Colinet</t>
  </si>
  <si>
    <t>HE600072</t>
  </si>
  <si>
    <t xml:space="preserve">Ethiopia </t>
  </si>
  <si>
    <t>FJ039520</t>
  </si>
  <si>
    <t xml:space="preserve">MLB3 </t>
  </si>
  <si>
    <t>Alpinia oxyphylla mosaic virus</t>
  </si>
  <si>
    <t>2019.017P.zip</t>
  </si>
  <si>
    <t>AloMV</t>
  </si>
  <si>
    <t>MG978107</t>
  </si>
  <si>
    <t>Alpo</t>
  </si>
  <si>
    <t>KU053507</t>
  </si>
  <si>
    <t>broad-leafed dock virus A isolate ab032 Auckland</t>
  </si>
  <si>
    <t>AB710145</t>
  </si>
  <si>
    <t xml:space="preserve">PES3 </t>
  </si>
  <si>
    <t>KT724961</t>
  </si>
  <si>
    <t>yam chlorotic mosaic virus isolate YS</t>
  </si>
  <si>
    <t>Yam chlorotic necrosis virus</t>
  </si>
  <si>
    <t>YCNV</t>
  </si>
  <si>
    <t>MG755240</t>
  </si>
  <si>
    <t>Y-Jish</t>
  </si>
  <si>
    <t>JX156425</t>
  </si>
  <si>
    <t>KP1</t>
  </si>
  <si>
    <t>GQ388116</t>
  </si>
  <si>
    <t xml:space="preserve">PAK </t>
  </si>
  <si>
    <t>FJ263671</t>
  </si>
  <si>
    <t xml:space="preserve">U06-123 </t>
  </si>
  <si>
    <t>AEMV</t>
  </si>
  <si>
    <t>MF997470</t>
  </si>
  <si>
    <t>African eggplant mosaic virus 2013-281</t>
  </si>
  <si>
    <t>EU410442</t>
  </si>
  <si>
    <t xml:space="preserve">H4 </t>
  </si>
  <si>
    <t>HM363516</t>
  </si>
  <si>
    <t xml:space="preserve">Ce </t>
  </si>
  <si>
    <t>DQ925486</t>
  </si>
  <si>
    <t xml:space="preserve">C-17 </t>
  </si>
  <si>
    <t>KJ830760</t>
  </si>
  <si>
    <t xml:space="preserve">DSMZ PV-0954 </t>
  </si>
  <si>
    <t>DQ851496</t>
  </si>
  <si>
    <t>Philippines</t>
  </si>
  <si>
    <t>DQ851494</t>
  </si>
  <si>
    <t>Vietnam Haiphong</t>
  </si>
  <si>
    <t>AY138897</t>
  </si>
  <si>
    <t>Washington</t>
  </si>
  <si>
    <t>U34972</t>
  </si>
  <si>
    <t>P2</t>
  </si>
  <si>
    <t>U47033</t>
  </si>
  <si>
    <t>AY206394</t>
  </si>
  <si>
    <t>Wa</t>
  </si>
  <si>
    <t>KF649336</t>
  </si>
  <si>
    <t xml:space="preserve">SP01 </t>
  </si>
  <si>
    <t>EU250210</t>
  </si>
  <si>
    <t xml:space="preserve">B12 </t>
  </si>
  <si>
    <t>JN052072</t>
  </si>
  <si>
    <t>JX867236</t>
  </si>
  <si>
    <t xml:space="preserve">Korea-DJ </t>
  </si>
  <si>
    <t>AB551370</t>
  </si>
  <si>
    <t>BR-Campinas</t>
  </si>
  <si>
    <t>EF105297</t>
  </si>
  <si>
    <t xml:space="preserve">m19 </t>
  </si>
  <si>
    <t>GQ421689</t>
  </si>
  <si>
    <t>JX156434</t>
  </si>
  <si>
    <t xml:space="preserve">CTLV-Cs </t>
  </si>
  <si>
    <t>KP742991</t>
  </si>
  <si>
    <t>Welwitchia</t>
  </si>
  <si>
    <t>HQ676607</t>
  </si>
  <si>
    <t>JN008909</t>
  </si>
  <si>
    <t xml:space="preserve">HN/14 </t>
  </si>
  <si>
    <t>AJ237843</t>
  </si>
  <si>
    <t>India pepper vein banding virus</t>
  </si>
  <si>
    <t>AB011819</t>
  </si>
  <si>
    <t>AF499738</t>
  </si>
  <si>
    <t>Goetz &amp; Maiss</t>
  </si>
  <si>
    <t>JQ801448</t>
  </si>
  <si>
    <t>AF348210</t>
  </si>
  <si>
    <t>Zimbabwe</t>
  </si>
  <si>
    <t>CVBV</t>
  </si>
  <si>
    <t>KY657266</t>
  </si>
  <si>
    <t>cucurbit vein banding virus 3.1</t>
  </si>
  <si>
    <t>JQ723475</t>
  </si>
  <si>
    <t xml:space="preserve">Marijiniup 7 </t>
  </si>
  <si>
    <t>DQ299908</t>
  </si>
  <si>
    <t>Czech Republic</t>
  </si>
  <si>
    <t>AJ298033</t>
  </si>
  <si>
    <t>China M13</t>
  </si>
  <si>
    <t>Dendrobium chlorotic mosaic virus</t>
  </si>
  <si>
    <t>2019.016P.zip</t>
  </si>
  <si>
    <t>DeCMV</t>
  </si>
  <si>
    <t>MK241979</t>
  </si>
  <si>
    <t>98-De-31</t>
  </si>
  <si>
    <t>Dioscorea mosaic virus</t>
  </si>
  <si>
    <t>DMV</t>
  </si>
  <si>
    <t>MH206616</t>
  </si>
  <si>
    <t>FL</t>
  </si>
  <si>
    <t>JX156422</t>
  </si>
  <si>
    <t>SW3.1</t>
  </si>
  <si>
    <t>East Asian Passiflora distortion virus</t>
  </si>
  <si>
    <t>EAPDV</t>
  </si>
  <si>
    <t>LC379162</t>
  </si>
  <si>
    <t>AK</t>
  </si>
  <si>
    <t>AB246773</t>
  </si>
  <si>
    <t xml:space="preserve">AO </t>
  </si>
  <si>
    <t>FM206346</t>
  </si>
  <si>
    <t>AM039800</t>
  </si>
  <si>
    <t>China Pan'an</t>
  </si>
  <si>
    <t>EF427894</t>
  </si>
  <si>
    <t xml:space="preserve">CB </t>
  </si>
  <si>
    <t>Gomphocarpus mosaic virus</t>
  </si>
  <si>
    <t>GoMV</t>
  </si>
  <si>
    <t>LC228573</t>
  </si>
  <si>
    <t>CM532</t>
  </si>
  <si>
    <t>AB818538</t>
  </si>
  <si>
    <t xml:space="preserve">Ha-1 </t>
  </si>
  <si>
    <t>HQ161081</t>
  </si>
  <si>
    <t xml:space="preserve">HarMV-57.2 </t>
  </si>
  <si>
    <t>JQ395040</t>
  </si>
  <si>
    <t xml:space="preserve">Marijiniup 1 </t>
  </si>
  <si>
    <t>AB016500</t>
  </si>
  <si>
    <t>KT222674</t>
  </si>
  <si>
    <t>jasmine virus T isolate FZ</t>
  </si>
  <si>
    <t>Z26920</t>
  </si>
  <si>
    <t>Gough &amp; Shukla</t>
  </si>
  <si>
    <t>JF838187</t>
  </si>
  <si>
    <t xml:space="preserve">Cheongwon </t>
  </si>
  <si>
    <t>AB219545</t>
  </si>
  <si>
    <t xml:space="preserve">KoMV-F </t>
  </si>
  <si>
    <t>AJ307057</t>
  </si>
  <si>
    <t>China Yuhang</t>
  </si>
  <si>
    <t>KP769852</t>
  </si>
  <si>
    <t>lettuce Italian necrotic virus isolate I234</t>
  </si>
  <si>
    <t>X97704</t>
  </si>
  <si>
    <t>AJ564636</t>
  </si>
  <si>
    <t>Sorbonne</t>
  </si>
  <si>
    <t>Lily virus Y</t>
  </si>
  <si>
    <t>LVY</t>
  </si>
  <si>
    <t>MF543013</t>
  </si>
  <si>
    <t>lily-bua</t>
  </si>
  <si>
    <t>EU847625</t>
  </si>
  <si>
    <t xml:space="preserve">LU2 </t>
  </si>
  <si>
    <t>AJ001691</t>
  </si>
  <si>
    <t>Bulgaria</t>
  </si>
  <si>
    <t>Mashua virus Y</t>
  </si>
  <si>
    <t>MasVY</t>
  </si>
  <si>
    <t>MH680824</t>
  </si>
  <si>
    <t>Cam</t>
  </si>
  <si>
    <t>MeRV</t>
  </si>
  <si>
    <t>MF953305</t>
  </si>
  <si>
    <t>Mediterranean ruda virus ParP17</t>
  </si>
  <si>
    <t>EF579955</t>
  </si>
  <si>
    <t xml:space="preserve">TN05-76 </t>
  </si>
  <si>
    <t>AM182028</t>
  </si>
  <si>
    <t>Zhangzhou</t>
  </si>
  <si>
    <t>JQ326210</t>
  </si>
  <si>
    <t xml:space="preserve">China:Fujian, Zhangzhou </t>
  </si>
  <si>
    <t>AM158908</t>
  </si>
  <si>
    <t>AJ510223</t>
  </si>
  <si>
    <t>JQ807995</t>
  </si>
  <si>
    <t xml:space="preserve">SW3.1 </t>
  </si>
  <si>
    <t>GQ916624</t>
  </si>
  <si>
    <t>China 2</t>
  </si>
  <si>
    <t>AB088221</t>
  </si>
  <si>
    <t>P</t>
  </si>
  <si>
    <t>AY010722</t>
  </si>
  <si>
    <t>Thailand W</t>
  </si>
  <si>
    <t>PMNV</t>
  </si>
  <si>
    <t>MF509898</t>
  </si>
  <si>
    <t>Paris mosaic necrosis virus PMNV-cn</t>
  </si>
  <si>
    <t>HQ122652</t>
  </si>
  <si>
    <t xml:space="preserve">Australia MU2 </t>
  </si>
  <si>
    <t>D10930</t>
  </si>
  <si>
    <t>DPD1</t>
  </si>
  <si>
    <t>AF023848</t>
  </si>
  <si>
    <t>M</t>
  </si>
  <si>
    <t>AY642590</t>
  </si>
  <si>
    <t>China B</t>
  </si>
  <si>
    <t>AF501591</t>
  </si>
  <si>
    <t>AM181350</t>
  </si>
  <si>
    <t>DQ645484</t>
  </si>
  <si>
    <t>AB541985</t>
  </si>
  <si>
    <t>strain DF, isolate Pi-15</t>
  </si>
  <si>
    <t>AJ516010</t>
  </si>
  <si>
    <t>PPK11</t>
  </si>
  <si>
    <t>Platycodon mild mottle virus</t>
  </si>
  <si>
    <t>PlaMMV</t>
  </si>
  <si>
    <t>MH779625</t>
  </si>
  <si>
    <t>Okcheon</t>
  </si>
  <si>
    <t>X16415</t>
  </si>
  <si>
    <t>JQ609095</t>
  </si>
  <si>
    <t xml:space="preserve">USA PA </t>
  </si>
  <si>
    <t>AF543212</t>
  </si>
  <si>
    <t>Ui</t>
  </si>
  <si>
    <t>AJ243766</t>
  </si>
  <si>
    <t>DV42</t>
  </si>
  <si>
    <t>X12456</t>
  </si>
  <si>
    <t>French N</t>
  </si>
  <si>
    <t>Potato yellow blotch virus</t>
  </si>
  <si>
    <t>PYBV</t>
  </si>
  <si>
    <t>JX294310</t>
  </si>
  <si>
    <t>QV276</t>
  </si>
  <si>
    <t>SaLV</t>
  </si>
  <si>
    <t>KY562565</t>
  </si>
  <si>
    <t>saffron latent virus Ir-Kh1</t>
  </si>
  <si>
    <t>AJ316084</t>
  </si>
  <si>
    <t>China Hangzhou</t>
  </si>
  <si>
    <t>AJ865076</t>
  </si>
  <si>
    <t>China ZQ2</t>
  </si>
  <si>
    <t>AJ310197</t>
  </si>
  <si>
    <t>China XS</t>
  </si>
  <si>
    <t>D00507</t>
  </si>
  <si>
    <t>N</t>
  </si>
  <si>
    <t>SuWMV</t>
  </si>
  <si>
    <t>KY623505</t>
  </si>
  <si>
    <t>Sudan watermelon mosaic virus Su94-54</t>
  </si>
  <si>
    <t>AJ297628</t>
  </si>
  <si>
    <t>China HZ</t>
  </si>
  <si>
    <t>GU181199</t>
  </si>
  <si>
    <t xml:space="preserve">Common (C) </t>
  </si>
  <si>
    <t>JQ350738</t>
  </si>
  <si>
    <t>Entre Rios</t>
  </si>
  <si>
    <t>D86371</t>
  </si>
  <si>
    <t>KC443039</t>
  </si>
  <si>
    <t>JN613807</t>
  </si>
  <si>
    <t xml:space="preserve">GWB-2 </t>
  </si>
  <si>
    <t>AB509453</t>
  </si>
  <si>
    <t>Bungo</t>
  </si>
  <si>
    <t>JN613805</t>
  </si>
  <si>
    <t xml:space="preserve">GWB-G </t>
  </si>
  <si>
    <t>KM523548</t>
  </si>
  <si>
    <t>DQ851493</t>
  </si>
  <si>
    <t>Vietnam Hanoi</t>
  </si>
  <si>
    <t>AJ851866</t>
  </si>
  <si>
    <t>China Ningbo</t>
  </si>
  <si>
    <t>M11458</t>
  </si>
  <si>
    <t>HAT</t>
  </si>
  <si>
    <t>EF219408</t>
  </si>
  <si>
    <t xml:space="preserve">China YND </t>
  </si>
  <si>
    <t>X04083</t>
  </si>
  <si>
    <t>JQ314463</t>
  </si>
  <si>
    <t xml:space="preserve">MX9354 </t>
  </si>
  <si>
    <t>AF169561</t>
  </si>
  <si>
    <t>UK1</t>
  </si>
  <si>
    <t>KF906523</t>
  </si>
  <si>
    <t>VDMV-Cor</t>
  </si>
  <si>
    <t>EU564817</t>
  </si>
  <si>
    <t xml:space="preserve">Michigan </t>
  </si>
  <si>
    <t>AY437609</t>
  </si>
  <si>
    <t>WMVBV</t>
  </si>
  <si>
    <t>KY623506</t>
  </si>
  <si>
    <t>wild melon banding virus Su03-07</t>
  </si>
  <si>
    <t>AJ437279</t>
  </si>
  <si>
    <t>DQ851495</t>
  </si>
  <si>
    <t>Vietnam Laichau</t>
  </si>
  <si>
    <t>AY656816</t>
  </si>
  <si>
    <t>China Beijing</t>
  </si>
  <si>
    <t>JX470965</t>
  </si>
  <si>
    <t>U42596</t>
  </si>
  <si>
    <t>JN190431</t>
  </si>
  <si>
    <t>Peru SR</t>
  </si>
  <si>
    <t>AY626825</t>
  </si>
  <si>
    <t>TW</t>
  </si>
  <si>
    <t>JQ692088</t>
  </si>
  <si>
    <t xml:space="preserve">Shz </t>
  </si>
  <si>
    <t>KU355553</t>
  </si>
  <si>
    <t>zucchini shoestring virus isolate RSA Patty Pan</t>
  </si>
  <si>
    <t>KC345605</t>
  </si>
  <si>
    <t xml:space="preserve">Q10 </t>
  </si>
  <si>
    <t>AJ307036</t>
  </si>
  <si>
    <t>Hangzhou CU</t>
  </si>
  <si>
    <t>Passiflora edulis symptomless virus</t>
  </si>
  <si>
    <t>2019.018P.zip</t>
  </si>
  <si>
    <t>PeSV</t>
  </si>
  <si>
    <t>MH379332</t>
  </si>
  <si>
    <t>PeSV-Rehovot</t>
  </si>
  <si>
    <t>JF280796</t>
  </si>
  <si>
    <t xml:space="preserve">Minnesota </t>
  </si>
  <si>
    <t>AY623626</t>
  </si>
  <si>
    <t>ND402</t>
  </si>
  <si>
    <t>AY623627</t>
  </si>
  <si>
    <t>ATCC PV81</t>
  </si>
  <si>
    <t>Y09854</t>
  </si>
  <si>
    <t>Z48506</t>
  </si>
  <si>
    <t>AY377938</t>
  </si>
  <si>
    <t>Type-NE</t>
  </si>
  <si>
    <t>TOgMV</t>
  </si>
  <si>
    <t>KF260962</t>
  </si>
  <si>
    <t xml:space="preserve">Benesov </t>
  </si>
  <si>
    <t>EF608612</t>
  </si>
  <si>
    <t xml:space="preserve">Iran </t>
  </si>
  <si>
    <t>AF057533</t>
  </si>
  <si>
    <t>Sidney 81</t>
  </si>
  <si>
    <t>KF984546</t>
  </si>
  <si>
    <t xml:space="preserve">Sb </t>
  </si>
  <si>
    <t>CRCSV</t>
  </si>
  <si>
    <t>KY612317</t>
  </si>
  <si>
    <t>common reed chlorotic stripe virus Tianshui</t>
  </si>
  <si>
    <t>LWBD</t>
  </si>
  <si>
    <t>KY649478</t>
  </si>
  <si>
    <t>longan witches' broom-associated virus Han1</t>
  </si>
  <si>
    <t>Stellavirales</t>
  </si>
  <si>
    <t>Lates calcarifer birnavirus</t>
  </si>
  <si>
    <t>2018.018M.zip</t>
  </si>
  <si>
    <t>LCBV</t>
  </si>
  <si>
    <t>QCQ84349, QCQ84350</t>
  </si>
  <si>
    <t>Dronavirus</t>
  </si>
  <si>
    <t>Drosophina B birnavirus</t>
  </si>
  <si>
    <t>DBV</t>
  </si>
  <si>
    <t>ACU32790, ACU32792</t>
  </si>
  <si>
    <t>Mosquito X virus</t>
  </si>
  <si>
    <t>MoXV</t>
  </si>
  <si>
    <t>AFU34333, AFU34334</t>
  </si>
  <si>
    <t>Ronavirus</t>
  </si>
  <si>
    <t>Rotifer birnavirus</t>
  </si>
  <si>
    <t>RBV</t>
  </si>
  <si>
    <t>FM995220, FM995221</t>
  </si>
  <si>
    <t>Palavas</t>
  </si>
  <si>
    <t>Telnavirus</t>
  </si>
  <si>
    <t>Tellina virus 1</t>
  </si>
  <si>
    <t>TV1</t>
  </si>
  <si>
    <t>AJ920335, AJ920336</t>
  </si>
  <si>
    <t>JF716350, JF716351</t>
  </si>
  <si>
    <t>GarlicBc-72</t>
  </si>
  <si>
    <t>Pararnavirae</t>
  </si>
  <si>
    <t>Artverviricota</t>
  </si>
  <si>
    <t>Revtraviricetes</t>
  </si>
  <si>
    <t>Blubervirales</t>
  </si>
  <si>
    <t>dsDNA-RT</t>
  </si>
  <si>
    <t>JN565944</t>
  </si>
  <si>
    <t>parrot hepatitis B virus</t>
  </si>
  <si>
    <t>Herpetohepadnavirus</t>
  </si>
  <si>
    <t>2019.008D.zip</t>
  </si>
  <si>
    <t>TFHBV</t>
  </si>
  <si>
    <t>KX058435</t>
  </si>
  <si>
    <t>Metahepadnavirus</t>
  </si>
  <si>
    <t>Blue gill hepatitis B virus</t>
  </si>
  <si>
    <t>BGHBV</t>
  </si>
  <si>
    <t>KX058433</t>
  </si>
  <si>
    <t>CMHBV</t>
  </si>
  <si>
    <t>KY703886</t>
  </si>
  <si>
    <t>capuchin monkey hepatitis B virus M12</t>
  </si>
  <si>
    <t>Chinese shrew hepatitis B virus</t>
  </si>
  <si>
    <t>2019.007D.zip</t>
  </si>
  <si>
    <t>AGS HBV</t>
  </si>
  <si>
    <t>MH484438</t>
  </si>
  <si>
    <t>DL70</t>
  </si>
  <si>
    <t>Domestic cat hepatitis B virus</t>
  </si>
  <si>
    <t>DCHBV</t>
  </si>
  <si>
    <t>MH307930</t>
  </si>
  <si>
    <t>Sydney2016</t>
  </si>
  <si>
    <t>BtHV</t>
  </si>
  <si>
    <t>JX941466</t>
  </si>
  <si>
    <t>KF939649</t>
  </si>
  <si>
    <t>Pomona bat hepatitis B virus, isolate PEPR7</t>
  </si>
  <si>
    <t>KC790376</t>
  </si>
  <si>
    <t>roundleaf bat hepatitis B virus</t>
  </si>
  <si>
    <t>Tai Forest hepatitis B virus</t>
  </si>
  <si>
    <t>TFo HBV</t>
  </si>
  <si>
    <t>MK620908</t>
  </si>
  <si>
    <t>Tai</t>
  </si>
  <si>
    <t>KC790381, KC790376</t>
  </si>
  <si>
    <t>tent-making bat hepatitis B virus</t>
  </si>
  <si>
    <t>Parahepadnavirus</t>
  </si>
  <si>
    <t>WSHBV</t>
  </si>
  <si>
    <t>KR229754</t>
  </si>
  <si>
    <t>RR173</t>
  </si>
  <si>
    <t>ssRNA-RT</t>
  </si>
  <si>
    <t>AY493509</t>
  </si>
  <si>
    <t>Goldfinger</t>
  </si>
  <si>
    <t>BSIMV</t>
  </si>
  <si>
    <t>HQ593112</t>
  </si>
  <si>
    <t>Kenya</t>
  </si>
  <si>
    <t>AY805074</t>
  </si>
  <si>
    <t>AJ002234</t>
  </si>
  <si>
    <t>BSUAV</t>
  </si>
  <si>
    <t>HQ593107</t>
  </si>
  <si>
    <t>BSUIV</t>
  </si>
  <si>
    <t>HQ593108</t>
  </si>
  <si>
    <t>BSULV</t>
  </si>
  <si>
    <t>HQ593109</t>
  </si>
  <si>
    <t>BSUMV</t>
  </si>
  <si>
    <t>HQ593110</t>
  </si>
  <si>
    <t>AY750155</t>
  </si>
  <si>
    <t>Acuminata Vietnam</t>
  </si>
  <si>
    <t>BLRaV</t>
  </si>
  <si>
    <t>MG686421</t>
  </si>
  <si>
    <t>birch leaf roll-associated virus BpenGer407526</t>
  </si>
  <si>
    <t>BVF</t>
  </si>
  <si>
    <t>KJ413252</t>
  </si>
  <si>
    <t>blackberry virus F isolate BBV-3X</t>
  </si>
  <si>
    <t>EU034539</t>
  </si>
  <si>
    <t>CBSLV</t>
  </si>
  <si>
    <t>MF642736</t>
  </si>
  <si>
    <t>cacao bacilliform Sri Lanka virus A</t>
  </si>
  <si>
    <t>JN606110</t>
  </si>
  <si>
    <t>CSSV-CI152</t>
  </si>
  <si>
    <t>CSSCEV</t>
  </si>
  <si>
    <t>MF642719</t>
  </si>
  <si>
    <t>cacao swollen shoot CE virus CI632-10</t>
  </si>
  <si>
    <t>CSSGMV</t>
  </si>
  <si>
    <t>MF642724</t>
  </si>
  <si>
    <t>cacao swollen shoot Ghana M virus GH57-15</t>
  </si>
  <si>
    <t>CSSGNV</t>
  </si>
  <si>
    <t>MF642725</t>
  </si>
  <si>
    <t>cacao swollen shoot Ghana N virus Gha63-15</t>
  </si>
  <si>
    <t>CSSGQV</t>
  </si>
  <si>
    <t>MF642728</t>
  </si>
  <si>
    <t>cacao swollen shoot Ghana Q virus Gha40-15</t>
  </si>
  <si>
    <t>AJ781003</t>
  </si>
  <si>
    <t>CSSV-Wobe12</t>
  </si>
  <si>
    <t>L14546</t>
  </si>
  <si>
    <t>Hagen</t>
  </si>
  <si>
    <t>CaYMAV</t>
  </si>
  <si>
    <t>NC030462</t>
  </si>
  <si>
    <t>canna yellow mottle associated virus CaYMAV-Ci</t>
  </si>
  <si>
    <t>AF347695</t>
  </si>
  <si>
    <t>Codonopsis vein clearing virus</t>
  </si>
  <si>
    <t>2019.015P.zip</t>
  </si>
  <si>
    <t>CoVCV</t>
  </si>
  <si>
    <t>MK044821</t>
  </si>
  <si>
    <t>Muju</t>
  </si>
  <si>
    <t>X52938</t>
  </si>
  <si>
    <t>Olszewski</t>
  </si>
  <si>
    <t>DBALV 2</t>
  </si>
  <si>
    <t>KY827395</t>
  </si>
  <si>
    <t>dioscorea bacilliform AL virus 2 PNG10</t>
  </si>
  <si>
    <t>DBESV</t>
  </si>
  <si>
    <t>KY827394</t>
  </si>
  <si>
    <t>dioscorea bacilliform ES virus FJ14</t>
  </si>
  <si>
    <t>DQ822073</t>
  </si>
  <si>
    <t>Benin</t>
  </si>
  <si>
    <t>FBV 1</t>
  </si>
  <si>
    <t>JF411989</t>
  </si>
  <si>
    <t xml:space="preserve">Arkansas 1 </t>
  </si>
  <si>
    <t>JQ316114</t>
  </si>
  <si>
    <t xml:space="preserve">RC HC </t>
  </si>
  <si>
    <t>Grapevine badnavirus 1</t>
  </si>
  <si>
    <t>GBV 1</t>
  </si>
  <si>
    <t>MF781082</t>
  </si>
  <si>
    <t>VLJ-178.Gb1</t>
  </si>
  <si>
    <t>HG940503</t>
  </si>
  <si>
    <t>GRLDaV-w4</t>
  </si>
  <si>
    <t>JF301669</t>
  </si>
  <si>
    <t xml:space="preserve">LBC0903 </t>
  </si>
  <si>
    <t>JuMaV</t>
  </si>
  <si>
    <t>KX852476</t>
  </si>
  <si>
    <t>jujube mosaic-associated virus Z6</t>
  </si>
  <si>
    <t>LN651258</t>
  </si>
  <si>
    <t>Mulberry badnavirus 1, Lebanon34</t>
  </si>
  <si>
    <t>PYMaV</t>
  </si>
  <si>
    <t>KJ013302</t>
  </si>
  <si>
    <t xml:space="preserve">pymav-01 </t>
  </si>
  <si>
    <t>GU121676</t>
  </si>
  <si>
    <t>KC808712</t>
  </si>
  <si>
    <t xml:space="preserve">ISH-1 </t>
  </si>
  <si>
    <t>KM078034</t>
  </si>
  <si>
    <t xml:space="preserve">Baumforth's Seedling A </t>
  </si>
  <si>
    <t>FJ824813</t>
  </si>
  <si>
    <t>SCBV-R570</t>
  </si>
  <si>
    <t>FJ439817</t>
  </si>
  <si>
    <t>SCBV-Ba3</t>
  </si>
  <si>
    <t>AJ277091</t>
  </si>
  <si>
    <t>Ireng Maleng</t>
  </si>
  <si>
    <t>M89923</t>
  </si>
  <si>
    <t>Morocco</t>
  </si>
  <si>
    <t>FJ560943</t>
  </si>
  <si>
    <t xml:space="preserve">Huachano1 </t>
  </si>
  <si>
    <t>KP710178</t>
  </si>
  <si>
    <t>Taro bacilliform CH virus, isolate TaBCHV-1</t>
  </si>
  <si>
    <t>AF357836</t>
  </si>
  <si>
    <t>Papua New Guinea</t>
  </si>
  <si>
    <t>KM229702</t>
  </si>
  <si>
    <t>Yacon necrotic mottle virus, isolate YV1</t>
  </si>
  <si>
    <t>AnBSV</t>
  </si>
  <si>
    <t>KU508800</t>
  </si>
  <si>
    <t>angelica bushy stunt virus AD</t>
  </si>
  <si>
    <t>KR080327</t>
  </si>
  <si>
    <t>AMMV-ES</t>
  </si>
  <si>
    <t>X04658</t>
  </si>
  <si>
    <t>Hull</t>
  </si>
  <si>
    <t>V00141</t>
  </si>
  <si>
    <t>Franck</t>
  </si>
  <si>
    <t>JX272320</t>
  </si>
  <si>
    <t>Portland</t>
  </si>
  <si>
    <t>X06166</t>
  </si>
  <si>
    <t>clone pFMV Sc3</t>
  </si>
  <si>
    <t>JX429923</t>
  </si>
  <si>
    <t xml:space="preserve">ID1 </t>
  </si>
  <si>
    <t>EU554423</t>
  </si>
  <si>
    <t>AF454635</t>
  </si>
  <si>
    <t>Dey</t>
  </si>
  <si>
    <t>RuFDV</t>
  </si>
  <si>
    <t>FJ493469</t>
  </si>
  <si>
    <t>rudbeckia flower distortion virus Minnesota</t>
  </si>
  <si>
    <t>SPuV</t>
  </si>
  <si>
    <t>JQ926983</t>
  </si>
  <si>
    <t>X97304</t>
  </si>
  <si>
    <t>clone pSVBV-E3</t>
  </si>
  <si>
    <t>U59751</t>
  </si>
  <si>
    <t>de Kochko</t>
  </si>
  <si>
    <t>HQ694978</t>
  </si>
  <si>
    <t xml:space="preserve">Mad1 </t>
  </si>
  <si>
    <t>Dioscovirus</t>
  </si>
  <si>
    <t>Dioscorea nummularia associated virus</t>
  </si>
  <si>
    <t>DNUaV</t>
  </si>
  <si>
    <t>MG944237</t>
  </si>
  <si>
    <t>WSM01_DN</t>
  </si>
  <si>
    <t>U95208</t>
  </si>
  <si>
    <t>Richert-Poggeler</t>
  </si>
  <si>
    <t>RYVV</t>
  </si>
  <si>
    <t>JX028536</t>
  </si>
  <si>
    <t xml:space="preserve">RYVV-MN1 </t>
  </si>
  <si>
    <t>HQ694979</t>
  </si>
  <si>
    <t xml:space="preserve">Dom1 </t>
  </si>
  <si>
    <t>AF190123</t>
  </si>
  <si>
    <t>Lockhart</t>
  </si>
  <si>
    <t>AF404509</t>
  </si>
  <si>
    <t>Glasheen</t>
  </si>
  <si>
    <t>AF364175</t>
  </si>
  <si>
    <t>Stavolone</t>
  </si>
  <si>
    <t>U13988</t>
  </si>
  <si>
    <t>X15828</t>
  </si>
  <si>
    <t>Hibi</t>
  </si>
  <si>
    <t>X57924</t>
  </si>
  <si>
    <t>Vaccinivirus</t>
  </si>
  <si>
    <t>Blueberry fruit drop associated virus</t>
  </si>
  <si>
    <t>BFDaV</t>
  </si>
  <si>
    <t>KT148886</t>
  </si>
  <si>
    <t>WA</t>
  </si>
  <si>
    <t>Z11866</t>
  </si>
  <si>
    <t>McHale</t>
  </si>
  <si>
    <t>X13886</t>
  </si>
  <si>
    <t>Smyth</t>
  </si>
  <si>
    <t>M34549</t>
  </si>
  <si>
    <t>AB950</t>
  </si>
  <si>
    <t>M38526</t>
  </si>
  <si>
    <t>Levin</t>
  </si>
  <si>
    <t>L10324</t>
  </si>
  <si>
    <t>Weaver</t>
  </si>
  <si>
    <t>AF050215</t>
  </si>
  <si>
    <t>hOG759</t>
  </si>
  <si>
    <t>AF065434</t>
  </si>
  <si>
    <t>SC5314</t>
  </si>
  <si>
    <t>U19263</t>
  </si>
  <si>
    <t>Zou</t>
  </si>
  <si>
    <t>U90320</t>
  </si>
  <si>
    <t>UTEX 1885 (HK10)</t>
  </si>
  <si>
    <t>X69552</t>
  </si>
  <si>
    <t>Lindauer</t>
  </si>
  <si>
    <t>Y08010</t>
  </si>
  <si>
    <t>Herve</t>
  </si>
  <si>
    <t>AB021265</t>
  </si>
  <si>
    <t>Kuwahara</t>
  </si>
  <si>
    <t>AF039373</t>
  </si>
  <si>
    <t>Henikoff</t>
  </si>
  <si>
    <t>X13291</t>
  </si>
  <si>
    <t>Voytas</t>
  </si>
  <si>
    <t>Y12321</t>
  </si>
  <si>
    <t>Pastuglia</t>
  </si>
  <si>
    <t>U96748</t>
  </si>
  <si>
    <t>Bhattacharyya</t>
  </si>
  <si>
    <t>Z17327</t>
  </si>
  <si>
    <t>NK 1558</t>
  </si>
  <si>
    <t>X13777</t>
  </si>
  <si>
    <t>Rouze</t>
  </si>
  <si>
    <t>D83003</t>
  </si>
  <si>
    <t>Hirochika</t>
  </si>
  <si>
    <t>D85597</t>
  </si>
  <si>
    <t>Ohtsubo</t>
  </si>
  <si>
    <t>U72726</t>
  </si>
  <si>
    <t>IRBB21</t>
  </si>
  <si>
    <t>M18706</t>
  </si>
  <si>
    <t>Boeke</t>
  </si>
  <si>
    <t>X03840</t>
  </si>
  <si>
    <t>Warmington</t>
  </si>
  <si>
    <t>M94164</t>
  </si>
  <si>
    <t>C836</t>
  </si>
  <si>
    <t>X52387</t>
  </si>
  <si>
    <t>Brisson</t>
  </si>
  <si>
    <t>U12626</t>
  </si>
  <si>
    <t>White</t>
  </si>
  <si>
    <t>AF082133</t>
  </si>
  <si>
    <t>Marillonnet</t>
  </si>
  <si>
    <t>AY016208</t>
  </si>
  <si>
    <t>Peterson-Burch</t>
  </si>
  <si>
    <t>U68072</t>
  </si>
  <si>
    <t>Daraselia</t>
  </si>
  <si>
    <t>U68408</t>
  </si>
  <si>
    <t>SanMiguel</t>
  </si>
  <si>
    <t>U41000</t>
  </si>
  <si>
    <t>Turcich</t>
  </si>
  <si>
    <t>AJ005762</t>
  </si>
  <si>
    <t>Bachmair</t>
  </si>
  <si>
    <t>AF151794</t>
  </si>
  <si>
    <t>koala retrovirus</t>
  </si>
  <si>
    <t>L32870</t>
  </si>
  <si>
    <t>Jembrana disease virus isolate Tabanan/87</t>
  </si>
  <si>
    <t>SFVptr_huBAD327</t>
  </si>
  <si>
    <t>JQ867463</t>
  </si>
  <si>
    <t>simian foamy virus Pan troglodytes troglodytes human isolate BAD327</t>
  </si>
  <si>
    <t>SFVmfa_Cy5061</t>
  </si>
  <si>
    <t>LC094267</t>
  </si>
  <si>
    <t>simian foamy virus Macaca fascicularis Cy5061</t>
  </si>
  <si>
    <t>Polymycoviridae</t>
  </si>
  <si>
    <t>Polymycovirus</t>
  </si>
  <si>
    <t>Aspergillus fumigatus polymycovirus 1</t>
  </si>
  <si>
    <t>2019.002F.zip</t>
  </si>
  <si>
    <t>AfuTmV1</t>
  </si>
  <si>
    <t>dsRNA 1: HG975302; dsRNA 2: HG975303; dsRNA 3: HG975304; dsRNA 4: HG975305</t>
  </si>
  <si>
    <t>Af293</t>
  </si>
  <si>
    <t>Aspergillus spelaeus polymycovirus 1</t>
  </si>
  <si>
    <t>AspTmV1</t>
  </si>
  <si>
    <t>dsRNA 1: MG887754; dsRNA 2: MG887755; dsRNA 3: MG887756; dsRNA 4: MG887757</t>
  </si>
  <si>
    <t>MUT1993</t>
  </si>
  <si>
    <t>Beauveria bassiana polymycovirus 1</t>
  </si>
  <si>
    <t>BbPmV1</t>
  </si>
  <si>
    <t>dsRNA 1: LN896307; dsRNA 2: LN896308; dsRNA 3: LN896309; dsRNA 4: LN896310</t>
  </si>
  <si>
    <t>EABb 92/11-Dm</t>
  </si>
  <si>
    <t>Botryoshaeria dothidea polymycovirus 1</t>
  </si>
  <si>
    <t>BdRV1</t>
  </si>
  <si>
    <t>dsRNA 1: KP245734; dsRNA 2: KP245735; dsRNA 3: KP245736; dsRNA 4: KP245737; dsRNA 5: KP245738</t>
  </si>
  <si>
    <t>YZN115</t>
  </si>
  <si>
    <t>Cladosporium cladosporioides polymycovirus 1</t>
  </si>
  <si>
    <t>CcV1</t>
  </si>
  <si>
    <t>dsRNA 1: KJ787686; dsRNA 2: KJ787687; dsRNA 3: KJ787688; dsRNA 4: KJ787689; dsRNA 5: KJ787690</t>
  </si>
  <si>
    <t>DF15</t>
  </si>
  <si>
    <t>Colletotrichum camelliae polymycovirus 1</t>
  </si>
  <si>
    <t>CcFV1</t>
  </si>
  <si>
    <t>dsRNA 1: KX778766; dsRNA 2: KX778767; dsRNA 3: KX778768; dsRNA 4: KX778769; dsRNA 5: KX778770; dsRNA 6: KX778771; dsRNA 7: KX778772; dsRNA 8: KX778773</t>
  </si>
  <si>
    <t>LT-3-1</t>
  </si>
  <si>
    <t>Fusarium redolens polymycovirus 1</t>
  </si>
  <si>
    <t>FrPmV1</t>
  </si>
  <si>
    <t>dsRNA 1: MK609920; dsRNA 2: MK609921; dsRNA 3: MK609922; dsRNA 4: MK609923; dsRNA 5: MK609924; dsRNA 6: MK609925; dsRNA 7: MK609926; dsRNA 8: MK609927</t>
  </si>
  <si>
    <t>Magnaporthe oryzae polymycovirus 1</t>
  </si>
  <si>
    <t>MoPmV1</t>
  </si>
  <si>
    <t>dsRNA 1: MH231406; dsRNA 2: MH231407; dsRNA 3: MH231408; dsRNA 4: MH231409</t>
  </si>
  <si>
    <t>TM02</t>
  </si>
  <si>
    <t>Penicillium digitatum polymycovirus 1</t>
  </si>
  <si>
    <t>PdPmV1</t>
  </si>
  <si>
    <t>dsRNA 1: MF317878; dsRNA 2: MF317879; dsRNA 3: MF317880; dsRNA 4: MF317881</t>
  </si>
  <si>
    <t>Penicillum brevicompactum polymycovirus 1</t>
  </si>
  <si>
    <t>PbTmV1</t>
  </si>
  <si>
    <t>dsRNA 1: MG887750; dsRNA 2: MG887751; dsRNA 3: MG887752; dsRNA 4: MG887753</t>
  </si>
  <si>
    <t>MUT1097</t>
  </si>
  <si>
    <t>XSV</t>
  </si>
  <si>
    <t>AY247793</t>
  </si>
  <si>
    <t>extra small virus</t>
  </si>
  <si>
    <t>STNV-1</t>
  </si>
  <si>
    <t>V01468</t>
  </si>
  <si>
    <t>satellite tobacco necrosis virus 1</t>
  </si>
  <si>
    <t>STNV-2</t>
  </si>
  <si>
    <t>M64479</t>
  </si>
  <si>
    <t>satellite tobacco necrosis virus 2</t>
  </si>
  <si>
    <t>STNV-C</t>
  </si>
  <si>
    <t>AJ000898</t>
  </si>
  <si>
    <t xml:space="preserve">satellite tobacco necrosis virus C </t>
  </si>
  <si>
    <t>SMWLMV</t>
  </si>
  <si>
    <t>M55012</t>
  </si>
  <si>
    <t>satellite maize white line mosaic virus</t>
  </si>
  <si>
    <t>SPMV</t>
  </si>
  <si>
    <t>M17182</t>
  </si>
  <si>
    <t>satellite panicum mosaic virus</t>
  </si>
  <si>
    <t>STMV</t>
  </si>
  <si>
    <t>M25782</t>
  </si>
  <si>
    <t>satellite tobacco mosaic virus</t>
  </si>
  <si>
    <t>Varidnaviria</t>
  </si>
  <si>
    <t>Bamfordvirae</t>
  </si>
  <si>
    <t>Nucleocytoviricota</t>
  </si>
  <si>
    <t>Megaviricetes</t>
  </si>
  <si>
    <t>Algavirales</t>
  </si>
  <si>
    <t>Imitervirales</t>
  </si>
  <si>
    <t>Pimascovirales</t>
  </si>
  <si>
    <t>L63545</t>
  </si>
  <si>
    <t>flounder lymphocystis disease virus</t>
  </si>
  <si>
    <t>LCDV-C</t>
  </si>
  <si>
    <t>AY380826</t>
  </si>
  <si>
    <t>lymphocystis disease virus-China China</t>
  </si>
  <si>
    <t>LCDV-Sa</t>
  </si>
  <si>
    <t>KX643370</t>
  </si>
  <si>
    <t>lymphocystis disease virus-Sparus aurata SA9</t>
  </si>
  <si>
    <t>AF371960</t>
  </si>
  <si>
    <t>infectious spleen and kidney necrosis virus</t>
  </si>
  <si>
    <t>SDDV</t>
  </si>
  <si>
    <t>KR139659</t>
  </si>
  <si>
    <t>scale drop disease virus C4575</t>
  </si>
  <si>
    <t>AY150217</t>
  </si>
  <si>
    <t>Regina ranavirus</t>
  </si>
  <si>
    <t>FJ433873</t>
  </si>
  <si>
    <t>epizootic haematopoietic necrosis virus</t>
  </si>
  <si>
    <t>AY548484</t>
  </si>
  <si>
    <t>tiger frog virus</t>
  </si>
  <si>
    <t>AF080250</t>
  </si>
  <si>
    <t>Largemouth bass virus</t>
  </si>
  <si>
    <t>AY521625</t>
  </si>
  <si>
    <t>Singapore grouper iridovirus (SGIV)</t>
  </si>
  <si>
    <t>AMIV</t>
  </si>
  <si>
    <t>KF938901</t>
  </si>
  <si>
    <t>Anopheles minimus iridovirus AMIV</t>
  </si>
  <si>
    <t>AJ312708</t>
  </si>
  <si>
    <t>mosquito iridescent virus</t>
  </si>
  <si>
    <t>IIV9</t>
  </si>
  <si>
    <t>GQ918152</t>
  </si>
  <si>
    <t>IIV22</t>
  </si>
  <si>
    <t>HF920633</t>
  </si>
  <si>
    <t>IIV25</t>
  </si>
  <si>
    <t>HF960235</t>
  </si>
  <si>
    <t>SHIV</t>
  </si>
  <si>
    <t>MF599468</t>
  </si>
  <si>
    <t>shrimp hemocyte iridescent virus 20141215</t>
  </si>
  <si>
    <t>AF303741</t>
  </si>
  <si>
    <t>Chilo iridescent virus</t>
  </si>
  <si>
    <t>IIV31</t>
  </si>
  <si>
    <t>HF920637</t>
  </si>
  <si>
    <t>Pokkesviricetes</t>
  </si>
  <si>
    <t>Asfuvirales</t>
  </si>
  <si>
    <t>Chitovirales</t>
  </si>
  <si>
    <t>Flamingopox virus</t>
  </si>
  <si>
    <t>2019.005D.zip</t>
  </si>
  <si>
    <t>FLMPV</t>
  </si>
  <si>
    <t>MF678796</t>
  </si>
  <si>
    <t>FGPVKD09</t>
  </si>
  <si>
    <t>Penguinpox virus</t>
  </si>
  <si>
    <t>PNGPV</t>
  </si>
  <si>
    <t>KJ859677</t>
  </si>
  <si>
    <t>PSan92</t>
  </si>
  <si>
    <t>Murmansk microtuspox virus</t>
  </si>
  <si>
    <t>MMPV</t>
  </si>
  <si>
    <t>MF001304</t>
  </si>
  <si>
    <t>LEIV-11411</t>
  </si>
  <si>
    <t>HQ849551</t>
  </si>
  <si>
    <t>Macropopoxvirus</t>
  </si>
  <si>
    <t>Eastern kangaroopox virus</t>
  </si>
  <si>
    <t>EKPV</t>
  </si>
  <si>
    <t>MF467281</t>
  </si>
  <si>
    <t>Sunshine Coast</t>
  </si>
  <si>
    <t>Western kangaroopox virus</t>
  </si>
  <si>
    <t>WKPV</t>
  </si>
  <si>
    <t>MF467280</t>
  </si>
  <si>
    <t>Western Australia</t>
  </si>
  <si>
    <t>Mustelpoxvirus</t>
  </si>
  <si>
    <t>Sea otterpox virus</t>
  </si>
  <si>
    <t>SOPV</t>
  </si>
  <si>
    <t>MH427217</t>
  </si>
  <si>
    <t>ELK</t>
  </si>
  <si>
    <t>Abatino macacapox virus</t>
  </si>
  <si>
    <t>ABMPV</t>
  </si>
  <si>
    <t>MH816996</t>
  </si>
  <si>
    <t>Akhmeta virus</t>
  </si>
  <si>
    <t>AKHV</t>
  </si>
  <si>
    <t>MH607141</t>
  </si>
  <si>
    <t>Akhmeta_2013-88</t>
  </si>
  <si>
    <t>Oryzopoxvirus</t>
  </si>
  <si>
    <t>Cotia virus</t>
  </si>
  <si>
    <t>COTV</t>
  </si>
  <si>
    <t>HQ647181</t>
  </si>
  <si>
    <t>SPAn232</t>
  </si>
  <si>
    <t>Grey sealpox virus</t>
  </si>
  <si>
    <t>GSEPV</t>
  </si>
  <si>
    <t>KY382358</t>
  </si>
  <si>
    <t>AFK76s1</t>
  </si>
  <si>
    <t>Red deerpox virus</t>
  </si>
  <si>
    <t>RDPV</t>
  </si>
  <si>
    <t>KM502564</t>
  </si>
  <si>
    <t>HL953</t>
  </si>
  <si>
    <t>Pteropopoxvirus</t>
  </si>
  <si>
    <t>PTPV</t>
  </si>
  <si>
    <t>KU980965</t>
  </si>
  <si>
    <t>Salmonpoxvirus</t>
  </si>
  <si>
    <t>Salmon gillpox virus</t>
  </si>
  <si>
    <t>SMGPV</t>
  </si>
  <si>
    <t>KT159937</t>
  </si>
  <si>
    <t>Sciuripoxvirus</t>
  </si>
  <si>
    <t>SQPV</t>
  </si>
  <si>
    <t>HE601899</t>
  </si>
  <si>
    <t>Red squirrel UK</t>
  </si>
  <si>
    <t>Vespertilionpoxvirus</t>
  </si>
  <si>
    <t>Eptesipox virus</t>
  </si>
  <si>
    <t>EPTPV</t>
  </si>
  <si>
    <t>KY747497</t>
  </si>
  <si>
    <t>AHEV</t>
  </si>
  <si>
    <t>HF679131</t>
  </si>
  <si>
    <t>CREV</t>
  </si>
  <si>
    <t>HF769133</t>
  </si>
  <si>
    <t>MySEV</t>
  </si>
  <si>
    <t>HF679134</t>
  </si>
  <si>
    <t>Deltaentomopoxvirus</t>
  </si>
  <si>
    <t>MSEV</t>
  </si>
  <si>
    <t>AF063866</t>
  </si>
  <si>
    <t>Tucson</t>
  </si>
  <si>
    <t>Preplasmiviricota</t>
  </si>
  <si>
    <t>Maveriviricetes</t>
  </si>
  <si>
    <t>Priklausovirales</t>
  </si>
  <si>
    <t>HQ712116</t>
  </si>
  <si>
    <t>Maverick-related virus (Mavirus), strain Spezl</t>
  </si>
  <si>
    <t>EU606015</t>
  </si>
  <si>
    <t>Sputnik virus 1</t>
  </si>
  <si>
    <t>HG531932</t>
  </si>
  <si>
    <t>Zamilon virus</t>
  </si>
  <si>
    <t>Tectiliviricetes</t>
  </si>
  <si>
    <t>Belfryvirales</t>
  </si>
  <si>
    <t>AY569307</t>
  </si>
  <si>
    <t>GU080336</t>
  </si>
  <si>
    <t>Kalamavirales</t>
  </si>
  <si>
    <t>MG159787</t>
  </si>
  <si>
    <t>Gluconobacter phage GC1</t>
  </si>
  <si>
    <t>Rowavirales</t>
  </si>
  <si>
    <t>KJ156523</t>
  </si>
  <si>
    <t>lizard adenovirus 2</t>
  </si>
  <si>
    <t>KJ675568</t>
  </si>
  <si>
    <t>psittacine adenovirus 3</t>
  </si>
  <si>
    <t>KJ469653</t>
  </si>
  <si>
    <t>duck adenovirus 2 strain GR</t>
  </si>
  <si>
    <t>FN824512</t>
  </si>
  <si>
    <t>pigeon adenovirus 1 strain IDA4</t>
  </si>
  <si>
    <t>Psittacine aviadenovirus C</t>
  </si>
  <si>
    <t>2019.006D.zip</t>
  </si>
  <si>
    <t>PsAdV-1</t>
  </si>
  <si>
    <t>EF442329</t>
  </si>
  <si>
    <t>KF477312</t>
  </si>
  <si>
    <t>turkey adenovirus 4 strain TNI1</t>
  </si>
  <si>
    <t>KF477313</t>
  </si>
  <si>
    <t>turkey adenovirus 5 strain 1277BT</t>
  </si>
  <si>
    <t>Bat mastadenovirus H</t>
  </si>
  <si>
    <t>AP018374</t>
  </si>
  <si>
    <t>06-106</t>
  </si>
  <si>
    <t>Bat mastadenovirus I</t>
  </si>
  <si>
    <t>MG551742</t>
  </si>
  <si>
    <t>Bat mastadenovirus J</t>
  </si>
  <si>
    <t>LC385827</t>
  </si>
  <si>
    <t>Vs9</t>
  </si>
  <si>
    <t>KR024710</t>
  </si>
  <si>
    <t>bottlenose dolphin adenovirus 1</t>
  </si>
  <si>
    <t>Ovine mastadenovirus C</t>
  </si>
  <si>
    <t>OAdV-8</t>
  </si>
  <si>
    <t>MK518392</t>
  </si>
  <si>
    <t>HQ913600</t>
  </si>
  <si>
    <t>titi monkey adenovirus ECC-2011</t>
  </si>
  <si>
    <t>Polar bear mastadenovirus A</t>
  </si>
  <si>
    <t>PBAdV-1</t>
  </si>
  <si>
    <t>MF773580</t>
  </si>
  <si>
    <t>BK35</t>
  </si>
  <si>
    <t>KJ563221</t>
  </si>
  <si>
    <t>California sea lion adenovirus 1</t>
  </si>
  <si>
    <t>HQ241819</t>
  </si>
  <si>
    <t>simian adenovirus 49</t>
  </si>
  <si>
    <t>KC693022</t>
  </si>
  <si>
    <t>baboon adenovirus 3</t>
  </si>
  <si>
    <t>KP329563</t>
  </si>
  <si>
    <t>simian adenovirus 13</t>
  </si>
  <si>
    <t>KP329564</t>
  </si>
  <si>
    <t>simian adenovirus 16</t>
  </si>
  <si>
    <t>FJ025931</t>
  </si>
  <si>
    <t>simian adenovirus 18</t>
  </si>
  <si>
    <t>HQ605912</t>
  </si>
  <si>
    <t>simian adenovirus 20</t>
  </si>
  <si>
    <t>KM190146</t>
  </si>
  <si>
    <t>simian adenovirus DM-2014</t>
  </si>
  <si>
    <t>KP238322</t>
  </si>
  <si>
    <t>skunk adenovirus PB1</t>
  </si>
  <si>
    <t>KP144329</t>
  </si>
  <si>
    <t>chinstrap penguin adenovirus 2</t>
  </si>
  <si>
    <t>Vinavirales</t>
  </si>
  <si>
    <t>Cr39582</t>
  </si>
  <si>
    <t>MG966533</t>
  </si>
  <si>
    <t>Pseudoalteromonas phage Cr39582</t>
  </si>
  <si>
    <t>Helvetiavirae</t>
  </si>
  <si>
    <t>Dividoviricota</t>
  </si>
  <si>
    <t>Laserviricetes</t>
  </si>
  <si>
    <t>Halopanivirales</t>
  </si>
  <si>
    <t>HHIV-2</t>
  </si>
  <si>
    <t>JN968479</t>
  </si>
  <si>
    <t>PH1</t>
  </si>
  <si>
    <t>KC252997</t>
  </si>
  <si>
    <t>SH1</t>
  </si>
  <si>
    <t>AY950802</t>
  </si>
  <si>
    <t>KT809302</t>
  </si>
  <si>
    <t xml:space="preserve">Haloarcula californiae icosahedral virus 1 </t>
  </si>
  <si>
    <t>SNJ1</t>
  </si>
  <si>
    <t>AY048850</t>
  </si>
  <si>
    <t>IN93</t>
  </si>
  <si>
    <t>AB063393</t>
  </si>
  <si>
    <t>P23-77</t>
  </si>
  <si>
    <t>GQ403789</t>
  </si>
  <si>
    <t>Alphalipothrixvirus</t>
  </si>
  <si>
    <t>Alphalipothrixvirus SBFV2</t>
  </si>
  <si>
    <t>2019.106B.zip</t>
  </si>
  <si>
    <t>SBFV2</t>
  </si>
  <si>
    <t>MK064563</t>
  </si>
  <si>
    <t>SBFV2 clone B</t>
  </si>
  <si>
    <t>Alphalipothrixvirus SFV1</t>
  </si>
  <si>
    <t>SFV1</t>
  </si>
  <si>
    <t>MH447526</t>
  </si>
  <si>
    <t>SFV1 isolate S48</t>
  </si>
  <si>
    <t>AM087120</t>
  </si>
  <si>
    <t>AM087121</t>
  </si>
  <si>
    <t>AM087122</t>
  </si>
  <si>
    <t>AM087123</t>
  </si>
  <si>
    <t>EU545650</t>
  </si>
  <si>
    <t>AF440571</t>
  </si>
  <si>
    <t>AJ854042</t>
  </si>
  <si>
    <t>Deltalipothrixvirus SBFV3</t>
  </si>
  <si>
    <t>SBFV3</t>
  </si>
  <si>
    <t>MK064564</t>
  </si>
  <si>
    <t>SBFV3 clone C</t>
  </si>
  <si>
    <t>AJ567472</t>
  </si>
  <si>
    <t>AJ875026</t>
  </si>
  <si>
    <t>AJ414696</t>
  </si>
  <si>
    <t>AJ344259</t>
  </si>
  <si>
    <t>AYVSGA</t>
  </si>
  <si>
    <t>AJ416153</t>
  </si>
  <si>
    <t>ageratum yellow vein Singapore alphasatellite (AYVSGA-[SG-98])</t>
  </si>
  <si>
    <t>Ash gourd yellow vein mosaic alphasatellite</t>
  </si>
  <si>
    <t>2019.009P.zip</t>
  </si>
  <si>
    <t>AsGYVMA</t>
  </si>
  <si>
    <t>KX363561</t>
  </si>
  <si>
    <t>IN-UdA-15</t>
  </si>
  <si>
    <t>Capsicum India alphasatellite</t>
  </si>
  <si>
    <t>CIA</t>
  </si>
  <si>
    <t>KU923759</t>
  </si>
  <si>
    <t>IN-PJ-Cap-15</t>
  </si>
  <si>
    <t>Tomato leaf curl New Delhi alphasatellite</t>
  </si>
  <si>
    <t>ToLNDA</t>
  </si>
  <si>
    <t>MH550542</t>
  </si>
  <si>
    <t>IN-VNS_SP4-Luf-15</t>
  </si>
  <si>
    <t>Tomato leaf curl Virudhunagar alphasatellite</t>
  </si>
  <si>
    <t>ToLCViA</t>
  </si>
  <si>
    <t>KY848691</t>
  </si>
  <si>
    <t>IN-sev-Mom-16</t>
  </si>
  <si>
    <t>Tomato leaf curl Pakistan alphasatellite</t>
  </si>
  <si>
    <t>ToLCPKA</t>
  </si>
  <si>
    <t>KY420167</t>
  </si>
  <si>
    <t>PK-SZ_258-Gos-15</t>
  </si>
  <si>
    <t>Eclipta yellow vein alphasatellite</t>
  </si>
  <si>
    <t>EcYVA</t>
  </si>
  <si>
    <t>KX938425</t>
  </si>
  <si>
    <t>PK-AlYVA-S3-13</t>
  </si>
  <si>
    <t>WfaGA1</t>
  </si>
  <si>
    <t>KT099172</t>
  </si>
  <si>
    <t>whitefly associated Guatemala alphasatellite 1 WfaGA-[GT-GtTo2_2-12]</t>
  </si>
  <si>
    <t>Cow vetch latent alphasatellite</t>
  </si>
  <si>
    <t>CVLA</t>
  </si>
  <si>
    <t>MF535455</t>
  </si>
  <si>
    <t>FR-VcLV_Sambuc-10</t>
  </si>
  <si>
    <t>Faba bean necrotic yellows alphasatellite 3</t>
  </si>
  <si>
    <t>FBNYA 3</t>
  </si>
  <si>
    <t>MF510471</t>
  </si>
  <si>
    <t>TN-Tuf9_1-15</t>
  </si>
  <si>
    <t>SYSA1</t>
  </si>
  <si>
    <t>KX534399</t>
  </si>
  <si>
    <t>sophora yellow stunt alphasatellite 1 SYSA1-[IR-Kerman-Ta1-14]</t>
  </si>
  <si>
    <t>EF432053</t>
  </si>
  <si>
    <t>JQ406846</t>
  </si>
  <si>
    <t>HQ287751</t>
  </si>
  <si>
    <t>seal anellovirus TFFN/USA/2006</t>
  </si>
  <si>
    <t>KF373760</t>
  </si>
  <si>
    <t>torque teno seal virus 2</t>
  </si>
  <si>
    <t>KF373758</t>
  </si>
  <si>
    <t>torque teno seal virus 3</t>
  </si>
  <si>
    <t>KY246582</t>
  </si>
  <si>
    <t>torque teno Leptonychotes weddellii virus 1 TTLwV-1_gt16_wsp8</t>
  </si>
  <si>
    <t>KY246547</t>
  </si>
  <si>
    <t>torque teno Leptonychotes weddellii virus 2 TTLwV-2_gt3_wsp24</t>
  </si>
  <si>
    <t>KR902501</t>
  </si>
  <si>
    <t>torque teno equus virus 1 horse 1</t>
  </si>
  <si>
    <t>KM262783</t>
  </si>
  <si>
    <t>seal anellovirus 4 SeAv4-PV13-431</t>
  </si>
  <si>
    <t>KM262782</t>
  </si>
  <si>
    <t>seal anellovirus 5 SeAv5-PV13-431</t>
  </si>
  <si>
    <t>J02020</t>
  </si>
  <si>
    <t>Symons</t>
  </si>
  <si>
    <t>AJ536612</t>
  </si>
  <si>
    <t>Apple hammerhead viroid</t>
  </si>
  <si>
    <t>2019.026P.zip</t>
  </si>
  <si>
    <t>AHVd</t>
  </si>
  <si>
    <t>NC_028132.1</t>
  </si>
  <si>
    <t>Y14700</t>
  </si>
  <si>
    <t>Horst</t>
  </si>
  <si>
    <t>M83545</t>
  </si>
  <si>
    <t>Hernandez</t>
  </si>
  <si>
    <t>AgseNPV-B</t>
  </si>
  <si>
    <t>KM102981</t>
  </si>
  <si>
    <t>KU565883</t>
  </si>
  <si>
    <t>Catopsilia pomona nucleopolyhedrovirus isolate 416</t>
  </si>
  <si>
    <t>KF894742</t>
  </si>
  <si>
    <t>Choristoneura murinana alphabaculovirus Darmstadt</t>
  </si>
  <si>
    <t>PsinNPV-IE</t>
  </si>
  <si>
    <t>KJ631622</t>
  </si>
  <si>
    <t>Pseudoplusia includens single nucleopolyhedrovirus-IE</t>
  </si>
  <si>
    <t>Condylorrhiza vestigialis nucleopolyhedrovirus</t>
  </si>
  <si>
    <t>2019.001D.zip</t>
  </si>
  <si>
    <t>CoveMNPV</t>
  </si>
  <si>
    <t>KJ631623</t>
  </si>
  <si>
    <t>PR.2002</t>
  </si>
  <si>
    <t>Cryptophlebia peltastica nucleopolyhedrovirus</t>
  </si>
  <si>
    <t>CrpeNPV</t>
  </si>
  <si>
    <t>MH394321</t>
  </si>
  <si>
    <t>SA</t>
  </si>
  <si>
    <t>Cyclophragma undans nucleopolyhedrovirus</t>
  </si>
  <si>
    <t>CyunNPV</t>
  </si>
  <si>
    <t>KT957089</t>
  </si>
  <si>
    <t>Whiov</t>
  </si>
  <si>
    <t>HespNPV-MEM</t>
  </si>
  <si>
    <t>KF158713</t>
  </si>
  <si>
    <t>Hemileuca sp. nucleopolyhedrovirus MEM</t>
  </si>
  <si>
    <t>Hyposidra talaca nucleopolyhedrovirus</t>
  </si>
  <si>
    <t>HytaNPV</t>
  </si>
  <si>
    <t>MH261376</t>
  </si>
  <si>
    <t>India.001</t>
  </si>
  <si>
    <t>KP752043</t>
  </si>
  <si>
    <t>Lambdina fiscellaria nucleopolyhedrovirus GR15</t>
  </si>
  <si>
    <t>LoobNPV-SP/2000</t>
  </si>
  <si>
    <t>KP763670</t>
  </si>
  <si>
    <t>Lonomia obliqua multiple nucleopolyhedrovirus SP/2000</t>
  </si>
  <si>
    <t>GQ202541</t>
  </si>
  <si>
    <t>Lymantria xylina multiple nucleopolyhedrovirus-5</t>
  </si>
  <si>
    <t>Mythimna unipuncta nucleopolyhedrovirus A</t>
  </si>
  <si>
    <t>MyunNPV</t>
  </si>
  <si>
    <t>MF375894</t>
  </si>
  <si>
    <t>#7</t>
  </si>
  <si>
    <t>Mythimna unipuncta nucleopolyhedrovirus B</t>
  </si>
  <si>
    <t>MH124167</t>
  </si>
  <si>
    <t>KY310</t>
  </si>
  <si>
    <t>OpbuNPV-MA</t>
  </si>
  <si>
    <t>MF614691</t>
  </si>
  <si>
    <t>Operophtera brumata nucleopolyhedrovirus MA</t>
  </si>
  <si>
    <t>EU309041</t>
  </si>
  <si>
    <t>Orgyia leucostigma nucleopolyhedrovirus CFS-77</t>
  </si>
  <si>
    <t>OxocNPV-435</t>
  </si>
  <si>
    <t>MF143631</t>
  </si>
  <si>
    <t>Oxyplax ochracea nucleopolyhedrovirus 435</t>
  </si>
  <si>
    <t>PespNPV-GR167</t>
  </si>
  <si>
    <t>KM009991</t>
  </si>
  <si>
    <t>Peridroma species nucleopolyhedrovirus GR167</t>
  </si>
  <si>
    <t>PeluSNPV</t>
  </si>
  <si>
    <t>KM596836</t>
  </si>
  <si>
    <t>Perigonia lusca single nucleopolyhedrovirus</t>
  </si>
  <si>
    <t>Spodoptera eridania nucleopolyhedrovirus</t>
  </si>
  <si>
    <t>SperNPV</t>
  </si>
  <si>
    <t>MH320559</t>
  </si>
  <si>
    <t>Spodoptera exempta nucleopolyhedrovirus</t>
  </si>
  <si>
    <t>SpexNPV</t>
  </si>
  <si>
    <t>MH717816</t>
  </si>
  <si>
    <t>SujuNPV-473</t>
  </si>
  <si>
    <t>KJ676450</t>
  </si>
  <si>
    <t>Sucra jujuba nucleopolyhedrovirus isolate 473</t>
  </si>
  <si>
    <t>Urbanus proteus nucleopolyhedrovirus</t>
  </si>
  <si>
    <t>UrprNPV</t>
  </si>
  <si>
    <t>KR011717</t>
  </si>
  <si>
    <t>SouthernBrazil</t>
  </si>
  <si>
    <t>AgseGV-DA</t>
  </si>
  <si>
    <t>KR584663</t>
  </si>
  <si>
    <t>Agrotis segetum granulovirus DA</t>
  </si>
  <si>
    <t>HQ116624</t>
  </si>
  <si>
    <t>Clostera anachoreta granulovirus HBHN</t>
  </si>
  <si>
    <t>KC179784</t>
  </si>
  <si>
    <t>Clostera anastomosis granulovirus Henan</t>
  </si>
  <si>
    <t>KR091910</t>
  </si>
  <si>
    <t>KP296186</t>
  </si>
  <si>
    <t>Diatraea saccharalis granulovirus Parana-2009</t>
  </si>
  <si>
    <t>JN408834</t>
  </si>
  <si>
    <t>Epinotia aporema granulovirus Oliveros.Santa Fe</t>
  </si>
  <si>
    <t>ErelGV</t>
  </si>
  <si>
    <t>KJ406702</t>
  </si>
  <si>
    <t>Erinnyis ello granulovirus isolate S86</t>
  </si>
  <si>
    <t>MolaGV-SouthernBrazil</t>
  </si>
  <si>
    <t>KR011718</t>
  </si>
  <si>
    <t>Mocis latipes granulovirus SouthernBrazil</t>
  </si>
  <si>
    <t>SpfrGV VG008</t>
  </si>
  <si>
    <t>KM371112</t>
  </si>
  <si>
    <t>Spodoptera frugiperda granulovirus VG008</t>
  </si>
  <si>
    <t>DQ288858</t>
  </si>
  <si>
    <t>Spodoptera litura granulovirus K1</t>
  </si>
  <si>
    <t>AJ888457</t>
  </si>
  <si>
    <t>AB537968</t>
  </si>
  <si>
    <t>Finnlakeviridae</t>
  </si>
  <si>
    <t>Finnlakevirus</t>
  </si>
  <si>
    <t>Flavobacterium virus FLiP</t>
  </si>
  <si>
    <t>2019.057B.zip</t>
  </si>
  <si>
    <t>FLiP</t>
  </si>
  <si>
    <t>MF361641</t>
  </si>
  <si>
    <t>X07234</t>
  </si>
  <si>
    <t>AY370762</t>
  </si>
  <si>
    <t>EU030938</t>
  </si>
  <si>
    <t>EU030939</t>
  </si>
  <si>
    <t>FJ870916</t>
  </si>
  <si>
    <t>AY388628</t>
  </si>
  <si>
    <t>AY423772</t>
  </si>
  <si>
    <t>FJ870917</t>
  </si>
  <si>
    <t>FJ870915</t>
  </si>
  <si>
    <t>AJ635161</t>
  </si>
  <si>
    <t>AY722806</t>
  </si>
  <si>
    <t>HE580237</t>
  </si>
  <si>
    <t>Halspiviridae</t>
  </si>
  <si>
    <t>Salterprovirus His1</t>
  </si>
  <si>
    <t>2019.059B.zip</t>
  </si>
  <si>
    <t>AF191796</t>
  </si>
  <si>
    <t>His1</t>
  </si>
  <si>
    <t>Glossina hytrosavirus</t>
  </si>
  <si>
    <t>2019.003D.zip</t>
  </si>
  <si>
    <t>GpSGHV</t>
  </si>
  <si>
    <t>EF568108</t>
  </si>
  <si>
    <t>Musca hytrosavirus</t>
  </si>
  <si>
    <t>MdSGHV</t>
  </si>
  <si>
    <t>EU522111</t>
  </si>
  <si>
    <t>SEV1</t>
  </si>
  <si>
    <t>MF144115</t>
  </si>
  <si>
    <t>Sulfolobus ellipsoid virus 1 isolate CR_L</t>
  </si>
  <si>
    <t>Alphaportoglobovirus SPV2</t>
  </si>
  <si>
    <t>2019.107B.zip</t>
  </si>
  <si>
    <t>SPV2</t>
  </si>
  <si>
    <t>MK064567</t>
  </si>
  <si>
    <t>SPV2 clone F</t>
  </si>
  <si>
    <t>X99487</t>
  </si>
  <si>
    <t>Di Serio</t>
  </si>
  <si>
    <t>X17696</t>
  </si>
  <si>
    <t>X17101</t>
  </si>
  <si>
    <t>Rezaian</t>
  </si>
  <si>
    <t>U21125</t>
  </si>
  <si>
    <t>AF447788</t>
  </si>
  <si>
    <t>E21a</t>
  </si>
  <si>
    <t>EF617306</t>
  </si>
  <si>
    <t xml:space="preserve">Spain </t>
  </si>
  <si>
    <t>AB019508</t>
  </si>
  <si>
    <t>JCVd 1</t>
  </si>
  <si>
    <t>AF059712</t>
  </si>
  <si>
    <t>type 3</t>
  </si>
  <si>
    <t>J04348</t>
  </si>
  <si>
    <t>Koltunow</t>
  </si>
  <si>
    <t>D12823</t>
  </si>
  <si>
    <t>X14638</t>
  </si>
  <si>
    <t>Saenger</t>
  </si>
  <si>
    <t>J02049</t>
  </si>
  <si>
    <t>ccrna1-fast</t>
  </si>
  <si>
    <t>M20731</t>
  </si>
  <si>
    <t>Keese</t>
  </si>
  <si>
    <t>X07397</t>
  </si>
  <si>
    <t>X52960</t>
  </si>
  <si>
    <t>Spieker</t>
  </si>
  <si>
    <t>X95365</t>
  </si>
  <si>
    <t>RL</t>
  </si>
  <si>
    <t>X95290</t>
  </si>
  <si>
    <t>FR</t>
  </si>
  <si>
    <t>DLVd</t>
  </si>
  <si>
    <t>JX263426</t>
  </si>
  <si>
    <t>X06719</t>
  </si>
  <si>
    <t>citrus 2</t>
  </si>
  <si>
    <t>V01107</t>
  </si>
  <si>
    <t>Haseloff</t>
  </si>
  <si>
    <t>J02053</t>
  </si>
  <si>
    <t>Gross</t>
  </si>
  <si>
    <t>X15663</t>
  </si>
  <si>
    <t>clone pCOL3.12</t>
  </si>
  <si>
    <t>X95734</t>
  </si>
  <si>
    <t>FJ409044</t>
  </si>
  <si>
    <t>Verhoeven</t>
  </si>
  <si>
    <t>V01465</t>
  </si>
  <si>
    <t>K00818</t>
  </si>
  <si>
    <t>Kiefer</t>
  </si>
  <si>
    <t>AF162131</t>
  </si>
  <si>
    <t>Singh</t>
  </si>
  <si>
    <t>TPMVd</t>
  </si>
  <si>
    <t>K00817</t>
  </si>
  <si>
    <t>HE681887</t>
  </si>
  <si>
    <t>Thaspiviridae</t>
  </si>
  <si>
    <t>Nitmarvirus</t>
  </si>
  <si>
    <t>Nitmarvirus NSV1</t>
  </si>
  <si>
    <t>2019.092B.zip</t>
  </si>
  <si>
    <t>NSV1</t>
  </si>
  <si>
    <t>MK570053</t>
  </si>
  <si>
    <t>FR717140</t>
  </si>
  <si>
    <t>ALCuBB-[CM-LIO1-SatB33-09]</t>
  </si>
  <si>
    <t>FM164737</t>
  </si>
  <si>
    <t>ALCuCMB-[CM-Man-AMBF-06]</t>
  </si>
  <si>
    <t>AJ316026</t>
  </si>
  <si>
    <t>AYLCB-[PK-Fai4-00]</t>
  </si>
  <si>
    <t>AJ252072</t>
  </si>
  <si>
    <t>AYVB-[SG-95]</t>
  </si>
  <si>
    <t>AJ557441</t>
  </si>
  <si>
    <t>AYVINB-[IN-Mad-03]</t>
  </si>
  <si>
    <t>AJ542498</t>
  </si>
  <si>
    <t>AYVSLB-[SL-Ag-03]</t>
  </si>
  <si>
    <t>DQ641716</t>
  </si>
  <si>
    <t>AlYVB-[VN-Hue-05]</t>
  </si>
  <si>
    <t>KC967282</t>
  </si>
  <si>
    <t>AnYVLCuB-[IN-Luc-10]</t>
  </si>
  <si>
    <t>AJ308425</t>
  </si>
  <si>
    <t>BYVB-[IN-Mut-00]</t>
  </si>
  <si>
    <t>AM933578</t>
  </si>
  <si>
    <t>CaYLCuB-[SL-04]</t>
  </si>
  <si>
    <t>AJ316032</t>
  </si>
  <si>
    <t>ChLCuB-[PK-MC-97]</t>
  </si>
  <si>
    <t>HM007103</t>
  </si>
  <si>
    <t>ChLCuJB-[IN-Jau-07]</t>
  </si>
  <si>
    <t>JN638445</t>
  </si>
  <si>
    <t>ChLCuSLB-[SL-Mih-09]</t>
  </si>
  <si>
    <t>DQ644564</t>
  </si>
  <si>
    <t>CLCuGeB-[SD-Dat-06]</t>
  </si>
  <si>
    <t>AJ298903</t>
  </si>
  <si>
    <t>CLCuMuB-[PK-Mul-U89-97]</t>
  </si>
  <si>
    <t>AM410551</t>
  </si>
  <si>
    <t>CroYVMB-[PK-Pun-06]</t>
  </si>
  <si>
    <t>AJ438938</t>
  </si>
  <si>
    <t>EpYVB-[JR-MNS2-00]</t>
  </si>
  <si>
    <t>AB300464</t>
  </si>
  <si>
    <t>EpYVV-[JR-Suya-03]</t>
  </si>
  <si>
    <t>JQ866298</t>
  </si>
  <si>
    <t>FBLCuB-[IN-Kan-11]</t>
  </si>
  <si>
    <t>KF641186</t>
  </si>
  <si>
    <t>HYMB-[VN-BinhDinh-13]</t>
  </si>
  <si>
    <t>AJ316040</t>
  </si>
  <si>
    <t>HYVB-[UK-Nor1-99]</t>
  </si>
  <si>
    <t>AB182263</t>
  </si>
  <si>
    <t>HYVMB-[JR-Hy-04]</t>
  </si>
  <si>
    <t>AM072289</t>
  </si>
  <si>
    <t>MaLCuB-[CN-Gx87-04]</t>
  </si>
  <si>
    <t>KF912951</t>
  </si>
  <si>
    <t>MaLCuGuB-[CN-Gua-11]</t>
  </si>
  <si>
    <t>LK054803</t>
  </si>
  <si>
    <t>MiLCuB-[IN-Him-13]</t>
  </si>
  <si>
    <t>KT454829</t>
  </si>
  <si>
    <t>MamYMB-[BJ-57-14-14]</t>
  </si>
  <si>
    <t>JX443646</t>
  </si>
  <si>
    <t>MYMB-[IN-Cowpea-12]</t>
  </si>
  <si>
    <t>KF267444</t>
  </si>
  <si>
    <t>OLCuOMB-[OM-Barka-12]</t>
  </si>
  <si>
    <t>AY244706</t>
  </si>
  <si>
    <t>PaLCuB-[IN-ND-03]</t>
  </si>
  <si>
    <t>KJ642219</t>
  </si>
  <si>
    <t>PaLCuCNB-[CN-Hainan-14]</t>
  </si>
  <si>
    <t>HM143906</t>
  </si>
  <si>
    <t>PaLCuINA-[India-Panipat-08]</t>
  </si>
  <si>
    <t>KP752092</t>
  </si>
  <si>
    <t>RhYMB-[IN-Pha-14]</t>
  </si>
  <si>
    <t>GQ478344</t>
  </si>
  <si>
    <t>RoLCuB-[PK-Fai-06]</t>
  </si>
  <si>
    <t>KF499590</t>
  </si>
  <si>
    <t>SiYVB-[CN-FZ02-12]</t>
  </si>
  <si>
    <t>AJ421484</t>
  </si>
  <si>
    <t>TobCSB-[CN-Yn35-01]</t>
  </si>
  <si>
    <t>AM260465</t>
  </si>
  <si>
    <t>TobLCuB-[PK-Lah-04]</t>
  </si>
  <si>
    <t>AB236324</t>
  </si>
  <si>
    <t>TbLCJRB-[JR-Miy-05]</t>
  </si>
  <si>
    <t>HQ180394</t>
  </si>
  <si>
    <t>TobLCuPatB-[IN-Pusa-09]</t>
  </si>
  <si>
    <t>AY428768</t>
  </si>
  <si>
    <t>ToLCBaB-[IN-Ban-03]</t>
  </si>
  <si>
    <t>AJ542489</t>
  </si>
  <si>
    <t>ToLCBDB-[BD-Gaz-01]</t>
  </si>
  <si>
    <t>AJ316036</t>
  </si>
  <si>
    <t>ToLCB-[PK-RYK-97]</t>
  </si>
  <si>
    <t>AJ704609</t>
  </si>
  <si>
    <t>ToLCCNB-[CN-Gx14-02]</t>
  </si>
  <si>
    <t>KC952006</t>
  </si>
  <si>
    <t>ToLCGanB-[IN-pToGNbH14-12]</t>
  </si>
  <si>
    <t>KC282642</t>
  </si>
  <si>
    <t>ToLCJaB-[NP-R7-Papaya-2010]</t>
  </si>
  <si>
    <t>AJ966244</t>
  </si>
  <si>
    <t>ToLCJoB-[BD-Gaz-05]</t>
  </si>
  <si>
    <t>AB307732</t>
  </si>
  <si>
    <t>ToLCLaB-[PH-Lag2-06]</t>
  </si>
  <si>
    <t>AJ542491</t>
  </si>
  <si>
    <t>ToLCLAB-[LA-Sav-01]</t>
  </si>
  <si>
    <t>KM051528</t>
  </si>
  <si>
    <t>ToLCMYB-[MY-13]</t>
  </si>
  <si>
    <t>AJ542492</t>
  </si>
  <si>
    <t>ToLCNPB-[NP-Jhapa]</t>
  </si>
  <si>
    <t>EU862324</t>
  </si>
  <si>
    <t>ToLCPaB-[IN-Pat-07]</t>
  </si>
  <si>
    <t>AB308071</t>
  </si>
  <si>
    <t>ToLCPHB-[PH-Lag1-06]</t>
  </si>
  <si>
    <t>AJ542493</t>
  </si>
  <si>
    <t>ToLCSLB-[SL]</t>
  </si>
  <si>
    <t>JF919717</t>
  </si>
  <si>
    <t>ToLCYEB-[YE-tob56-89]</t>
  </si>
  <si>
    <t>AJ420313</t>
  </si>
  <si>
    <t>TYLCCNB-[CN-Yn45-01]</t>
  </si>
  <si>
    <t>AY438558</t>
  </si>
  <si>
    <t>ToLCRaB-[IN-Raj-03]</t>
  </si>
  <si>
    <t>KP322555</t>
  </si>
  <si>
    <t>ToYLCShB-[CN-SDSG-14]</t>
  </si>
  <si>
    <t>AJ566746</t>
  </si>
  <si>
    <t>TYLCTHB-[CN-Yn72-02]</t>
  </si>
  <si>
    <t>DQ641714</t>
  </si>
  <si>
    <t>TYLCVNB-[VN-Han-05]</t>
  </si>
  <si>
    <t>KF640694</t>
  </si>
  <si>
    <t>ToYLCYnB-[CN-tob-]</t>
  </si>
  <si>
    <t>FN435836</t>
  </si>
  <si>
    <t>VYVB-[IN-Mad-09]</t>
  </si>
  <si>
    <t>JF733779</t>
  </si>
  <si>
    <t>VYVFuB-[CN-09]</t>
  </si>
  <si>
    <t>AJ968684</t>
  </si>
  <si>
    <t>CrYVD-[IN-09]</t>
  </si>
  <si>
    <t>KF433066</t>
  </si>
  <si>
    <t>MaLCuD-[PH-12]</t>
  </si>
  <si>
    <t>JN986808</t>
  </si>
  <si>
    <t>SiGYVD1-[CU-177H1-09]</t>
  </si>
  <si>
    <t>JN819490</t>
  </si>
  <si>
    <t>SiGYVD2-[CU-228H1-09]</t>
  </si>
  <si>
    <t>JN819498</t>
  </si>
  <si>
    <t>SiGYVD3-[CU-412N1-10]</t>
  </si>
  <si>
    <t>FJ914390</t>
  </si>
  <si>
    <t>SPLCD1-[ES-SBG51-02]</t>
  </si>
  <si>
    <t>KF716173</t>
  </si>
  <si>
    <t>SPLCD2-[VE-1764E13-09]</t>
  </si>
  <si>
    <t>KT099179</t>
  </si>
  <si>
    <t>SPLCD3-[PR-T1_1-10]</t>
  </si>
  <si>
    <t>U74627</t>
  </si>
  <si>
    <t>ToLCD-[AU-96]</t>
  </si>
  <si>
    <t>JN819495</t>
  </si>
  <si>
    <t>ToYLDD1-[CU-404N1-10]</t>
  </si>
  <si>
    <t>KU232893</t>
  </si>
  <si>
    <t>ToYLDD2-[CU-603N1-11]</t>
  </si>
  <si>
    <t>KU307456</t>
  </si>
  <si>
    <t>X14855</t>
  </si>
  <si>
    <t>Barhavirus</t>
  </si>
  <si>
    <t>Bahia barhavirus</t>
  </si>
  <si>
    <t>BGV</t>
  </si>
  <si>
    <t>KM205018</t>
  </si>
  <si>
    <t>TB4-1054</t>
  </si>
  <si>
    <t>Muir barhavirus</t>
  </si>
  <si>
    <t>MSV</t>
  </si>
  <si>
    <t>KM204990</t>
  </si>
  <si>
    <t>76V-23524</t>
  </si>
  <si>
    <t>Lostrhavirus</t>
  </si>
  <si>
    <t>Lonestar zarhavirus</t>
  </si>
  <si>
    <t>LSTRV</t>
  </si>
  <si>
    <t>KU127239</t>
  </si>
  <si>
    <t>TickAa42</t>
  </si>
  <si>
    <t>Sawgrhavirus</t>
  </si>
  <si>
    <t>Connecticut sawgrhavirus</t>
  </si>
  <si>
    <t>CNTV</t>
  </si>
  <si>
    <t>KM205020</t>
  </si>
  <si>
    <t>Ar1152-78</t>
  </si>
  <si>
    <t>Island sawgrhavirus</t>
  </si>
  <si>
    <t>LITRV</t>
  </si>
  <si>
    <t>KJ396935</t>
  </si>
  <si>
    <t>LS1</t>
  </si>
  <si>
    <t>Minto sawgrhavirus</t>
  </si>
  <si>
    <t>NMV</t>
  </si>
  <si>
    <t>KM205009</t>
  </si>
  <si>
    <t>Sawgrass sawgrhavirus</t>
  </si>
  <si>
    <t>SAWV</t>
  </si>
  <si>
    <t>KM205013</t>
  </si>
  <si>
    <t>64A-1247</t>
  </si>
  <si>
    <t>Zarhavirus</t>
  </si>
  <si>
    <t>Zahedan zarhavirus</t>
  </si>
  <si>
    <t>ZARV</t>
  </si>
  <si>
    <t>KJ830812</t>
  </si>
  <si>
    <t>ArTeh 157764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</si>
</sst>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1"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sz val="11"/>
      <color rgb="FF006100"/>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6EFCE"/>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4">
    <xf numFmtId="0" fontId="0" fillId="0" borderId="0"/>
    <xf numFmtId="0" fontId="13" fillId="0" borderId="0"/>
    <xf numFmtId="0" fontId="19" fillId="0" borderId="0" applyNumberFormat="0" applyFill="0" applyBorder="0" applyAlignment="0" applyProtection="0"/>
    <xf numFmtId="0" fontId="20" fillId="5" borderId="0" applyNumberFormat="0" applyBorder="0" applyAlignment="0" applyProtection="0"/>
  </cellStyleXfs>
  <cellXfs count="51">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5" fillId="0" borderId="0" xfId="0" applyFont="1" applyFill="1" applyBorder="1" applyAlignment="1">
      <alignment horizontal="right"/>
    </xf>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3" borderId="4" xfId="0" applyFont="1" applyFill="1" applyBorder="1" applyAlignment="1">
      <alignment horizontal="right"/>
    </xf>
    <xf numFmtId="0" fontId="6" fillId="3" borderId="5" xfId="0" applyFont="1" applyFill="1" applyBorder="1"/>
    <xf numFmtId="0" fontId="10" fillId="4" borderId="6" xfId="0" applyFont="1" applyFill="1" applyBorder="1" applyAlignment="1">
      <alignment horizontal="left" vertical="center"/>
    </xf>
    <xf numFmtId="0" fontId="11" fillId="4"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2" fillId="0" borderId="0" xfId="0" applyFont="1" applyFill="1"/>
    <xf numFmtId="49" fontId="8" fillId="2" borderId="12" xfId="0" applyNumberFormat="1" applyFont="1" applyFill="1" applyBorder="1" applyAlignment="1">
      <alignment wrapText="1"/>
    </xf>
    <xf numFmtId="0" fontId="8" fillId="2" borderId="12" xfId="0" applyFont="1" applyFill="1" applyBorder="1" applyAlignment="1">
      <alignment wrapText="1"/>
    </xf>
    <xf numFmtId="0" fontId="9" fillId="2" borderId="12" xfId="0" applyFont="1" applyFill="1" applyBorder="1" applyAlignment="1">
      <alignment wrapText="1"/>
    </xf>
    <xf numFmtId="0" fontId="2" fillId="0" borderId="0" xfId="0" applyFont="1" applyFill="1" applyAlignment="1">
      <alignment wrapText="1"/>
    </xf>
    <xf numFmtId="0" fontId="6" fillId="0" borderId="0" xfId="0" applyFont="1" applyFill="1" applyBorder="1" applyAlignment="1">
      <alignment horizontal="left" vertical="center"/>
    </xf>
    <xf numFmtId="0" fontId="6" fillId="3"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10" fillId="0" borderId="4" xfId="1" applyNumberFormat="1" applyFont="1" applyBorder="1" applyAlignment="1">
      <alignment wrapText="1"/>
    </xf>
    <xf numFmtId="49" fontId="10" fillId="0" borderId="5" xfId="1" applyNumberFormat="1" applyFont="1" applyBorder="1" applyAlignment="1">
      <alignment wrapText="1"/>
    </xf>
    <xf numFmtId="49" fontId="14" fillId="0" borderId="0" xfId="1" applyNumberFormat="1" applyFont="1" applyAlignment="1">
      <alignment wrapText="1"/>
    </xf>
    <xf numFmtId="49" fontId="15" fillId="0" borderId="1" xfId="1" applyNumberFormat="1" applyFont="1" applyBorder="1" applyAlignment="1">
      <alignment horizontal="right" vertical="center" wrapText="1"/>
    </xf>
    <xf numFmtId="49" fontId="16" fillId="0" borderId="8" xfId="1" applyNumberFormat="1" applyFont="1" applyBorder="1" applyAlignment="1">
      <alignment wrapText="1"/>
    </xf>
    <xf numFmtId="49" fontId="16" fillId="0" borderId="0" xfId="1" applyNumberFormat="1" applyFont="1" applyAlignment="1">
      <alignment wrapText="1"/>
    </xf>
    <xf numFmtId="49" fontId="15" fillId="0" borderId="2" xfId="1" applyNumberFormat="1" applyFont="1" applyBorder="1" applyAlignment="1">
      <alignment horizontal="right" vertical="center" wrapText="1"/>
    </xf>
    <xf numFmtId="49" fontId="16" fillId="0" borderId="3" xfId="1" applyNumberFormat="1" applyFont="1" applyBorder="1" applyAlignment="1">
      <alignment wrapText="1"/>
    </xf>
    <xf numFmtId="164" fontId="6" fillId="0" borderId="8" xfId="0" applyNumberFormat="1" applyFont="1" applyFill="1" applyBorder="1" applyAlignment="1">
      <alignment horizontal="right"/>
    </xf>
    <xf numFmtId="0" fontId="19" fillId="0" borderId="0" xfId="2" applyFill="1"/>
    <xf numFmtId="0" fontId="19" fillId="0" borderId="10" xfId="2" applyFill="1" applyBorder="1" applyAlignment="1">
      <alignment horizontal="left" vertical="center"/>
    </xf>
    <xf numFmtId="0" fontId="9" fillId="2" borderId="12" xfId="0" applyFont="1" applyFill="1" applyBorder="1" applyAlignment="1"/>
    <xf numFmtId="11" fontId="2" fillId="0" borderId="0" xfId="0" applyNumberFormat="1" applyFont="1" applyFill="1"/>
    <xf numFmtId="16" fontId="2" fillId="0" borderId="0" xfId="0" applyNumberFormat="1" applyFont="1" applyFill="1"/>
    <xf numFmtId="0" fontId="20" fillId="5" borderId="0" xfId="3" applyAlignment="1"/>
  </cellXfs>
  <cellStyles count="4">
    <cellStyle name="Good" xfId="3" builtinId="26"/>
    <cellStyle name="Hyperlink" xfId="2" builtinId="8"/>
    <cellStyle name="Normal" xfId="0" builtinId="0"/>
    <cellStyle name="Normal 2" xfId="1"/>
  </cellStyles>
  <dxfs count="6">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
      <tableStyleElement type="headerRow" dxfId="4"/>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topLeftCell="A7" zoomScale="125" workbookViewId="0">
      <selection activeCell="C6" sqref="C6"/>
    </sheetView>
  </sheetViews>
  <sheetFormatPr defaultColWidth="11.42578125" defaultRowHeight="12.75" x14ac:dyDescent="0.2"/>
  <cols>
    <col min="1" max="1" width="3.28515625" style="5" customWidth="1"/>
    <col min="2" max="2" width="11.85546875" style="5" customWidth="1"/>
    <col min="3" max="3" width="23.42578125" style="5" customWidth="1"/>
    <col min="4" max="4" width="4.7109375" style="5" customWidth="1"/>
    <col min="5" max="5" width="105" style="21" bestFit="1" customWidth="1"/>
    <col min="6" max="6" width="54.7109375" style="5" customWidth="1"/>
    <col min="7" max="7" width="10.85546875" style="5" customWidth="1"/>
    <col min="8" max="16384" width="11.42578125" style="5"/>
  </cols>
  <sheetData>
    <row r="1" spans="1:6" ht="13.5" thickBot="1" x14ac:dyDescent="0.25"/>
    <row r="2" spans="1:6" s="7" customFormat="1" ht="18.75" thickBot="1" x14ac:dyDescent="0.3">
      <c r="B2" s="19" t="s">
        <v>6843</v>
      </c>
      <c r="C2" s="20"/>
      <c r="D2" s="20"/>
      <c r="E2" s="20"/>
      <c r="F2" s="6"/>
    </row>
    <row r="3" spans="1:6" ht="15.75" thickBot="1" x14ac:dyDescent="0.25">
      <c r="A3" s="12"/>
      <c r="B3" s="10"/>
      <c r="C3" s="10"/>
      <c r="D3" s="10"/>
      <c r="E3" s="31"/>
    </row>
    <row r="4" spans="1:6" ht="18" x14ac:dyDescent="0.25">
      <c r="A4" s="8"/>
      <c r="B4" s="17" t="s">
        <v>415</v>
      </c>
      <c r="C4" s="18">
        <v>1</v>
      </c>
      <c r="D4" s="10"/>
      <c r="E4" s="32" t="str">
        <f>CONCATENATE("Version ",C4)</f>
        <v>Version 1</v>
      </c>
    </row>
    <row r="5" spans="1:6" ht="15" customHeight="1" x14ac:dyDescent="0.25">
      <c r="A5" s="10"/>
      <c r="B5" s="14" t="s">
        <v>1292</v>
      </c>
      <c r="C5" s="44">
        <v>43937</v>
      </c>
      <c r="D5" s="11"/>
      <c r="E5" s="22" t="s">
        <v>6842</v>
      </c>
    </row>
    <row r="6" spans="1:6" ht="16.5" thickBot="1" x14ac:dyDescent="0.3">
      <c r="A6" s="10"/>
      <c r="B6" s="15" t="s">
        <v>1293</v>
      </c>
      <c r="C6" s="16" t="s">
        <v>1290</v>
      </c>
      <c r="D6" s="13"/>
      <c r="E6" s="33" t="s">
        <v>6840</v>
      </c>
    </row>
    <row r="7" spans="1:6" ht="15.75" x14ac:dyDescent="0.25">
      <c r="A7" s="10"/>
      <c r="B7" s="9"/>
      <c r="C7" s="11"/>
      <c r="D7" s="11"/>
      <c r="E7" s="33" t="s">
        <v>6841</v>
      </c>
    </row>
    <row r="8" spans="1:6" ht="15" x14ac:dyDescent="0.2">
      <c r="A8" s="10"/>
      <c r="B8" s="10"/>
      <c r="C8" s="10"/>
      <c r="D8" s="10"/>
      <c r="E8" s="46" t="str">
        <f>HYPERLINK(" http://www.ictvonline.org/","For more information see: http://www.ictvonline.org/")</f>
        <v>For more information see: http://www.ictvonline.org/</v>
      </c>
    </row>
    <row r="9" spans="1:6" ht="15" x14ac:dyDescent="0.2">
      <c r="A9" s="12"/>
      <c r="B9" s="10"/>
      <c r="C9" s="10"/>
      <c r="D9" s="10"/>
      <c r="E9" s="31"/>
    </row>
    <row r="10" spans="1:6" ht="15" x14ac:dyDescent="0.2">
      <c r="A10" s="12"/>
      <c r="B10" s="10"/>
      <c r="C10" s="10"/>
      <c r="D10" s="10"/>
      <c r="E10" s="31"/>
    </row>
    <row r="11" spans="1:6" ht="15" x14ac:dyDescent="0.2">
      <c r="B11" s="34"/>
      <c r="C11" s="34"/>
      <c r="D11" s="34"/>
      <c r="E11" s="35"/>
    </row>
    <row r="12" spans="1:6" ht="15" x14ac:dyDescent="0.2">
      <c r="B12" s="34"/>
      <c r="C12" s="34"/>
      <c r="D12" s="34"/>
      <c r="E12" s="35"/>
    </row>
    <row r="13" spans="1:6" ht="15" x14ac:dyDescent="0.2">
      <c r="B13" s="34"/>
      <c r="C13" s="34"/>
      <c r="D13" s="34"/>
      <c r="E13" s="35"/>
    </row>
    <row r="14" spans="1:6" ht="15" x14ac:dyDescent="0.2">
      <c r="B14" s="34"/>
      <c r="C14" s="34"/>
      <c r="D14" s="34"/>
      <c r="E14" s="35"/>
    </row>
    <row r="15" spans="1:6" ht="15" x14ac:dyDescent="0.2">
      <c r="B15" s="34"/>
      <c r="C15" s="34"/>
      <c r="D15" s="34"/>
      <c r="E15" s="35"/>
    </row>
    <row r="16" spans="1:6" ht="15" x14ac:dyDescent="0.2">
      <c r="B16" s="34"/>
      <c r="C16" s="34"/>
      <c r="D16" s="34"/>
      <c r="E16" s="35"/>
    </row>
    <row r="17" spans="2:5" ht="15" x14ac:dyDescent="0.2">
      <c r="B17" s="34"/>
      <c r="C17" s="34"/>
      <c r="D17" s="34"/>
      <c r="E17" s="35"/>
    </row>
    <row r="18" spans="2:5" ht="15" x14ac:dyDescent="0.2">
      <c r="B18" s="34"/>
      <c r="C18" s="34"/>
      <c r="D18" s="34"/>
      <c r="E18" s="35"/>
    </row>
    <row r="19" spans="2:5" ht="15" x14ac:dyDescent="0.2">
      <c r="B19" s="34"/>
      <c r="C19" s="34"/>
      <c r="D19" s="34"/>
      <c r="E19" s="35"/>
    </row>
    <row r="20" spans="2:5" ht="15" x14ac:dyDescent="0.2">
      <c r="B20" s="34"/>
      <c r="C20" s="34"/>
      <c r="D20" s="34"/>
      <c r="E20" s="35"/>
    </row>
    <row r="21" spans="2:5" ht="15" x14ac:dyDescent="0.2">
      <c r="B21" s="34"/>
      <c r="C21" s="34"/>
      <c r="D21" s="34"/>
      <c r="E21" s="35"/>
    </row>
    <row r="22" spans="2:5" ht="15" x14ac:dyDescent="0.2">
      <c r="B22" s="34"/>
      <c r="C22" s="34"/>
      <c r="D22" s="34"/>
      <c r="E22" s="35"/>
    </row>
    <row r="23" spans="2:5" ht="15" x14ac:dyDescent="0.2">
      <c r="B23" s="34"/>
      <c r="C23" s="34"/>
      <c r="D23" s="34"/>
      <c r="E23" s="35"/>
    </row>
    <row r="24" spans="2:5" ht="15" x14ac:dyDescent="0.2">
      <c r="B24" s="34"/>
      <c r="C24" s="34"/>
      <c r="D24" s="34"/>
      <c r="E24" s="35"/>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election activeCell="A2" sqref="A2:XFD2"/>
    </sheetView>
  </sheetViews>
  <sheetFormatPr defaultColWidth="10.85546875" defaultRowHeight="15" x14ac:dyDescent="0.2"/>
  <cols>
    <col min="1" max="1" width="38.42578125" style="41" customWidth="1"/>
    <col min="2" max="2" width="59.7109375" style="41" customWidth="1"/>
    <col min="3" max="16384" width="10.85546875" style="41"/>
  </cols>
  <sheetData>
    <row r="1" spans="1:2" s="38" customFormat="1" ht="18" x14ac:dyDescent="0.25">
      <c r="A1" s="36" t="s">
        <v>3988</v>
      </c>
      <c r="B1" s="37" t="s">
        <v>3989</v>
      </c>
    </row>
    <row r="2" spans="1:2" s="38" customFormat="1" ht="45.75" x14ac:dyDescent="0.25">
      <c r="A2" s="39" t="s">
        <v>5847</v>
      </c>
      <c r="B2" s="40" t="s">
        <v>5848</v>
      </c>
    </row>
    <row r="3" spans="1:2" ht="60" x14ac:dyDescent="0.2">
      <c r="A3" s="39" t="s">
        <v>1038</v>
      </c>
      <c r="B3" s="40" t="s">
        <v>3990</v>
      </c>
    </row>
    <row r="4" spans="1:2" ht="60" x14ac:dyDescent="0.2">
      <c r="A4" s="39" t="s">
        <v>1821</v>
      </c>
      <c r="B4" s="40" t="s">
        <v>3991</v>
      </c>
    </row>
    <row r="5" spans="1:2" ht="75" x14ac:dyDescent="0.2">
      <c r="A5" s="39" t="s">
        <v>1822</v>
      </c>
      <c r="B5" s="40" t="s">
        <v>3992</v>
      </c>
    </row>
    <row r="6" spans="1:2" ht="45" x14ac:dyDescent="0.2">
      <c r="A6" s="39" t="s">
        <v>1823</v>
      </c>
      <c r="B6" s="40" t="s">
        <v>3993</v>
      </c>
    </row>
    <row r="7" spans="1:2" ht="75" x14ac:dyDescent="0.2">
      <c r="A7" s="39" t="s">
        <v>1824</v>
      </c>
      <c r="B7" s="40" t="s">
        <v>3994</v>
      </c>
    </row>
    <row r="8" spans="1:2" ht="75" x14ac:dyDescent="0.2">
      <c r="A8" s="39" t="s">
        <v>2723</v>
      </c>
      <c r="B8" s="40" t="s">
        <v>3995</v>
      </c>
    </row>
    <row r="9" spans="1:2" ht="225" x14ac:dyDescent="0.2">
      <c r="A9" s="39" t="s">
        <v>2722</v>
      </c>
      <c r="B9" s="40" t="s">
        <v>3996</v>
      </c>
    </row>
    <row r="10" spans="1:2" ht="30" x14ac:dyDescent="0.2">
      <c r="A10" s="39" t="s">
        <v>5845</v>
      </c>
      <c r="B10" s="40" t="s">
        <v>5846</v>
      </c>
    </row>
    <row r="11" spans="1:2" ht="165" x14ac:dyDescent="0.2">
      <c r="A11" s="39" t="s">
        <v>2725</v>
      </c>
      <c r="B11" s="40" t="s">
        <v>3997</v>
      </c>
    </row>
    <row r="12" spans="1:2" ht="60" x14ac:dyDescent="0.2">
      <c r="A12" s="39" t="s">
        <v>4001</v>
      </c>
      <c r="B12" s="40" t="s">
        <v>3998</v>
      </c>
    </row>
    <row r="13" spans="1:2" ht="90" x14ac:dyDescent="0.2">
      <c r="A13" s="39" t="s">
        <v>5056</v>
      </c>
      <c r="B13" s="40" t="s">
        <v>3999</v>
      </c>
    </row>
    <row r="14" spans="1:2" ht="60.75" thickBot="1" x14ac:dyDescent="0.25">
      <c r="A14" s="42" t="s">
        <v>2724</v>
      </c>
      <c r="B14" s="43" t="s">
        <v>4000</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592"/>
  <sheetViews>
    <sheetView tabSelected="1" workbookViewId="0">
      <pane ySplit="1" topLeftCell="A2" activePane="bottomLeft" state="frozen"/>
      <selection pane="bottomLeft" activeCell="A2" sqref="A2:XFD2"/>
    </sheetView>
  </sheetViews>
  <sheetFormatPr defaultColWidth="8.85546875" defaultRowHeight="12.75" x14ac:dyDescent="0.2"/>
  <cols>
    <col min="1" max="1" width="7.28515625" style="1" bestFit="1" customWidth="1"/>
    <col min="2" max="2" width="7.7109375" style="1" bestFit="1" customWidth="1"/>
    <col min="3" max="3" width="11.140625" style="1" bestFit="1" customWidth="1"/>
    <col min="4" max="4" width="10.28515625" style="1" bestFit="1" customWidth="1"/>
    <col min="5" max="5" width="14.140625" style="1" bestFit="1" customWidth="1"/>
    <col min="6" max="6" width="16.7109375" style="1" bestFit="1" customWidth="1"/>
    <col min="7" max="7" width="16.85546875" style="1" bestFit="1" customWidth="1"/>
    <col min="8" max="8" width="19.28515625" style="1" bestFit="1" customWidth="1"/>
    <col min="9" max="9" width="10.42578125" style="1" bestFit="1" customWidth="1"/>
    <col min="10" max="10" width="17.42578125" style="1" bestFit="1" customWidth="1"/>
    <col min="11" max="11" width="16.7109375" style="1" bestFit="1" customWidth="1"/>
    <col min="12" max="12" width="21.140625" style="1" bestFit="1" customWidth="1"/>
    <col min="13" max="13" width="24" style="1" bestFit="1" customWidth="1"/>
    <col min="14" max="14" width="26.7109375" style="1" bestFit="1" customWidth="1"/>
    <col min="15" max="15" width="16.85546875" style="1" bestFit="1" customWidth="1"/>
    <col min="16" max="16" width="60.7109375" style="1" bestFit="1" customWidth="1"/>
    <col min="17" max="17" width="8.140625" style="3" bestFit="1" customWidth="1"/>
    <col min="18" max="19" width="15" style="23" bestFit="1" customWidth="1"/>
    <col min="20" max="20" width="17.28515625" style="23" bestFit="1" customWidth="1"/>
    <col min="21" max="21" width="8.42578125" style="3" bestFit="1" customWidth="1"/>
    <col min="22" max="22" width="36.7109375" style="3" bestFit="1" customWidth="1"/>
    <col min="23" max="23" width="19.28515625" style="45" bestFit="1" customWidth="1"/>
    <col min="24" max="24" width="21.140625" style="1" bestFit="1" customWidth="1"/>
    <col min="25" max="25" width="199.42578125" style="1" bestFit="1" customWidth="1"/>
    <col min="26" max="26" width="255.7109375" style="1" bestFit="1" customWidth="1"/>
    <col min="27" max="27" width="12.140625" style="1" bestFit="1" customWidth="1"/>
    <col min="28" max="28" width="18.42578125" style="1" bestFit="1" customWidth="1"/>
    <col min="29" max="16384" width="8.85546875" style="1"/>
  </cols>
  <sheetData>
    <row r="1" spans="1:28" s="30" customFormat="1" ht="51.75" x14ac:dyDescent="0.25">
      <c r="A1" s="50" t="s">
        <v>5844</v>
      </c>
      <c r="B1" s="47" t="s">
        <v>5527</v>
      </c>
      <c r="C1" s="47" t="s">
        <v>5528</v>
      </c>
      <c r="D1" s="47" t="s">
        <v>5529</v>
      </c>
      <c r="E1" s="47" t="s">
        <v>5530</v>
      </c>
      <c r="F1" s="47" t="s">
        <v>5531</v>
      </c>
      <c r="G1" s="47" t="s">
        <v>5532</v>
      </c>
      <c r="H1" s="47" t="s">
        <v>5533</v>
      </c>
      <c r="I1" s="47" t="s">
        <v>5534</v>
      </c>
      <c r="J1" s="29" t="s">
        <v>1038</v>
      </c>
      <c r="K1" s="29" t="s">
        <v>5535</v>
      </c>
      <c r="L1" s="29" t="s">
        <v>1821</v>
      </c>
      <c r="M1" s="29" t="s">
        <v>1822</v>
      </c>
      <c r="N1" s="29" t="s">
        <v>1823</v>
      </c>
      <c r="O1" s="29" t="s">
        <v>5536</v>
      </c>
      <c r="P1" s="29" t="s">
        <v>1824</v>
      </c>
      <c r="Q1" s="29" t="s">
        <v>2723</v>
      </c>
      <c r="R1" s="27" t="s">
        <v>2722</v>
      </c>
      <c r="S1" s="27" t="s">
        <v>5841</v>
      </c>
      <c r="T1" s="28" t="s">
        <v>2725</v>
      </c>
      <c r="U1" s="28" t="s">
        <v>4001</v>
      </c>
      <c r="V1" s="28" t="s">
        <v>5056</v>
      </c>
      <c r="W1" s="28" t="s">
        <v>2724</v>
      </c>
      <c r="X1" s="30" t="s">
        <v>5537</v>
      </c>
      <c r="Y1" s="30" t="s">
        <v>5538</v>
      </c>
      <c r="Z1" s="30" t="s">
        <v>5539</v>
      </c>
      <c r="AA1" s="1" t="s">
        <v>5842</v>
      </c>
      <c r="AB1" s="1" t="s">
        <v>5843</v>
      </c>
    </row>
    <row r="2" spans="1:28" x14ac:dyDescent="0.2">
      <c r="A2" s="1">
        <v>9</v>
      </c>
      <c r="B2" s="1" t="s">
        <v>6850</v>
      </c>
      <c r="D2" s="1" t="s">
        <v>6851</v>
      </c>
      <c r="F2" s="1" t="s">
        <v>6852</v>
      </c>
      <c r="H2" s="1" t="s">
        <v>6853</v>
      </c>
      <c r="J2" s="1" t="s">
        <v>896</v>
      </c>
      <c r="L2" s="1" t="s">
        <v>897</v>
      </c>
      <c r="N2" s="1" t="s">
        <v>404</v>
      </c>
      <c r="P2" s="1" t="s">
        <v>405</v>
      </c>
      <c r="Q2" s="3">
        <v>1</v>
      </c>
      <c r="R2" s="23" t="s">
        <v>6854</v>
      </c>
      <c r="S2" s="23" t="s">
        <v>6845</v>
      </c>
      <c r="T2" s="23" t="s">
        <v>4866</v>
      </c>
      <c r="U2" s="3">
        <v>35</v>
      </c>
      <c r="W2" s="45" t="str">
        <f>HYPERLINK("http://ictvonline.org/taxonomy/p/taxonomy-history?taxnode_id=201901396","ICTVonline=201901396")</f>
        <v>ICTVonline=201901396</v>
      </c>
      <c r="AA2" s="1">
        <v>201900000</v>
      </c>
      <c r="AB2" s="1">
        <v>35</v>
      </c>
    </row>
    <row r="3" spans="1:28" x14ac:dyDescent="0.2">
      <c r="A3" s="1">
        <v>11</v>
      </c>
      <c r="B3" s="1" t="s">
        <v>6850</v>
      </c>
      <c r="D3" s="1" t="s">
        <v>6851</v>
      </c>
      <c r="F3" s="1" t="s">
        <v>6852</v>
      </c>
      <c r="H3" s="1" t="s">
        <v>6853</v>
      </c>
      <c r="J3" s="1" t="s">
        <v>896</v>
      </c>
      <c r="L3" s="1" t="s">
        <v>897</v>
      </c>
      <c r="N3" s="1" t="s">
        <v>404</v>
      </c>
      <c r="P3" s="1" t="s">
        <v>1485</v>
      </c>
      <c r="Q3" s="3">
        <v>0</v>
      </c>
      <c r="R3" s="23" t="s">
        <v>6854</v>
      </c>
      <c r="S3" s="23" t="s">
        <v>6845</v>
      </c>
      <c r="T3" s="23" t="s">
        <v>4866</v>
      </c>
      <c r="U3" s="3">
        <v>35</v>
      </c>
      <c r="W3" s="45" t="str">
        <f>HYPERLINK("http://ictvonline.org/taxonomy/p/taxonomy-history?taxnode_id=201901397","ICTVonline=201901397")</f>
        <v>ICTVonline=201901397</v>
      </c>
      <c r="AA3" s="1">
        <v>201900000</v>
      </c>
      <c r="AB3" s="1">
        <v>35</v>
      </c>
    </row>
    <row r="4" spans="1:28" x14ac:dyDescent="0.2">
      <c r="A4" s="1">
        <v>13</v>
      </c>
      <c r="B4" s="1" t="s">
        <v>6850</v>
      </c>
      <c r="D4" s="1" t="s">
        <v>6851</v>
      </c>
      <c r="F4" s="1" t="s">
        <v>6852</v>
      </c>
      <c r="H4" s="1" t="s">
        <v>6853</v>
      </c>
      <c r="J4" s="1" t="s">
        <v>896</v>
      </c>
      <c r="L4" s="1" t="s">
        <v>897</v>
      </c>
      <c r="N4" s="1" t="s">
        <v>404</v>
      </c>
      <c r="P4" s="1" t="s">
        <v>5024</v>
      </c>
      <c r="Q4" s="3">
        <v>0</v>
      </c>
      <c r="R4" s="23" t="s">
        <v>6854</v>
      </c>
      <c r="S4" s="23" t="s">
        <v>6845</v>
      </c>
      <c r="T4" s="23" t="s">
        <v>4866</v>
      </c>
      <c r="U4" s="3">
        <v>35</v>
      </c>
      <c r="W4" s="45" t="str">
        <f>HYPERLINK("http://ictvonline.org/taxonomy/p/taxonomy-history?taxnode_id=201905570","ICTVonline=201905570")</f>
        <v>ICTVonline=201905570</v>
      </c>
      <c r="AA4" s="1">
        <v>201900000</v>
      </c>
      <c r="AB4" s="1">
        <v>35</v>
      </c>
    </row>
    <row r="5" spans="1:28" x14ac:dyDescent="0.2">
      <c r="A5" s="1">
        <v>17</v>
      </c>
      <c r="B5" s="1" t="s">
        <v>6850</v>
      </c>
      <c r="D5" s="1" t="s">
        <v>6851</v>
      </c>
      <c r="F5" s="1" t="s">
        <v>6852</v>
      </c>
      <c r="H5" s="1" t="s">
        <v>6853</v>
      </c>
      <c r="J5" s="1" t="s">
        <v>896</v>
      </c>
      <c r="L5" s="1" t="s">
        <v>897</v>
      </c>
      <c r="N5" s="1" t="s">
        <v>1486</v>
      </c>
      <c r="P5" s="1" t="s">
        <v>558</v>
      </c>
      <c r="Q5" s="3">
        <v>0</v>
      </c>
      <c r="R5" s="23" t="s">
        <v>6854</v>
      </c>
      <c r="S5" s="23" t="s">
        <v>6845</v>
      </c>
      <c r="T5" s="23" t="s">
        <v>4866</v>
      </c>
      <c r="U5" s="3">
        <v>35</v>
      </c>
      <c r="W5" s="45" t="str">
        <f>HYPERLINK("http://ictvonline.org/taxonomy/p/taxonomy-history?taxnode_id=201901399","ICTVonline=201901399")</f>
        <v>ICTVonline=201901399</v>
      </c>
      <c r="AA5" s="1">
        <v>201900000</v>
      </c>
      <c r="AB5" s="1">
        <v>35</v>
      </c>
    </row>
    <row r="6" spans="1:28" x14ac:dyDescent="0.2">
      <c r="A6" s="1">
        <v>19</v>
      </c>
      <c r="B6" s="1" t="s">
        <v>6850</v>
      </c>
      <c r="D6" s="1" t="s">
        <v>6851</v>
      </c>
      <c r="F6" s="1" t="s">
        <v>6852</v>
      </c>
      <c r="H6" s="1" t="s">
        <v>6853</v>
      </c>
      <c r="J6" s="1" t="s">
        <v>896</v>
      </c>
      <c r="L6" s="1" t="s">
        <v>897</v>
      </c>
      <c r="N6" s="1" t="s">
        <v>1486</v>
      </c>
      <c r="P6" s="1" t="s">
        <v>1487</v>
      </c>
      <c r="Q6" s="3">
        <v>0</v>
      </c>
      <c r="R6" s="23" t="s">
        <v>6854</v>
      </c>
      <c r="S6" s="23" t="s">
        <v>6845</v>
      </c>
      <c r="T6" s="23" t="s">
        <v>4866</v>
      </c>
      <c r="U6" s="3">
        <v>35</v>
      </c>
      <c r="W6" s="45" t="str">
        <f>HYPERLINK("http://ictvonline.org/taxonomy/p/taxonomy-history?taxnode_id=201901400","ICTVonline=201901400")</f>
        <v>ICTVonline=201901400</v>
      </c>
      <c r="AA6" s="1">
        <v>201900000</v>
      </c>
      <c r="AB6" s="1">
        <v>35</v>
      </c>
    </row>
    <row r="7" spans="1:28" x14ac:dyDescent="0.2">
      <c r="A7" s="1">
        <v>21</v>
      </c>
      <c r="B7" s="1" t="s">
        <v>6850</v>
      </c>
      <c r="D7" s="1" t="s">
        <v>6851</v>
      </c>
      <c r="F7" s="1" t="s">
        <v>6852</v>
      </c>
      <c r="H7" s="1" t="s">
        <v>6853</v>
      </c>
      <c r="J7" s="1" t="s">
        <v>896</v>
      </c>
      <c r="L7" s="1" t="s">
        <v>897</v>
      </c>
      <c r="N7" s="1" t="s">
        <v>1486</v>
      </c>
      <c r="P7" s="1" t="s">
        <v>1488</v>
      </c>
      <c r="Q7" s="3">
        <v>0</v>
      </c>
      <c r="R7" s="23" t="s">
        <v>6854</v>
      </c>
      <c r="S7" s="23" t="s">
        <v>6845</v>
      </c>
      <c r="T7" s="23" t="s">
        <v>4866</v>
      </c>
      <c r="U7" s="3">
        <v>35</v>
      </c>
      <c r="W7" s="45" t="str">
        <f>HYPERLINK("http://ictvonline.org/taxonomy/p/taxonomy-history?taxnode_id=201901401","ICTVonline=201901401")</f>
        <v>ICTVonline=201901401</v>
      </c>
      <c r="AA7" s="1">
        <v>201900000</v>
      </c>
      <c r="AB7" s="1">
        <v>35</v>
      </c>
    </row>
    <row r="8" spans="1:28" x14ac:dyDescent="0.2">
      <c r="A8" s="1">
        <v>23</v>
      </c>
      <c r="B8" s="1" t="s">
        <v>6850</v>
      </c>
      <c r="D8" s="1" t="s">
        <v>6851</v>
      </c>
      <c r="F8" s="1" t="s">
        <v>6852</v>
      </c>
      <c r="H8" s="1" t="s">
        <v>6853</v>
      </c>
      <c r="J8" s="1" t="s">
        <v>896</v>
      </c>
      <c r="L8" s="1" t="s">
        <v>897</v>
      </c>
      <c r="N8" s="1" t="s">
        <v>1486</v>
      </c>
      <c r="P8" s="1" t="s">
        <v>899</v>
      </c>
      <c r="Q8" s="3">
        <v>1</v>
      </c>
      <c r="R8" s="23" t="s">
        <v>6854</v>
      </c>
      <c r="S8" s="23" t="s">
        <v>6845</v>
      </c>
      <c r="T8" s="23" t="s">
        <v>4866</v>
      </c>
      <c r="U8" s="3">
        <v>35</v>
      </c>
      <c r="W8" s="45" t="str">
        <f>HYPERLINK("http://ictvonline.org/taxonomy/p/taxonomy-history?taxnode_id=201901402","ICTVonline=201901402")</f>
        <v>ICTVonline=201901402</v>
      </c>
      <c r="AA8" s="1">
        <v>201900000</v>
      </c>
      <c r="AB8" s="1">
        <v>35</v>
      </c>
    </row>
    <row r="9" spans="1:28" x14ac:dyDescent="0.2">
      <c r="A9" s="1">
        <v>27</v>
      </c>
      <c r="B9" s="1" t="s">
        <v>6850</v>
      </c>
      <c r="D9" s="1" t="s">
        <v>6851</v>
      </c>
      <c r="F9" s="1" t="s">
        <v>6852</v>
      </c>
      <c r="H9" s="1" t="s">
        <v>6853</v>
      </c>
      <c r="J9" s="1" t="s">
        <v>896</v>
      </c>
      <c r="L9" s="1" t="s">
        <v>897</v>
      </c>
      <c r="N9" s="1" t="s">
        <v>1341</v>
      </c>
      <c r="P9" s="1" t="s">
        <v>1507</v>
      </c>
      <c r="Q9" s="3">
        <v>0</v>
      </c>
      <c r="R9" s="23" t="s">
        <v>6854</v>
      </c>
      <c r="S9" s="23" t="s">
        <v>6845</v>
      </c>
      <c r="T9" s="23" t="s">
        <v>4866</v>
      </c>
      <c r="U9" s="3">
        <v>35</v>
      </c>
      <c r="W9" s="45" t="str">
        <f>HYPERLINK("http://ictvonline.org/taxonomy/p/taxonomy-history?taxnode_id=201901404","ICTVonline=201901404")</f>
        <v>ICTVonline=201901404</v>
      </c>
      <c r="AA9" s="1">
        <v>201900000</v>
      </c>
      <c r="AB9" s="1">
        <v>35</v>
      </c>
    </row>
    <row r="10" spans="1:28" x14ac:dyDescent="0.2">
      <c r="A10" s="1">
        <v>29</v>
      </c>
      <c r="B10" s="1" t="s">
        <v>6850</v>
      </c>
      <c r="D10" s="1" t="s">
        <v>6851</v>
      </c>
      <c r="F10" s="1" t="s">
        <v>6852</v>
      </c>
      <c r="H10" s="1" t="s">
        <v>6853</v>
      </c>
      <c r="J10" s="1" t="s">
        <v>896</v>
      </c>
      <c r="L10" s="1" t="s">
        <v>897</v>
      </c>
      <c r="N10" s="1" t="s">
        <v>1341</v>
      </c>
      <c r="P10" s="1" t="s">
        <v>898</v>
      </c>
      <c r="Q10" s="3">
        <v>1</v>
      </c>
      <c r="R10" s="23" t="s">
        <v>6854</v>
      </c>
      <c r="S10" s="23" t="s">
        <v>6845</v>
      </c>
      <c r="T10" s="23" t="s">
        <v>4866</v>
      </c>
      <c r="U10" s="3">
        <v>35</v>
      </c>
      <c r="W10" s="45" t="str">
        <f>HYPERLINK("http://ictvonline.org/taxonomy/p/taxonomy-history?taxnode_id=201901405","ICTVonline=201901405")</f>
        <v>ICTVonline=201901405</v>
      </c>
      <c r="AA10" s="1">
        <v>201900000</v>
      </c>
      <c r="AB10" s="1">
        <v>35</v>
      </c>
    </row>
    <row r="11" spans="1:28" x14ac:dyDescent="0.2">
      <c r="A11" s="1">
        <v>31</v>
      </c>
      <c r="B11" s="1" t="s">
        <v>6850</v>
      </c>
      <c r="D11" s="1" t="s">
        <v>6851</v>
      </c>
      <c r="F11" s="1" t="s">
        <v>6852</v>
      </c>
      <c r="H11" s="1" t="s">
        <v>6853</v>
      </c>
      <c r="J11" s="1" t="s">
        <v>896</v>
      </c>
      <c r="L11" s="1" t="s">
        <v>897</v>
      </c>
      <c r="N11" s="1" t="s">
        <v>1341</v>
      </c>
      <c r="P11" s="1" t="s">
        <v>1819</v>
      </c>
      <c r="Q11" s="3">
        <v>0</v>
      </c>
      <c r="R11" s="23" t="s">
        <v>6854</v>
      </c>
      <c r="S11" s="23" t="s">
        <v>6845</v>
      </c>
      <c r="T11" s="23" t="s">
        <v>4866</v>
      </c>
      <c r="U11" s="3">
        <v>35</v>
      </c>
      <c r="W11" s="45" t="str">
        <f>HYPERLINK("http://ictvonline.org/taxonomy/p/taxonomy-history?taxnode_id=201901406","ICTVonline=201901406")</f>
        <v>ICTVonline=201901406</v>
      </c>
      <c r="AA11" s="1">
        <v>201900000</v>
      </c>
      <c r="AB11" s="1">
        <v>35</v>
      </c>
    </row>
    <row r="12" spans="1:28" x14ac:dyDescent="0.2">
      <c r="A12" s="1">
        <v>35</v>
      </c>
      <c r="B12" s="1" t="s">
        <v>6850</v>
      </c>
      <c r="D12" s="1" t="s">
        <v>6851</v>
      </c>
      <c r="F12" s="1" t="s">
        <v>6852</v>
      </c>
      <c r="H12" s="1" t="s">
        <v>6853</v>
      </c>
      <c r="J12" s="1" t="s">
        <v>896</v>
      </c>
      <c r="L12" s="1" t="s">
        <v>897</v>
      </c>
      <c r="N12" s="1" t="s">
        <v>1489</v>
      </c>
      <c r="P12" s="1" t="s">
        <v>1814</v>
      </c>
      <c r="Q12" s="3">
        <v>1</v>
      </c>
      <c r="R12" s="23" t="s">
        <v>6854</v>
      </c>
      <c r="S12" s="23" t="s">
        <v>6845</v>
      </c>
      <c r="T12" s="23" t="s">
        <v>4866</v>
      </c>
      <c r="U12" s="3">
        <v>35</v>
      </c>
      <c r="W12" s="45" t="str">
        <f>HYPERLINK("http://ictvonline.org/taxonomy/p/taxonomy-history?taxnode_id=201901408","ICTVonline=201901408")</f>
        <v>ICTVonline=201901408</v>
      </c>
      <c r="AA12" s="1">
        <v>201900000</v>
      </c>
      <c r="AB12" s="1">
        <v>35</v>
      </c>
    </row>
    <row r="13" spans="1:28" x14ac:dyDescent="0.2">
      <c r="A13" s="1">
        <v>37</v>
      </c>
      <c r="B13" s="1" t="s">
        <v>6850</v>
      </c>
      <c r="D13" s="1" t="s">
        <v>6851</v>
      </c>
      <c r="F13" s="1" t="s">
        <v>6852</v>
      </c>
      <c r="H13" s="1" t="s">
        <v>6853</v>
      </c>
      <c r="J13" s="1" t="s">
        <v>896</v>
      </c>
      <c r="L13" s="1" t="s">
        <v>897</v>
      </c>
      <c r="N13" s="1" t="s">
        <v>1489</v>
      </c>
      <c r="P13" s="1" t="s">
        <v>2115</v>
      </c>
      <c r="Q13" s="3">
        <v>0</v>
      </c>
      <c r="R13" s="23" t="s">
        <v>6854</v>
      </c>
      <c r="S13" s="23" t="s">
        <v>6845</v>
      </c>
      <c r="T13" s="23" t="s">
        <v>4866</v>
      </c>
      <c r="U13" s="3">
        <v>35</v>
      </c>
      <c r="W13" s="45" t="str">
        <f>HYPERLINK("http://ictvonline.org/taxonomy/p/taxonomy-history?taxnode_id=201901409","ICTVonline=201901409")</f>
        <v>ICTVonline=201901409</v>
      </c>
      <c r="AA13" s="1">
        <v>201900000</v>
      </c>
      <c r="AB13" s="1">
        <v>35</v>
      </c>
    </row>
    <row r="14" spans="1:28" x14ac:dyDescent="0.2">
      <c r="A14" s="1">
        <v>39</v>
      </c>
      <c r="B14" s="1" t="s">
        <v>6850</v>
      </c>
      <c r="D14" s="1" t="s">
        <v>6851</v>
      </c>
      <c r="F14" s="1" t="s">
        <v>6852</v>
      </c>
      <c r="H14" s="1" t="s">
        <v>6853</v>
      </c>
      <c r="J14" s="1" t="s">
        <v>896</v>
      </c>
      <c r="L14" s="1" t="s">
        <v>897</v>
      </c>
      <c r="N14" s="1" t="s">
        <v>1489</v>
      </c>
      <c r="P14" s="1" t="s">
        <v>1498</v>
      </c>
      <c r="Q14" s="3">
        <v>0</v>
      </c>
      <c r="R14" s="23" t="s">
        <v>6854</v>
      </c>
      <c r="S14" s="23" t="s">
        <v>6845</v>
      </c>
      <c r="T14" s="23" t="s">
        <v>4866</v>
      </c>
      <c r="U14" s="3">
        <v>35</v>
      </c>
      <c r="W14" s="45" t="str">
        <f>HYPERLINK("http://ictvonline.org/taxonomy/p/taxonomy-history?taxnode_id=201901410","ICTVonline=201901410")</f>
        <v>ICTVonline=201901410</v>
      </c>
      <c r="AA14" s="1">
        <v>201900000</v>
      </c>
      <c r="AB14" s="1">
        <v>35</v>
      </c>
    </row>
    <row r="15" spans="1:28" x14ac:dyDescent="0.2">
      <c r="A15" s="1">
        <v>46</v>
      </c>
      <c r="B15" s="1" t="s">
        <v>6850</v>
      </c>
      <c r="D15" s="1" t="s">
        <v>6851</v>
      </c>
      <c r="F15" s="1" t="s">
        <v>6852</v>
      </c>
      <c r="H15" s="1" t="s">
        <v>6853</v>
      </c>
      <c r="J15" s="1" t="s">
        <v>896</v>
      </c>
      <c r="L15" s="1" t="s">
        <v>900</v>
      </c>
      <c r="M15" s="1" t="s">
        <v>901</v>
      </c>
      <c r="N15" s="1" t="s">
        <v>902</v>
      </c>
      <c r="P15" s="1" t="s">
        <v>3413</v>
      </c>
      <c r="Q15" s="3">
        <v>1</v>
      </c>
      <c r="R15" s="23" t="s">
        <v>6854</v>
      </c>
      <c r="S15" s="23" t="s">
        <v>6845</v>
      </c>
      <c r="T15" s="23" t="s">
        <v>4866</v>
      </c>
      <c r="U15" s="3">
        <v>35</v>
      </c>
      <c r="W15" s="45" t="str">
        <f>HYPERLINK("http://ictvonline.org/taxonomy/p/taxonomy-history?taxnode_id=201901414","ICTVonline=201901414")</f>
        <v>ICTVonline=201901414</v>
      </c>
      <c r="AA15" s="1">
        <v>201900000</v>
      </c>
      <c r="AB15" s="1">
        <v>35</v>
      </c>
    </row>
    <row r="16" spans="1:28" x14ac:dyDescent="0.2">
      <c r="A16" s="1">
        <v>48</v>
      </c>
      <c r="B16" s="1" t="s">
        <v>6850</v>
      </c>
      <c r="D16" s="1" t="s">
        <v>6851</v>
      </c>
      <c r="F16" s="1" t="s">
        <v>6852</v>
      </c>
      <c r="H16" s="1" t="s">
        <v>6853</v>
      </c>
      <c r="J16" s="1" t="s">
        <v>896</v>
      </c>
      <c r="L16" s="1" t="s">
        <v>900</v>
      </c>
      <c r="M16" s="1" t="s">
        <v>901</v>
      </c>
      <c r="N16" s="1" t="s">
        <v>902</v>
      </c>
      <c r="P16" s="1" t="s">
        <v>3414</v>
      </c>
      <c r="Q16" s="3">
        <v>0</v>
      </c>
      <c r="R16" s="23" t="s">
        <v>6854</v>
      </c>
      <c r="S16" s="23" t="s">
        <v>6845</v>
      </c>
      <c r="T16" s="23" t="s">
        <v>4866</v>
      </c>
      <c r="U16" s="3">
        <v>35</v>
      </c>
      <c r="W16" s="45" t="str">
        <f>HYPERLINK("http://ictvonline.org/taxonomy/p/taxonomy-history?taxnode_id=201901415","ICTVonline=201901415")</f>
        <v>ICTVonline=201901415</v>
      </c>
      <c r="AA16" s="1">
        <v>201900000</v>
      </c>
      <c r="AB16" s="1">
        <v>35</v>
      </c>
    </row>
    <row r="17" spans="1:28" x14ac:dyDescent="0.2">
      <c r="A17" s="1">
        <v>52</v>
      </c>
      <c r="B17" s="1" t="s">
        <v>6850</v>
      </c>
      <c r="D17" s="1" t="s">
        <v>6851</v>
      </c>
      <c r="F17" s="1" t="s">
        <v>6852</v>
      </c>
      <c r="H17" s="1" t="s">
        <v>6853</v>
      </c>
      <c r="J17" s="1" t="s">
        <v>896</v>
      </c>
      <c r="L17" s="1" t="s">
        <v>900</v>
      </c>
      <c r="M17" s="1" t="s">
        <v>901</v>
      </c>
      <c r="N17" s="1" t="s">
        <v>1372</v>
      </c>
      <c r="P17" s="1" t="s">
        <v>3415</v>
      </c>
      <c r="Q17" s="3">
        <v>0</v>
      </c>
      <c r="R17" s="23" t="s">
        <v>6854</v>
      </c>
      <c r="S17" s="23" t="s">
        <v>6845</v>
      </c>
      <c r="T17" s="23" t="s">
        <v>4866</v>
      </c>
      <c r="U17" s="3">
        <v>35</v>
      </c>
      <c r="W17" s="45" t="str">
        <f>HYPERLINK("http://ictvonline.org/taxonomy/p/taxonomy-history?taxnode_id=201901417","ICTVonline=201901417")</f>
        <v>ICTVonline=201901417</v>
      </c>
      <c r="AA17" s="1">
        <v>201900000</v>
      </c>
      <c r="AB17" s="1">
        <v>35</v>
      </c>
    </row>
    <row r="18" spans="1:28" x14ac:dyDescent="0.2">
      <c r="A18" s="1">
        <v>54</v>
      </c>
      <c r="B18" s="1" t="s">
        <v>6850</v>
      </c>
      <c r="D18" s="1" t="s">
        <v>6851</v>
      </c>
      <c r="F18" s="1" t="s">
        <v>6852</v>
      </c>
      <c r="H18" s="1" t="s">
        <v>6853</v>
      </c>
      <c r="J18" s="1" t="s">
        <v>896</v>
      </c>
      <c r="L18" s="1" t="s">
        <v>900</v>
      </c>
      <c r="M18" s="1" t="s">
        <v>901</v>
      </c>
      <c r="N18" s="1" t="s">
        <v>1372</v>
      </c>
      <c r="P18" s="1" t="s">
        <v>3416</v>
      </c>
      <c r="Q18" s="3">
        <v>0</v>
      </c>
      <c r="R18" s="23" t="s">
        <v>6854</v>
      </c>
      <c r="S18" s="23" t="s">
        <v>6845</v>
      </c>
      <c r="T18" s="23" t="s">
        <v>4866</v>
      </c>
      <c r="U18" s="3">
        <v>35</v>
      </c>
      <c r="W18" s="45" t="str">
        <f>HYPERLINK("http://ictvonline.org/taxonomy/p/taxonomy-history?taxnode_id=201901418","ICTVonline=201901418")</f>
        <v>ICTVonline=201901418</v>
      </c>
      <c r="AA18" s="1">
        <v>201900000</v>
      </c>
      <c r="AB18" s="1">
        <v>35</v>
      </c>
    </row>
    <row r="19" spans="1:28" x14ac:dyDescent="0.2">
      <c r="A19" s="1">
        <v>56</v>
      </c>
      <c r="B19" s="1" t="s">
        <v>6850</v>
      </c>
      <c r="D19" s="1" t="s">
        <v>6851</v>
      </c>
      <c r="F19" s="1" t="s">
        <v>6852</v>
      </c>
      <c r="H19" s="1" t="s">
        <v>6853</v>
      </c>
      <c r="J19" s="1" t="s">
        <v>896</v>
      </c>
      <c r="L19" s="1" t="s">
        <v>900</v>
      </c>
      <c r="M19" s="1" t="s">
        <v>901</v>
      </c>
      <c r="N19" s="1" t="s">
        <v>1372</v>
      </c>
      <c r="P19" s="1" t="s">
        <v>3417</v>
      </c>
      <c r="Q19" s="3">
        <v>1</v>
      </c>
      <c r="R19" s="23" t="s">
        <v>6854</v>
      </c>
      <c r="S19" s="23" t="s">
        <v>6845</v>
      </c>
      <c r="T19" s="23" t="s">
        <v>4866</v>
      </c>
      <c r="U19" s="3">
        <v>35</v>
      </c>
      <c r="W19" s="45" t="str">
        <f>HYPERLINK("http://ictvonline.org/taxonomy/p/taxonomy-history?taxnode_id=201901419","ICTVonline=201901419")</f>
        <v>ICTVonline=201901419</v>
      </c>
      <c r="AA19" s="1">
        <v>201900000</v>
      </c>
      <c r="AB19" s="1">
        <v>35</v>
      </c>
    </row>
    <row r="20" spans="1:28" x14ac:dyDescent="0.2">
      <c r="A20" s="1">
        <v>58</v>
      </c>
      <c r="B20" s="1" t="s">
        <v>6850</v>
      </c>
      <c r="D20" s="1" t="s">
        <v>6851</v>
      </c>
      <c r="F20" s="1" t="s">
        <v>6852</v>
      </c>
      <c r="H20" s="1" t="s">
        <v>6853</v>
      </c>
      <c r="J20" s="1" t="s">
        <v>896</v>
      </c>
      <c r="L20" s="1" t="s">
        <v>900</v>
      </c>
      <c r="M20" s="1" t="s">
        <v>901</v>
      </c>
      <c r="N20" s="1" t="s">
        <v>1372</v>
      </c>
      <c r="P20" s="1" t="s">
        <v>3418</v>
      </c>
      <c r="Q20" s="3">
        <v>0</v>
      </c>
      <c r="R20" s="23" t="s">
        <v>6854</v>
      </c>
      <c r="S20" s="23" t="s">
        <v>6845</v>
      </c>
      <c r="T20" s="23" t="s">
        <v>4866</v>
      </c>
      <c r="U20" s="3">
        <v>35</v>
      </c>
      <c r="W20" s="45" t="str">
        <f>HYPERLINK("http://ictvonline.org/taxonomy/p/taxonomy-history?taxnode_id=201901420","ICTVonline=201901420")</f>
        <v>ICTVonline=201901420</v>
      </c>
      <c r="AA20" s="1">
        <v>201900000</v>
      </c>
      <c r="AB20" s="1">
        <v>35</v>
      </c>
    </row>
    <row r="21" spans="1:28" x14ac:dyDescent="0.2">
      <c r="A21" s="1">
        <v>60</v>
      </c>
      <c r="B21" s="1" t="s">
        <v>6850</v>
      </c>
      <c r="D21" s="1" t="s">
        <v>6851</v>
      </c>
      <c r="F21" s="1" t="s">
        <v>6852</v>
      </c>
      <c r="H21" s="1" t="s">
        <v>6853</v>
      </c>
      <c r="J21" s="1" t="s">
        <v>896</v>
      </c>
      <c r="L21" s="1" t="s">
        <v>900</v>
      </c>
      <c r="M21" s="1" t="s">
        <v>901</v>
      </c>
      <c r="N21" s="1" t="s">
        <v>1372</v>
      </c>
      <c r="P21" s="1" t="s">
        <v>3419</v>
      </c>
      <c r="Q21" s="3">
        <v>0</v>
      </c>
      <c r="R21" s="23" t="s">
        <v>6854</v>
      </c>
      <c r="S21" s="23" t="s">
        <v>6845</v>
      </c>
      <c r="T21" s="23" t="s">
        <v>4866</v>
      </c>
      <c r="U21" s="3">
        <v>35</v>
      </c>
      <c r="W21" s="45" t="str">
        <f>HYPERLINK("http://ictvonline.org/taxonomy/p/taxonomy-history?taxnode_id=201901421","ICTVonline=201901421")</f>
        <v>ICTVonline=201901421</v>
      </c>
      <c r="AA21" s="1">
        <v>201900000</v>
      </c>
      <c r="AB21" s="1">
        <v>35</v>
      </c>
    </row>
    <row r="22" spans="1:28" x14ac:dyDescent="0.2">
      <c r="A22" s="1">
        <v>62</v>
      </c>
      <c r="B22" s="1" t="s">
        <v>6850</v>
      </c>
      <c r="D22" s="1" t="s">
        <v>6851</v>
      </c>
      <c r="F22" s="1" t="s">
        <v>6852</v>
      </c>
      <c r="H22" s="1" t="s">
        <v>6853</v>
      </c>
      <c r="J22" s="1" t="s">
        <v>896</v>
      </c>
      <c r="L22" s="1" t="s">
        <v>900</v>
      </c>
      <c r="M22" s="1" t="s">
        <v>901</v>
      </c>
      <c r="N22" s="1" t="s">
        <v>1372</v>
      </c>
      <c r="P22" s="1" t="s">
        <v>6574</v>
      </c>
      <c r="Q22" s="3">
        <v>0</v>
      </c>
      <c r="R22" s="23" t="s">
        <v>6854</v>
      </c>
      <c r="S22" s="23" t="s">
        <v>6845</v>
      </c>
      <c r="T22" s="23" t="s">
        <v>4866</v>
      </c>
      <c r="U22" s="3">
        <v>35</v>
      </c>
      <c r="W22" s="45" t="str">
        <f>HYPERLINK("http://ictvonline.org/taxonomy/p/taxonomy-history?taxnode_id=201906397","ICTVonline=201906397")</f>
        <v>ICTVonline=201906397</v>
      </c>
      <c r="X22" s="1" t="s">
        <v>6855</v>
      </c>
      <c r="Y22" s="1" t="s">
        <v>6856</v>
      </c>
      <c r="Z22" s="1" t="s">
        <v>6857</v>
      </c>
      <c r="AA22" s="1">
        <v>201900000</v>
      </c>
      <c r="AB22" s="1">
        <v>35</v>
      </c>
    </row>
    <row r="23" spans="1:28" x14ac:dyDescent="0.2">
      <c r="A23" s="1">
        <v>66</v>
      </c>
      <c r="B23" s="1" t="s">
        <v>6850</v>
      </c>
      <c r="D23" s="1" t="s">
        <v>6851</v>
      </c>
      <c r="F23" s="1" t="s">
        <v>6852</v>
      </c>
      <c r="H23" s="1" t="s">
        <v>6853</v>
      </c>
      <c r="J23" s="1" t="s">
        <v>896</v>
      </c>
      <c r="L23" s="1" t="s">
        <v>900</v>
      </c>
      <c r="M23" s="1" t="s">
        <v>901</v>
      </c>
      <c r="N23" s="1" t="s">
        <v>1336</v>
      </c>
      <c r="P23" s="1" t="s">
        <v>3420</v>
      </c>
      <c r="Q23" s="3">
        <v>1</v>
      </c>
      <c r="R23" s="23" t="s">
        <v>6854</v>
      </c>
      <c r="S23" s="23" t="s">
        <v>6845</v>
      </c>
      <c r="T23" s="23" t="s">
        <v>4866</v>
      </c>
      <c r="U23" s="3">
        <v>35</v>
      </c>
      <c r="W23" s="45" t="str">
        <f>HYPERLINK("http://ictvonline.org/taxonomy/p/taxonomy-history?taxnode_id=201901423","ICTVonline=201901423")</f>
        <v>ICTVonline=201901423</v>
      </c>
      <c r="AA23" s="1">
        <v>201900000</v>
      </c>
      <c r="AB23" s="1">
        <v>35</v>
      </c>
    </row>
    <row r="24" spans="1:28" x14ac:dyDescent="0.2">
      <c r="A24" s="1">
        <v>68</v>
      </c>
      <c r="B24" s="1" t="s">
        <v>6850</v>
      </c>
      <c r="D24" s="1" t="s">
        <v>6851</v>
      </c>
      <c r="F24" s="1" t="s">
        <v>6852</v>
      </c>
      <c r="H24" s="1" t="s">
        <v>6853</v>
      </c>
      <c r="J24" s="1" t="s">
        <v>896</v>
      </c>
      <c r="L24" s="1" t="s">
        <v>900</v>
      </c>
      <c r="M24" s="1" t="s">
        <v>901</v>
      </c>
      <c r="N24" s="1" t="s">
        <v>1336</v>
      </c>
      <c r="P24" s="1" t="s">
        <v>6575</v>
      </c>
      <c r="Q24" s="3">
        <v>0</v>
      </c>
      <c r="R24" s="23" t="s">
        <v>6854</v>
      </c>
      <c r="S24" s="23" t="s">
        <v>6845</v>
      </c>
      <c r="T24" s="23" t="s">
        <v>4866</v>
      </c>
      <c r="U24" s="3">
        <v>35</v>
      </c>
      <c r="W24" s="45" t="str">
        <f>HYPERLINK("http://ictvonline.org/taxonomy/p/taxonomy-history?taxnode_id=201906398","ICTVonline=201906398")</f>
        <v>ICTVonline=201906398</v>
      </c>
      <c r="X24" s="1" t="s">
        <v>6858</v>
      </c>
      <c r="Y24" s="1" t="s">
        <v>6859</v>
      </c>
      <c r="Z24" s="1" t="s">
        <v>6860</v>
      </c>
      <c r="AA24" s="1">
        <v>201900000</v>
      </c>
      <c r="AB24" s="1">
        <v>35</v>
      </c>
    </row>
    <row r="25" spans="1:28" x14ac:dyDescent="0.2">
      <c r="A25" s="1">
        <v>72</v>
      </c>
      <c r="B25" s="1" t="s">
        <v>6850</v>
      </c>
      <c r="D25" s="1" t="s">
        <v>6851</v>
      </c>
      <c r="F25" s="1" t="s">
        <v>6852</v>
      </c>
      <c r="H25" s="1" t="s">
        <v>6853</v>
      </c>
      <c r="J25" s="1" t="s">
        <v>896</v>
      </c>
      <c r="L25" s="1" t="s">
        <v>900</v>
      </c>
      <c r="M25" s="1" t="s">
        <v>901</v>
      </c>
      <c r="N25" s="1" t="s">
        <v>1286</v>
      </c>
      <c r="P25" s="1" t="s">
        <v>3421</v>
      </c>
      <c r="Q25" s="3">
        <v>0</v>
      </c>
      <c r="R25" s="23" t="s">
        <v>6854</v>
      </c>
      <c r="S25" s="23" t="s">
        <v>6845</v>
      </c>
      <c r="T25" s="23" t="s">
        <v>4866</v>
      </c>
      <c r="U25" s="3">
        <v>35</v>
      </c>
      <c r="W25" s="45" t="str">
        <f>HYPERLINK("http://ictvonline.org/taxonomy/p/taxonomy-history?taxnode_id=201901425","ICTVonline=201901425")</f>
        <v>ICTVonline=201901425</v>
      </c>
      <c r="AA25" s="1">
        <v>201900000</v>
      </c>
      <c r="AB25" s="1">
        <v>35</v>
      </c>
    </row>
    <row r="26" spans="1:28" x14ac:dyDescent="0.2">
      <c r="A26" s="1">
        <v>74</v>
      </c>
      <c r="B26" s="1" t="s">
        <v>6850</v>
      </c>
      <c r="D26" s="1" t="s">
        <v>6851</v>
      </c>
      <c r="F26" s="1" t="s">
        <v>6852</v>
      </c>
      <c r="H26" s="1" t="s">
        <v>6853</v>
      </c>
      <c r="J26" s="1" t="s">
        <v>896</v>
      </c>
      <c r="L26" s="1" t="s">
        <v>900</v>
      </c>
      <c r="M26" s="1" t="s">
        <v>901</v>
      </c>
      <c r="N26" s="1" t="s">
        <v>1286</v>
      </c>
      <c r="P26" s="1" t="s">
        <v>3422</v>
      </c>
      <c r="Q26" s="3">
        <v>0</v>
      </c>
      <c r="R26" s="23" t="s">
        <v>6854</v>
      </c>
      <c r="S26" s="23" t="s">
        <v>6845</v>
      </c>
      <c r="T26" s="23" t="s">
        <v>4866</v>
      </c>
      <c r="U26" s="3">
        <v>35</v>
      </c>
      <c r="W26" s="45" t="str">
        <f>HYPERLINK("http://ictvonline.org/taxonomy/p/taxonomy-history?taxnode_id=201901426","ICTVonline=201901426")</f>
        <v>ICTVonline=201901426</v>
      </c>
      <c r="AA26" s="1">
        <v>201900000</v>
      </c>
      <c r="AB26" s="1">
        <v>35</v>
      </c>
    </row>
    <row r="27" spans="1:28" x14ac:dyDescent="0.2">
      <c r="A27" s="1">
        <v>76</v>
      </c>
      <c r="B27" s="1" t="s">
        <v>6850</v>
      </c>
      <c r="D27" s="1" t="s">
        <v>6851</v>
      </c>
      <c r="F27" s="1" t="s">
        <v>6852</v>
      </c>
      <c r="H27" s="1" t="s">
        <v>6853</v>
      </c>
      <c r="J27" s="1" t="s">
        <v>896</v>
      </c>
      <c r="L27" s="1" t="s">
        <v>900</v>
      </c>
      <c r="M27" s="1" t="s">
        <v>901</v>
      </c>
      <c r="N27" s="1" t="s">
        <v>1286</v>
      </c>
      <c r="P27" s="1" t="s">
        <v>3423</v>
      </c>
      <c r="Q27" s="3">
        <v>0</v>
      </c>
      <c r="R27" s="23" t="s">
        <v>6854</v>
      </c>
      <c r="S27" s="23" t="s">
        <v>6845</v>
      </c>
      <c r="T27" s="23" t="s">
        <v>4866</v>
      </c>
      <c r="U27" s="3">
        <v>35</v>
      </c>
      <c r="W27" s="45" t="str">
        <f>HYPERLINK("http://ictvonline.org/taxonomy/p/taxonomy-history?taxnode_id=201901427","ICTVonline=201901427")</f>
        <v>ICTVonline=201901427</v>
      </c>
      <c r="AA27" s="1">
        <v>201900000</v>
      </c>
      <c r="AB27" s="1">
        <v>35</v>
      </c>
    </row>
    <row r="28" spans="1:28" x14ac:dyDescent="0.2">
      <c r="A28" s="1">
        <v>78</v>
      </c>
      <c r="B28" s="1" t="s">
        <v>6850</v>
      </c>
      <c r="D28" s="1" t="s">
        <v>6851</v>
      </c>
      <c r="F28" s="1" t="s">
        <v>6852</v>
      </c>
      <c r="H28" s="1" t="s">
        <v>6853</v>
      </c>
      <c r="J28" s="1" t="s">
        <v>896</v>
      </c>
      <c r="L28" s="1" t="s">
        <v>900</v>
      </c>
      <c r="M28" s="1" t="s">
        <v>901</v>
      </c>
      <c r="N28" s="1" t="s">
        <v>1286</v>
      </c>
      <c r="P28" s="1" t="s">
        <v>3424</v>
      </c>
      <c r="Q28" s="3">
        <v>1</v>
      </c>
      <c r="R28" s="23" t="s">
        <v>6854</v>
      </c>
      <c r="S28" s="23" t="s">
        <v>6845</v>
      </c>
      <c r="T28" s="23" t="s">
        <v>4866</v>
      </c>
      <c r="U28" s="3">
        <v>35</v>
      </c>
      <c r="W28" s="45" t="str">
        <f>HYPERLINK("http://ictvonline.org/taxonomy/p/taxonomy-history?taxnode_id=201901428","ICTVonline=201901428")</f>
        <v>ICTVonline=201901428</v>
      </c>
      <c r="AA28" s="1">
        <v>201900000</v>
      </c>
      <c r="AB28" s="1">
        <v>35</v>
      </c>
    </row>
    <row r="29" spans="1:28" x14ac:dyDescent="0.2">
      <c r="A29" s="1">
        <v>80</v>
      </c>
      <c r="B29" s="1" t="s">
        <v>6850</v>
      </c>
      <c r="D29" s="1" t="s">
        <v>6851</v>
      </c>
      <c r="F29" s="1" t="s">
        <v>6852</v>
      </c>
      <c r="H29" s="1" t="s">
        <v>6853</v>
      </c>
      <c r="J29" s="1" t="s">
        <v>896</v>
      </c>
      <c r="L29" s="1" t="s">
        <v>900</v>
      </c>
      <c r="M29" s="1" t="s">
        <v>901</v>
      </c>
      <c r="N29" s="1" t="s">
        <v>1286</v>
      </c>
      <c r="P29" s="1" t="s">
        <v>3425</v>
      </c>
      <c r="Q29" s="3">
        <v>0</v>
      </c>
      <c r="R29" s="23" t="s">
        <v>6854</v>
      </c>
      <c r="S29" s="23" t="s">
        <v>6845</v>
      </c>
      <c r="T29" s="23" t="s">
        <v>4866</v>
      </c>
      <c r="U29" s="3">
        <v>35</v>
      </c>
      <c r="W29" s="45" t="str">
        <f>HYPERLINK("http://ictvonline.org/taxonomy/p/taxonomy-history?taxnode_id=201901429","ICTVonline=201901429")</f>
        <v>ICTVonline=201901429</v>
      </c>
      <c r="AA29" s="1">
        <v>201900000</v>
      </c>
      <c r="AB29" s="1">
        <v>35</v>
      </c>
    </row>
    <row r="30" spans="1:28" x14ac:dyDescent="0.2">
      <c r="A30" s="1">
        <v>82</v>
      </c>
      <c r="B30" s="1" t="s">
        <v>6850</v>
      </c>
      <c r="D30" s="1" t="s">
        <v>6851</v>
      </c>
      <c r="F30" s="1" t="s">
        <v>6852</v>
      </c>
      <c r="H30" s="1" t="s">
        <v>6853</v>
      </c>
      <c r="J30" s="1" t="s">
        <v>896</v>
      </c>
      <c r="L30" s="1" t="s">
        <v>900</v>
      </c>
      <c r="M30" s="1" t="s">
        <v>901</v>
      </c>
      <c r="N30" s="1" t="s">
        <v>1286</v>
      </c>
      <c r="P30" s="1" t="s">
        <v>3426</v>
      </c>
      <c r="Q30" s="3">
        <v>0</v>
      </c>
      <c r="R30" s="23" t="s">
        <v>6854</v>
      </c>
      <c r="S30" s="23" t="s">
        <v>6845</v>
      </c>
      <c r="T30" s="23" t="s">
        <v>4866</v>
      </c>
      <c r="U30" s="3">
        <v>35</v>
      </c>
      <c r="W30" s="45" t="str">
        <f>HYPERLINK("http://ictvonline.org/taxonomy/p/taxonomy-history?taxnode_id=201901430","ICTVonline=201901430")</f>
        <v>ICTVonline=201901430</v>
      </c>
      <c r="AA30" s="1">
        <v>201900000</v>
      </c>
      <c r="AB30" s="1">
        <v>35</v>
      </c>
    </row>
    <row r="31" spans="1:28" x14ac:dyDescent="0.2">
      <c r="A31" s="1">
        <v>84</v>
      </c>
      <c r="B31" s="1" t="s">
        <v>6850</v>
      </c>
      <c r="D31" s="1" t="s">
        <v>6851</v>
      </c>
      <c r="F31" s="1" t="s">
        <v>6852</v>
      </c>
      <c r="H31" s="1" t="s">
        <v>6853</v>
      </c>
      <c r="J31" s="1" t="s">
        <v>896</v>
      </c>
      <c r="L31" s="1" t="s">
        <v>900</v>
      </c>
      <c r="M31" s="1" t="s">
        <v>901</v>
      </c>
      <c r="N31" s="1" t="s">
        <v>1286</v>
      </c>
      <c r="P31" s="1" t="s">
        <v>3427</v>
      </c>
      <c r="Q31" s="3">
        <v>0</v>
      </c>
      <c r="R31" s="23" t="s">
        <v>6854</v>
      </c>
      <c r="S31" s="23" t="s">
        <v>6845</v>
      </c>
      <c r="T31" s="23" t="s">
        <v>4866</v>
      </c>
      <c r="U31" s="3">
        <v>35</v>
      </c>
      <c r="W31" s="45" t="str">
        <f>HYPERLINK("http://ictvonline.org/taxonomy/p/taxonomy-history?taxnode_id=201901431","ICTVonline=201901431")</f>
        <v>ICTVonline=201901431</v>
      </c>
      <c r="AA31" s="1">
        <v>201900000</v>
      </c>
      <c r="AB31" s="1">
        <v>35</v>
      </c>
    </row>
    <row r="32" spans="1:28" x14ac:dyDescent="0.2">
      <c r="A32" s="1">
        <v>86</v>
      </c>
      <c r="B32" s="1" t="s">
        <v>6850</v>
      </c>
      <c r="D32" s="1" t="s">
        <v>6851</v>
      </c>
      <c r="F32" s="1" t="s">
        <v>6852</v>
      </c>
      <c r="H32" s="1" t="s">
        <v>6853</v>
      </c>
      <c r="J32" s="1" t="s">
        <v>896</v>
      </c>
      <c r="L32" s="1" t="s">
        <v>900</v>
      </c>
      <c r="M32" s="1" t="s">
        <v>901</v>
      </c>
      <c r="N32" s="1" t="s">
        <v>1286</v>
      </c>
      <c r="P32" s="1" t="s">
        <v>3428</v>
      </c>
      <c r="Q32" s="3">
        <v>0</v>
      </c>
      <c r="R32" s="23" t="s">
        <v>6854</v>
      </c>
      <c r="S32" s="23" t="s">
        <v>6845</v>
      </c>
      <c r="T32" s="23" t="s">
        <v>4866</v>
      </c>
      <c r="U32" s="3">
        <v>35</v>
      </c>
      <c r="W32" s="45" t="str">
        <f>HYPERLINK("http://ictvonline.org/taxonomy/p/taxonomy-history?taxnode_id=201901432","ICTVonline=201901432")</f>
        <v>ICTVonline=201901432</v>
      </c>
      <c r="AA32" s="1">
        <v>201900000</v>
      </c>
      <c r="AB32" s="1">
        <v>35</v>
      </c>
    </row>
    <row r="33" spans="1:28" x14ac:dyDescent="0.2">
      <c r="A33" s="1">
        <v>88</v>
      </c>
      <c r="B33" s="1" t="s">
        <v>6850</v>
      </c>
      <c r="D33" s="1" t="s">
        <v>6851</v>
      </c>
      <c r="F33" s="1" t="s">
        <v>6852</v>
      </c>
      <c r="H33" s="1" t="s">
        <v>6853</v>
      </c>
      <c r="J33" s="1" t="s">
        <v>896</v>
      </c>
      <c r="L33" s="1" t="s">
        <v>900</v>
      </c>
      <c r="M33" s="1" t="s">
        <v>901</v>
      </c>
      <c r="N33" s="1" t="s">
        <v>1286</v>
      </c>
      <c r="P33" s="1" t="s">
        <v>3429</v>
      </c>
      <c r="Q33" s="3">
        <v>0</v>
      </c>
      <c r="R33" s="23" t="s">
        <v>6854</v>
      </c>
      <c r="S33" s="23" t="s">
        <v>6845</v>
      </c>
      <c r="T33" s="23" t="s">
        <v>4866</v>
      </c>
      <c r="U33" s="3">
        <v>35</v>
      </c>
      <c r="W33" s="45" t="str">
        <f>HYPERLINK("http://ictvonline.org/taxonomy/p/taxonomy-history?taxnode_id=201901433","ICTVonline=201901433")</f>
        <v>ICTVonline=201901433</v>
      </c>
      <c r="AA33" s="1">
        <v>201900000</v>
      </c>
      <c r="AB33" s="1">
        <v>35</v>
      </c>
    </row>
    <row r="34" spans="1:28" x14ac:dyDescent="0.2">
      <c r="A34" s="1">
        <v>90</v>
      </c>
      <c r="B34" s="1" t="s">
        <v>6850</v>
      </c>
      <c r="D34" s="1" t="s">
        <v>6851</v>
      </c>
      <c r="F34" s="1" t="s">
        <v>6852</v>
      </c>
      <c r="H34" s="1" t="s">
        <v>6853</v>
      </c>
      <c r="J34" s="1" t="s">
        <v>896</v>
      </c>
      <c r="L34" s="1" t="s">
        <v>900</v>
      </c>
      <c r="M34" s="1" t="s">
        <v>901</v>
      </c>
      <c r="N34" s="1" t="s">
        <v>1286</v>
      </c>
      <c r="P34" s="1" t="s">
        <v>3430</v>
      </c>
      <c r="Q34" s="3">
        <v>0</v>
      </c>
      <c r="R34" s="23" t="s">
        <v>6854</v>
      </c>
      <c r="S34" s="23" t="s">
        <v>6845</v>
      </c>
      <c r="T34" s="23" t="s">
        <v>4866</v>
      </c>
      <c r="U34" s="3">
        <v>35</v>
      </c>
      <c r="W34" s="45" t="str">
        <f>HYPERLINK("http://ictvonline.org/taxonomy/p/taxonomy-history?taxnode_id=201901434","ICTVonline=201901434")</f>
        <v>ICTVonline=201901434</v>
      </c>
      <c r="Y34" s="1" t="s">
        <v>6861</v>
      </c>
      <c r="Z34" s="1" t="s">
        <v>6862</v>
      </c>
      <c r="AA34" s="1">
        <v>201900000</v>
      </c>
      <c r="AB34" s="1">
        <v>35</v>
      </c>
    </row>
    <row r="35" spans="1:28" x14ac:dyDescent="0.2">
      <c r="A35" s="1">
        <v>92</v>
      </c>
      <c r="B35" s="1" t="s">
        <v>6850</v>
      </c>
      <c r="D35" s="1" t="s">
        <v>6851</v>
      </c>
      <c r="F35" s="1" t="s">
        <v>6852</v>
      </c>
      <c r="H35" s="1" t="s">
        <v>6853</v>
      </c>
      <c r="J35" s="1" t="s">
        <v>896</v>
      </c>
      <c r="L35" s="1" t="s">
        <v>900</v>
      </c>
      <c r="M35" s="1" t="s">
        <v>901</v>
      </c>
      <c r="N35" s="1" t="s">
        <v>1286</v>
      </c>
      <c r="P35" s="1" t="s">
        <v>3431</v>
      </c>
      <c r="Q35" s="3">
        <v>0</v>
      </c>
      <c r="R35" s="23" t="s">
        <v>6854</v>
      </c>
      <c r="S35" s="23" t="s">
        <v>6845</v>
      </c>
      <c r="T35" s="23" t="s">
        <v>4866</v>
      </c>
      <c r="U35" s="3">
        <v>35</v>
      </c>
      <c r="W35" s="45" t="str">
        <f>HYPERLINK("http://ictvonline.org/taxonomy/p/taxonomy-history?taxnode_id=201901435","ICTVonline=201901435")</f>
        <v>ICTVonline=201901435</v>
      </c>
      <c r="AA35" s="1">
        <v>201900000</v>
      </c>
      <c r="AB35" s="1">
        <v>35</v>
      </c>
    </row>
    <row r="36" spans="1:28" x14ac:dyDescent="0.2">
      <c r="A36" s="1">
        <v>94</v>
      </c>
      <c r="B36" s="1" t="s">
        <v>6850</v>
      </c>
      <c r="D36" s="1" t="s">
        <v>6851</v>
      </c>
      <c r="F36" s="1" t="s">
        <v>6852</v>
      </c>
      <c r="H36" s="1" t="s">
        <v>6853</v>
      </c>
      <c r="J36" s="1" t="s">
        <v>896</v>
      </c>
      <c r="L36" s="1" t="s">
        <v>900</v>
      </c>
      <c r="M36" s="1" t="s">
        <v>901</v>
      </c>
      <c r="N36" s="1" t="s">
        <v>1286</v>
      </c>
      <c r="P36" s="1" t="s">
        <v>6576</v>
      </c>
      <c r="Q36" s="3">
        <v>0</v>
      </c>
      <c r="R36" s="23" t="s">
        <v>6854</v>
      </c>
      <c r="S36" s="23" t="s">
        <v>6845</v>
      </c>
      <c r="T36" s="23" t="s">
        <v>4866</v>
      </c>
      <c r="U36" s="3">
        <v>35</v>
      </c>
      <c r="W36" s="45" t="str">
        <f>HYPERLINK("http://ictvonline.org/taxonomy/p/taxonomy-history?taxnode_id=201906395","ICTVonline=201906395")</f>
        <v>ICTVonline=201906395</v>
      </c>
      <c r="X36" s="1" t="s">
        <v>6863</v>
      </c>
      <c r="Y36" s="1" t="s">
        <v>6864</v>
      </c>
      <c r="Z36" s="1" t="s">
        <v>6865</v>
      </c>
      <c r="AA36" s="1">
        <v>201900000</v>
      </c>
      <c r="AB36" s="1">
        <v>35</v>
      </c>
    </row>
    <row r="37" spans="1:28" x14ac:dyDescent="0.2">
      <c r="A37" s="1">
        <v>96</v>
      </c>
      <c r="B37" s="1" t="s">
        <v>6850</v>
      </c>
      <c r="D37" s="1" t="s">
        <v>6851</v>
      </c>
      <c r="F37" s="1" t="s">
        <v>6852</v>
      </c>
      <c r="H37" s="1" t="s">
        <v>6853</v>
      </c>
      <c r="J37" s="1" t="s">
        <v>896</v>
      </c>
      <c r="L37" s="1" t="s">
        <v>900</v>
      </c>
      <c r="M37" s="1" t="s">
        <v>901</v>
      </c>
      <c r="N37" s="1" t="s">
        <v>1286</v>
      </c>
      <c r="P37" s="1" t="s">
        <v>3432</v>
      </c>
      <c r="Q37" s="3">
        <v>0</v>
      </c>
      <c r="R37" s="23" t="s">
        <v>6854</v>
      </c>
      <c r="S37" s="23" t="s">
        <v>6845</v>
      </c>
      <c r="T37" s="23" t="s">
        <v>4866</v>
      </c>
      <c r="U37" s="3">
        <v>35</v>
      </c>
      <c r="W37" s="45" t="str">
        <f>HYPERLINK("http://ictvonline.org/taxonomy/p/taxonomy-history?taxnode_id=201901436","ICTVonline=201901436")</f>
        <v>ICTVonline=201901436</v>
      </c>
      <c r="AA37" s="1">
        <v>201900000</v>
      </c>
      <c r="AB37" s="1">
        <v>35</v>
      </c>
    </row>
    <row r="38" spans="1:28" x14ac:dyDescent="0.2">
      <c r="A38" s="1">
        <v>100</v>
      </c>
      <c r="B38" s="1" t="s">
        <v>6850</v>
      </c>
      <c r="D38" s="1" t="s">
        <v>6851</v>
      </c>
      <c r="F38" s="1" t="s">
        <v>6852</v>
      </c>
      <c r="H38" s="1" t="s">
        <v>6853</v>
      </c>
      <c r="J38" s="1" t="s">
        <v>896</v>
      </c>
      <c r="L38" s="1" t="s">
        <v>900</v>
      </c>
      <c r="M38" s="1" t="s">
        <v>901</v>
      </c>
      <c r="N38" s="1" t="s">
        <v>1287</v>
      </c>
      <c r="P38" s="1" t="s">
        <v>3434</v>
      </c>
      <c r="Q38" s="3">
        <v>0</v>
      </c>
      <c r="R38" s="23" t="s">
        <v>6854</v>
      </c>
      <c r="S38" s="23" t="s">
        <v>6845</v>
      </c>
      <c r="T38" s="23" t="s">
        <v>4866</v>
      </c>
      <c r="U38" s="3">
        <v>35</v>
      </c>
      <c r="W38" s="45" t="str">
        <f>HYPERLINK("http://ictvonline.org/taxonomy/p/taxonomy-history?taxnode_id=201901440","ICTVonline=201901440")</f>
        <v>ICTVonline=201901440</v>
      </c>
      <c r="AA38" s="1">
        <v>201900000</v>
      </c>
      <c r="AB38" s="1">
        <v>35</v>
      </c>
    </row>
    <row r="39" spans="1:28" x14ac:dyDescent="0.2">
      <c r="A39" s="1">
        <v>102</v>
      </c>
      <c r="B39" s="1" t="s">
        <v>6850</v>
      </c>
      <c r="D39" s="1" t="s">
        <v>6851</v>
      </c>
      <c r="F39" s="1" t="s">
        <v>6852</v>
      </c>
      <c r="H39" s="1" t="s">
        <v>6853</v>
      </c>
      <c r="J39" s="1" t="s">
        <v>896</v>
      </c>
      <c r="L39" s="1" t="s">
        <v>900</v>
      </c>
      <c r="M39" s="1" t="s">
        <v>901</v>
      </c>
      <c r="N39" s="1" t="s">
        <v>1287</v>
      </c>
      <c r="P39" s="1" t="s">
        <v>3435</v>
      </c>
      <c r="Q39" s="3">
        <v>0</v>
      </c>
      <c r="R39" s="23" t="s">
        <v>6854</v>
      </c>
      <c r="S39" s="23" t="s">
        <v>6845</v>
      </c>
      <c r="T39" s="23" t="s">
        <v>4866</v>
      </c>
      <c r="U39" s="3">
        <v>35</v>
      </c>
      <c r="W39" s="45" t="str">
        <f>HYPERLINK("http://ictvonline.org/taxonomy/p/taxonomy-history?taxnode_id=201901441","ICTVonline=201901441")</f>
        <v>ICTVonline=201901441</v>
      </c>
      <c r="AA39" s="1">
        <v>201900000</v>
      </c>
      <c r="AB39" s="1">
        <v>35</v>
      </c>
    </row>
    <row r="40" spans="1:28" x14ac:dyDescent="0.2">
      <c r="A40" s="1">
        <v>104</v>
      </c>
      <c r="B40" s="1" t="s">
        <v>6850</v>
      </c>
      <c r="D40" s="1" t="s">
        <v>6851</v>
      </c>
      <c r="F40" s="1" t="s">
        <v>6852</v>
      </c>
      <c r="H40" s="1" t="s">
        <v>6853</v>
      </c>
      <c r="J40" s="1" t="s">
        <v>896</v>
      </c>
      <c r="L40" s="1" t="s">
        <v>900</v>
      </c>
      <c r="M40" s="1" t="s">
        <v>901</v>
      </c>
      <c r="N40" s="1" t="s">
        <v>1287</v>
      </c>
      <c r="P40" s="1" t="s">
        <v>3436</v>
      </c>
      <c r="Q40" s="3">
        <v>0</v>
      </c>
      <c r="R40" s="23" t="s">
        <v>6854</v>
      </c>
      <c r="S40" s="23" t="s">
        <v>6845</v>
      </c>
      <c r="T40" s="23" t="s">
        <v>4866</v>
      </c>
      <c r="U40" s="3">
        <v>35</v>
      </c>
      <c r="W40" s="45" t="str">
        <f>HYPERLINK("http://ictvonline.org/taxonomy/p/taxonomy-history?taxnode_id=201901442","ICTVonline=201901442")</f>
        <v>ICTVonline=201901442</v>
      </c>
      <c r="AA40" s="1">
        <v>201900000</v>
      </c>
      <c r="AB40" s="1">
        <v>35</v>
      </c>
    </row>
    <row r="41" spans="1:28" x14ac:dyDescent="0.2">
      <c r="A41" s="1">
        <v>106</v>
      </c>
      <c r="B41" s="1" t="s">
        <v>6850</v>
      </c>
      <c r="D41" s="1" t="s">
        <v>6851</v>
      </c>
      <c r="F41" s="1" t="s">
        <v>6852</v>
      </c>
      <c r="H41" s="1" t="s">
        <v>6853</v>
      </c>
      <c r="J41" s="1" t="s">
        <v>896</v>
      </c>
      <c r="L41" s="1" t="s">
        <v>900</v>
      </c>
      <c r="M41" s="1" t="s">
        <v>901</v>
      </c>
      <c r="N41" s="1" t="s">
        <v>1287</v>
      </c>
      <c r="P41" s="1" t="s">
        <v>3437</v>
      </c>
      <c r="Q41" s="3">
        <v>0</v>
      </c>
      <c r="R41" s="23" t="s">
        <v>6854</v>
      </c>
      <c r="S41" s="23" t="s">
        <v>6845</v>
      </c>
      <c r="T41" s="23" t="s">
        <v>4866</v>
      </c>
      <c r="U41" s="3">
        <v>35</v>
      </c>
      <c r="W41" s="45" t="str">
        <f>HYPERLINK("http://ictvonline.org/taxonomy/p/taxonomy-history?taxnode_id=201901443","ICTVonline=201901443")</f>
        <v>ICTVonline=201901443</v>
      </c>
      <c r="AA41" s="1">
        <v>201900000</v>
      </c>
      <c r="AB41" s="1">
        <v>35</v>
      </c>
    </row>
    <row r="42" spans="1:28" x14ac:dyDescent="0.2">
      <c r="A42" s="1">
        <v>108</v>
      </c>
      <c r="B42" s="1" t="s">
        <v>6850</v>
      </c>
      <c r="D42" s="1" t="s">
        <v>6851</v>
      </c>
      <c r="F42" s="1" t="s">
        <v>6852</v>
      </c>
      <c r="H42" s="1" t="s">
        <v>6853</v>
      </c>
      <c r="J42" s="1" t="s">
        <v>896</v>
      </c>
      <c r="L42" s="1" t="s">
        <v>900</v>
      </c>
      <c r="M42" s="1" t="s">
        <v>901</v>
      </c>
      <c r="N42" s="1" t="s">
        <v>1287</v>
      </c>
      <c r="P42" s="1" t="s">
        <v>3438</v>
      </c>
      <c r="Q42" s="3">
        <v>0</v>
      </c>
      <c r="R42" s="23" t="s">
        <v>6854</v>
      </c>
      <c r="S42" s="23" t="s">
        <v>6845</v>
      </c>
      <c r="T42" s="23" t="s">
        <v>4866</v>
      </c>
      <c r="U42" s="3">
        <v>35</v>
      </c>
      <c r="W42" s="45" t="str">
        <f>HYPERLINK("http://ictvonline.org/taxonomy/p/taxonomy-history?taxnode_id=201901444","ICTVonline=201901444")</f>
        <v>ICTVonline=201901444</v>
      </c>
      <c r="AA42" s="1">
        <v>201900000</v>
      </c>
      <c r="AB42" s="1">
        <v>35</v>
      </c>
    </row>
    <row r="43" spans="1:28" x14ac:dyDescent="0.2">
      <c r="A43" s="1">
        <v>110</v>
      </c>
      <c r="B43" s="1" t="s">
        <v>6850</v>
      </c>
      <c r="D43" s="1" t="s">
        <v>6851</v>
      </c>
      <c r="F43" s="1" t="s">
        <v>6852</v>
      </c>
      <c r="H43" s="1" t="s">
        <v>6853</v>
      </c>
      <c r="J43" s="1" t="s">
        <v>896</v>
      </c>
      <c r="L43" s="1" t="s">
        <v>900</v>
      </c>
      <c r="M43" s="1" t="s">
        <v>901</v>
      </c>
      <c r="N43" s="1" t="s">
        <v>1287</v>
      </c>
      <c r="P43" s="1" t="s">
        <v>3439</v>
      </c>
      <c r="Q43" s="3">
        <v>0</v>
      </c>
      <c r="R43" s="23" t="s">
        <v>6854</v>
      </c>
      <c r="S43" s="23" t="s">
        <v>6845</v>
      </c>
      <c r="T43" s="23" t="s">
        <v>4866</v>
      </c>
      <c r="U43" s="3">
        <v>35</v>
      </c>
      <c r="W43" s="45" t="str">
        <f>HYPERLINK("http://ictvonline.org/taxonomy/p/taxonomy-history?taxnode_id=201901445","ICTVonline=201901445")</f>
        <v>ICTVonline=201901445</v>
      </c>
      <c r="AA43" s="1">
        <v>201900000</v>
      </c>
      <c r="AB43" s="1">
        <v>35</v>
      </c>
    </row>
    <row r="44" spans="1:28" x14ac:dyDescent="0.2">
      <c r="A44" s="1">
        <v>112</v>
      </c>
      <c r="B44" s="1" t="s">
        <v>6850</v>
      </c>
      <c r="D44" s="1" t="s">
        <v>6851</v>
      </c>
      <c r="F44" s="1" t="s">
        <v>6852</v>
      </c>
      <c r="H44" s="1" t="s">
        <v>6853</v>
      </c>
      <c r="J44" s="1" t="s">
        <v>896</v>
      </c>
      <c r="L44" s="1" t="s">
        <v>900</v>
      </c>
      <c r="M44" s="1" t="s">
        <v>901</v>
      </c>
      <c r="N44" s="1" t="s">
        <v>1287</v>
      </c>
      <c r="P44" s="1" t="s">
        <v>3440</v>
      </c>
      <c r="Q44" s="3">
        <v>0</v>
      </c>
      <c r="R44" s="23" t="s">
        <v>6854</v>
      </c>
      <c r="S44" s="23" t="s">
        <v>6845</v>
      </c>
      <c r="T44" s="23" t="s">
        <v>4866</v>
      </c>
      <c r="U44" s="3">
        <v>35</v>
      </c>
      <c r="W44" s="45" t="str">
        <f>HYPERLINK("http://ictvonline.org/taxonomy/p/taxonomy-history?taxnode_id=201901446","ICTVonline=201901446")</f>
        <v>ICTVonline=201901446</v>
      </c>
      <c r="AA44" s="1">
        <v>201900000</v>
      </c>
      <c r="AB44" s="1">
        <v>35</v>
      </c>
    </row>
    <row r="45" spans="1:28" x14ac:dyDescent="0.2">
      <c r="A45" s="1">
        <v>114</v>
      </c>
      <c r="B45" s="1" t="s">
        <v>6850</v>
      </c>
      <c r="D45" s="1" t="s">
        <v>6851</v>
      </c>
      <c r="F45" s="1" t="s">
        <v>6852</v>
      </c>
      <c r="H45" s="1" t="s">
        <v>6853</v>
      </c>
      <c r="J45" s="1" t="s">
        <v>896</v>
      </c>
      <c r="L45" s="1" t="s">
        <v>900</v>
      </c>
      <c r="M45" s="1" t="s">
        <v>901</v>
      </c>
      <c r="N45" s="1" t="s">
        <v>1287</v>
      </c>
      <c r="P45" s="1" t="s">
        <v>3441</v>
      </c>
      <c r="Q45" s="3">
        <v>0</v>
      </c>
      <c r="R45" s="23" t="s">
        <v>6854</v>
      </c>
      <c r="S45" s="23" t="s">
        <v>6845</v>
      </c>
      <c r="T45" s="23" t="s">
        <v>4866</v>
      </c>
      <c r="U45" s="3">
        <v>35</v>
      </c>
      <c r="W45" s="45" t="str">
        <f>HYPERLINK("http://ictvonline.org/taxonomy/p/taxonomy-history?taxnode_id=201901447","ICTVonline=201901447")</f>
        <v>ICTVonline=201901447</v>
      </c>
      <c r="AA45" s="1">
        <v>201900000</v>
      </c>
      <c r="AB45" s="1">
        <v>35</v>
      </c>
    </row>
    <row r="46" spans="1:28" x14ac:dyDescent="0.2">
      <c r="A46" s="1">
        <v>116</v>
      </c>
      <c r="B46" s="1" t="s">
        <v>6850</v>
      </c>
      <c r="D46" s="1" t="s">
        <v>6851</v>
      </c>
      <c r="F46" s="1" t="s">
        <v>6852</v>
      </c>
      <c r="H46" s="1" t="s">
        <v>6853</v>
      </c>
      <c r="J46" s="1" t="s">
        <v>896</v>
      </c>
      <c r="L46" s="1" t="s">
        <v>900</v>
      </c>
      <c r="M46" s="1" t="s">
        <v>901</v>
      </c>
      <c r="N46" s="1" t="s">
        <v>1287</v>
      </c>
      <c r="P46" s="1" t="s">
        <v>3442</v>
      </c>
      <c r="Q46" s="3">
        <v>0</v>
      </c>
      <c r="R46" s="23" t="s">
        <v>6854</v>
      </c>
      <c r="S46" s="23" t="s">
        <v>6845</v>
      </c>
      <c r="T46" s="23" t="s">
        <v>4866</v>
      </c>
      <c r="U46" s="3">
        <v>35</v>
      </c>
      <c r="W46" s="45" t="str">
        <f>HYPERLINK("http://ictvonline.org/taxonomy/p/taxonomy-history?taxnode_id=201901448","ICTVonline=201901448")</f>
        <v>ICTVonline=201901448</v>
      </c>
      <c r="AA46" s="1">
        <v>201900000</v>
      </c>
      <c r="AB46" s="1">
        <v>35</v>
      </c>
    </row>
    <row r="47" spans="1:28" x14ac:dyDescent="0.2">
      <c r="A47" s="1">
        <v>118</v>
      </c>
      <c r="B47" s="1" t="s">
        <v>6850</v>
      </c>
      <c r="D47" s="1" t="s">
        <v>6851</v>
      </c>
      <c r="F47" s="1" t="s">
        <v>6852</v>
      </c>
      <c r="H47" s="1" t="s">
        <v>6853</v>
      </c>
      <c r="J47" s="1" t="s">
        <v>896</v>
      </c>
      <c r="L47" s="1" t="s">
        <v>900</v>
      </c>
      <c r="M47" s="1" t="s">
        <v>901</v>
      </c>
      <c r="N47" s="1" t="s">
        <v>1287</v>
      </c>
      <c r="P47" s="1" t="s">
        <v>3443</v>
      </c>
      <c r="Q47" s="3">
        <v>0</v>
      </c>
      <c r="R47" s="23" t="s">
        <v>6854</v>
      </c>
      <c r="S47" s="23" t="s">
        <v>6845</v>
      </c>
      <c r="T47" s="23" t="s">
        <v>4866</v>
      </c>
      <c r="U47" s="3">
        <v>35</v>
      </c>
      <c r="W47" s="45" t="str">
        <f>HYPERLINK("http://ictvonline.org/taxonomy/p/taxonomy-history?taxnode_id=201901449","ICTVonline=201901449")</f>
        <v>ICTVonline=201901449</v>
      </c>
      <c r="AA47" s="1">
        <v>201900000</v>
      </c>
      <c r="AB47" s="1">
        <v>35</v>
      </c>
    </row>
    <row r="48" spans="1:28" x14ac:dyDescent="0.2">
      <c r="A48" s="1">
        <v>120</v>
      </c>
      <c r="B48" s="1" t="s">
        <v>6850</v>
      </c>
      <c r="D48" s="1" t="s">
        <v>6851</v>
      </c>
      <c r="F48" s="1" t="s">
        <v>6852</v>
      </c>
      <c r="H48" s="1" t="s">
        <v>6853</v>
      </c>
      <c r="J48" s="1" t="s">
        <v>896</v>
      </c>
      <c r="L48" s="1" t="s">
        <v>900</v>
      </c>
      <c r="M48" s="1" t="s">
        <v>901</v>
      </c>
      <c r="N48" s="1" t="s">
        <v>1287</v>
      </c>
      <c r="P48" s="1" t="s">
        <v>3444</v>
      </c>
      <c r="Q48" s="3">
        <v>0</v>
      </c>
      <c r="R48" s="23" t="s">
        <v>6854</v>
      </c>
      <c r="S48" s="23" t="s">
        <v>6845</v>
      </c>
      <c r="T48" s="23" t="s">
        <v>4866</v>
      </c>
      <c r="U48" s="3">
        <v>35</v>
      </c>
      <c r="W48" s="45" t="str">
        <f>HYPERLINK("http://ictvonline.org/taxonomy/p/taxonomy-history?taxnode_id=201901450","ICTVonline=201901450")</f>
        <v>ICTVonline=201901450</v>
      </c>
      <c r="AA48" s="1">
        <v>201900000</v>
      </c>
      <c r="AB48" s="1">
        <v>35</v>
      </c>
    </row>
    <row r="49" spans="1:28" x14ac:dyDescent="0.2">
      <c r="A49" s="1">
        <v>122</v>
      </c>
      <c r="B49" s="1" t="s">
        <v>6850</v>
      </c>
      <c r="D49" s="1" t="s">
        <v>6851</v>
      </c>
      <c r="F49" s="1" t="s">
        <v>6852</v>
      </c>
      <c r="H49" s="1" t="s">
        <v>6853</v>
      </c>
      <c r="J49" s="1" t="s">
        <v>896</v>
      </c>
      <c r="L49" s="1" t="s">
        <v>900</v>
      </c>
      <c r="M49" s="1" t="s">
        <v>901</v>
      </c>
      <c r="N49" s="1" t="s">
        <v>1287</v>
      </c>
      <c r="P49" s="1" t="s">
        <v>3445</v>
      </c>
      <c r="Q49" s="3">
        <v>0</v>
      </c>
      <c r="R49" s="23" t="s">
        <v>6854</v>
      </c>
      <c r="S49" s="23" t="s">
        <v>6845</v>
      </c>
      <c r="T49" s="23" t="s">
        <v>4866</v>
      </c>
      <c r="U49" s="3">
        <v>35</v>
      </c>
      <c r="W49" s="45" t="str">
        <f>HYPERLINK("http://ictvonline.org/taxonomy/p/taxonomy-history?taxnode_id=201901451","ICTVonline=201901451")</f>
        <v>ICTVonline=201901451</v>
      </c>
      <c r="AA49" s="1">
        <v>201900000</v>
      </c>
      <c r="AB49" s="1">
        <v>35</v>
      </c>
    </row>
    <row r="50" spans="1:28" x14ac:dyDescent="0.2">
      <c r="A50" s="1">
        <v>124</v>
      </c>
      <c r="B50" s="1" t="s">
        <v>6850</v>
      </c>
      <c r="D50" s="1" t="s">
        <v>6851</v>
      </c>
      <c r="F50" s="1" t="s">
        <v>6852</v>
      </c>
      <c r="H50" s="1" t="s">
        <v>6853</v>
      </c>
      <c r="J50" s="1" t="s">
        <v>896</v>
      </c>
      <c r="L50" s="1" t="s">
        <v>900</v>
      </c>
      <c r="M50" s="1" t="s">
        <v>901</v>
      </c>
      <c r="N50" s="1" t="s">
        <v>1287</v>
      </c>
      <c r="P50" s="1" t="s">
        <v>3446</v>
      </c>
      <c r="Q50" s="3">
        <v>0</v>
      </c>
      <c r="R50" s="23" t="s">
        <v>6854</v>
      </c>
      <c r="S50" s="23" t="s">
        <v>6845</v>
      </c>
      <c r="T50" s="23" t="s">
        <v>4866</v>
      </c>
      <c r="U50" s="3">
        <v>35</v>
      </c>
      <c r="W50" s="45" t="str">
        <f>HYPERLINK("http://ictvonline.org/taxonomy/p/taxonomy-history?taxnode_id=201901452","ICTVonline=201901452")</f>
        <v>ICTVonline=201901452</v>
      </c>
      <c r="AA50" s="1">
        <v>201900000</v>
      </c>
      <c r="AB50" s="1">
        <v>35</v>
      </c>
    </row>
    <row r="51" spans="1:28" x14ac:dyDescent="0.2">
      <c r="A51" s="1">
        <v>126</v>
      </c>
      <c r="B51" s="1" t="s">
        <v>6850</v>
      </c>
      <c r="D51" s="1" t="s">
        <v>6851</v>
      </c>
      <c r="F51" s="1" t="s">
        <v>6852</v>
      </c>
      <c r="H51" s="1" t="s">
        <v>6853</v>
      </c>
      <c r="J51" s="1" t="s">
        <v>896</v>
      </c>
      <c r="L51" s="1" t="s">
        <v>900</v>
      </c>
      <c r="M51" s="1" t="s">
        <v>901</v>
      </c>
      <c r="N51" s="1" t="s">
        <v>1287</v>
      </c>
      <c r="P51" s="1" t="s">
        <v>3447</v>
      </c>
      <c r="Q51" s="3">
        <v>0</v>
      </c>
      <c r="R51" s="23" t="s">
        <v>6854</v>
      </c>
      <c r="S51" s="23" t="s">
        <v>6845</v>
      </c>
      <c r="T51" s="23" t="s">
        <v>4866</v>
      </c>
      <c r="U51" s="3">
        <v>35</v>
      </c>
      <c r="W51" s="45" t="str">
        <f>HYPERLINK("http://ictvonline.org/taxonomy/p/taxonomy-history?taxnode_id=201901453","ICTVonline=201901453")</f>
        <v>ICTVonline=201901453</v>
      </c>
      <c r="AA51" s="1">
        <v>201900000</v>
      </c>
      <c r="AB51" s="1">
        <v>35</v>
      </c>
    </row>
    <row r="52" spans="1:28" x14ac:dyDescent="0.2">
      <c r="A52" s="1">
        <v>128</v>
      </c>
      <c r="B52" s="1" t="s">
        <v>6850</v>
      </c>
      <c r="D52" s="1" t="s">
        <v>6851</v>
      </c>
      <c r="F52" s="1" t="s">
        <v>6852</v>
      </c>
      <c r="H52" s="1" t="s">
        <v>6853</v>
      </c>
      <c r="J52" s="1" t="s">
        <v>896</v>
      </c>
      <c r="L52" s="1" t="s">
        <v>900</v>
      </c>
      <c r="M52" s="1" t="s">
        <v>901</v>
      </c>
      <c r="N52" s="1" t="s">
        <v>1287</v>
      </c>
      <c r="P52" s="1" t="s">
        <v>3448</v>
      </c>
      <c r="Q52" s="3">
        <v>1</v>
      </c>
      <c r="R52" s="23" t="s">
        <v>6854</v>
      </c>
      <c r="S52" s="23" t="s">
        <v>6845</v>
      </c>
      <c r="T52" s="23" t="s">
        <v>4866</v>
      </c>
      <c r="U52" s="3">
        <v>35</v>
      </c>
      <c r="W52" s="45" t="str">
        <f>HYPERLINK("http://ictvonline.org/taxonomy/p/taxonomy-history?taxnode_id=201901454","ICTVonline=201901454")</f>
        <v>ICTVonline=201901454</v>
      </c>
      <c r="AA52" s="1">
        <v>201900000</v>
      </c>
      <c r="AB52" s="1">
        <v>35</v>
      </c>
    </row>
    <row r="53" spans="1:28" x14ac:dyDescent="0.2">
      <c r="A53" s="1">
        <v>130</v>
      </c>
      <c r="B53" s="1" t="s">
        <v>6850</v>
      </c>
      <c r="D53" s="1" t="s">
        <v>6851</v>
      </c>
      <c r="F53" s="1" t="s">
        <v>6852</v>
      </c>
      <c r="H53" s="1" t="s">
        <v>6853</v>
      </c>
      <c r="J53" s="1" t="s">
        <v>896</v>
      </c>
      <c r="L53" s="1" t="s">
        <v>900</v>
      </c>
      <c r="M53" s="1" t="s">
        <v>901</v>
      </c>
      <c r="N53" s="1" t="s">
        <v>1287</v>
      </c>
      <c r="P53" s="1" t="s">
        <v>6577</v>
      </c>
      <c r="Q53" s="3">
        <v>0</v>
      </c>
      <c r="R53" s="23" t="s">
        <v>6854</v>
      </c>
      <c r="S53" s="23" t="s">
        <v>6845</v>
      </c>
      <c r="T53" s="23" t="s">
        <v>4866</v>
      </c>
      <c r="U53" s="3">
        <v>35</v>
      </c>
      <c r="W53" s="45" t="str">
        <f>HYPERLINK("http://ictvonline.org/taxonomy/p/taxonomy-history?taxnode_id=201906396","ICTVonline=201906396")</f>
        <v>ICTVonline=201906396</v>
      </c>
      <c r="X53" s="1" t="s">
        <v>6866</v>
      </c>
      <c r="Y53" s="1" t="s">
        <v>6867</v>
      </c>
      <c r="Z53" s="1" t="s">
        <v>6868</v>
      </c>
      <c r="AA53" s="1">
        <v>201900000</v>
      </c>
      <c r="AB53" s="1">
        <v>35</v>
      </c>
    </row>
    <row r="54" spans="1:28" x14ac:dyDescent="0.2">
      <c r="A54" s="1">
        <v>132</v>
      </c>
      <c r="B54" s="1" t="s">
        <v>6850</v>
      </c>
      <c r="D54" s="1" t="s">
        <v>6851</v>
      </c>
      <c r="F54" s="1" t="s">
        <v>6852</v>
      </c>
      <c r="H54" s="1" t="s">
        <v>6853</v>
      </c>
      <c r="J54" s="1" t="s">
        <v>896</v>
      </c>
      <c r="L54" s="1" t="s">
        <v>900</v>
      </c>
      <c r="M54" s="1" t="s">
        <v>901</v>
      </c>
      <c r="N54" s="1" t="s">
        <v>1287</v>
      </c>
      <c r="P54" s="1" t="s">
        <v>3449</v>
      </c>
      <c r="Q54" s="3">
        <v>0</v>
      </c>
      <c r="R54" s="23" t="s">
        <v>6854</v>
      </c>
      <c r="S54" s="23" t="s">
        <v>6845</v>
      </c>
      <c r="T54" s="23" t="s">
        <v>4866</v>
      </c>
      <c r="U54" s="3">
        <v>35</v>
      </c>
      <c r="W54" s="45" t="str">
        <f>HYPERLINK("http://ictvonline.org/taxonomy/p/taxonomy-history?taxnode_id=201901455","ICTVonline=201901455")</f>
        <v>ICTVonline=201901455</v>
      </c>
      <c r="AA54" s="1">
        <v>201900000</v>
      </c>
      <c r="AB54" s="1">
        <v>35</v>
      </c>
    </row>
    <row r="55" spans="1:28" x14ac:dyDescent="0.2">
      <c r="A55" s="1">
        <v>134</v>
      </c>
      <c r="B55" s="1" t="s">
        <v>6850</v>
      </c>
      <c r="D55" s="1" t="s">
        <v>6851</v>
      </c>
      <c r="F55" s="1" t="s">
        <v>6852</v>
      </c>
      <c r="H55" s="1" t="s">
        <v>6853</v>
      </c>
      <c r="J55" s="1" t="s">
        <v>896</v>
      </c>
      <c r="L55" s="1" t="s">
        <v>900</v>
      </c>
      <c r="M55" s="1" t="s">
        <v>901</v>
      </c>
      <c r="N55" s="1" t="s">
        <v>1287</v>
      </c>
      <c r="P55" s="1" t="s">
        <v>3450</v>
      </c>
      <c r="Q55" s="3">
        <v>0</v>
      </c>
      <c r="R55" s="23" t="s">
        <v>6854</v>
      </c>
      <c r="S55" s="23" t="s">
        <v>6845</v>
      </c>
      <c r="T55" s="23" t="s">
        <v>4866</v>
      </c>
      <c r="U55" s="3">
        <v>35</v>
      </c>
      <c r="W55" s="45" t="str">
        <f>HYPERLINK("http://ictvonline.org/taxonomy/p/taxonomy-history?taxnode_id=201901456","ICTVonline=201901456")</f>
        <v>ICTVonline=201901456</v>
      </c>
      <c r="AA55" s="1">
        <v>201900000</v>
      </c>
      <c r="AB55" s="1">
        <v>35</v>
      </c>
    </row>
    <row r="56" spans="1:28" x14ac:dyDescent="0.2">
      <c r="A56" s="1">
        <v>137</v>
      </c>
      <c r="B56" s="1" t="s">
        <v>6850</v>
      </c>
      <c r="D56" s="1" t="s">
        <v>6851</v>
      </c>
      <c r="F56" s="1" t="s">
        <v>6852</v>
      </c>
      <c r="H56" s="1" t="s">
        <v>6853</v>
      </c>
      <c r="J56" s="1" t="s">
        <v>896</v>
      </c>
      <c r="L56" s="1" t="s">
        <v>900</v>
      </c>
      <c r="M56" s="1" t="s">
        <v>901</v>
      </c>
      <c r="P56" s="1" t="s">
        <v>3433</v>
      </c>
      <c r="Q56" s="3">
        <v>0</v>
      </c>
      <c r="R56" s="23" t="s">
        <v>6854</v>
      </c>
      <c r="S56" s="23" t="s">
        <v>6845</v>
      </c>
      <c r="T56" s="23" t="s">
        <v>4866</v>
      </c>
      <c r="U56" s="3">
        <v>35</v>
      </c>
      <c r="W56" s="45" t="str">
        <f>HYPERLINK("http://ictvonline.org/taxonomy/p/taxonomy-history?taxnode_id=201901438","ICTVonline=201901438")</f>
        <v>ICTVonline=201901438</v>
      </c>
      <c r="AA56" s="1">
        <v>201900000</v>
      </c>
      <c r="AB56" s="1">
        <v>35</v>
      </c>
    </row>
    <row r="57" spans="1:28" x14ac:dyDescent="0.2">
      <c r="A57" s="1">
        <v>142</v>
      </c>
      <c r="B57" s="1" t="s">
        <v>6850</v>
      </c>
      <c r="D57" s="1" t="s">
        <v>6851</v>
      </c>
      <c r="F57" s="1" t="s">
        <v>6852</v>
      </c>
      <c r="H57" s="1" t="s">
        <v>6853</v>
      </c>
      <c r="J57" s="1" t="s">
        <v>896</v>
      </c>
      <c r="L57" s="1" t="s">
        <v>900</v>
      </c>
      <c r="M57" s="1" t="s">
        <v>1386</v>
      </c>
      <c r="N57" s="1" t="s">
        <v>683</v>
      </c>
      <c r="P57" s="1" t="s">
        <v>3451</v>
      </c>
      <c r="Q57" s="3">
        <v>0</v>
      </c>
      <c r="R57" s="23" t="s">
        <v>6854</v>
      </c>
      <c r="S57" s="23" t="s">
        <v>6845</v>
      </c>
      <c r="T57" s="23" t="s">
        <v>4866</v>
      </c>
      <c r="U57" s="3">
        <v>35</v>
      </c>
      <c r="W57" s="45" t="str">
        <f>HYPERLINK("http://ictvonline.org/taxonomy/p/taxonomy-history?taxnode_id=201901459","ICTVonline=201901459")</f>
        <v>ICTVonline=201901459</v>
      </c>
      <c r="AA57" s="1">
        <v>201900000</v>
      </c>
      <c r="AB57" s="1">
        <v>35</v>
      </c>
    </row>
    <row r="58" spans="1:28" x14ac:dyDescent="0.2">
      <c r="A58" s="1">
        <v>144</v>
      </c>
      <c r="B58" s="1" t="s">
        <v>6850</v>
      </c>
      <c r="D58" s="1" t="s">
        <v>6851</v>
      </c>
      <c r="F58" s="1" t="s">
        <v>6852</v>
      </c>
      <c r="H58" s="1" t="s">
        <v>6853</v>
      </c>
      <c r="J58" s="1" t="s">
        <v>896</v>
      </c>
      <c r="L58" s="1" t="s">
        <v>900</v>
      </c>
      <c r="M58" s="1" t="s">
        <v>1386</v>
      </c>
      <c r="N58" s="1" t="s">
        <v>683</v>
      </c>
      <c r="P58" s="1" t="s">
        <v>3452</v>
      </c>
      <c r="Q58" s="3">
        <v>0</v>
      </c>
      <c r="R58" s="23" t="s">
        <v>6854</v>
      </c>
      <c r="S58" s="23" t="s">
        <v>6845</v>
      </c>
      <c r="T58" s="23" t="s">
        <v>4866</v>
      </c>
      <c r="U58" s="3">
        <v>35</v>
      </c>
      <c r="W58" s="45" t="str">
        <f>HYPERLINK("http://ictvonline.org/taxonomy/p/taxonomy-history?taxnode_id=201901460","ICTVonline=201901460")</f>
        <v>ICTVonline=201901460</v>
      </c>
      <c r="AA58" s="1">
        <v>201900000</v>
      </c>
      <c r="AB58" s="1">
        <v>35</v>
      </c>
    </row>
    <row r="59" spans="1:28" x14ac:dyDescent="0.2">
      <c r="A59" s="1">
        <v>146</v>
      </c>
      <c r="B59" s="1" t="s">
        <v>6850</v>
      </c>
      <c r="D59" s="1" t="s">
        <v>6851</v>
      </c>
      <c r="F59" s="1" t="s">
        <v>6852</v>
      </c>
      <c r="H59" s="1" t="s">
        <v>6853</v>
      </c>
      <c r="J59" s="1" t="s">
        <v>896</v>
      </c>
      <c r="L59" s="1" t="s">
        <v>900</v>
      </c>
      <c r="M59" s="1" t="s">
        <v>1386</v>
      </c>
      <c r="N59" s="1" t="s">
        <v>683</v>
      </c>
      <c r="P59" s="1" t="s">
        <v>3453</v>
      </c>
      <c r="Q59" s="3">
        <v>0</v>
      </c>
      <c r="R59" s="23" t="s">
        <v>6854</v>
      </c>
      <c r="S59" s="23" t="s">
        <v>6845</v>
      </c>
      <c r="T59" s="23" t="s">
        <v>4866</v>
      </c>
      <c r="U59" s="3">
        <v>35</v>
      </c>
      <c r="W59" s="45" t="str">
        <f>HYPERLINK("http://ictvonline.org/taxonomy/p/taxonomy-history?taxnode_id=201901461","ICTVonline=201901461")</f>
        <v>ICTVonline=201901461</v>
      </c>
      <c r="AA59" s="1">
        <v>201900000</v>
      </c>
      <c r="AB59" s="1">
        <v>35</v>
      </c>
    </row>
    <row r="60" spans="1:28" x14ac:dyDescent="0.2">
      <c r="A60" s="1">
        <v>148</v>
      </c>
      <c r="B60" s="1" t="s">
        <v>6850</v>
      </c>
      <c r="D60" s="1" t="s">
        <v>6851</v>
      </c>
      <c r="F60" s="1" t="s">
        <v>6852</v>
      </c>
      <c r="H60" s="1" t="s">
        <v>6853</v>
      </c>
      <c r="J60" s="1" t="s">
        <v>896</v>
      </c>
      <c r="L60" s="1" t="s">
        <v>900</v>
      </c>
      <c r="M60" s="1" t="s">
        <v>1386</v>
      </c>
      <c r="N60" s="1" t="s">
        <v>683</v>
      </c>
      <c r="P60" s="1" t="s">
        <v>3454</v>
      </c>
      <c r="Q60" s="3">
        <v>1</v>
      </c>
      <c r="R60" s="23" t="s">
        <v>6854</v>
      </c>
      <c r="S60" s="23" t="s">
        <v>6845</v>
      </c>
      <c r="T60" s="23" t="s">
        <v>4866</v>
      </c>
      <c r="U60" s="3">
        <v>35</v>
      </c>
      <c r="W60" s="45" t="str">
        <f>HYPERLINK("http://ictvonline.org/taxonomy/p/taxonomy-history?taxnode_id=201901462","ICTVonline=201901462")</f>
        <v>ICTVonline=201901462</v>
      </c>
      <c r="AA60" s="1">
        <v>201900000</v>
      </c>
      <c r="AB60" s="1">
        <v>35</v>
      </c>
    </row>
    <row r="61" spans="1:28" x14ac:dyDescent="0.2">
      <c r="A61" s="1">
        <v>150</v>
      </c>
      <c r="B61" s="1" t="s">
        <v>6850</v>
      </c>
      <c r="D61" s="1" t="s">
        <v>6851</v>
      </c>
      <c r="F61" s="1" t="s">
        <v>6852</v>
      </c>
      <c r="H61" s="1" t="s">
        <v>6853</v>
      </c>
      <c r="J61" s="1" t="s">
        <v>896</v>
      </c>
      <c r="L61" s="1" t="s">
        <v>900</v>
      </c>
      <c r="M61" s="1" t="s">
        <v>1386</v>
      </c>
      <c r="N61" s="1" t="s">
        <v>683</v>
      </c>
      <c r="P61" s="1" t="s">
        <v>3455</v>
      </c>
      <c r="Q61" s="3">
        <v>0</v>
      </c>
      <c r="R61" s="23" t="s">
        <v>6854</v>
      </c>
      <c r="S61" s="23" t="s">
        <v>6845</v>
      </c>
      <c r="T61" s="23" t="s">
        <v>4866</v>
      </c>
      <c r="U61" s="3">
        <v>35</v>
      </c>
      <c r="W61" s="45" t="str">
        <f>HYPERLINK("http://ictvonline.org/taxonomy/p/taxonomy-history?taxnode_id=201901463","ICTVonline=201901463")</f>
        <v>ICTVonline=201901463</v>
      </c>
      <c r="AA61" s="1">
        <v>201900000</v>
      </c>
      <c r="AB61" s="1">
        <v>35</v>
      </c>
    </row>
    <row r="62" spans="1:28" x14ac:dyDescent="0.2">
      <c r="A62" s="1">
        <v>152</v>
      </c>
      <c r="B62" s="1" t="s">
        <v>6850</v>
      </c>
      <c r="D62" s="1" t="s">
        <v>6851</v>
      </c>
      <c r="F62" s="1" t="s">
        <v>6852</v>
      </c>
      <c r="H62" s="1" t="s">
        <v>6853</v>
      </c>
      <c r="J62" s="1" t="s">
        <v>896</v>
      </c>
      <c r="L62" s="1" t="s">
        <v>900</v>
      </c>
      <c r="M62" s="1" t="s">
        <v>1386</v>
      </c>
      <c r="N62" s="1" t="s">
        <v>683</v>
      </c>
      <c r="P62" s="1" t="s">
        <v>6578</v>
      </c>
      <c r="Q62" s="3">
        <v>0</v>
      </c>
      <c r="R62" s="23" t="s">
        <v>6854</v>
      </c>
      <c r="S62" s="23" t="s">
        <v>6845</v>
      </c>
      <c r="T62" s="23" t="s">
        <v>4866</v>
      </c>
      <c r="U62" s="3">
        <v>35</v>
      </c>
      <c r="W62" s="45" t="str">
        <f>HYPERLINK("http://ictvonline.org/taxonomy/p/taxonomy-history?taxnode_id=201906399","ICTVonline=201906399")</f>
        <v>ICTVonline=201906399</v>
      </c>
      <c r="X62" s="1" t="s">
        <v>6869</v>
      </c>
      <c r="Y62" s="1" t="s">
        <v>6870</v>
      </c>
      <c r="Z62" s="1" t="s">
        <v>6871</v>
      </c>
      <c r="AA62" s="1">
        <v>201900000</v>
      </c>
      <c r="AB62" s="1">
        <v>35</v>
      </c>
    </row>
    <row r="63" spans="1:28" x14ac:dyDescent="0.2">
      <c r="A63" s="1">
        <v>154</v>
      </c>
      <c r="B63" s="1" t="s">
        <v>6850</v>
      </c>
      <c r="D63" s="1" t="s">
        <v>6851</v>
      </c>
      <c r="F63" s="1" t="s">
        <v>6852</v>
      </c>
      <c r="H63" s="1" t="s">
        <v>6853</v>
      </c>
      <c r="J63" s="1" t="s">
        <v>896</v>
      </c>
      <c r="L63" s="1" t="s">
        <v>900</v>
      </c>
      <c r="M63" s="1" t="s">
        <v>1386</v>
      </c>
      <c r="N63" s="1" t="s">
        <v>683</v>
      </c>
      <c r="P63" s="1" t="s">
        <v>6579</v>
      </c>
      <c r="Q63" s="3">
        <v>0</v>
      </c>
      <c r="R63" s="23" t="s">
        <v>6854</v>
      </c>
      <c r="S63" s="23" t="s">
        <v>6845</v>
      </c>
      <c r="T63" s="23" t="s">
        <v>4866</v>
      </c>
      <c r="U63" s="3">
        <v>35</v>
      </c>
      <c r="W63" s="45" t="str">
        <f>HYPERLINK("http://ictvonline.org/taxonomy/p/taxonomy-history?taxnode_id=201906400","ICTVonline=201906400")</f>
        <v>ICTVonline=201906400</v>
      </c>
      <c r="X63" s="1" t="s">
        <v>6872</v>
      </c>
      <c r="Y63" s="1" t="s">
        <v>6873</v>
      </c>
      <c r="Z63" s="1" t="s">
        <v>6874</v>
      </c>
      <c r="AA63" s="1">
        <v>201900000</v>
      </c>
      <c r="AB63" s="1">
        <v>35</v>
      </c>
    </row>
    <row r="64" spans="1:28" x14ac:dyDescent="0.2">
      <c r="A64" s="1">
        <v>156</v>
      </c>
      <c r="B64" s="1" t="s">
        <v>6850</v>
      </c>
      <c r="D64" s="1" t="s">
        <v>6851</v>
      </c>
      <c r="F64" s="1" t="s">
        <v>6852</v>
      </c>
      <c r="H64" s="1" t="s">
        <v>6853</v>
      </c>
      <c r="J64" s="1" t="s">
        <v>896</v>
      </c>
      <c r="L64" s="1" t="s">
        <v>900</v>
      </c>
      <c r="M64" s="1" t="s">
        <v>1386</v>
      </c>
      <c r="N64" s="1" t="s">
        <v>683</v>
      </c>
      <c r="P64" s="1" t="s">
        <v>3456</v>
      </c>
      <c r="Q64" s="3">
        <v>0</v>
      </c>
      <c r="R64" s="23" t="s">
        <v>6854</v>
      </c>
      <c r="S64" s="23" t="s">
        <v>6845</v>
      </c>
      <c r="T64" s="23" t="s">
        <v>4866</v>
      </c>
      <c r="U64" s="3">
        <v>35</v>
      </c>
      <c r="W64" s="45" t="str">
        <f>HYPERLINK("http://ictvonline.org/taxonomy/p/taxonomy-history?taxnode_id=201901464","ICTVonline=201901464")</f>
        <v>ICTVonline=201901464</v>
      </c>
      <c r="AA64" s="1">
        <v>201900000</v>
      </c>
      <c r="AB64" s="1">
        <v>35</v>
      </c>
    </row>
    <row r="65" spans="1:28" x14ac:dyDescent="0.2">
      <c r="A65" s="1">
        <v>158</v>
      </c>
      <c r="B65" s="1" t="s">
        <v>6850</v>
      </c>
      <c r="D65" s="1" t="s">
        <v>6851</v>
      </c>
      <c r="F65" s="1" t="s">
        <v>6852</v>
      </c>
      <c r="H65" s="1" t="s">
        <v>6853</v>
      </c>
      <c r="J65" s="1" t="s">
        <v>896</v>
      </c>
      <c r="L65" s="1" t="s">
        <v>900</v>
      </c>
      <c r="M65" s="1" t="s">
        <v>1386</v>
      </c>
      <c r="N65" s="1" t="s">
        <v>683</v>
      </c>
      <c r="P65" s="1" t="s">
        <v>3457</v>
      </c>
      <c r="Q65" s="3">
        <v>0</v>
      </c>
      <c r="R65" s="23" t="s">
        <v>6854</v>
      </c>
      <c r="S65" s="23" t="s">
        <v>6845</v>
      </c>
      <c r="T65" s="23" t="s">
        <v>4866</v>
      </c>
      <c r="U65" s="3">
        <v>35</v>
      </c>
      <c r="W65" s="45" t="str">
        <f>HYPERLINK("http://ictvonline.org/taxonomy/p/taxonomy-history?taxnode_id=201901465","ICTVonline=201901465")</f>
        <v>ICTVonline=201901465</v>
      </c>
      <c r="AA65" s="1">
        <v>201900000</v>
      </c>
      <c r="AB65" s="1">
        <v>35</v>
      </c>
    </row>
    <row r="66" spans="1:28" x14ac:dyDescent="0.2">
      <c r="A66" s="1">
        <v>160</v>
      </c>
      <c r="B66" s="1" t="s">
        <v>6850</v>
      </c>
      <c r="D66" s="1" t="s">
        <v>6851</v>
      </c>
      <c r="F66" s="1" t="s">
        <v>6852</v>
      </c>
      <c r="H66" s="1" t="s">
        <v>6853</v>
      </c>
      <c r="J66" s="1" t="s">
        <v>896</v>
      </c>
      <c r="L66" s="1" t="s">
        <v>900</v>
      </c>
      <c r="M66" s="1" t="s">
        <v>1386</v>
      </c>
      <c r="N66" s="1" t="s">
        <v>683</v>
      </c>
      <c r="P66" s="1" t="s">
        <v>6580</v>
      </c>
      <c r="Q66" s="3">
        <v>0</v>
      </c>
      <c r="R66" s="23" t="s">
        <v>6854</v>
      </c>
      <c r="S66" s="23" t="s">
        <v>6845</v>
      </c>
      <c r="T66" s="23" t="s">
        <v>4866</v>
      </c>
      <c r="U66" s="3">
        <v>35</v>
      </c>
      <c r="W66" s="45" t="str">
        <f>HYPERLINK("http://ictvonline.org/taxonomy/p/taxonomy-history?taxnode_id=201906401","ICTVonline=201906401")</f>
        <v>ICTVonline=201906401</v>
      </c>
      <c r="X66" s="1" t="s">
        <v>6875</v>
      </c>
      <c r="Y66" s="1" t="s">
        <v>6876</v>
      </c>
      <c r="Z66" s="1" t="s">
        <v>6877</v>
      </c>
      <c r="AA66" s="1">
        <v>201900000</v>
      </c>
      <c r="AB66" s="1">
        <v>35</v>
      </c>
    </row>
    <row r="67" spans="1:28" x14ac:dyDescent="0.2">
      <c r="A67" s="1">
        <v>162</v>
      </c>
      <c r="B67" s="1" t="s">
        <v>6850</v>
      </c>
      <c r="D67" s="1" t="s">
        <v>6851</v>
      </c>
      <c r="F67" s="1" t="s">
        <v>6852</v>
      </c>
      <c r="H67" s="1" t="s">
        <v>6853</v>
      </c>
      <c r="J67" s="1" t="s">
        <v>896</v>
      </c>
      <c r="L67" s="1" t="s">
        <v>900</v>
      </c>
      <c r="M67" s="1" t="s">
        <v>1386</v>
      </c>
      <c r="N67" s="1" t="s">
        <v>683</v>
      </c>
      <c r="P67" s="1" t="s">
        <v>3458</v>
      </c>
      <c r="Q67" s="3">
        <v>0</v>
      </c>
      <c r="R67" s="23" t="s">
        <v>6854</v>
      </c>
      <c r="S67" s="23" t="s">
        <v>6845</v>
      </c>
      <c r="T67" s="23" t="s">
        <v>4866</v>
      </c>
      <c r="U67" s="3">
        <v>35</v>
      </c>
      <c r="W67" s="45" t="str">
        <f>HYPERLINK("http://ictvonline.org/taxonomy/p/taxonomy-history?taxnode_id=201901466","ICTVonline=201901466")</f>
        <v>ICTVonline=201901466</v>
      </c>
      <c r="AA67" s="1">
        <v>201900000</v>
      </c>
      <c r="AB67" s="1">
        <v>35</v>
      </c>
    </row>
    <row r="68" spans="1:28" x14ac:dyDescent="0.2">
      <c r="A68" s="1">
        <v>166</v>
      </c>
      <c r="B68" s="1" t="s">
        <v>6850</v>
      </c>
      <c r="D68" s="1" t="s">
        <v>6851</v>
      </c>
      <c r="F68" s="1" t="s">
        <v>6852</v>
      </c>
      <c r="H68" s="1" t="s">
        <v>6853</v>
      </c>
      <c r="J68" s="1" t="s">
        <v>896</v>
      </c>
      <c r="L68" s="1" t="s">
        <v>900</v>
      </c>
      <c r="M68" s="1" t="s">
        <v>1386</v>
      </c>
      <c r="N68" s="1" t="s">
        <v>684</v>
      </c>
      <c r="P68" s="1" t="s">
        <v>3459</v>
      </c>
      <c r="Q68" s="3">
        <v>1</v>
      </c>
      <c r="R68" s="23" t="s">
        <v>6854</v>
      </c>
      <c r="S68" s="23" t="s">
        <v>6845</v>
      </c>
      <c r="T68" s="23" t="s">
        <v>4866</v>
      </c>
      <c r="U68" s="3">
        <v>35</v>
      </c>
      <c r="W68" s="45" t="str">
        <f>HYPERLINK("http://ictvonline.org/taxonomy/p/taxonomy-history?taxnode_id=201901468","ICTVonline=201901468")</f>
        <v>ICTVonline=201901468</v>
      </c>
      <c r="AA68" s="1">
        <v>201900000</v>
      </c>
      <c r="AB68" s="1">
        <v>35</v>
      </c>
    </row>
    <row r="69" spans="1:28" x14ac:dyDescent="0.2">
      <c r="A69" s="1">
        <v>168</v>
      </c>
      <c r="B69" s="1" t="s">
        <v>6850</v>
      </c>
      <c r="D69" s="1" t="s">
        <v>6851</v>
      </c>
      <c r="F69" s="1" t="s">
        <v>6852</v>
      </c>
      <c r="H69" s="1" t="s">
        <v>6853</v>
      </c>
      <c r="J69" s="1" t="s">
        <v>896</v>
      </c>
      <c r="L69" s="1" t="s">
        <v>900</v>
      </c>
      <c r="M69" s="1" t="s">
        <v>1386</v>
      </c>
      <c r="N69" s="1" t="s">
        <v>684</v>
      </c>
      <c r="P69" s="1" t="s">
        <v>3460</v>
      </c>
      <c r="Q69" s="3">
        <v>0</v>
      </c>
      <c r="R69" s="23" t="s">
        <v>6854</v>
      </c>
      <c r="S69" s="23" t="s">
        <v>6845</v>
      </c>
      <c r="T69" s="23" t="s">
        <v>4866</v>
      </c>
      <c r="U69" s="3">
        <v>35</v>
      </c>
      <c r="W69" s="45" t="str">
        <f>HYPERLINK("http://ictvonline.org/taxonomy/p/taxonomy-history?taxnode_id=201901469","ICTVonline=201901469")</f>
        <v>ICTVonline=201901469</v>
      </c>
      <c r="AA69" s="1">
        <v>201900000</v>
      </c>
      <c r="AB69" s="1">
        <v>35</v>
      </c>
    </row>
    <row r="70" spans="1:28" x14ac:dyDescent="0.2">
      <c r="A70" s="1">
        <v>170</v>
      </c>
      <c r="B70" s="1" t="s">
        <v>6850</v>
      </c>
      <c r="D70" s="1" t="s">
        <v>6851</v>
      </c>
      <c r="F70" s="1" t="s">
        <v>6852</v>
      </c>
      <c r="H70" s="1" t="s">
        <v>6853</v>
      </c>
      <c r="J70" s="1" t="s">
        <v>896</v>
      </c>
      <c r="L70" s="1" t="s">
        <v>900</v>
      </c>
      <c r="M70" s="1" t="s">
        <v>1386</v>
      </c>
      <c r="N70" s="1" t="s">
        <v>684</v>
      </c>
      <c r="P70" s="1" t="s">
        <v>3461</v>
      </c>
      <c r="Q70" s="3">
        <v>0</v>
      </c>
      <c r="R70" s="23" t="s">
        <v>6854</v>
      </c>
      <c r="S70" s="23" t="s">
        <v>6845</v>
      </c>
      <c r="T70" s="23" t="s">
        <v>4866</v>
      </c>
      <c r="U70" s="3">
        <v>35</v>
      </c>
      <c r="W70" s="45" t="str">
        <f>HYPERLINK("http://ictvonline.org/taxonomy/p/taxonomy-history?taxnode_id=201901470","ICTVonline=201901470")</f>
        <v>ICTVonline=201901470</v>
      </c>
      <c r="AA70" s="1">
        <v>201900000</v>
      </c>
      <c r="AB70" s="1">
        <v>35</v>
      </c>
    </row>
    <row r="71" spans="1:28" x14ac:dyDescent="0.2">
      <c r="A71" s="1">
        <v>174</v>
      </c>
      <c r="B71" s="1" t="s">
        <v>6850</v>
      </c>
      <c r="D71" s="1" t="s">
        <v>6851</v>
      </c>
      <c r="F71" s="1" t="s">
        <v>6852</v>
      </c>
      <c r="H71" s="1" t="s">
        <v>6853</v>
      </c>
      <c r="J71" s="1" t="s">
        <v>896</v>
      </c>
      <c r="L71" s="1" t="s">
        <v>900</v>
      </c>
      <c r="M71" s="1" t="s">
        <v>1386</v>
      </c>
      <c r="N71" s="1" t="s">
        <v>1388</v>
      </c>
      <c r="P71" s="1" t="s">
        <v>3462</v>
      </c>
      <c r="Q71" s="3">
        <v>1</v>
      </c>
      <c r="R71" s="23" t="s">
        <v>6854</v>
      </c>
      <c r="S71" s="23" t="s">
        <v>6845</v>
      </c>
      <c r="T71" s="23" t="s">
        <v>4866</v>
      </c>
      <c r="U71" s="3">
        <v>35</v>
      </c>
      <c r="W71" s="45" t="str">
        <f>HYPERLINK("http://ictvonline.org/taxonomy/p/taxonomy-history?taxnode_id=201901472","ICTVonline=201901472")</f>
        <v>ICTVonline=201901472</v>
      </c>
      <c r="AA71" s="1">
        <v>201900000</v>
      </c>
      <c r="AB71" s="1">
        <v>35</v>
      </c>
    </row>
    <row r="72" spans="1:28" x14ac:dyDescent="0.2">
      <c r="A72" s="1">
        <v>176</v>
      </c>
      <c r="B72" s="1" t="s">
        <v>6850</v>
      </c>
      <c r="D72" s="1" t="s">
        <v>6851</v>
      </c>
      <c r="F72" s="1" t="s">
        <v>6852</v>
      </c>
      <c r="H72" s="1" t="s">
        <v>6853</v>
      </c>
      <c r="J72" s="1" t="s">
        <v>896</v>
      </c>
      <c r="L72" s="1" t="s">
        <v>900</v>
      </c>
      <c r="M72" s="1" t="s">
        <v>1386</v>
      </c>
      <c r="N72" s="1" t="s">
        <v>1388</v>
      </c>
      <c r="P72" s="1" t="s">
        <v>6581</v>
      </c>
      <c r="Q72" s="3">
        <v>0</v>
      </c>
      <c r="R72" s="23" t="s">
        <v>6854</v>
      </c>
      <c r="S72" s="23" t="s">
        <v>6845</v>
      </c>
      <c r="T72" s="23" t="s">
        <v>4866</v>
      </c>
      <c r="U72" s="3">
        <v>35</v>
      </c>
      <c r="W72" s="45" t="str">
        <f>HYPERLINK("http://ictvonline.org/taxonomy/p/taxonomy-history?taxnode_id=201906404","ICTVonline=201906404")</f>
        <v>ICTVonline=201906404</v>
      </c>
      <c r="X72" s="1" t="s">
        <v>6878</v>
      </c>
      <c r="Y72" s="1" t="s">
        <v>6879</v>
      </c>
      <c r="Z72" s="1" t="s">
        <v>6880</v>
      </c>
      <c r="AA72" s="1">
        <v>201900000</v>
      </c>
      <c r="AB72" s="1">
        <v>35</v>
      </c>
    </row>
    <row r="73" spans="1:28" x14ac:dyDescent="0.2">
      <c r="A73" s="1">
        <v>178</v>
      </c>
      <c r="B73" s="1" t="s">
        <v>6850</v>
      </c>
      <c r="D73" s="1" t="s">
        <v>6851</v>
      </c>
      <c r="F73" s="1" t="s">
        <v>6852</v>
      </c>
      <c r="H73" s="1" t="s">
        <v>6853</v>
      </c>
      <c r="J73" s="1" t="s">
        <v>896</v>
      </c>
      <c r="L73" s="1" t="s">
        <v>900</v>
      </c>
      <c r="M73" s="1" t="s">
        <v>1386</v>
      </c>
      <c r="N73" s="1" t="s">
        <v>1388</v>
      </c>
      <c r="P73" s="1" t="s">
        <v>6582</v>
      </c>
      <c r="Q73" s="3">
        <v>0</v>
      </c>
      <c r="R73" s="23" t="s">
        <v>6854</v>
      </c>
      <c r="S73" s="23" t="s">
        <v>6845</v>
      </c>
      <c r="T73" s="23" t="s">
        <v>4866</v>
      </c>
      <c r="U73" s="3">
        <v>35</v>
      </c>
      <c r="W73" s="45" t="str">
        <f>HYPERLINK("http://ictvonline.org/taxonomy/p/taxonomy-history?taxnode_id=201906405","ICTVonline=201906405")</f>
        <v>ICTVonline=201906405</v>
      </c>
      <c r="X73" s="1" t="s">
        <v>6881</v>
      </c>
      <c r="Y73" s="1" t="s">
        <v>6882</v>
      </c>
      <c r="Z73" s="1" t="s">
        <v>6883</v>
      </c>
      <c r="AA73" s="1">
        <v>201900000</v>
      </c>
      <c r="AB73" s="1">
        <v>35</v>
      </c>
    </row>
    <row r="74" spans="1:28" x14ac:dyDescent="0.2">
      <c r="A74" s="1">
        <v>182</v>
      </c>
      <c r="B74" s="1" t="s">
        <v>6850</v>
      </c>
      <c r="D74" s="1" t="s">
        <v>6851</v>
      </c>
      <c r="F74" s="1" t="s">
        <v>6852</v>
      </c>
      <c r="H74" s="1" t="s">
        <v>6853</v>
      </c>
      <c r="J74" s="1" t="s">
        <v>896</v>
      </c>
      <c r="L74" s="1" t="s">
        <v>900</v>
      </c>
      <c r="M74" s="1" t="s">
        <v>1386</v>
      </c>
      <c r="N74" s="1" t="s">
        <v>1389</v>
      </c>
      <c r="P74" s="1" t="s">
        <v>3463</v>
      </c>
      <c r="Q74" s="3">
        <v>0</v>
      </c>
      <c r="R74" s="23" t="s">
        <v>6854</v>
      </c>
      <c r="S74" s="23" t="s">
        <v>6845</v>
      </c>
      <c r="T74" s="23" t="s">
        <v>4866</v>
      </c>
      <c r="U74" s="3">
        <v>35</v>
      </c>
      <c r="W74" s="45" t="str">
        <f>HYPERLINK("http://ictvonline.org/taxonomy/p/taxonomy-history?taxnode_id=201901474","ICTVonline=201901474")</f>
        <v>ICTVonline=201901474</v>
      </c>
      <c r="AA74" s="1">
        <v>201900000</v>
      </c>
      <c r="AB74" s="1">
        <v>35</v>
      </c>
    </row>
    <row r="75" spans="1:28" x14ac:dyDescent="0.2">
      <c r="A75" s="1">
        <v>184</v>
      </c>
      <c r="B75" s="1" t="s">
        <v>6850</v>
      </c>
      <c r="D75" s="1" t="s">
        <v>6851</v>
      </c>
      <c r="F75" s="1" t="s">
        <v>6852</v>
      </c>
      <c r="H75" s="1" t="s">
        <v>6853</v>
      </c>
      <c r="J75" s="1" t="s">
        <v>896</v>
      </c>
      <c r="L75" s="1" t="s">
        <v>900</v>
      </c>
      <c r="M75" s="1" t="s">
        <v>1386</v>
      </c>
      <c r="N75" s="1" t="s">
        <v>1389</v>
      </c>
      <c r="P75" s="1" t="s">
        <v>3464</v>
      </c>
      <c r="Q75" s="3">
        <v>1</v>
      </c>
      <c r="R75" s="23" t="s">
        <v>6854</v>
      </c>
      <c r="S75" s="23" t="s">
        <v>6845</v>
      </c>
      <c r="T75" s="23" t="s">
        <v>4866</v>
      </c>
      <c r="U75" s="3">
        <v>35</v>
      </c>
      <c r="W75" s="45" t="str">
        <f>HYPERLINK("http://ictvonline.org/taxonomy/p/taxonomy-history?taxnode_id=201901475","ICTVonline=201901475")</f>
        <v>ICTVonline=201901475</v>
      </c>
      <c r="AA75" s="1">
        <v>201900000</v>
      </c>
      <c r="AB75" s="1">
        <v>35</v>
      </c>
    </row>
    <row r="76" spans="1:28" x14ac:dyDescent="0.2">
      <c r="A76" s="1">
        <v>186</v>
      </c>
      <c r="B76" s="1" t="s">
        <v>6850</v>
      </c>
      <c r="D76" s="1" t="s">
        <v>6851</v>
      </c>
      <c r="F76" s="1" t="s">
        <v>6852</v>
      </c>
      <c r="H76" s="1" t="s">
        <v>6853</v>
      </c>
      <c r="J76" s="1" t="s">
        <v>896</v>
      </c>
      <c r="L76" s="1" t="s">
        <v>900</v>
      </c>
      <c r="M76" s="1" t="s">
        <v>1386</v>
      </c>
      <c r="N76" s="1" t="s">
        <v>1389</v>
      </c>
      <c r="P76" s="1" t="s">
        <v>3465</v>
      </c>
      <c r="Q76" s="3">
        <v>0</v>
      </c>
      <c r="R76" s="23" t="s">
        <v>6854</v>
      </c>
      <c r="S76" s="23" t="s">
        <v>6845</v>
      </c>
      <c r="T76" s="23" t="s">
        <v>4866</v>
      </c>
      <c r="U76" s="3">
        <v>35</v>
      </c>
      <c r="W76" s="45" t="str">
        <f>HYPERLINK("http://ictvonline.org/taxonomy/p/taxonomy-history?taxnode_id=201901476","ICTVonline=201901476")</f>
        <v>ICTVonline=201901476</v>
      </c>
      <c r="AA76" s="1">
        <v>201900000</v>
      </c>
      <c r="AB76" s="1">
        <v>35</v>
      </c>
    </row>
    <row r="77" spans="1:28" x14ac:dyDescent="0.2">
      <c r="A77" s="1">
        <v>188</v>
      </c>
      <c r="B77" s="1" t="s">
        <v>6850</v>
      </c>
      <c r="D77" s="1" t="s">
        <v>6851</v>
      </c>
      <c r="F77" s="1" t="s">
        <v>6852</v>
      </c>
      <c r="H77" s="1" t="s">
        <v>6853</v>
      </c>
      <c r="J77" s="1" t="s">
        <v>896</v>
      </c>
      <c r="L77" s="1" t="s">
        <v>900</v>
      </c>
      <c r="M77" s="1" t="s">
        <v>1386</v>
      </c>
      <c r="N77" s="1" t="s">
        <v>1389</v>
      </c>
      <c r="P77" s="1" t="s">
        <v>6583</v>
      </c>
      <c r="Q77" s="3">
        <v>0</v>
      </c>
      <c r="R77" s="23" t="s">
        <v>6854</v>
      </c>
      <c r="S77" s="23" t="s">
        <v>6845</v>
      </c>
      <c r="T77" s="23" t="s">
        <v>4866</v>
      </c>
      <c r="U77" s="3">
        <v>35</v>
      </c>
      <c r="W77" s="45" t="str">
        <f>HYPERLINK("http://ictvonline.org/taxonomy/p/taxonomy-history?taxnode_id=201906402","ICTVonline=201906402")</f>
        <v>ICTVonline=201906402</v>
      </c>
      <c r="X77" s="1" t="s">
        <v>6884</v>
      </c>
      <c r="Y77" s="1" t="s">
        <v>6885</v>
      </c>
      <c r="Z77" s="1" t="s">
        <v>6886</v>
      </c>
      <c r="AA77" s="1">
        <v>201900000</v>
      </c>
      <c r="AB77" s="1">
        <v>35</v>
      </c>
    </row>
    <row r="78" spans="1:28" x14ac:dyDescent="0.2">
      <c r="A78" s="1">
        <v>190</v>
      </c>
      <c r="B78" s="1" t="s">
        <v>6850</v>
      </c>
      <c r="D78" s="1" t="s">
        <v>6851</v>
      </c>
      <c r="F78" s="1" t="s">
        <v>6852</v>
      </c>
      <c r="H78" s="1" t="s">
        <v>6853</v>
      </c>
      <c r="J78" s="1" t="s">
        <v>896</v>
      </c>
      <c r="L78" s="1" t="s">
        <v>900</v>
      </c>
      <c r="M78" s="1" t="s">
        <v>1386</v>
      </c>
      <c r="N78" s="1" t="s">
        <v>1389</v>
      </c>
      <c r="P78" s="1" t="s">
        <v>6584</v>
      </c>
      <c r="Q78" s="3">
        <v>0</v>
      </c>
      <c r="R78" s="23" t="s">
        <v>6854</v>
      </c>
      <c r="S78" s="23" t="s">
        <v>6845</v>
      </c>
      <c r="T78" s="23" t="s">
        <v>4866</v>
      </c>
      <c r="U78" s="3">
        <v>35</v>
      </c>
      <c r="W78" s="45" t="str">
        <f>HYPERLINK("http://ictvonline.org/taxonomy/p/taxonomy-history?taxnode_id=201906403","ICTVonline=201906403")</f>
        <v>ICTVonline=201906403</v>
      </c>
      <c r="X78" s="1" t="s">
        <v>6887</v>
      </c>
      <c r="Y78" s="1" t="s">
        <v>6888</v>
      </c>
      <c r="Z78" s="1" t="s">
        <v>6889</v>
      </c>
      <c r="AA78" s="1">
        <v>201900000</v>
      </c>
      <c r="AB78" s="1">
        <v>35</v>
      </c>
    </row>
    <row r="79" spans="1:28" x14ac:dyDescent="0.2">
      <c r="A79" s="1">
        <v>192</v>
      </c>
      <c r="B79" s="1" t="s">
        <v>6850</v>
      </c>
      <c r="D79" s="1" t="s">
        <v>6851</v>
      </c>
      <c r="F79" s="1" t="s">
        <v>6852</v>
      </c>
      <c r="H79" s="1" t="s">
        <v>6853</v>
      </c>
      <c r="J79" s="1" t="s">
        <v>896</v>
      </c>
      <c r="L79" s="1" t="s">
        <v>900</v>
      </c>
      <c r="M79" s="1" t="s">
        <v>1386</v>
      </c>
      <c r="N79" s="1" t="s">
        <v>1389</v>
      </c>
      <c r="P79" s="1" t="s">
        <v>3467</v>
      </c>
      <c r="Q79" s="3">
        <v>0</v>
      </c>
      <c r="R79" s="23" t="s">
        <v>6854</v>
      </c>
      <c r="S79" s="23" t="s">
        <v>6845</v>
      </c>
      <c r="T79" s="23" t="s">
        <v>4866</v>
      </c>
      <c r="U79" s="3">
        <v>35</v>
      </c>
      <c r="W79" s="45" t="str">
        <f>HYPERLINK("http://ictvonline.org/taxonomy/p/taxonomy-history?taxnode_id=201901479","ICTVonline=201901479")</f>
        <v>ICTVonline=201901479</v>
      </c>
      <c r="X79" s="1" t="s">
        <v>6890</v>
      </c>
      <c r="Y79" s="1" t="s">
        <v>6891</v>
      </c>
      <c r="Z79" s="1" t="s">
        <v>6892</v>
      </c>
      <c r="AA79" s="1">
        <v>201900000</v>
      </c>
      <c r="AB79" s="1">
        <v>35</v>
      </c>
    </row>
    <row r="80" spans="1:28" x14ac:dyDescent="0.2">
      <c r="A80" s="1">
        <v>195</v>
      </c>
      <c r="B80" s="1" t="s">
        <v>6850</v>
      </c>
      <c r="D80" s="1" t="s">
        <v>6851</v>
      </c>
      <c r="F80" s="1" t="s">
        <v>6852</v>
      </c>
      <c r="H80" s="1" t="s">
        <v>6853</v>
      </c>
      <c r="J80" s="1" t="s">
        <v>896</v>
      </c>
      <c r="L80" s="1" t="s">
        <v>900</v>
      </c>
      <c r="M80" s="1" t="s">
        <v>1386</v>
      </c>
      <c r="P80" s="1" t="s">
        <v>3466</v>
      </c>
      <c r="Q80" s="3">
        <v>0</v>
      </c>
      <c r="R80" s="23" t="s">
        <v>6854</v>
      </c>
      <c r="S80" s="23" t="s">
        <v>6845</v>
      </c>
      <c r="T80" s="23" t="s">
        <v>4866</v>
      </c>
      <c r="U80" s="3">
        <v>35</v>
      </c>
      <c r="W80" s="45" t="str">
        <f>HYPERLINK("http://ictvonline.org/taxonomy/p/taxonomy-history?taxnode_id=201901478","ICTVonline=201901478")</f>
        <v>ICTVonline=201901478</v>
      </c>
      <c r="AA80" s="1">
        <v>201900000</v>
      </c>
      <c r="AB80" s="1">
        <v>35</v>
      </c>
    </row>
    <row r="81" spans="1:28" x14ac:dyDescent="0.2">
      <c r="A81" s="1">
        <v>197</v>
      </c>
      <c r="B81" s="1" t="s">
        <v>6850</v>
      </c>
      <c r="D81" s="1" t="s">
        <v>6851</v>
      </c>
      <c r="F81" s="1" t="s">
        <v>6852</v>
      </c>
      <c r="H81" s="1" t="s">
        <v>6853</v>
      </c>
      <c r="J81" s="1" t="s">
        <v>896</v>
      </c>
      <c r="L81" s="1" t="s">
        <v>900</v>
      </c>
      <c r="M81" s="1" t="s">
        <v>1386</v>
      </c>
      <c r="P81" s="1" t="s">
        <v>3468</v>
      </c>
      <c r="Q81" s="3">
        <v>0</v>
      </c>
      <c r="R81" s="23" t="s">
        <v>6854</v>
      </c>
      <c r="S81" s="23" t="s">
        <v>6845</v>
      </c>
      <c r="T81" s="23" t="s">
        <v>4866</v>
      </c>
      <c r="U81" s="3">
        <v>35</v>
      </c>
      <c r="W81" s="45" t="str">
        <f>HYPERLINK("http://ictvonline.org/taxonomy/p/taxonomy-history?taxnode_id=201901480","ICTVonline=201901480")</f>
        <v>ICTVonline=201901480</v>
      </c>
      <c r="AA81" s="1">
        <v>201900000</v>
      </c>
      <c r="AB81" s="1">
        <v>35</v>
      </c>
    </row>
    <row r="82" spans="1:28" x14ac:dyDescent="0.2">
      <c r="A82" s="1">
        <v>202</v>
      </c>
      <c r="B82" s="1" t="s">
        <v>6850</v>
      </c>
      <c r="D82" s="1" t="s">
        <v>6851</v>
      </c>
      <c r="F82" s="1" t="s">
        <v>6852</v>
      </c>
      <c r="H82" s="1" t="s">
        <v>6853</v>
      </c>
      <c r="J82" s="1" t="s">
        <v>896</v>
      </c>
      <c r="L82" s="1" t="s">
        <v>900</v>
      </c>
      <c r="M82" s="1" t="s">
        <v>1393</v>
      </c>
      <c r="N82" s="1" t="s">
        <v>1291</v>
      </c>
      <c r="P82" s="1" t="s">
        <v>3469</v>
      </c>
      <c r="Q82" s="3">
        <v>0</v>
      </c>
      <c r="R82" s="23" t="s">
        <v>6854</v>
      </c>
      <c r="S82" s="23" t="s">
        <v>6845</v>
      </c>
      <c r="T82" s="23" t="s">
        <v>4866</v>
      </c>
      <c r="U82" s="3">
        <v>35</v>
      </c>
      <c r="W82" s="45" t="str">
        <f>HYPERLINK("http://ictvonline.org/taxonomy/p/taxonomy-history?taxnode_id=201901483","ICTVonline=201901483")</f>
        <v>ICTVonline=201901483</v>
      </c>
      <c r="AA82" s="1">
        <v>201900000</v>
      </c>
      <c r="AB82" s="1">
        <v>35</v>
      </c>
    </row>
    <row r="83" spans="1:28" x14ac:dyDescent="0.2">
      <c r="A83" s="1">
        <v>204</v>
      </c>
      <c r="B83" s="1" t="s">
        <v>6850</v>
      </c>
      <c r="D83" s="1" t="s">
        <v>6851</v>
      </c>
      <c r="F83" s="1" t="s">
        <v>6852</v>
      </c>
      <c r="H83" s="1" t="s">
        <v>6853</v>
      </c>
      <c r="J83" s="1" t="s">
        <v>896</v>
      </c>
      <c r="L83" s="1" t="s">
        <v>900</v>
      </c>
      <c r="M83" s="1" t="s">
        <v>1393</v>
      </c>
      <c r="N83" s="1" t="s">
        <v>1291</v>
      </c>
      <c r="P83" s="1" t="s">
        <v>3470</v>
      </c>
      <c r="Q83" s="3">
        <v>0</v>
      </c>
      <c r="R83" s="23" t="s">
        <v>6854</v>
      </c>
      <c r="S83" s="23" t="s">
        <v>6845</v>
      </c>
      <c r="T83" s="23" t="s">
        <v>4866</v>
      </c>
      <c r="U83" s="3">
        <v>35</v>
      </c>
      <c r="W83" s="45" t="str">
        <f>HYPERLINK("http://ictvonline.org/taxonomy/p/taxonomy-history?taxnode_id=201901484","ICTVonline=201901484")</f>
        <v>ICTVonline=201901484</v>
      </c>
      <c r="AA83" s="1">
        <v>201900000</v>
      </c>
      <c r="AB83" s="1">
        <v>35</v>
      </c>
    </row>
    <row r="84" spans="1:28" x14ac:dyDescent="0.2">
      <c r="A84" s="1">
        <v>206</v>
      </c>
      <c r="B84" s="1" t="s">
        <v>6850</v>
      </c>
      <c r="D84" s="1" t="s">
        <v>6851</v>
      </c>
      <c r="F84" s="1" t="s">
        <v>6852</v>
      </c>
      <c r="H84" s="1" t="s">
        <v>6853</v>
      </c>
      <c r="J84" s="1" t="s">
        <v>896</v>
      </c>
      <c r="L84" s="1" t="s">
        <v>900</v>
      </c>
      <c r="M84" s="1" t="s">
        <v>1393</v>
      </c>
      <c r="N84" s="1" t="s">
        <v>1291</v>
      </c>
      <c r="P84" s="1" t="s">
        <v>3471</v>
      </c>
      <c r="Q84" s="3">
        <v>0</v>
      </c>
      <c r="R84" s="23" t="s">
        <v>6854</v>
      </c>
      <c r="S84" s="23" t="s">
        <v>6845</v>
      </c>
      <c r="T84" s="23" t="s">
        <v>4866</v>
      </c>
      <c r="U84" s="3">
        <v>35</v>
      </c>
      <c r="W84" s="45" t="str">
        <f>HYPERLINK("http://ictvonline.org/taxonomy/p/taxonomy-history?taxnode_id=201901485","ICTVonline=201901485")</f>
        <v>ICTVonline=201901485</v>
      </c>
      <c r="AA84" s="1">
        <v>201900000</v>
      </c>
      <c r="AB84" s="1">
        <v>35</v>
      </c>
    </row>
    <row r="85" spans="1:28" x14ac:dyDescent="0.2">
      <c r="A85" s="1">
        <v>208</v>
      </c>
      <c r="B85" s="1" t="s">
        <v>6850</v>
      </c>
      <c r="D85" s="1" t="s">
        <v>6851</v>
      </c>
      <c r="F85" s="1" t="s">
        <v>6852</v>
      </c>
      <c r="H85" s="1" t="s">
        <v>6853</v>
      </c>
      <c r="J85" s="1" t="s">
        <v>896</v>
      </c>
      <c r="L85" s="1" t="s">
        <v>900</v>
      </c>
      <c r="M85" s="1" t="s">
        <v>1393</v>
      </c>
      <c r="N85" s="1" t="s">
        <v>1291</v>
      </c>
      <c r="P85" s="1" t="s">
        <v>3472</v>
      </c>
      <c r="Q85" s="3">
        <v>1</v>
      </c>
      <c r="R85" s="23" t="s">
        <v>6854</v>
      </c>
      <c r="S85" s="23" t="s">
        <v>6845</v>
      </c>
      <c r="T85" s="23" t="s">
        <v>4866</v>
      </c>
      <c r="U85" s="3">
        <v>35</v>
      </c>
      <c r="W85" s="45" t="str">
        <f>HYPERLINK("http://ictvonline.org/taxonomy/p/taxonomy-history?taxnode_id=201901486","ICTVonline=201901486")</f>
        <v>ICTVonline=201901486</v>
      </c>
      <c r="AA85" s="1">
        <v>201900000</v>
      </c>
      <c r="AB85" s="1">
        <v>35</v>
      </c>
    </row>
    <row r="86" spans="1:28" x14ac:dyDescent="0.2">
      <c r="A86" s="1">
        <v>210</v>
      </c>
      <c r="B86" s="1" t="s">
        <v>6850</v>
      </c>
      <c r="D86" s="1" t="s">
        <v>6851</v>
      </c>
      <c r="F86" s="1" t="s">
        <v>6852</v>
      </c>
      <c r="H86" s="1" t="s">
        <v>6853</v>
      </c>
      <c r="J86" s="1" t="s">
        <v>896</v>
      </c>
      <c r="L86" s="1" t="s">
        <v>900</v>
      </c>
      <c r="M86" s="1" t="s">
        <v>1393</v>
      </c>
      <c r="N86" s="1" t="s">
        <v>1291</v>
      </c>
      <c r="P86" s="1" t="s">
        <v>3473</v>
      </c>
      <c r="Q86" s="3">
        <v>0</v>
      </c>
      <c r="R86" s="23" t="s">
        <v>6854</v>
      </c>
      <c r="S86" s="23" t="s">
        <v>6845</v>
      </c>
      <c r="T86" s="23" t="s">
        <v>4866</v>
      </c>
      <c r="U86" s="3">
        <v>35</v>
      </c>
      <c r="W86" s="45" t="str">
        <f>HYPERLINK("http://ictvonline.org/taxonomy/p/taxonomy-history?taxnode_id=201901487","ICTVonline=201901487")</f>
        <v>ICTVonline=201901487</v>
      </c>
      <c r="AA86" s="1">
        <v>201900000</v>
      </c>
      <c r="AB86" s="1">
        <v>35</v>
      </c>
    </row>
    <row r="87" spans="1:28" x14ac:dyDescent="0.2">
      <c r="A87" s="1">
        <v>212</v>
      </c>
      <c r="B87" s="1" t="s">
        <v>6850</v>
      </c>
      <c r="D87" s="1" t="s">
        <v>6851</v>
      </c>
      <c r="F87" s="1" t="s">
        <v>6852</v>
      </c>
      <c r="H87" s="1" t="s">
        <v>6853</v>
      </c>
      <c r="J87" s="1" t="s">
        <v>896</v>
      </c>
      <c r="L87" s="1" t="s">
        <v>900</v>
      </c>
      <c r="M87" s="1" t="s">
        <v>1393</v>
      </c>
      <c r="N87" s="1" t="s">
        <v>1291</v>
      </c>
      <c r="P87" s="1" t="s">
        <v>6585</v>
      </c>
      <c r="Q87" s="3">
        <v>0</v>
      </c>
      <c r="R87" s="23" t="s">
        <v>6854</v>
      </c>
      <c r="S87" s="23" t="s">
        <v>6845</v>
      </c>
      <c r="T87" s="23" t="s">
        <v>4866</v>
      </c>
      <c r="U87" s="3">
        <v>35</v>
      </c>
      <c r="W87" s="45" t="str">
        <f>HYPERLINK("http://ictvonline.org/taxonomy/p/taxonomy-history?taxnode_id=201906406","ICTVonline=201906406")</f>
        <v>ICTVonline=201906406</v>
      </c>
      <c r="X87" s="1" t="s">
        <v>6893</v>
      </c>
      <c r="Y87" s="1" t="s">
        <v>6894</v>
      </c>
      <c r="Z87" s="1" t="s">
        <v>6895</v>
      </c>
      <c r="AA87" s="1">
        <v>201900000</v>
      </c>
      <c r="AB87" s="1">
        <v>35</v>
      </c>
    </row>
    <row r="88" spans="1:28" x14ac:dyDescent="0.2">
      <c r="A88" s="1">
        <v>214</v>
      </c>
      <c r="B88" s="1" t="s">
        <v>6850</v>
      </c>
      <c r="D88" s="1" t="s">
        <v>6851</v>
      </c>
      <c r="F88" s="1" t="s">
        <v>6852</v>
      </c>
      <c r="H88" s="1" t="s">
        <v>6853</v>
      </c>
      <c r="J88" s="1" t="s">
        <v>896</v>
      </c>
      <c r="L88" s="1" t="s">
        <v>900</v>
      </c>
      <c r="M88" s="1" t="s">
        <v>1393</v>
      </c>
      <c r="N88" s="1" t="s">
        <v>1291</v>
      </c>
      <c r="P88" s="1" t="s">
        <v>3474</v>
      </c>
      <c r="Q88" s="3">
        <v>0</v>
      </c>
      <c r="R88" s="23" t="s">
        <v>6854</v>
      </c>
      <c r="S88" s="23" t="s">
        <v>6845</v>
      </c>
      <c r="T88" s="23" t="s">
        <v>4866</v>
      </c>
      <c r="U88" s="3">
        <v>35</v>
      </c>
      <c r="W88" s="45" t="str">
        <f>HYPERLINK("http://ictvonline.org/taxonomy/p/taxonomy-history?taxnode_id=201901488","ICTVonline=201901488")</f>
        <v>ICTVonline=201901488</v>
      </c>
      <c r="AA88" s="1">
        <v>201900000</v>
      </c>
      <c r="AB88" s="1">
        <v>35</v>
      </c>
    </row>
    <row r="89" spans="1:28" x14ac:dyDescent="0.2">
      <c r="A89" s="1">
        <v>216</v>
      </c>
      <c r="B89" s="1" t="s">
        <v>6850</v>
      </c>
      <c r="D89" s="1" t="s">
        <v>6851</v>
      </c>
      <c r="F89" s="1" t="s">
        <v>6852</v>
      </c>
      <c r="H89" s="1" t="s">
        <v>6853</v>
      </c>
      <c r="J89" s="1" t="s">
        <v>896</v>
      </c>
      <c r="L89" s="1" t="s">
        <v>900</v>
      </c>
      <c r="M89" s="1" t="s">
        <v>1393</v>
      </c>
      <c r="N89" s="1" t="s">
        <v>1291</v>
      </c>
      <c r="P89" s="1" t="s">
        <v>3475</v>
      </c>
      <c r="Q89" s="3">
        <v>0</v>
      </c>
      <c r="R89" s="23" t="s">
        <v>6854</v>
      </c>
      <c r="S89" s="23" t="s">
        <v>6845</v>
      </c>
      <c r="T89" s="23" t="s">
        <v>4866</v>
      </c>
      <c r="U89" s="3">
        <v>35</v>
      </c>
      <c r="W89" s="45" t="str">
        <f>HYPERLINK("http://ictvonline.org/taxonomy/p/taxonomy-history?taxnode_id=201901489","ICTVonline=201901489")</f>
        <v>ICTVonline=201901489</v>
      </c>
      <c r="AA89" s="1">
        <v>201900000</v>
      </c>
      <c r="AB89" s="1">
        <v>35</v>
      </c>
    </row>
    <row r="90" spans="1:28" x14ac:dyDescent="0.2">
      <c r="A90" s="1">
        <v>218</v>
      </c>
      <c r="B90" s="1" t="s">
        <v>6850</v>
      </c>
      <c r="D90" s="1" t="s">
        <v>6851</v>
      </c>
      <c r="F90" s="1" t="s">
        <v>6852</v>
      </c>
      <c r="H90" s="1" t="s">
        <v>6853</v>
      </c>
      <c r="J90" s="1" t="s">
        <v>896</v>
      </c>
      <c r="L90" s="1" t="s">
        <v>900</v>
      </c>
      <c r="M90" s="1" t="s">
        <v>1393</v>
      </c>
      <c r="N90" s="1" t="s">
        <v>1291</v>
      </c>
      <c r="P90" s="1" t="s">
        <v>3476</v>
      </c>
      <c r="Q90" s="3">
        <v>0</v>
      </c>
      <c r="R90" s="23" t="s">
        <v>6854</v>
      </c>
      <c r="S90" s="23" t="s">
        <v>6845</v>
      </c>
      <c r="T90" s="23" t="s">
        <v>4866</v>
      </c>
      <c r="U90" s="3">
        <v>35</v>
      </c>
      <c r="W90" s="45" t="str">
        <f>HYPERLINK("http://ictvonline.org/taxonomy/p/taxonomy-history?taxnode_id=201901490","ICTVonline=201901490")</f>
        <v>ICTVonline=201901490</v>
      </c>
      <c r="AA90" s="1">
        <v>201900000</v>
      </c>
      <c r="AB90" s="1">
        <v>35</v>
      </c>
    </row>
    <row r="91" spans="1:28" x14ac:dyDescent="0.2">
      <c r="A91" s="1">
        <v>222</v>
      </c>
      <c r="B91" s="1" t="s">
        <v>6850</v>
      </c>
      <c r="D91" s="1" t="s">
        <v>6851</v>
      </c>
      <c r="F91" s="1" t="s">
        <v>6852</v>
      </c>
      <c r="H91" s="1" t="s">
        <v>6853</v>
      </c>
      <c r="J91" s="1" t="s">
        <v>896</v>
      </c>
      <c r="L91" s="1" t="s">
        <v>900</v>
      </c>
      <c r="M91" s="1" t="s">
        <v>1393</v>
      </c>
      <c r="N91" s="1" t="s">
        <v>1315</v>
      </c>
      <c r="P91" s="1" t="s">
        <v>3477</v>
      </c>
      <c r="Q91" s="3">
        <v>1</v>
      </c>
      <c r="R91" s="23" t="s">
        <v>6854</v>
      </c>
      <c r="S91" s="23" t="s">
        <v>6845</v>
      </c>
      <c r="T91" s="23" t="s">
        <v>4866</v>
      </c>
      <c r="U91" s="3">
        <v>35</v>
      </c>
      <c r="W91" s="45" t="str">
        <f>HYPERLINK("http://ictvonline.org/taxonomy/p/taxonomy-history?taxnode_id=201901492","ICTVonline=201901492")</f>
        <v>ICTVonline=201901492</v>
      </c>
      <c r="AA91" s="1">
        <v>201900000</v>
      </c>
      <c r="AB91" s="1">
        <v>35</v>
      </c>
    </row>
    <row r="92" spans="1:28" x14ac:dyDescent="0.2">
      <c r="A92" s="1">
        <v>224</v>
      </c>
      <c r="B92" s="1" t="s">
        <v>6850</v>
      </c>
      <c r="D92" s="1" t="s">
        <v>6851</v>
      </c>
      <c r="F92" s="1" t="s">
        <v>6852</v>
      </c>
      <c r="H92" s="1" t="s">
        <v>6853</v>
      </c>
      <c r="J92" s="1" t="s">
        <v>896</v>
      </c>
      <c r="L92" s="1" t="s">
        <v>900</v>
      </c>
      <c r="M92" s="1" t="s">
        <v>1393</v>
      </c>
      <c r="N92" s="1" t="s">
        <v>1315</v>
      </c>
      <c r="P92" s="1" t="s">
        <v>3478</v>
      </c>
      <c r="Q92" s="3">
        <v>0</v>
      </c>
      <c r="R92" s="23" t="s">
        <v>6854</v>
      </c>
      <c r="S92" s="23" t="s">
        <v>6845</v>
      </c>
      <c r="T92" s="23" t="s">
        <v>4866</v>
      </c>
      <c r="U92" s="3">
        <v>35</v>
      </c>
      <c r="W92" s="45" t="str">
        <f>HYPERLINK("http://ictvonline.org/taxonomy/p/taxonomy-history?taxnode_id=201901493","ICTVonline=201901493")</f>
        <v>ICTVonline=201901493</v>
      </c>
      <c r="AA92" s="1">
        <v>201900000</v>
      </c>
      <c r="AB92" s="1">
        <v>35</v>
      </c>
    </row>
    <row r="93" spans="1:28" x14ac:dyDescent="0.2">
      <c r="A93" s="1">
        <v>226</v>
      </c>
      <c r="B93" s="1" t="s">
        <v>6850</v>
      </c>
      <c r="D93" s="1" t="s">
        <v>6851</v>
      </c>
      <c r="F93" s="1" t="s">
        <v>6852</v>
      </c>
      <c r="H93" s="1" t="s">
        <v>6853</v>
      </c>
      <c r="J93" s="1" t="s">
        <v>896</v>
      </c>
      <c r="L93" s="1" t="s">
        <v>900</v>
      </c>
      <c r="M93" s="1" t="s">
        <v>1393</v>
      </c>
      <c r="N93" s="1" t="s">
        <v>1315</v>
      </c>
      <c r="P93" s="1" t="s">
        <v>3479</v>
      </c>
      <c r="Q93" s="3">
        <v>0</v>
      </c>
      <c r="R93" s="23" t="s">
        <v>6854</v>
      </c>
      <c r="S93" s="23" t="s">
        <v>6845</v>
      </c>
      <c r="T93" s="23" t="s">
        <v>4866</v>
      </c>
      <c r="U93" s="3">
        <v>35</v>
      </c>
      <c r="W93" s="45" t="str">
        <f>HYPERLINK("http://ictvonline.org/taxonomy/p/taxonomy-history?taxnode_id=201901494","ICTVonline=201901494")</f>
        <v>ICTVonline=201901494</v>
      </c>
      <c r="AA93" s="1">
        <v>201900000</v>
      </c>
      <c r="AB93" s="1">
        <v>35</v>
      </c>
    </row>
    <row r="94" spans="1:28" x14ac:dyDescent="0.2">
      <c r="A94" s="1">
        <v>228</v>
      </c>
      <c r="B94" s="1" t="s">
        <v>6850</v>
      </c>
      <c r="D94" s="1" t="s">
        <v>6851</v>
      </c>
      <c r="F94" s="1" t="s">
        <v>6852</v>
      </c>
      <c r="H94" s="1" t="s">
        <v>6853</v>
      </c>
      <c r="J94" s="1" t="s">
        <v>896</v>
      </c>
      <c r="L94" s="1" t="s">
        <v>900</v>
      </c>
      <c r="M94" s="1" t="s">
        <v>1393</v>
      </c>
      <c r="N94" s="1" t="s">
        <v>1315</v>
      </c>
      <c r="P94" s="1" t="s">
        <v>3480</v>
      </c>
      <c r="Q94" s="3">
        <v>0</v>
      </c>
      <c r="R94" s="23" t="s">
        <v>6854</v>
      </c>
      <c r="S94" s="23" t="s">
        <v>6845</v>
      </c>
      <c r="T94" s="23" t="s">
        <v>4866</v>
      </c>
      <c r="U94" s="3">
        <v>35</v>
      </c>
      <c r="W94" s="45" t="str">
        <f>HYPERLINK("http://ictvonline.org/taxonomy/p/taxonomy-history?taxnode_id=201901495","ICTVonline=201901495")</f>
        <v>ICTVonline=201901495</v>
      </c>
      <c r="AA94" s="1">
        <v>201900000</v>
      </c>
      <c r="AB94" s="1">
        <v>35</v>
      </c>
    </row>
    <row r="95" spans="1:28" x14ac:dyDescent="0.2">
      <c r="A95" s="1">
        <v>230</v>
      </c>
      <c r="B95" s="1" t="s">
        <v>6850</v>
      </c>
      <c r="D95" s="1" t="s">
        <v>6851</v>
      </c>
      <c r="F95" s="1" t="s">
        <v>6852</v>
      </c>
      <c r="H95" s="1" t="s">
        <v>6853</v>
      </c>
      <c r="J95" s="1" t="s">
        <v>896</v>
      </c>
      <c r="L95" s="1" t="s">
        <v>900</v>
      </c>
      <c r="M95" s="1" t="s">
        <v>1393</v>
      </c>
      <c r="N95" s="1" t="s">
        <v>1315</v>
      </c>
      <c r="P95" s="1" t="s">
        <v>3481</v>
      </c>
      <c r="Q95" s="3">
        <v>0</v>
      </c>
      <c r="R95" s="23" t="s">
        <v>6854</v>
      </c>
      <c r="S95" s="23" t="s">
        <v>6845</v>
      </c>
      <c r="T95" s="23" t="s">
        <v>4866</v>
      </c>
      <c r="U95" s="3">
        <v>35</v>
      </c>
      <c r="W95" s="45" t="str">
        <f>HYPERLINK("http://ictvonline.org/taxonomy/p/taxonomy-history?taxnode_id=201901496","ICTVonline=201901496")</f>
        <v>ICTVonline=201901496</v>
      </c>
      <c r="AA95" s="1">
        <v>201900000</v>
      </c>
      <c r="AB95" s="1">
        <v>35</v>
      </c>
    </row>
    <row r="96" spans="1:28" x14ac:dyDescent="0.2">
      <c r="A96" s="1">
        <v>232</v>
      </c>
      <c r="B96" s="1" t="s">
        <v>6850</v>
      </c>
      <c r="D96" s="1" t="s">
        <v>6851</v>
      </c>
      <c r="F96" s="1" t="s">
        <v>6852</v>
      </c>
      <c r="H96" s="1" t="s">
        <v>6853</v>
      </c>
      <c r="J96" s="1" t="s">
        <v>896</v>
      </c>
      <c r="L96" s="1" t="s">
        <v>900</v>
      </c>
      <c r="M96" s="1" t="s">
        <v>1393</v>
      </c>
      <c r="N96" s="1" t="s">
        <v>1315</v>
      </c>
      <c r="P96" s="1" t="s">
        <v>3482</v>
      </c>
      <c r="Q96" s="3">
        <v>0</v>
      </c>
      <c r="R96" s="23" t="s">
        <v>6854</v>
      </c>
      <c r="S96" s="23" t="s">
        <v>6845</v>
      </c>
      <c r="T96" s="23" t="s">
        <v>4866</v>
      </c>
      <c r="U96" s="3">
        <v>35</v>
      </c>
      <c r="W96" s="45" t="str">
        <f>HYPERLINK("http://ictvonline.org/taxonomy/p/taxonomy-history?taxnode_id=201901497","ICTVonline=201901497")</f>
        <v>ICTVonline=201901497</v>
      </c>
      <c r="AA96" s="1">
        <v>201900000</v>
      </c>
      <c r="AB96" s="1">
        <v>35</v>
      </c>
    </row>
    <row r="97" spans="1:28" x14ac:dyDescent="0.2">
      <c r="A97" s="1">
        <v>234</v>
      </c>
      <c r="B97" s="1" t="s">
        <v>6850</v>
      </c>
      <c r="D97" s="1" t="s">
        <v>6851</v>
      </c>
      <c r="F97" s="1" t="s">
        <v>6852</v>
      </c>
      <c r="H97" s="1" t="s">
        <v>6853</v>
      </c>
      <c r="J97" s="1" t="s">
        <v>896</v>
      </c>
      <c r="L97" s="1" t="s">
        <v>900</v>
      </c>
      <c r="M97" s="1" t="s">
        <v>1393</v>
      </c>
      <c r="N97" s="1" t="s">
        <v>1315</v>
      </c>
      <c r="P97" s="1" t="s">
        <v>3483</v>
      </c>
      <c r="Q97" s="3">
        <v>0</v>
      </c>
      <c r="R97" s="23" t="s">
        <v>6854</v>
      </c>
      <c r="S97" s="23" t="s">
        <v>6845</v>
      </c>
      <c r="T97" s="23" t="s">
        <v>4866</v>
      </c>
      <c r="U97" s="3">
        <v>35</v>
      </c>
      <c r="W97" s="45" t="str">
        <f>HYPERLINK("http://ictvonline.org/taxonomy/p/taxonomy-history?taxnode_id=201901498","ICTVonline=201901498")</f>
        <v>ICTVonline=201901498</v>
      </c>
      <c r="AA97" s="1">
        <v>201900000</v>
      </c>
      <c r="AB97" s="1">
        <v>35</v>
      </c>
    </row>
    <row r="98" spans="1:28" x14ac:dyDescent="0.2">
      <c r="A98" s="1">
        <v>236</v>
      </c>
      <c r="B98" s="1" t="s">
        <v>6850</v>
      </c>
      <c r="D98" s="1" t="s">
        <v>6851</v>
      </c>
      <c r="F98" s="1" t="s">
        <v>6852</v>
      </c>
      <c r="H98" s="1" t="s">
        <v>6853</v>
      </c>
      <c r="J98" s="1" t="s">
        <v>896</v>
      </c>
      <c r="L98" s="1" t="s">
        <v>900</v>
      </c>
      <c r="M98" s="1" t="s">
        <v>1393</v>
      </c>
      <c r="N98" s="1" t="s">
        <v>1315</v>
      </c>
      <c r="P98" s="1" t="s">
        <v>3484</v>
      </c>
      <c r="Q98" s="3">
        <v>0</v>
      </c>
      <c r="R98" s="23" t="s">
        <v>6854</v>
      </c>
      <c r="S98" s="23" t="s">
        <v>6845</v>
      </c>
      <c r="T98" s="23" t="s">
        <v>4866</v>
      </c>
      <c r="U98" s="3">
        <v>35</v>
      </c>
      <c r="W98" s="45" t="str">
        <f>HYPERLINK("http://ictvonline.org/taxonomy/p/taxonomy-history?taxnode_id=201901499","ICTVonline=201901499")</f>
        <v>ICTVonline=201901499</v>
      </c>
      <c r="AA98" s="1">
        <v>201900000</v>
      </c>
      <c r="AB98" s="1">
        <v>35</v>
      </c>
    </row>
    <row r="99" spans="1:28" x14ac:dyDescent="0.2">
      <c r="A99" s="1">
        <v>238</v>
      </c>
      <c r="B99" s="1" t="s">
        <v>6850</v>
      </c>
      <c r="D99" s="1" t="s">
        <v>6851</v>
      </c>
      <c r="F99" s="1" t="s">
        <v>6852</v>
      </c>
      <c r="H99" s="1" t="s">
        <v>6853</v>
      </c>
      <c r="J99" s="1" t="s">
        <v>896</v>
      </c>
      <c r="L99" s="1" t="s">
        <v>900</v>
      </c>
      <c r="M99" s="1" t="s">
        <v>1393</v>
      </c>
      <c r="N99" s="1" t="s">
        <v>1315</v>
      </c>
      <c r="P99" s="1" t="s">
        <v>3485</v>
      </c>
      <c r="Q99" s="3">
        <v>0</v>
      </c>
      <c r="R99" s="23" t="s">
        <v>6854</v>
      </c>
      <c r="S99" s="23" t="s">
        <v>6845</v>
      </c>
      <c r="T99" s="23" t="s">
        <v>4866</v>
      </c>
      <c r="U99" s="3">
        <v>35</v>
      </c>
      <c r="W99" s="45" t="str">
        <f>HYPERLINK("http://ictvonline.org/taxonomy/p/taxonomy-history?taxnode_id=201901500","ICTVonline=201901500")</f>
        <v>ICTVonline=201901500</v>
      </c>
      <c r="AA99" s="1">
        <v>201900000</v>
      </c>
      <c r="AB99" s="1">
        <v>35</v>
      </c>
    </row>
    <row r="100" spans="1:28" x14ac:dyDescent="0.2">
      <c r="A100" s="1">
        <v>242</v>
      </c>
      <c r="B100" s="1" t="s">
        <v>6850</v>
      </c>
      <c r="D100" s="1" t="s">
        <v>6851</v>
      </c>
      <c r="F100" s="1" t="s">
        <v>6852</v>
      </c>
      <c r="H100" s="1" t="s">
        <v>6853</v>
      </c>
      <c r="J100" s="1" t="s">
        <v>896</v>
      </c>
      <c r="L100" s="1" t="s">
        <v>900</v>
      </c>
      <c r="M100" s="1" t="s">
        <v>1393</v>
      </c>
      <c r="N100" s="1" t="s">
        <v>1284</v>
      </c>
      <c r="P100" s="1" t="s">
        <v>3486</v>
      </c>
      <c r="Q100" s="3">
        <v>1</v>
      </c>
      <c r="R100" s="23" t="s">
        <v>6854</v>
      </c>
      <c r="S100" s="23" t="s">
        <v>6845</v>
      </c>
      <c r="T100" s="23" t="s">
        <v>4866</v>
      </c>
      <c r="U100" s="3">
        <v>35</v>
      </c>
      <c r="W100" s="45" t="str">
        <f>HYPERLINK("http://ictvonline.org/taxonomy/p/taxonomy-history?taxnode_id=201901502","ICTVonline=201901502")</f>
        <v>ICTVonline=201901502</v>
      </c>
      <c r="AA100" s="1">
        <v>201900000</v>
      </c>
      <c r="AB100" s="1">
        <v>35</v>
      </c>
    </row>
    <row r="101" spans="1:28" x14ac:dyDescent="0.2">
      <c r="A101" s="1">
        <v>244</v>
      </c>
      <c r="B101" s="1" t="s">
        <v>6850</v>
      </c>
      <c r="D101" s="1" t="s">
        <v>6851</v>
      </c>
      <c r="F101" s="1" t="s">
        <v>6852</v>
      </c>
      <c r="H101" s="1" t="s">
        <v>6853</v>
      </c>
      <c r="J101" s="1" t="s">
        <v>896</v>
      </c>
      <c r="L101" s="1" t="s">
        <v>900</v>
      </c>
      <c r="M101" s="1" t="s">
        <v>1393</v>
      </c>
      <c r="N101" s="1" t="s">
        <v>1284</v>
      </c>
      <c r="P101" s="1" t="s">
        <v>3487</v>
      </c>
      <c r="Q101" s="3">
        <v>0</v>
      </c>
      <c r="R101" s="23" t="s">
        <v>6854</v>
      </c>
      <c r="S101" s="23" t="s">
        <v>6845</v>
      </c>
      <c r="T101" s="23" t="s">
        <v>4866</v>
      </c>
      <c r="U101" s="3">
        <v>35</v>
      </c>
      <c r="W101" s="45" t="str">
        <f>HYPERLINK("http://ictvonline.org/taxonomy/p/taxonomy-history?taxnode_id=201901503","ICTVonline=201901503")</f>
        <v>ICTVonline=201901503</v>
      </c>
      <c r="AA101" s="1">
        <v>201900000</v>
      </c>
      <c r="AB101" s="1">
        <v>35</v>
      </c>
    </row>
    <row r="102" spans="1:28" x14ac:dyDescent="0.2">
      <c r="A102" s="1">
        <v>246</v>
      </c>
      <c r="B102" s="1" t="s">
        <v>6850</v>
      </c>
      <c r="D102" s="1" t="s">
        <v>6851</v>
      </c>
      <c r="F102" s="1" t="s">
        <v>6852</v>
      </c>
      <c r="H102" s="1" t="s">
        <v>6853</v>
      </c>
      <c r="J102" s="1" t="s">
        <v>896</v>
      </c>
      <c r="L102" s="1" t="s">
        <v>900</v>
      </c>
      <c r="M102" s="1" t="s">
        <v>1393</v>
      </c>
      <c r="N102" s="1" t="s">
        <v>1284</v>
      </c>
      <c r="P102" s="1" t="s">
        <v>6586</v>
      </c>
      <c r="Q102" s="3">
        <v>0</v>
      </c>
      <c r="R102" s="23" t="s">
        <v>6854</v>
      </c>
      <c r="S102" s="23" t="s">
        <v>6845</v>
      </c>
      <c r="T102" s="23" t="s">
        <v>4866</v>
      </c>
      <c r="U102" s="3">
        <v>35</v>
      </c>
      <c r="W102" s="45" t="str">
        <f>HYPERLINK("http://ictvonline.org/taxonomy/p/taxonomy-history?taxnode_id=201906410","ICTVonline=201906410")</f>
        <v>ICTVonline=201906410</v>
      </c>
      <c r="X102" s="1" t="s">
        <v>6896</v>
      </c>
      <c r="Y102" s="1" t="s">
        <v>6897</v>
      </c>
      <c r="Z102" s="1" t="s">
        <v>6898</v>
      </c>
      <c r="AA102" s="1">
        <v>201900000</v>
      </c>
      <c r="AB102" s="1">
        <v>35</v>
      </c>
    </row>
    <row r="103" spans="1:28" x14ac:dyDescent="0.2">
      <c r="A103" s="1">
        <v>248</v>
      </c>
      <c r="B103" s="1" t="s">
        <v>6850</v>
      </c>
      <c r="D103" s="1" t="s">
        <v>6851</v>
      </c>
      <c r="F103" s="1" t="s">
        <v>6852</v>
      </c>
      <c r="H103" s="1" t="s">
        <v>6853</v>
      </c>
      <c r="J103" s="1" t="s">
        <v>896</v>
      </c>
      <c r="L103" s="1" t="s">
        <v>900</v>
      </c>
      <c r="M103" s="1" t="s">
        <v>1393</v>
      </c>
      <c r="N103" s="1" t="s">
        <v>1284</v>
      </c>
      <c r="P103" s="1" t="s">
        <v>3488</v>
      </c>
      <c r="Q103" s="3">
        <v>0</v>
      </c>
      <c r="R103" s="23" t="s">
        <v>6854</v>
      </c>
      <c r="S103" s="23" t="s">
        <v>6845</v>
      </c>
      <c r="T103" s="23" t="s">
        <v>4866</v>
      </c>
      <c r="U103" s="3">
        <v>35</v>
      </c>
      <c r="W103" s="45" t="str">
        <f>HYPERLINK("http://ictvonline.org/taxonomy/p/taxonomy-history?taxnode_id=201901504","ICTVonline=201901504")</f>
        <v>ICTVonline=201901504</v>
      </c>
      <c r="AA103" s="1">
        <v>201900000</v>
      </c>
      <c r="AB103" s="1">
        <v>35</v>
      </c>
    </row>
    <row r="104" spans="1:28" x14ac:dyDescent="0.2">
      <c r="A104" s="1">
        <v>250</v>
      </c>
      <c r="B104" s="1" t="s">
        <v>6850</v>
      </c>
      <c r="D104" s="1" t="s">
        <v>6851</v>
      </c>
      <c r="F104" s="1" t="s">
        <v>6852</v>
      </c>
      <c r="H104" s="1" t="s">
        <v>6853</v>
      </c>
      <c r="J104" s="1" t="s">
        <v>896</v>
      </c>
      <c r="L104" s="1" t="s">
        <v>900</v>
      </c>
      <c r="M104" s="1" t="s">
        <v>1393</v>
      </c>
      <c r="N104" s="1" t="s">
        <v>1284</v>
      </c>
      <c r="P104" s="1" t="s">
        <v>6587</v>
      </c>
      <c r="Q104" s="3">
        <v>0</v>
      </c>
      <c r="R104" s="23" t="s">
        <v>6854</v>
      </c>
      <c r="S104" s="23" t="s">
        <v>6845</v>
      </c>
      <c r="T104" s="23" t="s">
        <v>4866</v>
      </c>
      <c r="U104" s="3">
        <v>35</v>
      </c>
      <c r="W104" s="45" t="str">
        <f>HYPERLINK("http://ictvonline.org/taxonomy/p/taxonomy-history?taxnode_id=201906411","ICTVonline=201906411")</f>
        <v>ICTVonline=201906411</v>
      </c>
      <c r="X104" s="1" t="s">
        <v>6899</v>
      </c>
      <c r="Y104" s="1" t="s">
        <v>6900</v>
      </c>
      <c r="Z104" s="1" t="s">
        <v>6901</v>
      </c>
      <c r="AA104" s="1">
        <v>201900000</v>
      </c>
      <c r="AB104" s="1">
        <v>35</v>
      </c>
    </row>
    <row r="105" spans="1:28" x14ac:dyDescent="0.2">
      <c r="A105" s="1">
        <v>252</v>
      </c>
      <c r="B105" s="1" t="s">
        <v>6850</v>
      </c>
      <c r="D105" s="1" t="s">
        <v>6851</v>
      </c>
      <c r="F105" s="1" t="s">
        <v>6852</v>
      </c>
      <c r="H105" s="1" t="s">
        <v>6853</v>
      </c>
      <c r="J105" s="1" t="s">
        <v>896</v>
      </c>
      <c r="L105" s="1" t="s">
        <v>900</v>
      </c>
      <c r="M105" s="1" t="s">
        <v>1393</v>
      </c>
      <c r="N105" s="1" t="s">
        <v>1284</v>
      </c>
      <c r="P105" s="1" t="s">
        <v>6588</v>
      </c>
      <c r="Q105" s="3">
        <v>0</v>
      </c>
      <c r="R105" s="23" t="s">
        <v>6854</v>
      </c>
      <c r="S105" s="23" t="s">
        <v>6845</v>
      </c>
      <c r="T105" s="23" t="s">
        <v>4866</v>
      </c>
      <c r="U105" s="3">
        <v>35</v>
      </c>
      <c r="W105" s="45" t="str">
        <f>HYPERLINK("http://ictvonline.org/taxonomy/p/taxonomy-history?taxnode_id=201906412","ICTVonline=201906412")</f>
        <v>ICTVonline=201906412</v>
      </c>
      <c r="X105" s="1" t="s">
        <v>6902</v>
      </c>
      <c r="Y105" s="1" t="s">
        <v>6903</v>
      </c>
      <c r="Z105" s="1" t="s">
        <v>6904</v>
      </c>
      <c r="AA105" s="1">
        <v>201900000</v>
      </c>
      <c r="AB105" s="1">
        <v>35</v>
      </c>
    </row>
    <row r="106" spans="1:28" x14ac:dyDescent="0.2">
      <c r="A106" s="1">
        <v>256</v>
      </c>
      <c r="B106" s="1" t="s">
        <v>6850</v>
      </c>
      <c r="D106" s="1" t="s">
        <v>6851</v>
      </c>
      <c r="F106" s="1" t="s">
        <v>6852</v>
      </c>
      <c r="H106" s="1" t="s">
        <v>6853</v>
      </c>
      <c r="J106" s="1" t="s">
        <v>896</v>
      </c>
      <c r="L106" s="1" t="s">
        <v>900</v>
      </c>
      <c r="M106" s="1" t="s">
        <v>1393</v>
      </c>
      <c r="N106" s="1" t="s">
        <v>1285</v>
      </c>
      <c r="P106" s="1" t="s">
        <v>3489</v>
      </c>
      <c r="Q106" s="3">
        <v>0</v>
      </c>
      <c r="R106" s="23" t="s">
        <v>6854</v>
      </c>
      <c r="S106" s="23" t="s">
        <v>6845</v>
      </c>
      <c r="T106" s="23" t="s">
        <v>4866</v>
      </c>
      <c r="U106" s="3">
        <v>35</v>
      </c>
      <c r="W106" s="45" t="str">
        <f>HYPERLINK("http://ictvonline.org/taxonomy/p/taxonomy-history?taxnode_id=201901506","ICTVonline=201901506")</f>
        <v>ICTVonline=201901506</v>
      </c>
      <c r="AA106" s="1">
        <v>201900000</v>
      </c>
      <c r="AB106" s="1">
        <v>35</v>
      </c>
    </row>
    <row r="107" spans="1:28" x14ac:dyDescent="0.2">
      <c r="A107" s="1">
        <v>258</v>
      </c>
      <c r="B107" s="1" t="s">
        <v>6850</v>
      </c>
      <c r="D107" s="1" t="s">
        <v>6851</v>
      </c>
      <c r="F107" s="1" t="s">
        <v>6852</v>
      </c>
      <c r="H107" s="1" t="s">
        <v>6853</v>
      </c>
      <c r="J107" s="1" t="s">
        <v>896</v>
      </c>
      <c r="L107" s="1" t="s">
        <v>900</v>
      </c>
      <c r="M107" s="1" t="s">
        <v>1393</v>
      </c>
      <c r="N107" s="1" t="s">
        <v>1285</v>
      </c>
      <c r="P107" s="1" t="s">
        <v>3490</v>
      </c>
      <c r="Q107" s="3">
        <v>0</v>
      </c>
      <c r="R107" s="23" t="s">
        <v>6854</v>
      </c>
      <c r="S107" s="23" t="s">
        <v>6845</v>
      </c>
      <c r="T107" s="23" t="s">
        <v>4866</v>
      </c>
      <c r="U107" s="3">
        <v>35</v>
      </c>
      <c r="W107" s="45" t="str">
        <f>HYPERLINK("http://ictvonline.org/taxonomy/p/taxonomy-history?taxnode_id=201901507","ICTVonline=201901507")</f>
        <v>ICTVonline=201901507</v>
      </c>
      <c r="AA107" s="1">
        <v>201900000</v>
      </c>
      <c r="AB107" s="1">
        <v>35</v>
      </c>
    </row>
    <row r="108" spans="1:28" x14ac:dyDescent="0.2">
      <c r="A108" s="1">
        <v>260</v>
      </c>
      <c r="B108" s="1" t="s">
        <v>6850</v>
      </c>
      <c r="D108" s="1" t="s">
        <v>6851</v>
      </c>
      <c r="F108" s="1" t="s">
        <v>6852</v>
      </c>
      <c r="H108" s="1" t="s">
        <v>6853</v>
      </c>
      <c r="J108" s="1" t="s">
        <v>896</v>
      </c>
      <c r="L108" s="1" t="s">
        <v>900</v>
      </c>
      <c r="M108" s="1" t="s">
        <v>1393</v>
      </c>
      <c r="N108" s="1" t="s">
        <v>1285</v>
      </c>
      <c r="P108" s="1" t="s">
        <v>3491</v>
      </c>
      <c r="Q108" s="3">
        <v>0</v>
      </c>
      <c r="R108" s="23" t="s">
        <v>6854</v>
      </c>
      <c r="S108" s="23" t="s">
        <v>6845</v>
      </c>
      <c r="T108" s="23" t="s">
        <v>4866</v>
      </c>
      <c r="U108" s="3">
        <v>35</v>
      </c>
      <c r="W108" s="45" t="str">
        <f>HYPERLINK("http://ictvonline.org/taxonomy/p/taxonomy-history?taxnode_id=201901508","ICTVonline=201901508")</f>
        <v>ICTVonline=201901508</v>
      </c>
      <c r="AA108" s="1">
        <v>201900000</v>
      </c>
      <c r="AB108" s="1">
        <v>35</v>
      </c>
    </row>
    <row r="109" spans="1:28" x14ac:dyDescent="0.2">
      <c r="A109" s="1">
        <v>262</v>
      </c>
      <c r="B109" s="1" t="s">
        <v>6850</v>
      </c>
      <c r="D109" s="1" t="s">
        <v>6851</v>
      </c>
      <c r="F109" s="1" t="s">
        <v>6852</v>
      </c>
      <c r="H109" s="1" t="s">
        <v>6853</v>
      </c>
      <c r="J109" s="1" t="s">
        <v>896</v>
      </c>
      <c r="L109" s="1" t="s">
        <v>900</v>
      </c>
      <c r="M109" s="1" t="s">
        <v>1393</v>
      </c>
      <c r="N109" s="1" t="s">
        <v>1285</v>
      </c>
      <c r="P109" s="1" t="s">
        <v>3492</v>
      </c>
      <c r="Q109" s="3">
        <v>0</v>
      </c>
      <c r="R109" s="23" t="s">
        <v>6854</v>
      </c>
      <c r="S109" s="23" t="s">
        <v>6845</v>
      </c>
      <c r="T109" s="23" t="s">
        <v>4866</v>
      </c>
      <c r="U109" s="3">
        <v>35</v>
      </c>
      <c r="W109" s="45" t="str">
        <f>HYPERLINK("http://ictvonline.org/taxonomy/p/taxonomy-history?taxnode_id=201901509","ICTVonline=201901509")</f>
        <v>ICTVonline=201901509</v>
      </c>
      <c r="AA109" s="1">
        <v>201900000</v>
      </c>
      <c r="AB109" s="1">
        <v>35</v>
      </c>
    </row>
    <row r="110" spans="1:28" x14ac:dyDescent="0.2">
      <c r="A110" s="1">
        <v>264</v>
      </c>
      <c r="B110" s="1" t="s">
        <v>6850</v>
      </c>
      <c r="D110" s="1" t="s">
        <v>6851</v>
      </c>
      <c r="F110" s="1" t="s">
        <v>6852</v>
      </c>
      <c r="H110" s="1" t="s">
        <v>6853</v>
      </c>
      <c r="J110" s="1" t="s">
        <v>896</v>
      </c>
      <c r="L110" s="1" t="s">
        <v>900</v>
      </c>
      <c r="M110" s="1" t="s">
        <v>1393</v>
      </c>
      <c r="N110" s="1" t="s">
        <v>1285</v>
      </c>
      <c r="P110" s="1" t="s">
        <v>3493</v>
      </c>
      <c r="Q110" s="3">
        <v>0</v>
      </c>
      <c r="R110" s="23" t="s">
        <v>6854</v>
      </c>
      <c r="S110" s="23" t="s">
        <v>6845</v>
      </c>
      <c r="T110" s="23" t="s">
        <v>4866</v>
      </c>
      <c r="U110" s="3">
        <v>35</v>
      </c>
      <c r="W110" s="45" t="str">
        <f>HYPERLINK("http://ictvonline.org/taxonomy/p/taxonomy-history?taxnode_id=201901510","ICTVonline=201901510")</f>
        <v>ICTVonline=201901510</v>
      </c>
      <c r="AA110" s="1">
        <v>201900000</v>
      </c>
      <c r="AB110" s="1">
        <v>35</v>
      </c>
    </row>
    <row r="111" spans="1:28" x14ac:dyDescent="0.2">
      <c r="A111" s="1">
        <v>266</v>
      </c>
      <c r="B111" s="1" t="s">
        <v>6850</v>
      </c>
      <c r="D111" s="1" t="s">
        <v>6851</v>
      </c>
      <c r="F111" s="1" t="s">
        <v>6852</v>
      </c>
      <c r="H111" s="1" t="s">
        <v>6853</v>
      </c>
      <c r="J111" s="1" t="s">
        <v>896</v>
      </c>
      <c r="L111" s="1" t="s">
        <v>900</v>
      </c>
      <c r="M111" s="1" t="s">
        <v>1393</v>
      </c>
      <c r="N111" s="1" t="s">
        <v>1285</v>
      </c>
      <c r="P111" s="1" t="s">
        <v>3494</v>
      </c>
      <c r="Q111" s="3">
        <v>0</v>
      </c>
      <c r="R111" s="23" t="s">
        <v>6854</v>
      </c>
      <c r="S111" s="23" t="s">
        <v>6845</v>
      </c>
      <c r="T111" s="23" t="s">
        <v>4866</v>
      </c>
      <c r="U111" s="3">
        <v>35</v>
      </c>
      <c r="W111" s="45" t="str">
        <f>HYPERLINK("http://ictvonline.org/taxonomy/p/taxonomy-history?taxnode_id=201901511","ICTVonline=201901511")</f>
        <v>ICTVonline=201901511</v>
      </c>
      <c r="AA111" s="1">
        <v>201900000</v>
      </c>
      <c r="AB111" s="1">
        <v>35</v>
      </c>
    </row>
    <row r="112" spans="1:28" x14ac:dyDescent="0.2">
      <c r="A112" s="1">
        <v>268</v>
      </c>
      <c r="B112" s="1" t="s">
        <v>6850</v>
      </c>
      <c r="D112" s="1" t="s">
        <v>6851</v>
      </c>
      <c r="F112" s="1" t="s">
        <v>6852</v>
      </c>
      <c r="H112" s="1" t="s">
        <v>6853</v>
      </c>
      <c r="J112" s="1" t="s">
        <v>896</v>
      </c>
      <c r="L112" s="1" t="s">
        <v>900</v>
      </c>
      <c r="M112" s="1" t="s">
        <v>1393</v>
      </c>
      <c r="N112" s="1" t="s">
        <v>1285</v>
      </c>
      <c r="P112" s="1" t="s">
        <v>6589</v>
      </c>
      <c r="Q112" s="3">
        <v>0</v>
      </c>
      <c r="R112" s="23" t="s">
        <v>6854</v>
      </c>
      <c r="S112" s="23" t="s">
        <v>6845</v>
      </c>
      <c r="T112" s="23" t="s">
        <v>4866</v>
      </c>
      <c r="U112" s="3">
        <v>35</v>
      </c>
      <c r="W112" s="45" t="str">
        <f>HYPERLINK("http://ictvonline.org/taxonomy/p/taxonomy-history?taxnode_id=201906407","ICTVonline=201906407")</f>
        <v>ICTVonline=201906407</v>
      </c>
      <c r="X112" s="1" t="s">
        <v>6905</v>
      </c>
      <c r="Y112" s="1" t="s">
        <v>6906</v>
      </c>
      <c r="Z112" s="1" t="s">
        <v>6907</v>
      </c>
      <c r="AA112" s="1">
        <v>201900000</v>
      </c>
      <c r="AB112" s="1">
        <v>35</v>
      </c>
    </row>
    <row r="113" spans="1:28" x14ac:dyDescent="0.2">
      <c r="A113" s="1">
        <v>270</v>
      </c>
      <c r="B113" s="1" t="s">
        <v>6850</v>
      </c>
      <c r="D113" s="1" t="s">
        <v>6851</v>
      </c>
      <c r="F113" s="1" t="s">
        <v>6852</v>
      </c>
      <c r="H113" s="1" t="s">
        <v>6853</v>
      </c>
      <c r="J113" s="1" t="s">
        <v>896</v>
      </c>
      <c r="L113" s="1" t="s">
        <v>900</v>
      </c>
      <c r="M113" s="1" t="s">
        <v>1393</v>
      </c>
      <c r="N113" s="1" t="s">
        <v>1285</v>
      </c>
      <c r="P113" s="4" t="s">
        <v>6590</v>
      </c>
      <c r="Q113" s="3">
        <v>0</v>
      </c>
      <c r="R113" s="24" t="s">
        <v>6854</v>
      </c>
      <c r="S113" s="24" t="s">
        <v>6845</v>
      </c>
      <c r="T113" s="24" t="s">
        <v>4866</v>
      </c>
      <c r="U113" s="3">
        <v>35</v>
      </c>
      <c r="W113" s="45" t="str">
        <f>HYPERLINK("http://ictvonline.org/taxonomy/p/taxonomy-history?taxnode_id=201906408","ICTVonline=201906408")</f>
        <v>ICTVonline=201906408</v>
      </c>
      <c r="X113" s="1" t="s">
        <v>6908</v>
      </c>
      <c r="Y113" s="1" t="s">
        <v>6909</v>
      </c>
      <c r="Z113" s="1" t="s">
        <v>6910</v>
      </c>
      <c r="AA113" s="1">
        <v>201900000</v>
      </c>
      <c r="AB113" s="1">
        <v>35</v>
      </c>
    </row>
    <row r="114" spans="1:28" x14ac:dyDescent="0.2">
      <c r="A114" s="1">
        <v>272</v>
      </c>
      <c r="B114" s="1" t="s">
        <v>6850</v>
      </c>
      <c r="D114" s="1" t="s">
        <v>6851</v>
      </c>
      <c r="F114" s="1" t="s">
        <v>6852</v>
      </c>
      <c r="H114" s="1" t="s">
        <v>6853</v>
      </c>
      <c r="J114" s="1" t="s">
        <v>896</v>
      </c>
      <c r="L114" s="1" t="s">
        <v>900</v>
      </c>
      <c r="M114" s="1" t="s">
        <v>1393</v>
      </c>
      <c r="N114" s="1" t="s">
        <v>1285</v>
      </c>
      <c r="P114" s="1" t="s">
        <v>6591</v>
      </c>
      <c r="Q114" s="3">
        <v>0</v>
      </c>
      <c r="R114" s="23" t="s">
        <v>6854</v>
      </c>
      <c r="S114" s="23" t="s">
        <v>6845</v>
      </c>
      <c r="T114" s="23" t="s">
        <v>4866</v>
      </c>
      <c r="U114" s="3">
        <v>35</v>
      </c>
      <c r="W114" s="45" t="str">
        <f>HYPERLINK("http://ictvonline.org/taxonomy/p/taxonomy-history?taxnode_id=201906409","ICTVonline=201906409")</f>
        <v>ICTVonline=201906409</v>
      </c>
      <c r="X114" s="1" t="s">
        <v>6911</v>
      </c>
      <c r="Y114" s="1" t="s">
        <v>6912</v>
      </c>
      <c r="Z114" s="1" t="s">
        <v>6913</v>
      </c>
      <c r="AA114" s="1">
        <v>201900000</v>
      </c>
      <c r="AB114" s="1">
        <v>35</v>
      </c>
    </row>
    <row r="115" spans="1:28" x14ac:dyDescent="0.2">
      <c r="A115" s="1">
        <v>274</v>
      </c>
      <c r="B115" s="1" t="s">
        <v>6850</v>
      </c>
      <c r="D115" s="1" t="s">
        <v>6851</v>
      </c>
      <c r="F115" s="1" t="s">
        <v>6852</v>
      </c>
      <c r="H115" s="1" t="s">
        <v>6853</v>
      </c>
      <c r="J115" s="1" t="s">
        <v>896</v>
      </c>
      <c r="L115" s="1" t="s">
        <v>900</v>
      </c>
      <c r="M115" s="1" t="s">
        <v>1393</v>
      </c>
      <c r="N115" s="1" t="s">
        <v>1285</v>
      </c>
      <c r="P115" s="1" t="s">
        <v>3495</v>
      </c>
      <c r="Q115" s="3">
        <v>0</v>
      </c>
      <c r="R115" s="23" t="s">
        <v>6854</v>
      </c>
      <c r="S115" s="23" t="s">
        <v>6845</v>
      </c>
      <c r="T115" s="23" t="s">
        <v>4866</v>
      </c>
      <c r="U115" s="3">
        <v>35</v>
      </c>
      <c r="W115" s="45" t="str">
        <f>HYPERLINK("http://ictvonline.org/taxonomy/p/taxonomy-history?taxnode_id=201901512","ICTVonline=201901512")</f>
        <v>ICTVonline=201901512</v>
      </c>
      <c r="AA115" s="1">
        <v>201900000</v>
      </c>
      <c r="AB115" s="1">
        <v>35</v>
      </c>
    </row>
    <row r="116" spans="1:28" x14ac:dyDescent="0.2">
      <c r="A116" s="1">
        <v>276</v>
      </c>
      <c r="B116" s="1" t="s">
        <v>6850</v>
      </c>
      <c r="D116" s="1" t="s">
        <v>6851</v>
      </c>
      <c r="F116" s="1" t="s">
        <v>6852</v>
      </c>
      <c r="H116" s="1" t="s">
        <v>6853</v>
      </c>
      <c r="J116" s="1" t="s">
        <v>896</v>
      </c>
      <c r="L116" s="1" t="s">
        <v>900</v>
      </c>
      <c r="M116" s="1" t="s">
        <v>1393</v>
      </c>
      <c r="N116" s="1" t="s">
        <v>1285</v>
      </c>
      <c r="P116" s="1" t="s">
        <v>3496</v>
      </c>
      <c r="Q116" s="3">
        <v>0</v>
      </c>
      <c r="R116" s="23" t="s">
        <v>6854</v>
      </c>
      <c r="S116" s="23" t="s">
        <v>6845</v>
      </c>
      <c r="T116" s="23" t="s">
        <v>4866</v>
      </c>
      <c r="U116" s="3">
        <v>35</v>
      </c>
      <c r="W116" s="45" t="str">
        <f>HYPERLINK("http://ictvonline.org/taxonomy/p/taxonomy-history?taxnode_id=201901513","ICTVonline=201901513")</f>
        <v>ICTVonline=201901513</v>
      </c>
      <c r="AA116" s="1">
        <v>201900000</v>
      </c>
      <c r="AB116" s="1">
        <v>35</v>
      </c>
    </row>
    <row r="117" spans="1:28" x14ac:dyDescent="0.2">
      <c r="A117" s="1">
        <v>278</v>
      </c>
      <c r="B117" s="1" t="s">
        <v>6850</v>
      </c>
      <c r="D117" s="1" t="s">
        <v>6851</v>
      </c>
      <c r="F117" s="1" t="s">
        <v>6852</v>
      </c>
      <c r="H117" s="1" t="s">
        <v>6853</v>
      </c>
      <c r="J117" s="1" t="s">
        <v>896</v>
      </c>
      <c r="L117" s="1" t="s">
        <v>900</v>
      </c>
      <c r="M117" s="1" t="s">
        <v>1393</v>
      </c>
      <c r="N117" s="1" t="s">
        <v>1285</v>
      </c>
      <c r="P117" s="1" t="s">
        <v>3497</v>
      </c>
      <c r="Q117" s="3">
        <v>1</v>
      </c>
      <c r="R117" s="23" t="s">
        <v>6854</v>
      </c>
      <c r="S117" s="23" t="s">
        <v>6845</v>
      </c>
      <c r="T117" s="23" t="s">
        <v>4866</v>
      </c>
      <c r="U117" s="3">
        <v>35</v>
      </c>
      <c r="W117" s="45" t="str">
        <f>HYPERLINK("http://ictvonline.org/taxonomy/p/taxonomy-history?taxnode_id=201901514","ICTVonline=201901514")</f>
        <v>ICTVonline=201901514</v>
      </c>
      <c r="AA117" s="1">
        <v>201900000</v>
      </c>
      <c r="AB117" s="1">
        <v>35</v>
      </c>
    </row>
    <row r="118" spans="1:28" x14ac:dyDescent="0.2">
      <c r="A118" s="1">
        <v>281</v>
      </c>
      <c r="B118" s="1" t="s">
        <v>6850</v>
      </c>
      <c r="D118" s="1" t="s">
        <v>6851</v>
      </c>
      <c r="F118" s="1" t="s">
        <v>6852</v>
      </c>
      <c r="H118" s="1" t="s">
        <v>6853</v>
      </c>
      <c r="J118" s="1" t="s">
        <v>896</v>
      </c>
      <c r="L118" s="1" t="s">
        <v>900</v>
      </c>
      <c r="M118" s="1" t="s">
        <v>1393</v>
      </c>
      <c r="P118" s="1" t="s">
        <v>3498</v>
      </c>
      <c r="Q118" s="3">
        <v>0</v>
      </c>
      <c r="R118" s="23" t="s">
        <v>6854</v>
      </c>
      <c r="S118" s="23" t="s">
        <v>6845</v>
      </c>
      <c r="T118" s="23" t="s">
        <v>4866</v>
      </c>
      <c r="U118" s="3">
        <v>35</v>
      </c>
      <c r="W118" s="45" t="str">
        <f>HYPERLINK("http://ictvonline.org/taxonomy/p/taxonomy-history?taxnode_id=201901516","ICTVonline=201901516")</f>
        <v>ICTVonline=201901516</v>
      </c>
      <c r="AA118" s="1">
        <v>201900000</v>
      </c>
      <c r="AB118" s="1">
        <v>35</v>
      </c>
    </row>
    <row r="119" spans="1:28" x14ac:dyDescent="0.2">
      <c r="A119" s="1">
        <v>283</v>
      </c>
      <c r="B119" s="1" t="s">
        <v>6850</v>
      </c>
      <c r="D119" s="1" t="s">
        <v>6851</v>
      </c>
      <c r="F119" s="1" t="s">
        <v>6852</v>
      </c>
      <c r="H119" s="1" t="s">
        <v>6853</v>
      </c>
      <c r="J119" s="1" t="s">
        <v>896</v>
      </c>
      <c r="L119" s="1" t="s">
        <v>900</v>
      </c>
      <c r="M119" s="1" t="s">
        <v>1393</v>
      </c>
      <c r="P119" s="1" t="s">
        <v>3499</v>
      </c>
      <c r="Q119" s="3">
        <v>0</v>
      </c>
      <c r="R119" s="23" t="s">
        <v>6854</v>
      </c>
      <c r="S119" s="23" t="s">
        <v>6845</v>
      </c>
      <c r="T119" s="23" t="s">
        <v>4866</v>
      </c>
      <c r="U119" s="3">
        <v>35</v>
      </c>
      <c r="W119" s="45" t="str">
        <f>HYPERLINK("http://ictvonline.org/taxonomy/p/taxonomy-history?taxnode_id=201901517","ICTVonline=201901517")</f>
        <v>ICTVonline=201901517</v>
      </c>
      <c r="AA119" s="1">
        <v>201900000</v>
      </c>
      <c r="AB119" s="1">
        <v>35</v>
      </c>
    </row>
    <row r="120" spans="1:28" x14ac:dyDescent="0.2">
      <c r="A120" s="1">
        <v>285</v>
      </c>
      <c r="B120" s="1" t="s">
        <v>6850</v>
      </c>
      <c r="D120" s="1" t="s">
        <v>6851</v>
      </c>
      <c r="F120" s="1" t="s">
        <v>6852</v>
      </c>
      <c r="H120" s="1" t="s">
        <v>6853</v>
      </c>
      <c r="J120" s="1" t="s">
        <v>896</v>
      </c>
      <c r="L120" s="1" t="s">
        <v>900</v>
      </c>
      <c r="M120" s="1" t="s">
        <v>1393</v>
      </c>
      <c r="P120" s="1" t="s">
        <v>3500</v>
      </c>
      <c r="Q120" s="3">
        <v>0</v>
      </c>
      <c r="R120" s="23" t="s">
        <v>6854</v>
      </c>
      <c r="S120" s="23" t="s">
        <v>6845</v>
      </c>
      <c r="T120" s="23" t="s">
        <v>4866</v>
      </c>
      <c r="U120" s="3">
        <v>35</v>
      </c>
      <c r="W120" s="45" t="str">
        <f>HYPERLINK("http://ictvonline.org/taxonomy/p/taxonomy-history?taxnode_id=201901518","ICTVonline=201901518")</f>
        <v>ICTVonline=201901518</v>
      </c>
      <c r="AA120" s="1">
        <v>201900000</v>
      </c>
      <c r="AB120" s="1">
        <v>35</v>
      </c>
    </row>
    <row r="121" spans="1:28" x14ac:dyDescent="0.2">
      <c r="A121" s="1">
        <v>288</v>
      </c>
      <c r="B121" s="1" t="s">
        <v>6850</v>
      </c>
      <c r="D121" s="1" t="s">
        <v>6851</v>
      </c>
      <c r="F121" s="1" t="s">
        <v>6852</v>
      </c>
      <c r="H121" s="1" t="s">
        <v>6853</v>
      </c>
      <c r="J121" s="1" t="s">
        <v>896</v>
      </c>
      <c r="L121" s="1" t="s">
        <v>900</v>
      </c>
      <c r="P121" s="1" t="s">
        <v>996</v>
      </c>
      <c r="Q121" s="3">
        <v>0</v>
      </c>
      <c r="R121" s="23" t="s">
        <v>6854</v>
      </c>
      <c r="S121" s="23" t="s">
        <v>6845</v>
      </c>
      <c r="T121" s="23" t="s">
        <v>4866</v>
      </c>
      <c r="U121" s="3">
        <v>35</v>
      </c>
      <c r="W121" s="45" t="str">
        <f>HYPERLINK("http://ictvonline.org/taxonomy/p/taxonomy-history?taxnode_id=201901521","ICTVonline=201901521")</f>
        <v>ICTVonline=201901521</v>
      </c>
      <c r="AA121" s="1">
        <v>201900000</v>
      </c>
      <c r="AB121" s="1">
        <v>35</v>
      </c>
    </row>
    <row r="122" spans="1:28" x14ac:dyDescent="0.2">
      <c r="A122" s="1">
        <v>293</v>
      </c>
      <c r="B122" s="1" t="s">
        <v>6850</v>
      </c>
      <c r="D122" s="1" t="s">
        <v>6851</v>
      </c>
      <c r="F122" s="1" t="s">
        <v>6852</v>
      </c>
      <c r="H122" s="1" t="s">
        <v>6853</v>
      </c>
      <c r="J122" s="1" t="s">
        <v>896</v>
      </c>
      <c r="L122" s="1" t="s">
        <v>1071</v>
      </c>
      <c r="N122" s="1" t="s">
        <v>2141</v>
      </c>
      <c r="P122" s="1" t="s">
        <v>2142</v>
      </c>
      <c r="Q122" s="3">
        <v>1</v>
      </c>
      <c r="R122" s="23" t="s">
        <v>6854</v>
      </c>
      <c r="S122" s="23" t="s">
        <v>6845</v>
      </c>
      <c r="T122" s="23" t="s">
        <v>4866</v>
      </c>
      <c r="U122" s="3">
        <v>35</v>
      </c>
      <c r="W122" s="45" t="str">
        <f>HYPERLINK("http://ictvonline.org/taxonomy/p/taxonomy-history?taxnode_id=201901525","ICTVonline=201901525")</f>
        <v>ICTVonline=201901525</v>
      </c>
      <c r="AA122" s="1">
        <v>201900000</v>
      </c>
      <c r="AB122" s="1">
        <v>35</v>
      </c>
    </row>
    <row r="123" spans="1:28" x14ac:dyDescent="0.2">
      <c r="A123" s="1">
        <v>297</v>
      </c>
      <c r="B123" s="1" t="s">
        <v>6850</v>
      </c>
      <c r="D123" s="1" t="s">
        <v>6851</v>
      </c>
      <c r="F123" s="1" t="s">
        <v>6852</v>
      </c>
      <c r="H123" s="1" t="s">
        <v>6853</v>
      </c>
      <c r="J123" s="1" t="s">
        <v>896</v>
      </c>
      <c r="L123" s="1" t="s">
        <v>1071</v>
      </c>
      <c r="N123" s="1" t="s">
        <v>997</v>
      </c>
      <c r="P123" s="1" t="s">
        <v>998</v>
      </c>
      <c r="Q123" s="3">
        <v>1</v>
      </c>
      <c r="R123" s="23" t="s">
        <v>6854</v>
      </c>
      <c r="S123" s="23" t="s">
        <v>6845</v>
      </c>
      <c r="T123" s="23" t="s">
        <v>4866</v>
      </c>
      <c r="U123" s="3">
        <v>35</v>
      </c>
      <c r="W123" s="45" t="str">
        <f>HYPERLINK("http://ictvonline.org/taxonomy/p/taxonomy-history?taxnode_id=201901527","ICTVonline=201901527")</f>
        <v>ICTVonline=201901527</v>
      </c>
      <c r="AA123" s="1">
        <v>201900000</v>
      </c>
      <c r="AB123" s="1">
        <v>35</v>
      </c>
    </row>
    <row r="124" spans="1:28" x14ac:dyDescent="0.2">
      <c r="A124" s="1">
        <v>310</v>
      </c>
      <c r="B124" s="1" t="s">
        <v>6850</v>
      </c>
      <c r="D124" s="1" t="s">
        <v>6851</v>
      </c>
      <c r="F124" s="1" t="s">
        <v>6914</v>
      </c>
      <c r="H124" s="1" t="s">
        <v>6915</v>
      </c>
      <c r="J124" s="1" t="s">
        <v>1324</v>
      </c>
      <c r="L124" s="1" t="s">
        <v>4929</v>
      </c>
      <c r="M124" s="1" t="s">
        <v>4930</v>
      </c>
      <c r="N124" s="1" t="s">
        <v>6016</v>
      </c>
      <c r="P124" s="1" t="s">
        <v>4931</v>
      </c>
      <c r="Q124" s="3">
        <v>0</v>
      </c>
      <c r="R124" s="23" t="s">
        <v>6854</v>
      </c>
      <c r="S124" s="23" t="s">
        <v>6845</v>
      </c>
      <c r="T124" s="23" t="s">
        <v>4866</v>
      </c>
      <c r="U124" s="3">
        <v>35</v>
      </c>
      <c r="W124" s="45" t="str">
        <f>HYPERLINK("http://ictvonline.org/taxonomy/p/taxonomy-history?taxnode_id=201905465","ICTVonline=201905465")</f>
        <v>ICTVonline=201905465</v>
      </c>
      <c r="AA124" s="1">
        <v>201900000</v>
      </c>
      <c r="AB124" s="1">
        <v>35</v>
      </c>
    </row>
    <row r="125" spans="1:28" x14ac:dyDescent="0.2">
      <c r="A125" s="1">
        <v>312</v>
      </c>
      <c r="B125" s="1" t="s">
        <v>6850</v>
      </c>
      <c r="D125" s="1" t="s">
        <v>6851</v>
      </c>
      <c r="F125" s="1" t="s">
        <v>6914</v>
      </c>
      <c r="H125" s="1" t="s">
        <v>6915</v>
      </c>
      <c r="J125" s="1" t="s">
        <v>1324</v>
      </c>
      <c r="L125" s="1" t="s">
        <v>4929</v>
      </c>
      <c r="M125" s="1" t="s">
        <v>4930</v>
      </c>
      <c r="N125" s="1" t="s">
        <v>6016</v>
      </c>
      <c r="P125" s="1" t="s">
        <v>2936</v>
      </c>
      <c r="Q125" s="3">
        <v>1</v>
      </c>
      <c r="R125" s="23" t="s">
        <v>6854</v>
      </c>
      <c r="S125" s="23" t="s">
        <v>6845</v>
      </c>
      <c r="T125" s="23" t="s">
        <v>4866</v>
      </c>
      <c r="U125" s="3">
        <v>35</v>
      </c>
      <c r="W125" s="45" t="str">
        <f>HYPERLINK("http://ictvonline.org/taxonomy/p/taxonomy-history?taxnode_id=201900534","ICTVonline=201900534")</f>
        <v>ICTVonline=201900534</v>
      </c>
      <c r="AA125" s="1">
        <v>201900000</v>
      </c>
      <c r="AB125" s="1">
        <v>35</v>
      </c>
    </row>
    <row r="126" spans="1:28" x14ac:dyDescent="0.2">
      <c r="A126" s="1">
        <v>316</v>
      </c>
      <c r="B126" s="1" t="s">
        <v>6850</v>
      </c>
      <c r="D126" s="1" t="s">
        <v>6851</v>
      </c>
      <c r="F126" s="1" t="s">
        <v>6914</v>
      </c>
      <c r="H126" s="1" t="s">
        <v>6915</v>
      </c>
      <c r="J126" s="1" t="s">
        <v>1324</v>
      </c>
      <c r="L126" s="1" t="s">
        <v>4929</v>
      </c>
      <c r="M126" s="1" t="s">
        <v>4930</v>
      </c>
      <c r="N126" s="1" t="s">
        <v>4932</v>
      </c>
      <c r="P126" s="1" t="s">
        <v>2923</v>
      </c>
      <c r="Q126" s="3">
        <v>1</v>
      </c>
      <c r="R126" s="23" t="s">
        <v>6854</v>
      </c>
      <c r="S126" s="23" t="s">
        <v>6845</v>
      </c>
      <c r="T126" s="23" t="s">
        <v>4866</v>
      </c>
      <c r="U126" s="3">
        <v>35</v>
      </c>
      <c r="W126" s="45" t="str">
        <f>HYPERLINK("http://ictvonline.org/taxonomy/p/taxonomy-history?taxnode_id=201900521","ICTVonline=201900521")</f>
        <v>ICTVonline=201900521</v>
      </c>
      <c r="AA126" s="1">
        <v>201900000</v>
      </c>
      <c r="AB126" s="1">
        <v>35</v>
      </c>
    </row>
    <row r="127" spans="1:28" x14ac:dyDescent="0.2">
      <c r="A127" s="1">
        <v>318</v>
      </c>
      <c r="B127" s="1" t="s">
        <v>6850</v>
      </c>
      <c r="D127" s="1" t="s">
        <v>6851</v>
      </c>
      <c r="F127" s="1" t="s">
        <v>6914</v>
      </c>
      <c r="H127" s="1" t="s">
        <v>6915</v>
      </c>
      <c r="J127" s="1" t="s">
        <v>1324</v>
      </c>
      <c r="L127" s="1" t="s">
        <v>4929</v>
      </c>
      <c r="M127" s="1" t="s">
        <v>4930</v>
      </c>
      <c r="N127" s="1" t="s">
        <v>4932</v>
      </c>
      <c r="P127" s="1" t="s">
        <v>4933</v>
      </c>
      <c r="Q127" s="3">
        <v>0</v>
      </c>
      <c r="R127" s="23" t="s">
        <v>6854</v>
      </c>
      <c r="S127" s="23" t="s">
        <v>6845</v>
      </c>
      <c r="T127" s="23" t="s">
        <v>4866</v>
      </c>
      <c r="U127" s="3">
        <v>35</v>
      </c>
      <c r="W127" s="45" t="str">
        <f>HYPERLINK("http://ictvonline.org/taxonomy/p/taxonomy-history?taxnode_id=201905467","ICTVonline=201905467")</f>
        <v>ICTVonline=201905467</v>
      </c>
      <c r="AA127" s="1">
        <v>201900000</v>
      </c>
      <c r="AB127" s="1">
        <v>35</v>
      </c>
    </row>
    <row r="128" spans="1:28" x14ac:dyDescent="0.2">
      <c r="A128" s="1">
        <v>324</v>
      </c>
      <c r="B128" s="1" t="s">
        <v>6850</v>
      </c>
      <c r="D128" s="1" t="s">
        <v>6851</v>
      </c>
      <c r="F128" s="1" t="s">
        <v>6914</v>
      </c>
      <c r="H128" s="1" t="s">
        <v>6915</v>
      </c>
      <c r="J128" s="1" t="s">
        <v>1324</v>
      </c>
      <c r="L128" s="1" t="s">
        <v>4929</v>
      </c>
      <c r="M128" s="1" t="s">
        <v>4934</v>
      </c>
      <c r="N128" s="1" t="s">
        <v>6017</v>
      </c>
      <c r="P128" s="1" t="s">
        <v>2924</v>
      </c>
      <c r="Q128" s="3">
        <v>1</v>
      </c>
      <c r="R128" s="23" t="s">
        <v>6854</v>
      </c>
      <c r="S128" s="23" t="s">
        <v>6845</v>
      </c>
      <c r="T128" s="23" t="s">
        <v>4866</v>
      </c>
      <c r="U128" s="3">
        <v>35</v>
      </c>
      <c r="W128" s="45" t="str">
        <f>HYPERLINK("http://ictvonline.org/taxonomy/p/taxonomy-history?taxnode_id=201900522","ICTVonline=201900522")</f>
        <v>ICTVonline=201900522</v>
      </c>
      <c r="AA128" s="1">
        <v>201900000</v>
      </c>
      <c r="AB128" s="1">
        <v>35</v>
      </c>
    </row>
    <row r="129" spans="1:28" x14ac:dyDescent="0.2">
      <c r="A129" s="1">
        <v>326</v>
      </c>
      <c r="B129" s="1" t="s">
        <v>6850</v>
      </c>
      <c r="D129" s="1" t="s">
        <v>6851</v>
      </c>
      <c r="F129" s="1" t="s">
        <v>6914</v>
      </c>
      <c r="H129" s="1" t="s">
        <v>6915</v>
      </c>
      <c r="J129" s="1" t="s">
        <v>1324</v>
      </c>
      <c r="L129" s="1" t="s">
        <v>4929</v>
      </c>
      <c r="M129" s="1" t="s">
        <v>4934</v>
      </c>
      <c r="N129" s="1" t="s">
        <v>6017</v>
      </c>
      <c r="P129" s="1" t="s">
        <v>2926</v>
      </c>
      <c r="Q129" s="3">
        <v>0</v>
      </c>
      <c r="R129" s="23" t="s">
        <v>6854</v>
      </c>
      <c r="S129" s="23" t="s">
        <v>6845</v>
      </c>
      <c r="T129" s="23" t="s">
        <v>4866</v>
      </c>
      <c r="U129" s="3">
        <v>35</v>
      </c>
      <c r="W129" s="45" t="str">
        <f>HYPERLINK("http://ictvonline.org/taxonomy/p/taxonomy-history?taxnode_id=201900524","ICTVonline=201900524")</f>
        <v>ICTVonline=201900524</v>
      </c>
      <c r="AA129" s="1">
        <v>201900000</v>
      </c>
      <c r="AB129" s="1">
        <v>35</v>
      </c>
    </row>
    <row r="130" spans="1:28" x14ac:dyDescent="0.2">
      <c r="A130" s="1">
        <v>328</v>
      </c>
      <c r="B130" s="1" t="s">
        <v>6850</v>
      </c>
      <c r="D130" s="1" t="s">
        <v>6851</v>
      </c>
      <c r="F130" s="1" t="s">
        <v>6914</v>
      </c>
      <c r="H130" s="1" t="s">
        <v>6915</v>
      </c>
      <c r="J130" s="1" t="s">
        <v>1324</v>
      </c>
      <c r="L130" s="1" t="s">
        <v>4929</v>
      </c>
      <c r="M130" s="1" t="s">
        <v>4934</v>
      </c>
      <c r="N130" s="1" t="s">
        <v>6017</v>
      </c>
      <c r="P130" s="1" t="s">
        <v>4935</v>
      </c>
      <c r="Q130" s="3">
        <v>0</v>
      </c>
      <c r="R130" s="23" t="s">
        <v>6854</v>
      </c>
      <c r="S130" s="23" t="s">
        <v>6845</v>
      </c>
      <c r="T130" s="23" t="s">
        <v>4866</v>
      </c>
      <c r="U130" s="3">
        <v>35</v>
      </c>
      <c r="W130" s="45" t="str">
        <f>HYPERLINK("http://ictvonline.org/taxonomy/p/taxonomy-history?taxnode_id=201905470","ICTVonline=201905470")</f>
        <v>ICTVonline=201905470</v>
      </c>
      <c r="AA130" s="1">
        <v>201900000</v>
      </c>
      <c r="AB130" s="1">
        <v>35</v>
      </c>
    </row>
    <row r="131" spans="1:28" x14ac:dyDescent="0.2">
      <c r="A131" s="1">
        <v>330</v>
      </c>
      <c r="B131" s="1" t="s">
        <v>6850</v>
      </c>
      <c r="D131" s="1" t="s">
        <v>6851</v>
      </c>
      <c r="F131" s="1" t="s">
        <v>6914</v>
      </c>
      <c r="H131" s="1" t="s">
        <v>6915</v>
      </c>
      <c r="J131" s="1" t="s">
        <v>1324</v>
      </c>
      <c r="L131" s="1" t="s">
        <v>4929</v>
      </c>
      <c r="M131" s="1" t="s">
        <v>4934</v>
      </c>
      <c r="N131" s="1" t="s">
        <v>6017</v>
      </c>
      <c r="P131" s="1" t="s">
        <v>2927</v>
      </c>
      <c r="Q131" s="3">
        <v>0</v>
      </c>
      <c r="R131" s="23" t="s">
        <v>6854</v>
      </c>
      <c r="S131" s="23" t="s">
        <v>6845</v>
      </c>
      <c r="T131" s="23" t="s">
        <v>4866</v>
      </c>
      <c r="U131" s="3">
        <v>35</v>
      </c>
      <c r="W131" s="45" t="str">
        <f>HYPERLINK("http://ictvonline.org/taxonomy/p/taxonomy-history?taxnode_id=201900525","ICTVonline=201900525")</f>
        <v>ICTVonline=201900525</v>
      </c>
      <c r="Y131" s="1" t="s">
        <v>6916</v>
      </c>
      <c r="Z131" s="1" t="s">
        <v>6917</v>
      </c>
      <c r="AA131" s="1">
        <v>201900000</v>
      </c>
      <c r="AB131" s="1">
        <v>35</v>
      </c>
    </row>
    <row r="132" spans="1:28" x14ac:dyDescent="0.2">
      <c r="A132" s="1">
        <v>332</v>
      </c>
      <c r="B132" s="1" t="s">
        <v>6850</v>
      </c>
      <c r="D132" s="1" t="s">
        <v>6851</v>
      </c>
      <c r="F132" s="1" t="s">
        <v>6914</v>
      </c>
      <c r="H132" s="1" t="s">
        <v>6915</v>
      </c>
      <c r="J132" s="1" t="s">
        <v>1324</v>
      </c>
      <c r="L132" s="1" t="s">
        <v>4929</v>
      </c>
      <c r="M132" s="1" t="s">
        <v>4934</v>
      </c>
      <c r="N132" s="1" t="s">
        <v>6017</v>
      </c>
      <c r="P132" s="1" t="s">
        <v>4936</v>
      </c>
      <c r="Q132" s="3">
        <v>0</v>
      </c>
      <c r="R132" s="23" t="s">
        <v>6854</v>
      </c>
      <c r="S132" s="23" t="s">
        <v>6845</v>
      </c>
      <c r="T132" s="23" t="s">
        <v>4866</v>
      </c>
      <c r="U132" s="3">
        <v>35</v>
      </c>
      <c r="W132" s="45" t="str">
        <f>HYPERLINK("http://ictvonline.org/taxonomy/p/taxonomy-history?taxnode_id=201905471","ICTVonline=201905471")</f>
        <v>ICTVonline=201905471</v>
      </c>
      <c r="AA132" s="1">
        <v>201900000</v>
      </c>
      <c r="AB132" s="1">
        <v>35</v>
      </c>
    </row>
    <row r="133" spans="1:28" x14ac:dyDescent="0.2">
      <c r="A133" s="1">
        <v>334</v>
      </c>
      <c r="B133" s="1" t="s">
        <v>6850</v>
      </c>
      <c r="D133" s="1" t="s">
        <v>6851</v>
      </c>
      <c r="F133" s="1" t="s">
        <v>6914</v>
      </c>
      <c r="H133" s="1" t="s">
        <v>6915</v>
      </c>
      <c r="J133" s="1" t="s">
        <v>1324</v>
      </c>
      <c r="L133" s="1" t="s">
        <v>4929</v>
      </c>
      <c r="M133" s="1" t="s">
        <v>4934</v>
      </c>
      <c r="N133" s="1" t="s">
        <v>6017</v>
      </c>
      <c r="P133" s="1" t="s">
        <v>4937</v>
      </c>
      <c r="Q133" s="3">
        <v>0</v>
      </c>
      <c r="R133" s="23" t="s">
        <v>6854</v>
      </c>
      <c r="S133" s="23" t="s">
        <v>6845</v>
      </c>
      <c r="T133" s="23" t="s">
        <v>4866</v>
      </c>
      <c r="U133" s="3">
        <v>35</v>
      </c>
      <c r="W133" s="45" t="str">
        <f>HYPERLINK("http://ictvonline.org/taxonomy/p/taxonomy-history?taxnode_id=201905472","ICTVonline=201905472")</f>
        <v>ICTVonline=201905472</v>
      </c>
      <c r="AA133" s="1">
        <v>201900000</v>
      </c>
      <c r="AB133" s="1">
        <v>35</v>
      </c>
    </row>
    <row r="134" spans="1:28" x14ac:dyDescent="0.2">
      <c r="A134" s="1">
        <v>336</v>
      </c>
      <c r="B134" s="1" t="s">
        <v>6850</v>
      </c>
      <c r="D134" s="1" t="s">
        <v>6851</v>
      </c>
      <c r="F134" s="1" t="s">
        <v>6914</v>
      </c>
      <c r="H134" s="1" t="s">
        <v>6915</v>
      </c>
      <c r="J134" s="1" t="s">
        <v>1324</v>
      </c>
      <c r="L134" s="1" t="s">
        <v>4929</v>
      </c>
      <c r="M134" s="1" t="s">
        <v>4934</v>
      </c>
      <c r="N134" s="1" t="s">
        <v>6017</v>
      </c>
      <c r="P134" s="1" t="s">
        <v>2930</v>
      </c>
      <c r="Q134" s="3">
        <v>0</v>
      </c>
      <c r="R134" s="23" t="s">
        <v>6854</v>
      </c>
      <c r="S134" s="23" t="s">
        <v>6845</v>
      </c>
      <c r="T134" s="23" t="s">
        <v>4866</v>
      </c>
      <c r="U134" s="3">
        <v>35</v>
      </c>
      <c r="W134" s="45" t="str">
        <f>HYPERLINK("http://ictvonline.org/taxonomy/p/taxonomy-history?taxnode_id=201900528","ICTVonline=201900528")</f>
        <v>ICTVonline=201900528</v>
      </c>
      <c r="AA134" s="1">
        <v>201900000</v>
      </c>
      <c r="AB134" s="1">
        <v>35</v>
      </c>
    </row>
    <row r="135" spans="1:28" x14ac:dyDescent="0.2">
      <c r="A135" s="1">
        <v>338</v>
      </c>
      <c r="B135" s="1" t="s">
        <v>6850</v>
      </c>
      <c r="D135" s="1" t="s">
        <v>6851</v>
      </c>
      <c r="F135" s="1" t="s">
        <v>6914</v>
      </c>
      <c r="H135" s="1" t="s">
        <v>6915</v>
      </c>
      <c r="J135" s="1" t="s">
        <v>1324</v>
      </c>
      <c r="L135" s="1" t="s">
        <v>4929</v>
      </c>
      <c r="M135" s="1" t="s">
        <v>4934</v>
      </c>
      <c r="N135" s="1" t="s">
        <v>6017</v>
      </c>
      <c r="P135" s="1" t="s">
        <v>2931</v>
      </c>
      <c r="Q135" s="3">
        <v>0</v>
      </c>
      <c r="R135" s="23" t="s">
        <v>6854</v>
      </c>
      <c r="S135" s="23" t="s">
        <v>6845</v>
      </c>
      <c r="T135" s="23" t="s">
        <v>4866</v>
      </c>
      <c r="U135" s="3">
        <v>35</v>
      </c>
      <c r="W135" s="45" t="str">
        <f>HYPERLINK("http://ictvonline.org/taxonomy/p/taxonomy-history?taxnode_id=201900529","ICTVonline=201900529")</f>
        <v>ICTVonline=201900529</v>
      </c>
      <c r="AA135" s="1">
        <v>201900000</v>
      </c>
      <c r="AB135" s="1">
        <v>35</v>
      </c>
    </row>
    <row r="136" spans="1:28" x14ac:dyDescent="0.2">
      <c r="A136" s="1">
        <v>340</v>
      </c>
      <c r="B136" s="1" t="s">
        <v>6850</v>
      </c>
      <c r="D136" s="1" t="s">
        <v>6851</v>
      </c>
      <c r="F136" s="1" t="s">
        <v>6914</v>
      </c>
      <c r="H136" s="1" t="s">
        <v>6915</v>
      </c>
      <c r="J136" s="1" t="s">
        <v>1324</v>
      </c>
      <c r="L136" s="1" t="s">
        <v>4929</v>
      </c>
      <c r="M136" s="1" t="s">
        <v>4934</v>
      </c>
      <c r="N136" s="1" t="s">
        <v>6017</v>
      </c>
      <c r="P136" s="1" t="s">
        <v>2933</v>
      </c>
      <c r="Q136" s="3">
        <v>0</v>
      </c>
      <c r="R136" s="23" t="s">
        <v>6854</v>
      </c>
      <c r="S136" s="23" t="s">
        <v>6845</v>
      </c>
      <c r="T136" s="23" t="s">
        <v>4866</v>
      </c>
      <c r="U136" s="3">
        <v>35</v>
      </c>
      <c r="W136" s="45" t="str">
        <f>HYPERLINK("http://ictvonline.org/taxonomy/p/taxonomy-history?taxnode_id=201900531","ICTVonline=201900531")</f>
        <v>ICTVonline=201900531</v>
      </c>
      <c r="Y136" s="1" t="s">
        <v>6918</v>
      </c>
      <c r="Z136" s="1" t="s">
        <v>6919</v>
      </c>
      <c r="AA136" s="1">
        <v>201900000</v>
      </c>
      <c r="AB136" s="1">
        <v>35</v>
      </c>
    </row>
    <row r="137" spans="1:28" x14ac:dyDescent="0.2">
      <c r="A137" s="1">
        <v>345</v>
      </c>
      <c r="B137" s="1" t="s">
        <v>6850</v>
      </c>
      <c r="D137" s="1" t="s">
        <v>6851</v>
      </c>
      <c r="F137" s="1" t="s">
        <v>6914</v>
      </c>
      <c r="H137" s="1" t="s">
        <v>6915</v>
      </c>
      <c r="J137" s="1" t="s">
        <v>1324</v>
      </c>
      <c r="L137" s="1" t="s">
        <v>4929</v>
      </c>
      <c r="N137" s="1" t="s">
        <v>6920</v>
      </c>
      <c r="P137" s="1" t="s">
        <v>6921</v>
      </c>
      <c r="Q137" s="3">
        <v>0</v>
      </c>
      <c r="R137" s="23" t="s">
        <v>6854</v>
      </c>
      <c r="S137" s="23" t="s">
        <v>6849</v>
      </c>
      <c r="T137" s="23" t="s">
        <v>4864</v>
      </c>
      <c r="U137" s="3">
        <v>35</v>
      </c>
      <c r="V137" s="3" t="s">
        <v>6922</v>
      </c>
      <c r="W137" s="45" t="str">
        <f>HYPERLINK("http://ictvonline.org/taxonomy/p/taxonomy-history?taxnode_id=201908037","ICTVonline=201908037")</f>
        <v>ICTVonline=201908037</v>
      </c>
      <c r="Y137" s="1" t="s">
        <v>6923</v>
      </c>
      <c r="AA137" s="1">
        <v>201900000</v>
      </c>
      <c r="AB137" s="1">
        <v>35</v>
      </c>
    </row>
    <row r="138" spans="1:28" x14ac:dyDescent="0.2">
      <c r="A138" s="1">
        <v>347</v>
      </c>
      <c r="B138" s="1" t="s">
        <v>6850</v>
      </c>
      <c r="D138" s="1" t="s">
        <v>6851</v>
      </c>
      <c r="F138" s="1" t="s">
        <v>6914</v>
      </c>
      <c r="H138" s="1" t="s">
        <v>6915</v>
      </c>
      <c r="J138" s="1" t="s">
        <v>1324</v>
      </c>
      <c r="L138" s="1" t="s">
        <v>4929</v>
      </c>
      <c r="N138" s="1" t="s">
        <v>6920</v>
      </c>
      <c r="P138" s="1" t="s">
        <v>4939</v>
      </c>
      <c r="Q138" s="3">
        <v>1</v>
      </c>
      <c r="R138" s="23" t="s">
        <v>6854</v>
      </c>
      <c r="S138" s="23" t="s">
        <v>6849</v>
      </c>
      <c r="T138" s="23" t="s">
        <v>6395</v>
      </c>
      <c r="U138" s="3">
        <v>35</v>
      </c>
      <c r="V138" s="3" t="s">
        <v>6922</v>
      </c>
      <c r="W138" s="45" t="str">
        <f>HYPERLINK("http://ictvonline.org/taxonomy/p/taxonomy-history?taxnode_id=201905476","ICTVonline=201905476")</f>
        <v>ICTVonline=201905476</v>
      </c>
      <c r="Y138" s="1" t="s">
        <v>6924</v>
      </c>
      <c r="AA138" s="1">
        <v>201900000</v>
      </c>
      <c r="AB138" s="1">
        <v>35</v>
      </c>
    </row>
    <row r="139" spans="1:28" x14ac:dyDescent="0.2">
      <c r="A139" s="1">
        <v>349</v>
      </c>
      <c r="B139" s="1" t="s">
        <v>6850</v>
      </c>
      <c r="D139" s="1" t="s">
        <v>6851</v>
      </c>
      <c r="F139" s="1" t="s">
        <v>6914</v>
      </c>
      <c r="H139" s="1" t="s">
        <v>6915</v>
      </c>
      <c r="J139" s="1" t="s">
        <v>1324</v>
      </c>
      <c r="L139" s="1" t="s">
        <v>4929</v>
      </c>
      <c r="N139" s="1" t="s">
        <v>6920</v>
      </c>
      <c r="P139" s="1" t="s">
        <v>6925</v>
      </c>
      <c r="Q139" s="3">
        <v>0</v>
      </c>
      <c r="R139" s="23" t="s">
        <v>6854</v>
      </c>
      <c r="S139" s="23" t="s">
        <v>6849</v>
      </c>
      <c r="T139" s="23" t="s">
        <v>4864</v>
      </c>
      <c r="U139" s="3">
        <v>35</v>
      </c>
      <c r="V139" s="3" t="s">
        <v>6922</v>
      </c>
      <c r="W139" s="45" t="str">
        <f>HYPERLINK("http://ictvonline.org/taxonomy/p/taxonomy-history?taxnode_id=201908040","ICTVonline=201908040")</f>
        <v>ICTVonline=201908040</v>
      </c>
      <c r="Y139" s="1" t="s">
        <v>6926</v>
      </c>
      <c r="AA139" s="1">
        <v>201900000</v>
      </c>
      <c r="AB139" s="1">
        <v>35</v>
      </c>
    </row>
    <row r="140" spans="1:28" x14ac:dyDescent="0.2">
      <c r="A140" s="1">
        <v>351</v>
      </c>
      <c r="B140" s="1" t="s">
        <v>6850</v>
      </c>
      <c r="D140" s="1" t="s">
        <v>6851</v>
      </c>
      <c r="F140" s="1" t="s">
        <v>6914</v>
      </c>
      <c r="H140" s="1" t="s">
        <v>6915</v>
      </c>
      <c r="J140" s="1" t="s">
        <v>1324</v>
      </c>
      <c r="L140" s="1" t="s">
        <v>4929</v>
      </c>
      <c r="N140" s="1" t="s">
        <v>6920</v>
      </c>
      <c r="P140" s="1" t="s">
        <v>6927</v>
      </c>
      <c r="Q140" s="3">
        <v>0</v>
      </c>
      <c r="R140" s="23" t="s">
        <v>6854</v>
      </c>
      <c r="S140" s="23" t="s">
        <v>6849</v>
      </c>
      <c r="T140" s="23" t="s">
        <v>4864</v>
      </c>
      <c r="U140" s="3">
        <v>35</v>
      </c>
      <c r="V140" s="3" t="s">
        <v>6922</v>
      </c>
      <c r="W140" s="45" t="str">
        <f>HYPERLINK("http://ictvonline.org/taxonomy/p/taxonomy-history?taxnode_id=201908038","ICTVonline=201908038")</f>
        <v>ICTVonline=201908038</v>
      </c>
      <c r="Y140" s="1" t="s">
        <v>6928</v>
      </c>
      <c r="AA140" s="1">
        <v>201900000</v>
      </c>
      <c r="AB140" s="1">
        <v>35</v>
      </c>
    </row>
    <row r="141" spans="1:28" x14ac:dyDescent="0.2">
      <c r="A141" s="1">
        <v>353</v>
      </c>
      <c r="B141" s="1" t="s">
        <v>6850</v>
      </c>
      <c r="D141" s="1" t="s">
        <v>6851</v>
      </c>
      <c r="F141" s="1" t="s">
        <v>6914</v>
      </c>
      <c r="H141" s="1" t="s">
        <v>6915</v>
      </c>
      <c r="J141" s="1" t="s">
        <v>1324</v>
      </c>
      <c r="L141" s="1" t="s">
        <v>4929</v>
      </c>
      <c r="N141" s="1" t="s">
        <v>6920</v>
      </c>
      <c r="P141" s="1" t="s">
        <v>6929</v>
      </c>
      <c r="Q141" s="3">
        <v>0</v>
      </c>
      <c r="R141" s="23" t="s">
        <v>6854</v>
      </c>
      <c r="S141" s="23" t="s">
        <v>6849</v>
      </c>
      <c r="T141" s="23" t="s">
        <v>4864</v>
      </c>
      <c r="U141" s="3">
        <v>35</v>
      </c>
      <c r="V141" s="3" t="s">
        <v>6922</v>
      </c>
      <c r="W141" s="45" t="str">
        <f>HYPERLINK("http://ictvonline.org/taxonomy/p/taxonomy-history?taxnode_id=201908039","ICTVonline=201908039")</f>
        <v>ICTVonline=201908039</v>
      </c>
      <c r="Y141" s="1" t="s">
        <v>6930</v>
      </c>
      <c r="AA141" s="1">
        <v>201900000</v>
      </c>
      <c r="AB141" s="1">
        <v>35</v>
      </c>
    </row>
    <row r="142" spans="1:28" x14ac:dyDescent="0.2">
      <c r="A142" s="1">
        <v>355</v>
      </c>
      <c r="B142" s="1" t="s">
        <v>6850</v>
      </c>
      <c r="D142" s="1" t="s">
        <v>6851</v>
      </c>
      <c r="F142" s="1" t="s">
        <v>6914</v>
      </c>
      <c r="H142" s="1" t="s">
        <v>6915</v>
      </c>
      <c r="J142" s="1" t="s">
        <v>1324</v>
      </c>
      <c r="L142" s="1" t="s">
        <v>4929</v>
      </c>
      <c r="N142" s="1" t="s">
        <v>6920</v>
      </c>
      <c r="P142" s="1" t="s">
        <v>4940</v>
      </c>
      <c r="Q142" s="3">
        <v>0</v>
      </c>
      <c r="R142" s="23" t="s">
        <v>6854</v>
      </c>
      <c r="S142" s="23" t="s">
        <v>6849</v>
      </c>
      <c r="T142" s="23" t="s">
        <v>4866</v>
      </c>
      <c r="U142" s="3">
        <v>35</v>
      </c>
      <c r="V142" s="3" t="s">
        <v>6922</v>
      </c>
      <c r="W142" s="45" t="str">
        <f>HYPERLINK("http://ictvonline.org/taxonomy/p/taxonomy-history?taxnode_id=201905477","ICTVonline=201905477")</f>
        <v>ICTVonline=201905477</v>
      </c>
      <c r="Y142" s="1" t="s">
        <v>6931</v>
      </c>
      <c r="AA142" s="1">
        <v>201900000</v>
      </c>
      <c r="AB142" s="1">
        <v>35</v>
      </c>
    </row>
    <row r="143" spans="1:28" x14ac:dyDescent="0.2">
      <c r="A143" s="1">
        <v>358</v>
      </c>
      <c r="B143" s="1" t="s">
        <v>6850</v>
      </c>
      <c r="D143" s="1" t="s">
        <v>6851</v>
      </c>
      <c r="F143" s="1" t="s">
        <v>6914</v>
      </c>
      <c r="H143" s="1" t="s">
        <v>6915</v>
      </c>
      <c r="J143" s="1" t="s">
        <v>1324</v>
      </c>
      <c r="L143" s="1" t="s">
        <v>4929</v>
      </c>
      <c r="P143" s="1" t="s">
        <v>4938</v>
      </c>
      <c r="Q143" s="3">
        <v>0</v>
      </c>
      <c r="R143" s="23" t="s">
        <v>6854</v>
      </c>
      <c r="S143" s="23" t="s">
        <v>6845</v>
      </c>
      <c r="T143" s="23" t="s">
        <v>4866</v>
      </c>
      <c r="U143" s="3">
        <v>35</v>
      </c>
      <c r="W143" s="45" t="str">
        <f>HYPERLINK("http://ictvonline.org/taxonomy/p/taxonomy-history?taxnode_id=201905475","ICTVonline=201905475")</f>
        <v>ICTVonline=201905475</v>
      </c>
      <c r="AA143" s="1">
        <v>201900000</v>
      </c>
      <c r="AB143" s="1">
        <v>35</v>
      </c>
    </row>
    <row r="144" spans="1:28" x14ac:dyDescent="0.2">
      <c r="A144" s="1">
        <v>360</v>
      </c>
      <c r="B144" s="1" t="s">
        <v>6850</v>
      </c>
      <c r="D144" s="1" t="s">
        <v>6851</v>
      </c>
      <c r="F144" s="1" t="s">
        <v>6914</v>
      </c>
      <c r="H144" s="1" t="s">
        <v>6915</v>
      </c>
      <c r="J144" s="1" t="s">
        <v>1324</v>
      </c>
      <c r="L144" s="1" t="s">
        <v>4929</v>
      </c>
      <c r="P144" s="1" t="s">
        <v>4941</v>
      </c>
      <c r="Q144" s="3">
        <v>0</v>
      </c>
      <c r="R144" s="23" t="s">
        <v>6854</v>
      </c>
      <c r="S144" s="23" t="s">
        <v>6845</v>
      </c>
      <c r="T144" s="23" t="s">
        <v>4866</v>
      </c>
      <c r="U144" s="3">
        <v>35</v>
      </c>
      <c r="W144" s="45" t="str">
        <f>HYPERLINK("http://ictvonline.org/taxonomy/p/taxonomy-history?taxnode_id=201905478","ICTVonline=201905478")</f>
        <v>ICTVonline=201905478</v>
      </c>
      <c r="AA144" s="1">
        <v>201900000</v>
      </c>
      <c r="AB144" s="1">
        <v>35</v>
      </c>
    </row>
    <row r="145" spans="1:28" x14ac:dyDescent="0.2">
      <c r="A145" s="1">
        <v>366</v>
      </c>
      <c r="B145" s="1" t="s">
        <v>6850</v>
      </c>
      <c r="D145" s="1" t="s">
        <v>6851</v>
      </c>
      <c r="F145" s="1" t="s">
        <v>6914</v>
      </c>
      <c r="H145" s="1" t="s">
        <v>6915</v>
      </c>
      <c r="J145" s="1" t="s">
        <v>1324</v>
      </c>
      <c r="L145" s="1" t="s">
        <v>6932</v>
      </c>
      <c r="M145" s="1" t="s">
        <v>6933</v>
      </c>
      <c r="N145" s="1" t="s">
        <v>6934</v>
      </c>
      <c r="P145" s="1" t="s">
        <v>6935</v>
      </c>
      <c r="Q145" s="3">
        <v>1</v>
      </c>
      <c r="R145" s="23" t="s">
        <v>6854</v>
      </c>
      <c r="S145" s="23" t="s">
        <v>6849</v>
      </c>
      <c r="T145" s="23" t="s">
        <v>4864</v>
      </c>
      <c r="U145" s="3">
        <v>35</v>
      </c>
      <c r="V145" s="3" t="s">
        <v>6936</v>
      </c>
      <c r="W145" s="45" t="str">
        <f>HYPERLINK("http://ictvonline.org/taxonomy/p/taxonomy-history?taxnode_id=201908513","ICTVonline=201908513")</f>
        <v>ICTVonline=201908513</v>
      </c>
      <c r="Y145" s="1" t="s">
        <v>6937</v>
      </c>
      <c r="AA145" s="1">
        <v>201900000</v>
      </c>
      <c r="AB145" s="1">
        <v>35</v>
      </c>
    </row>
    <row r="146" spans="1:28" x14ac:dyDescent="0.2">
      <c r="A146" s="1">
        <v>370</v>
      </c>
      <c r="B146" s="1" t="s">
        <v>6850</v>
      </c>
      <c r="D146" s="1" t="s">
        <v>6851</v>
      </c>
      <c r="F146" s="1" t="s">
        <v>6914</v>
      </c>
      <c r="H146" s="1" t="s">
        <v>6915</v>
      </c>
      <c r="J146" s="1" t="s">
        <v>1324</v>
      </c>
      <c r="L146" s="1" t="s">
        <v>6932</v>
      </c>
      <c r="M146" s="1" t="s">
        <v>6933</v>
      </c>
      <c r="N146" s="1" t="s">
        <v>6234</v>
      </c>
      <c r="P146" s="1" t="s">
        <v>4203</v>
      </c>
      <c r="Q146" s="3">
        <v>0</v>
      </c>
      <c r="R146" s="23" t="s">
        <v>6854</v>
      </c>
      <c r="S146" s="23" t="s">
        <v>6845</v>
      </c>
      <c r="T146" s="23" t="s">
        <v>4866</v>
      </c>
      <c r="U146" s="3">
        <v>35</v>
      </c>
      <c r="W146" s="45" t="str">
        <f>HYPERLINK("http://ictvonline.org/taxonomy/p/taxonomy-history?taxnode_id=201900543","ICTVonline=201900543")</f>
        <v>ICTVonline=201900543</v>
      </c>
      <c r="Y146" s="1" t="s">
        <v>6938</v>
      </c>
      <c r="Z146" s="1" t="s">
        <v>6939</v>
      </c>
      <c r="AA146" s="1">
        <v>201900000</v>
      </c>
      <c r="AB146" s="1">
        <v>35</v>
      </c>
    </row>
    <row r="147" spans="1:28" x14ac:dyDescent="0.2">
      <c r="A147" s="1">
        <v>372</v>
      </c>
      <c r="B147" s="1" t="s">
        <v>6850</v>
      </c>
      <c r="D147" s="1" t="s">
        <v>6851</v>
      </c>
      <c r="F147" s="1" t="s">
        <v>6914</v>
      </c>
      <c r="H147" s="1" t="s">
        <v>6915</v>
      </c>
      <c r="J147" s="1" t="s">
        <v>1324</v>
      </c>
      <c r="L147" s="1" t="s">
        <v>6932</v>
      </c>
      <c r="M147" s="1" t="s">
        <v>6933</v>
      </c>
      <c r="N147" s="1" t="s">
        <v>6234</v>
      </c>
      <c r="P147" s="1" t="s">
        <v>6940</v>
      </c>
      <c r="Q147" s="3">
        <v>0</v>
      </c>
      <c r="R147" s="23" t="s">
        <v>6854</v>
      </c>
      <c r="S147" s="23" t="s">
        <v>6849</v>
      </c>
      <c r="T147" s="23" t="s">
        <v>4864</v>
      </c>
      <c r="U147" s="3">
        <v>35</v>
      </c>
      <c r="V147" s="3" t="s">
        <v>6936</v>
      </c>
      <c r="W147" s="45" t="str">
        <f>HYPERLINK("http://ictvonline.org/taxonomy/p/taxonomy-history?taxnode_id=201908507","ICTVonline=201908507")</f>
        <v>ICTVonline=201908507</v>
      </c>
      <c r="Y147" s="1" t="s">
        <v>6941</v>
      </c>
      <c r="AA147" s="1">
        <v>201900000</v>
      </c>
      <c r="AB147" s="1">
        <v>35</v>
      </c>
    </row>
    <row r="148" spans="1:28" x14ac:dyDescent="0.2">
      <c r="A148" s="1">
        <v>374</v>
      </c>
      <c r="B148" s="1" t="s">
        <v>6850</v>
      </c>
      <c r="D148" s="1" t="s">
        <v>6851</v>
      </c>
      <c r="F148" s="1" t="s">
        <v>6914</v>
      </c>
      <c r="H148" s="1" t="s">
        <v>6915</v>
      </c>
      <c r="J148" s="1" t="s">
        <v>1324</v>
      </c>
      <c r="L148" s="1" t="s">
        <v>6932</v>
      </c>
      <c r="M148" s="1" t="s">
        <v>6933</v>
      </c>
      <c r="N148" s="1" t="s">
        <v>6234</v>
      </c>
      <c r="P148" s="1" t="s">
        <v>4204</v>
      </c>
      <c r="Q148" s="3">
        <v>0</v>
      </c>
      <c r="R148" s="23" t="s">
        <v>6854</v>
      </c>
      <c r="S148" s="23" t="s">
        <v>6845</v>
      </c>
      <c r="T148" s="23" t="s">
        <v>4866</v>
      </c>
      <c r="U148" s="3">
        <v>35</v>
      </c>
      <c r="W148" s="45" t="str">
        <f>HYPERLINK("http://ictvonline.org/taxonomy/p/taxonomy-history?taxnode_id=201900544","ICTVonline=201900544")</f>
        <v>ICTVonline=201900544</v>
      </c>
      <c r="Y148" s="1" t="s">
        <v>6942</v>
      </c>
      <c r="Z148" s="1" t="s">
        <v>6943</v>
      </c>
      <c r="AA148" s="1">
        <v>201900000</v>
      </c>
      <c r="AB148" s="1">
        <v>35</v>
      </c>
    </row>
    <row r="149" spans="1:28" x14ac:dyDescent="0.2">
      <c r="A149" s="1">
        <v>376</v>
      </c>
      <c r="B149" s="1" t="s">
        <v>6850</v>
      </c>
      <c r="D149" s="1" t="s">
        <v>6851</v>
      </c>
      <c r="F149" s="1" t="s">
        <v>6914</v>
      </c>
      <c r="H149" s="1" t="s">
        <v>6915</v>
      </c>
      <c r="J149" s="1" t="s">
        <v>1324</v>
      </c>
      <c r="L149" s="1" t="s">
        <v>6932</v>
      </c>
      <c r="M149" s="1" t="s">
        <v>6933</v>
      </c>
      <c r="N149" s="1" t="s">
        <v>6234</v>
      </c>
      <c r="P149" s="1" t="s">
        <v>6944</v>
      </c>
      <c r="Q149" s="3">
        <v>0</v>
      </c>
      <c r="R149" s="23" t="s">
        <v>6854</v>
      </c>
      <c r="S149" s="23" t="s">
        <v>6849</v>
      </c>
      <c r="T149" s="23" t="s">
        <v>4864</v>
      </c>
      <c r="U149" s="3">
        <v>35</v>
      </c>
      <c r="V149" s="3" t="s">
        <v>6936</v>
      </c>
      <c r="W149" s="45" t="str">
        <f>HYPERLINK("http://ictvonline.org/taxonomy/p/taxonomy-history?taxnode_id=201908506","ICTVonline=201908506")</f>
        <v>ICTVonline=201908506</v>
      </c>
      <c r="Y149" s="1" t="s">
        <v>6945</v>
      </c>
      <c r="AA149" s="1">
        <v>201900000</v>
      </c>
      <c r="AB149" s="1">
        <v>35</v>
      </c>
    </row>
    <row r="150" spans="1:28" x14ac:dyDescent="0.2">
      <c r="A150" s="1">
        <v>378</v>
      </c>
      <c r="B150" s="1" t="s">
        <v>6850</v>
      </c>
      <c r="D150" s="1" t="s">
        <v>6851</v>
      </c>
      <c r="F150" s="1" t="s">
        <v>6914</v>
      </c>
      <c r="H150" s="1" t="s">
        <v>6915</v>
      </c>
      <c r="J150" s="1" t="s">
        <v>1324</v>
      </c>
      <c r="L150" s="1" t="s">
        <v>6932</v>
      </c>
      <c r="M150" s="1" t="s">
        <v>6933</v>
      </c>
      <c r="N150" s="1" t="s">
        <v>6234</v>
      </c>
      <c r="P150" s="1" t="s">
        <v>6946</v>
      </c>
      <c r="Q150" s="3">
        <v>0</v>
      </c>
      <c r="R150" s="23" t="s">
        <v>6854</v>
      </c>
      <c r="S150" s="23" t="s">
        <v>6849</v>
      </c>
      <c r="T150" s="23" t="s">
        <v>4864</v>
      </c>
      <c r="U150" s="3">
        <v>35</v>
      </c>
      <c r="V150" s="3" t="s">
        <v>6936</v>
      </c>
      <c r="W150" s="45" t="str">
        <f>HYPERLINK("http://ictvonline.org/taxonomy/p/taxonomy-history?taxnode_id=201908505","ICTVonline=201908505")</f>
        <v>ICTVonline=201908505</v>
      </c>
      <c r="Y150" s="1" t="s">
        <v>6947</v>
      </c>
      <c r="AA150" s="1">
        <v>201900000</v>
      </c>
      <c r="AB150" s="1">
        <v>35</v>
      </c>
    </row>
    <row r="151" spans="1:28" x14ac:dyDescent="0.2">
      <c r="A151" s="1">
        <v>380</v>
      </c>
      <c r="B151" s="1" t="s">
        <v>6850</v>
      </c>
      <c r="D151" s="1" t="s">
        <v>6851</v>
      </c>
      <c r="F151" s="1" t="s">
        <v>6914</v>
      </c>
      <c r="H151" s="1" t="s">
        <v>6915</v>
      </c>
      <c r="J151" s="1" t="s">
        <v>1324</v>
      </c>
      <c r="L151" s="1" t="s">
        <v>6932</v>
      </c>
      <c r="M151" s="1" t="s">
        <v>6933</v>
      </c>
      <c r="N151" s="1" t="s">
        <v>6234</v>
      </c>
      <c r="P151" s="1" t="s">
        <v>6235</v>
      </c>
      <c r="Q151" s="3">
        <v>0</v>
      </c>
      <c r="R151" s="23" t="s">
        <v>6854</v>
      </c>
      <c r="S151" s="23" t="s">
        <v>6845</v>
      </c>
      <c r="T151" s="23" t="s">
        <v>4866</v>
      </c>
      <c r="U151" s="3">
        <v>35</v>
      </c>
      <c r="W151" s="45" t="str">
        <f>HYPERLINK("http://ictvonline.org/taxonomy/p/taxonomy-history?taxnode_id=201906909","ICTVonline=201906909")</f>
        <v>ICTVonline=201906909</v>
      </c>
      <c r="Y151" s="1" t="s">
        <v>6948</v>
      </c>
      <c r="Z151" s="1" t="s">
        <v>6949</v>
      </c>
      <c r="AA151" s="1">
        <v>201900000</v>
      </c>
      <c r="AB151" s="1">
        <v>35</v>
      </c>
    </row>
    <row r="152" spans="1:28" x14ac:dyDescent="0.2">
      <c r="A152" s="1">
        <v>382</v>
      </c>
      <c r="B152" s="1" t="s">
        <v>6850</v>
      </c>
      <c r="D152" s="1" t="s">
        <v>6851</v>
      </c>
      <c r="F152" s="1" t="s">
        <v>6914</v>
      </c>
      <c r="H152" s="1" t="s">
        <v>6915</v>
      </c>
      <c r="J152" s="1" t="s">
        <v>1324</v>
      </c>
      <c r="L152" s="1" t="s">
        <v>6932</v>
      </c>
      <c r="M152" s="1" t="s">
        <v>6933</v>
      </c>
      <c r="N152" s="1" t="s">
        <v>6234</v>
      </c>
      <c r="P152" s="1" t="s">
        <v>6236</v>
      </c>
      <c r="Q152" s="3">
        <v>0</v>
      </c>
      <c r="R152" s="23" t="s">
        <v>6854</v>
      </c>
      <c r="S152" s="23" t="s">
        <v>6845</v>
      </c>
      <c r="T152" s="23" t="s">
        <v>4866</v>
      </c>
      <c r="U152" s="3">
        <v>35</v>
      </c>
      <c r="W152" s="45" t="str">
        <f>HYPERLINK("http://ictvonline.org/taxonomy/p/taxonomy-history?taxnode_id=201906910","ICTVonline=201906910")</f>
        <v>ICTVonline=201906910</v>
      </c>
      <c r="Y152" s="1" t="s">
        <v>6950</v>
      </c>
      <c r="Z152" s="1" t="s">
        <v>6951</v>
      </c>
      <c r="AA152" s="1">
        <v>201900000</v>
      </c>
      <c r="AB152" s="1">
        <v>35</v>
      </c>
    </row>
    <row r="153" spans="1:28" x14ac:dyDescent="0.2">
      <c r="A153" s="1">
        <v>384</v>
      </c>
      <c r="B153" s="1" t="s">
        <v>6850</v>
      </c>
      <c r="D153" s="1" t="s">
        <v>6851</v>
      </c>
      <c r="F153" s="1" t="s">
        <v>6914</v>
      </c>
      <c r="H153" s="1" t="s">
        <v>6915</v>
      </c>
      <c r="J153" s="1" t="s">
        <v>1324</v>
      </c>
      <c r="L153" s="1" t="s">
        <v>6932</v>
      </c>
      <c r="M153" s="1" t="s">
        <v>6933</v>
      </c>
      <c r="N153" s="1" t="s">
        <v>6234</v>
      </c>
      <c r="P153" s="1" t="s">
        <v>4205</v>
      </c>
      <c r="Q153" s="3">
        <v>1</v>
      </c>
      <c r="R153" s="23" t="s">
        <v>6854</v>
      </c>
      <c r="S153" s="23" t="s">
        <v>6845</v>
      </c>
      <c r="T153" s="23" t="s">
        <v>4866</v>
      </c>
      <c r="U153" s="3">
        <v>35</v>
      </c>
      <c r="W153" s="45" t="str">
        <f>HYPERLINK("http://ictvonline.org/taxonomy/p/taxonomy-history?taxnode_id=201900545","ICTVonline=201900545")</f>
        <v>ICTVonline=201900545</v>
      </c>
      <c r="Y153" s="1" t="s">
        <v>6952</v>
      </c>
      <c r="Z153" s="1" t="s">
        <v>6953</v>
      </c>
      <c r="AA153" s="1">
        <v>201900000</v>
      </c>
      <c r="AB153" s="1">
        <v>35</v>
      </c>
    </row>
    <row r="154" spans="1:28" x14ac:dyDescent="0.2">
      <c r="A154" s="1">
        <v>386</v>
      </c>
      <c r="B154" s="1" t="s">
        <v>6850</v>
      </c>
      <c r="D154" s="1" t="s">
        <v>6851</v>
      </c>
      <c r="F154" s="1" t="s">
        <v>6914</v>
      </c>
      <c r="H154" s="1" t="s">
        <v>6915</v>
      </c>
      <c r="J154" s="1" t="s">
        <v>1324</v>
      </c>
      <c r="L154" s="1" t="s">
        <v>6932</v>
      </c>
      <c r="M154" s="1" t="s">
        <v>6933</v>
      </c>
      <c r="N154" s="1" t="s">
        <v>6234</v>
      </c>
      <c r="P154" s="1" t="s">
        <v>4206</v>
      </c>
      <c r="Q154" s="3">
        <v>0</v>
      </c>
      <c r="R154" s="23" t="s">
        <v>6854</v>
      </c>
      <c r="S154" s="23" t="s">
        <v>6845</v>
      </c>
      <c r="T154" s="23" t="s">
        <v>4866</v>
      </c>
      <c r="U154" s="3">
        <v>35</v>
      </c>
      <c r="W154" s="45" t="str">
        <f>HYPERLINK("http://ictvonline.org/taxonomy/p/taxonomy-history?taxnode_id=201900546","ICTVonline=201900546")</f>
        <v>ICTVonline=201900546</v>
      </c>
      <c r="Y154" s="1" t="s">
        <v>6954</v>
      </c>
      <c r="Z154" s="1" t="s">
        <v>6955</v>
      </c>
      <c r="AA154" s="1">
        <v>201900000</v>
      </c>
      <c r="AB154" s="1">
        <v>35</v>
      </c>
    </row>
    <row r="155" spans="1:28" x14ac:dyDescent="0.2">
      <c r="A155" s="1">
        <v>388</v>
      </c>
      <c r="B155" s="1" t="s">
        <v>6850</v>
      </c>
      <c r="D155" s="1" t="s">
        <v>6851</v>
      </c>
      <c r="F155" s="1" t="s">
        <v>6914</v>
      </c>
      <c r="H155" s="1" t="s">
        <v>6915</v>
      </c>
      <c r="J155" s="1" t="s">
        <v>1324</v>
      </c>
      <c r="L155" s="1" t="s">
        <v>6932</v>
      </c>
      <c r="M155" s="1" t="s">
        <v>6933</v>
      </c>
      <c r="N155" s="1" t="s">
        <v>6234</v>
      </c>
      <c r="P155" s="1" t="s">
        <v>4207</v>
      </c>
      <c r="Q155" s="3">
        <v>0</v>
      </c>
      <c r="R155" s="23" t="s">
        <v>6854</v>
      </c>
      <c r="S155" s="23" t="s">
        <v>6845</v>
      </c>
      <c r="T155" s="23" t="s">
        <v>4866</v>
      </c>
      <c r="U155" s="3">
        <v>35</v>
      </c>
      <c r="W155" s="45" t="str">
        <f>HYPERLINK("http://ictvonline.org/taxonomy/p/taxonomy-history?taxnode_id=201900547","ICTVonline=201900547")</f>
        <v>ICTVonline=201900547</v>
      </c>
      <c r="Y155" s="1" t="s">
        <v>6956</v>
      </c>
      <c r="Z155" s="1" t="s">
        <v>6957</v>
      </c>
      <c r="AA155" s="1">
        <v>201900000</v>
      </c>
      <c r="AB155" s="1">
        <v>35</v>
      </c>
    </row>
    <row r="156" spans="1:28" x14ac:dyDescent="0.2">
      <c r="A156" s="1">
        <v>390</v>
      </c>
      <c r="B156" s="1" t="s">
        <v>6850</v>
      </c>
      <c r="D156" s="1" t="s">
        <v>6851</v>
      </c>
      <c r="F156" s="1" t="s">
        <v>6914</v>
      </c>
      <c r="H156" s="1" t="s">
        <v>6915</v>
      </c>
      <c r="J156" s="1" t="s">
        <v>1324</v>
      </c>
      <c r="L156" s="1" t="s">
        <v>6932</v>
      </c>
      <c r="M156" s="1" t="s">
        <v>6933</v>
      </c>
      <c r="N156" s="1" t="s">
        <v>6234</v>
      </c>
      <c r="P156" s="1" t="s">
        <v>4208</v>
      </c>
      <c r="Q156" s="3">
        <v>0</v>
      </c>
      <c r="R156" s="23" t="s">
        <v>6854</v>
      </c>
      <c r="S156" s="23" t="s">
        <v>6845</v>
      </c>
      <c r="T156" s="23" t="s">
        <v>4866</v>
      </c>
      <c r="U156" s="3">
        <v>35</v>
      </c>
      <c r="W156" s="45" t="str">
        <f>HYPERLINK("http://ictvonline.org/taxonomy/p/taxonomy-history?taxnode_id=201900548","ICTVonline=201900548")</f>
        <v>ICTVonline=201900548</v>
      </c>
      <c r="Y156" s="1" t="s">
        <v>6958</v>
      </c>
      <c r="Z156" s="1" t="s">
        <v>6959</v>
      </c>
      <c r="AA156" s="1">
        <v>201900000</v>
      </c>
      <c r="AB156" s="1">
        <v>35</v>
      </c>
    </row>
    <row r="157" spans="1:28" x14ac:dyDescent="0.2">
      <c r="A157" s="1">
        <v>392</v>
      </c>
      <c r="B157" s="1" t="s">
        <v>6850</v>
      </c>
      <c r="D157" s="1" t="s">
        <v>6851</v>
      </c>
      <c r="F157" s="1" t="s">
        <v>6914</v>
      </c>
      <c r="H157" s="1" t="s">
        <v>6915</v>
      </c>
      <c r="J157" s="1" t="s">
        <v>1324</v>
      </c>
      <c r="L157" s="1" t="s">
        <v>6932</v>
      </c>
      <c r="M157" s="1" t="s">
        <v>6933</v>
      </c>
      <c r="N157" s="1" t="s">
        <v>6234</v>
      </c>
      <c r="P157" s="1" t="s">
        <v>4209</v>
      </c>
      <c r="Q157" s="3">
        <v>0</v>
      </c>
      <c r="R157" s="23" t="s">
        <v>6854</v>
      </c>
      <c r="S157" s="23" t="s">
        <v>6845</v>
      </c>
      <c r="T157" s="23" t="s">
        <v>4866</v>
      </c>
      <c r="U157" s="3">
        <v>35</v>
      </c>
      <c r="W157" s="45" t="str">
        <f>HYPERLINK("http://ictvonline.org/taxonomy/p/taxonomy-history?taxnode_id=201900549","ICTVonline=201900549")</f>
        <v>ICTVonline=201900549</v>
      </c>
      <c r="Y157" s="1" t="s">
        <v>6960</v>
      </c>
      <c r="Z157" s="1" t="s">
        <v>6961</v>
      </c>
      <c r="AA157" s="1">
        <v>201900000</v>
      </c>
      <c r="AB157" s="1">
        <v>35</v>
      </c>
    </row>
    <row r="158" spans="1:28" x14ac:dyDescent="0.2">
      <c r="A158" s="1">
        <v>394</v>
      </c>
      <c r="B158" s="1" t="s">
        <v>6850</v>
      </c>
      <c r="D158" s="1" t="s">
        <v>6851</v>
      </c>
      <c r="F158" s="1" t="s">
        <v>6914</v>
      </c>
      <c r="H158" s="1" t="s">
        <v>6915</v>
      </c>
      <c r="J158" s="1" t="s">
        <v>1324</v>
      </c>
      <c r="L158" s="1" t="s">
        <v>6932</v>
      </c>
      <c r="M158" s="1" t="s">
        <v>6933</v>
      </c>
      <c r="N158" s="1" t="s">
        <v>6234</v>
      </c>
      <c r="P158" s="1" t="s">
        <v>6237</v>
      </c>
      <c r="Q158" s="3">
        <v>0</v>
      </c>
      <c r="R158" s="23" t="s">
        <v>6854</v>
      </c>
      <c r="S158" s="23" t="s">
        <v>6845</v>
      </c>
      <c r="T158" s="23" t="s">
        <v>4866</v>
      </c>
      <c r="U158" s="3">
        <v>35</v>
      </c>
      <c r="W158" s="45" t="str">
        <f>HYPERLINK("http://ictvonline.org/taxonomy/p/taxonomy-history?taxnode_id=201906911","ICTVonline=201906911")</f>
        <v>ICTVonline=201906911</v>
      </c>
      <c r="Y158" s="1" t="s">
        <v>6962</v>
      </c>
      <c r="Z158" s="1" t="s">
        <v>6963</v>
      </c>
      <c r="AA158" s="1">
        <v>201900000</v>
      </c>
      <c r="AB158" s="1">
        <v>35</v>
      </c>
    </row>
    <row r="159" spans="1:28" x14ac:dyDescent="0.2">
      <c r="A159" s="1">
        <v>396</v>
      </c>
      <c r="B159" s="1" t="s">
        <v>6850</v>
      </c>
      <c r="D159" s="1" t="s">
        <v>6851</v>
      </c>
      <c r="F159" s="1" t="s">
        <v>6914</v>
      </c>
      <c r="H159" s="1" t="s">
        <v>6915</v>
      </c>
      <c r="J159" s="1" t="s">
        <v>1324</v>
      </c>
      <c r="L159" s="1" t="s">
        <v>6932</v>
      </c>
      <c r="M159" s="1" t="s">
        <v>6933</v>
      </c>
      <c r="N159" s="1" t="s">
        <v>6234</v>
      </c>
      <c r="P159" s="1" t="s">
        <v>6964</v>
      </c>
      <c r="Q159" s="3">
        <v>0</v>
      </c>
      <c r="R159" s="23" t="s">
        <v>6854</v>
      </c>
      <c r="S159" s="23" t="s">
        <v>6849</v>
      </c>
      <c r="T159" s="23" t="s">
        <v>4864</v>
      </c>
      <c r="U159" s="3">
        <v>35</v>
      </c>
      <c r="V159" s="3" t="s">
        <v>6936</v>
      </c>
      <c r="W159" s="45" t="str">
        <f>HYPERLINK("http://ictvonline.org/taxonomy/p/taxonomy-history?taxnode_id=201908508","ICTVonline=201908508")</f>
        <v>ICTVonline=201908508</v>
      </c>
      <c r="Y159" s="1" t="s">
        <v>6965</v>
      </c>
      <c r="AA159" s="1">
        <v>201900000</v>
      </c>
      <c r="AB159" s="1">
        <v>35</v>
      </c>
    </row>
    <row r="160" spans="1:28" x14ac:dyDescent="0.2">
      <c r="A160" s="1">
        <v>398</v>
      </c>
      <c r="B160" s="1" t="s">
        <v>6850</v>
      </c>
      <c r="D160" s="1" t="s">
        <v>6851</v>
      </c>
      <c r="F160" s="1" t="s">
        <v>6914</v>
      </c>
      <c r="H160" s="1" t="s">
        <v>6915</v>
      </c>
      <c r="J160" s="1" t="s">
        <v>1324</v>
      </c>
      <c r="L160" s="1" t="s">
        <v>6932</v>
      </c>
      <c r="M160" s="1" t="s">
        <v>6933</v>
      </c>
      <c r="N160" s="1" t="s">
        <v>6234</v>
      </c>
      <c r="P160" s="1" t="s">
        <v>6966</v>
      </c>
      <c r="Q160" s="3">
        <v>0</v>
      </c>
      <c r="R160" s="23" t="s">
        <v>6854</v>
      </c>
      <c r="S160" s="23" t="s">
        <v>6849</v>
      </c>
      <c r="T160" s="23" t="s">
        <v>4864</v>
      </c>
      <c r="U160" s="3">
        <v>35</v>
      </c>
      <c r="V160" s="3" t="s">
        <v>6936</v>
      </c>
      <c r="W160" s="45" t="str">
        <f>HYPERLINK("http://ictvonline.org/taxonomy/p/taxonomy-history?taxnode_id=201908509","ICTVonline=201908509")</f>
        <v>ICTVonline=201908509</v>
      </c>
      <c r="Y160" s="1" t="s">
        <v>6967</v>
      </c>
      <c r="AA160" s="1">
        <v>201900000</v>
      </c>
      <c r="AB160" s="1">
        <v>35</v>
      </c>
    </row>
    <row r="161" spans="1:28" x14ac:dyDescent="0.2">
      <c r="A161" s="1">
        <v>400</v>
      </c>
      <c r="B161" s="1" t="s">
        <v>6850</v>
      </c>
      <c r="D161" s="1" t="s">
        <v>6851</v>
      </c>
      <c r="F161" s="1" t="s">
        <v>6914</v>
      </c>
      <c r="H161" s="1" t="s">
        <v>6915</v>
      </c>
      <c r="J161" s="1" t="s">
        <v>1324</v>
      </c>
      <c r="L161" s="1" t="s">
        <v>6932</v>
      </c>
      <c r="M161" s="1" t="s">
        <v>6933</v>
      </c>
      <c r="N161" s="1" t="s">
        <v>6234</v>
      </c>
      <c r="P161" s="1" t="s">
        <v>6238</v>
      </c>
      <c r="Q161" s="3">
        <v>0</v>
      </c>
      <c r="R161" s="23" t="s">
        <v>6854</v>
      </c>
      <c r="S161" s="23" t="s">
        <v>6845</v>
      </c>
      <c r="T161" s="23" t="s">
        <v>4866</v>
      </c>
      <c r="U161" s="3">
        <v>35</v>
      </c>
      <c r="W161" s="45" t="str">
        <f>HYPERLINK("http://ictvonline.org/taxonomy/p/taxonomy-history?taxnode_id=201906908","ICTVonline=201906908")</f>
        <v>ICTVonline=201906908</v>
      </c>
      <c r="Y161" s="1" t="s">
        <v>6968</v>
      </c>
      <c r="Z161" s="1" t="s">
        <v>6969</v>
      </c>
      <c r="AA161" s="1">
        <v>201900000</v>
      </c>
      <c r="AB161" s="1">
        <v>35</v>
      </c>
    </row>
    <row r="162" spans="1:28" x14ac:dyDescent="0.2">
      <c r="A162" s="1">
        <v>402</v>
      </c>
      <c r="B162" s="1" t="s">
        <v>6850</v>
      </c>
      <c r="D162" s="1" t="s">
        <v>6851</v>
      </c>
      <c r="F162" s="1" t="s">
        <v>6914</v>
      </c>
      <c r="H162" s="1" t="s">
        <v>6915</v>
      </c>
      <c r="J162" s="1" t="s">
        <v>1324</v>
      </c>
      <c r="L162" s="1" t="s">
        <v>6932</v>
      </c>
      <c r="M162" s="1" t="s">
        <v>6933</v>
      </c>
      <c r="N162" s="1" t="s">
        <v>6234</v>
      </c>
      <c r="P162" s="1" t="s">
        <v>6239</v>
      </c>
      <c r="Q162" s="3">
        <v>0</v>
      </c>
      <c r="R162" s="23" t="s">
        <v>6854</v>
      </c>
      <c r="S162" s="23" t="s">
        <v>6845</v>
      </c>
      <c r="T162" s="23" t="s">
        <v>4866</v>
      </c>
      <c r="U162" s="3">
        <v>35</v>
      </c>
      <c r="W162" s="45" t="str">
        <f>HYPERLINK("http://ictvonline.org/taxonomy/p/taxonomy-history?taxnode_id=201906903","ICTVonline=201906903")</f>
        <v>ICTVonline=201906903</v>
      </c>
      <c r="Y162" s="1" t="s">
        <v>6970</v>
      </c>
      <c r="Z162" s="1" t="s">
        <v>6971</v>
      </c>
      <c r="AA162" s="1">
        <v>201900000</v>
      </c>
      <c r="AB162" s="1">
        <v>35</v>
      </c>
    </row>
    <row r="163" spans="1:28" x14ac:dyDescent="0.2">
      <c r="A163" s="1">
        <v>404</v>
      </c>
      <c r="B163" s="1" t="s">
        <v>6850</v>
      </c>
      <c r="D163" s="1" t="s">
        <v>6851</v>
      </c>
      <c r="F163" s="1" t="s">
        <v>6914</v>
      </c>
      <c r="H163" s="1" t="s">
        <v>6915</v>
      </c>
      <c r="J163" s="1" t="s">
        <v>1324</v>
      </c>
      <c r="L163" s="1" t="s">
        <v>6932</v>
      </c>
      <c r="M163" s="1" t="s">
        <v>6933</v>
      </c>
      <c r="N163" s="1" t="s">
        <v>6234</v>
      </c>
      <c r="P163" s="1" t="s">
        <v>6240</v>
      </c>
      <c r="Q163" s="3">
        <v>0</v>
      </c>
      <c r="R163" s="23" t="s">
        <v>6854</v>
      </c>
      <c r="S163" s="23" t="s">
        <v>6845</v>
      </c>
      <c r="T163" s="23" t="s">
        <v>4866</v>
      </c>
      <c r="U163" s="3">
        <v>35</v>
      </c>
      <c r="W163" s="45" t="str">
        <f>HYPERLINK("http://ictvonline.org/taxonomy/p/taxonomy-history?taxnode_id=201906904","ICTVonline=201906904")</f>
        <v>ICTVonline=201906904</v>
      </c>
      <c r="Y163" s="1" t="s">
        <v>6972</v>
      </c>
      <c r="Z163" s="1" t="s">
        <v>6973</v>
      </c>
      <c r="AA163" s="1">
        <v>201900000</v>
      </c>
      <c r="AB163" s="1">
        <v>35</v>
      </c>
    </row>
    <row r="164" spans="1:28" x14ac:dyDescent="0.2">
      <c r="A164" s="1">
        <v>406</v>
      </c>
      <c r="B164" s="1" t="s">
        <v>6850</v>
      </c>
      <c r="D164" s="1" t="s">
        <v>6851</v>
      </c>
      <c r="F164" s="1" t="s">
        <v>6914</v>
      </c>
      <c r="H164" s="1" t="s">
        <v>6915</v>
      </c>
      <c r="J164" s="1" t="s">
        <v>1324</v>
      </c>
      <c r="L164" s="1" t="s">
        <v>6932</v>
      </c>
      <c r="M164" s="1" t="s">
        <v>6933</v>
      </c>
      <c r="N164" s="1" t="s">
        <v>6234</v>
      </c>
      <c r="P164" s="1" t="s">
        <v>6241</v>
      </c>
      <c r="Q164" s="3">
        <v>0</v>
      </c>
      <c r="R164" s="23" t="s">
        <v>6854</v>
      </c>
      <c r="S164" s="23" t="s">
        <v>6845</v>
      </c>
      <c r="T164" s="23" t="s">
        <v>4866</v>
      </c>
      <c r="U164" s="3">
        <v>35</v>
      </c>
      <c r="W164" s="45" t="str">
        <f>HYPERLINK("http://ictvonline.org/taxonomy/p/taxonomy-history?taxnode_id=201906905","ICTVonline=201906905")</f>
        <v>ICTVonline=201906905</v>
      </c>
      <c r="Y164" s="1" t="s">
        <v>6974</v>
      </c>
      <c r="Z164" s="1" t="s">
        <v>6975</v>
      </c>
      <c r="AA164" s="1">
        <v>201900000</v>
      </c>
      <c r="AB164" s="1">
        <v>35</v>
      </c>
    </row>
    <row r="165" spans="1:28" x14ac:dyDescent="0.2">
      <c r="A165" s="1">
        <v>408</v>
      </c>
      <c r="B165" s="1" t="s">
        <v>6850</v>
      </c>
      <c r="D165" s="1" t="s">
        <v>6851</v>
      </c>
      <c r="F165" s="1" t="s">
        <v>6914</v>
      </c>
      <c r="H165" s="1" t="s">
        <v>6915</v>
      </c>
      <c r="J165" s="1" t="s">
        <v>1324</v>
      </c>
      <c r="L165" s="1" t="s">
        <v>6932</v>
      </c>
      <c r="M165" s="1" t="s">
        <v>6933</v>
      </c>
      <c r="N165" s="1" t="s">
        <v>6234</v>
      </c>
      <c r="P165" s="1" t="s">
        <v>6242</v>
      </c>
      <c r="Q165" s="3">
        <v>0</v>
      </c>
      <c r="R165" s="23" t="s">
        <v>6854</v>
      </c>
      <c r="S165" s="23" t="s">
        <v>6845</v>
      </c>
      <c r="T165" s="23" t="s">
        <v>4866</v>
      </c>
      <c r="U165" s="3">
        <v>35</v>
      </c>
      <c r="W165" s="45" t="str">
        <f>HYPERLINK("http://ictvonline.org/taxonomy/p/taxonomy-history?taxnode_id=201906912","ICTVonline=201906912")</f>
        <v>ICTVonline=201906912</v>
      </c>
      <c r="Y165" s="1" t="s">
        <v>6976</v>
      </c>
      <c r="Z165" s="1" t="s">
        <v>6977</v>
      </c>
      <c r="AA165" s="1">
        <v>201900000</v>
      </c>
      <c r="AB165" s="1">
        <v>35</v>
      </c>
    </row>
    <row r="166" spans="1:28" x14ac:dyDescent="0.2">
      <c r="A166" s="1">
        <v>410</v>
      </c>
      <c r="B166" s="1" t="s">
        <v>6850</v>
      </c>
      <c r="D166" s="1" t="s">
        <v>6851</v>
      </c>
      <c r="F166" s="1" t="s">
        <v>6914</v>
      </c>
      <c r="H166" s="1" t="s">
        <v>6915</v>
      </c>
      <c r="J166" s="1" t="s">
        <v>1324</v>
      </c>
      <c r="L166" s="1" t="s">
        <v>6932</v>
      </c>
      <c r="M166" s="1" t="s">
        <v>6933</v>
      </c>
      <c r="N166" s="1" t="s">
        <v>6234</v>
      </c>
      <c r="P166" s="1" t="s">
        <v>6243</v>
      </c>
      <c r="Q166" s="3">
        <v>0</v>
      </c>
      <c r="R166" s="23" t="s">
        <v>6854</v>
      </c>
      <c r="S166" s="23" t="s">
        <v>6845</v>
      </c>
      <c r="T166" s="23" t="s">
        <v>4866</v>
      </c>
      <c r="U166" s="3">
        <v>35</v>
      </c>
      <c r="W166" s="45" t="str">
        <f>HYPERLINK("http://ictvonline.org/taxonomy/p/taxonomy-history?taxnode_id=201906906","ICTVonline=201906906")</f>
        <v>ICTVonline=201906906</v>
      </c>
      <c r="Y166" s="1" t="s">
        <v>6978</v>
      </c>
      <c r="Z166" s="1" t="s">
        <v>6979</v>
      </c>
      <c r="AA166" s="1">
        <v>201900000</v>
      </c>
      <c r="AB166" s="1">
        <v>35</v>
      </c>
    </row>
    <row r="167" spans="1:28" x14ac:dyDescent="0.2">
      <c r="A167" s="1">
        <v>412</v>
      </c>
      <c r="B167" s="1" t="s">
        <v>6850</v>
      </c>
      <c r="D167" s="1" t="s">
        <v>6851</v>
      </c>
      <c r="F167" s="1" t="s">
        <v>6914</v>
      </c>
      <c r="H167" s="1" t="s">
        <v>6915</v>
      </c>
      <c r="J167" s="1" t="s">
        <v>1324</v>
      </c>
      <c r="L167" s="1" t="s">
        <v>6932</v>
      </c>
      <c r="M167" s="1" t="s">
        <v>6933</v>
      </c>
      <c r="N167" s="1" t="s">
        <v>6234</v>
      </c>
      <c r="P167" s="1" t="s">
        <v>6244</v>
      </c>
      <c r="Q167" s="3">
        <v>0</v>
      </c>
      <c r="R167" s="23" t="s">
        <v>6854</v>
      </c>
      <c r="S167" s="23" t="s">
        <v>6845</v>
      </c>
      <c r="T167" s="23" t="s">
        <v>4866</v>
      </c>
      <c r="U167" s="3">
        <v>35</v>
      </c>
      <c r="W167" s="45" t="str">
        <f>HYPERLINK("http://ictvonline.org/taxonomy/p/taxonomy-history?taxnode_id=201906907","ICTVonline=201906907")</f>
        <v>ICTVonline=201906907</v>
      </c>
      <c r="Y167" s="1" t="s">
        <v>6980</v>
      </c>
      <c r="Z167" s="1" t="s">
        <v>6981</v>
      </c>
      <c r="AA167" s="1">
        <v>201900000</v>
      </c>
      <c r="AB167" s="1">
        <v>35</v>
      </c>
    </row>
    <row r="168" spans="1:28" x14ac:dyDescent="0.2">
      <c r="A168" s="1">
        <v>414</v>
      </c>
      <c r="B168" s="1" t="s">
        <v>6850</v>
      </c>
      <c r="D168" s="1" t="s">
        <v>6851</v>
      </c>
      <c r="F168" s="1" t="s">
        <v>6914</v>
      </c>
      <c r="H168" s="1" t="s">
        <v>6915</v>
      </c>
      <c r="J168" s="1" t="s">
        <v>1324</v>
      </c>
      <c r="L168" s="1" t="s">
        <v>6932</v>
      </c>
      <c r="M168" s="1" t="s">
        <v>6933</v>
      </c>
      <c r="N168" s="1" t="s">
        <v>6234</v>
      </c>
      <c r="P168" s="1" t="s">
        <v>6245</v>
      </c>
      <c r="Q168" s="3">
        <v>0</v>
      </c>
      <c r="R168" s="23" t="s">
        <v>6854</v>
      </c>
      <c r="S168" s="23" t="s">
        <v>6845</v>
      </c>
      <c r="T168" s="23" t="s">
        <v>4866</v>
      </c>
      <c r="U168" s="3">
        <v>35</v>
      </c>
      <c r="W168" s="45" t="str">
        <f>HYPERLINK("http://ictvonline.org/taxonomy/p/taxonomy-history?taxnode_id=201906913","ICTVonline=201906913")</f>
        <v>ICTVonline=201906913</v>
      </c>
      <c r="Y168" s="1" t="s">
        <v>6982</v>
      </c>
      <c r="Z168" s="1" t="s">
        <v>6983</v>
      </c>
      <c r="AA168" s="1">
        <v>201900000</v>
      </c>
      <c r="AB168" s="1">
        <v>35</v>
      </c>
    </row>
    <row r="169" spans="1:28" x14ac:dyDescent="0.2">
      <c r="A169" s="1">
        <v>418</v>
      </c>
      <c r="B169" s="1" t="s">
        <v>6850</v>
      </c>
      <c r="D169" s="1" t="s">
        <v>6851</v>
      </c>
      <c r="F169" s="1" t="s">
        <v>6914</v>
      </c>
      <c r="H169" s="1" t="s">
        <v>6915</v>
      </c>
      <c r="J169" s="1" t="s">
        <v>1324</v>
      </c>
      <c r="L169" s="1" t="s">
        <v>6932</v>
      </c>
      <c r="M169" s="1" t="s">
        <v>6933</v>
      </c>
      <c r="N169" s="1" t="s">
        <v>6984</v>
      </c>
      <c r="P169" s="1" t="s">
        <v>6985</v>
      </c>
      <c r="Q169" s="3">
        <v>1</v>
      </c>
      <c r="R169" s="23" t="s">
        <v>6854</v>
      </c>
      <c r="S169" s="23" t="s">
        <v>6849</v>
      </c>
      <c r="T169" s="23" t="s">
        <v>4864</v>
      </c>
      <c r="U169" s="3">
        <v>35</v>
      </c>
      <c r="V169" s="3" t="s">
        <v>6936</v>
      </c>
      <c r="W169" s="45" t="str">
        <f>HYPERLINK("http://ictvonline.org/taxonomy/p/taxonomy-history?taxnode_id=201908511","ICTVonline=201908511")</f>
        <v>ICTVonline=201908511</v>
      </c>
      <c r="Y169" s="1" t="s">
        <v>6986</v>
      </c>
      <c r="AA169" s="1">
        <v>201900000</v>
      </c>
      <c r="AB169" s="1">
        <v>35</v>
      </c>
    </row>
    <row r="170" spans="1:28" x14ac:dyDescent="0.2">
      <c r="A170" s="1">
        <v>424</v>
      </c>
      <c r="B170" s="1" t="s">
        <v>6850</v>
      </c>
      <c r="D170" s="1" t="s">
        <v>6851</v>
      </c>
      <c r="F170" s="1" t="s">
        <v>6914</v>
      </c>
      <c r="H170" s="1" t="s">
        <v>6915</v>
      </c>
      <c r="J170" s="1" t="s">
        <v>1324</v>
      </c>
      <c r="L170" s="1" t="s">
        <v>6932</v>
      </c>
      <c r="M170" s="1" t="s">
        <v>6987</v>
      </c>
      <c r="N170" s="1" t="s">
        <v>6988</v>
      </c>
      <c r="P170" s="1" t="s">
        <v>6989</v>
      </c>
      <c r="Q170" s="3">
        <v>1</v>
      </c>
      <c r="R170" s="23" t="s">
        <v>6854</v>
      </c>
      <c r="S170" s="23" t="s">
        <v>6849</v>
      </c>
      <c r="T170" s="23" t="s">
        <v>4864</v>
      </c>
      <c r="U170" s="3">
        <v>35</v>
      </c>
      <c r="V170" s="3" t="s">
        <v>6936</v>
      </c>
      <c r="W170" s="45" t="str">
        <f>HYPERLINK("http://ictvonline.org/taxonomy/p/taxonomy-history?taxnode_id=201908634","ICTVonline=201908634")</f>
        <v>ICTVonline=201908634</v>
      </c>
      <c r="Y170" s="1" t="s">
        <v>6990</v>
      </c>
      <c r="AA170" s="1">
        <v>201900000</v>
      </c>
      <c r="AB170" s="1">
        <v>35</v>
      </c>
    </row>
    <row r="171" spans="1:28" x14ac:dyDescent="0.2">
      <c r="A171" s="1">
        <v>428</v>
      </c>
      <c r="B171" s="1" t="s">
        <v>6850</v>
      </c>
      <c r="D171" s="1" t="s">
        <v>6851</v>
      </c>
      <c r="F171" s="1" t="s">
        <v>6914</v>
      </c>
      <c r="H171" s="1" t="s">
        <v>6915</v>
      </c>
      <c r="J171" s="1" t="s">
        <v>1324</v>
      </c>
      <c r="L171" s="1" t="s">
        <v>6932</v>
      </c>
      <c r="M171" s="1" t="s">
        <v>6987</v>
      </c>
      <c r="N171" s="1" t="s">
        <v>6991</v>
      </c>
      <c r="P171" s="1" t="s">
        <v>6992</v>
      </c>
      <c r="Q171" s="3">
        <v>1</v>
      </c>
      <c r="R171" s="23" t="s">
        <v>6854</v>
      </c>
      <c r="S171" s="23" t="s">
        <v>6849</v>
      </c>
      <c r="T171" s="23" t="s">
        <v>4864</v>
      </c>
      <c r="U171" s="3">
        <v>35</v>
      </c>
      <c r="V171" s="3" t="s">
        <v>6936</v>
      </c>
      <c r="W171" s="45" t="str">
        <f>HYPERLINK("http://ictvonline.org/taxonomy/p/taxonomy-history?taxnode_id=201908619","ICTVonline=201908619")</f>
        <v>ICTVonline=201908619</v>
      </c>
      <c r="Y171" s="1" t="s">
        <v>6993</v>
      </c>
      <c r="AA171" s="1">
        <v>201900000</v>
      </c>
      <c r="AB171" s="1">
        <v>35</v>
      </c>
    </row>
    <row r="172" spans="1:28" x14ac:dyDescent="0.2">
      <c r="A172" s="1">
        <v>430</v>
      </c>
      <c r="B172" s="1" t="s">
        <v>6850</v>
      </c>
      <c r="D172" s="1" t="s">
        <v>6851</v>
      </c>
      <c r="F172" s="1" t="s">
        <v>6914</v>
      </c>
      <c r="H172" s="1" t="s">
        <v>6915</v>
      </c>
      <c r="J172" s="1" t="s">
        <v>1324</v>
      </c>
      <c r="L172" s="1" t="s">
        <v>6932</v>
      </c>
      <c r="M172" s="1" t="s">
        <v>6987</v>
      </c>
      <c r="N172" s="1" t="s">
        <v>6991</v>
      </c>
      <c r="P172" s="1" t="s">
        <v>6994</v>
      </c>
      <c r="Q172" s="3">
        <v>0</v>
      </c>
      <c r="R172" s="23" t="s">
        <v>6854</v>
      </c>
      <c r="S172" s="23" t="s">
        <v>6849</v>
      </c>
      <c r="T172" s="23" t="s">
        <v>4864</v>
      </c>
      <c r="U172" s="3">
        <v>35</v>
      </c>
      <c r="V172" s="3" t="s">
        <v>6936</v>
      </c>
      <c r="W172" s="45" t="str">
        <f>HYPERLINK("http://ictvonline.org/taxonomy/p/taxonomy-history?taxnode_id=201908620","ICTVonline=201908620")</f>
        <v>ICTVonline=201908620</v>
      </c>
      <c r="Y172" s="1" t="s">
        <v>6995</v>
      </c>
      <c r="AA172" s="1">
        <v>201900000</v>
      </c>
      <c r="AB172" s="1">
        <v>35</v>
      </c>
    </row>
    <row r="173" spans="1:28" x14ac:dyDescent="0.2">
      <c r="A173" s="1">
        <v>432</v>
      </c>
      <c r="B173" s="1" t="s">
        <v>6850</v>
      </c>
      <c r="D173" s="1" t="s">
        <v>6851</v>
      </c>
      <c r="F173" s="1" t="s">
        <v>6914</v>
      </c>
      <c r="H173" s="1" t="s">
        <v>6915</v>
      </c>
      <c r="J173" s="1" t="s">
        <v>1324</v>
      </c>
      <c r="L173" s="1" t="s">
        <v>6932</v>
      </c>
      <c r="M173" s="1" t="s">
        <v>6987</v>
      </c>
      <c r="N173" s="1" t="s">
        <v>6991</v>
      </c>
      <c r="P173" s="1" t="s">
        <v>6996</v>
      </c>
      <c r="Q173" s="3">
        <v>0</v>
      </c>
      <c r="R173" s="23" t="s">
        <v>6854</v>
      </c>
      <c r="S173" s="23" t="s">
        <v>6849</v>
      </c>
      <c r="T173" s="23" t="s">
        <v>4864</v>
      </c>
      <c r="U173" s="3">
        <v>35</v>
      </c>
      <c r="V173" s="3" t="s">
        <v>6936</v>
      </c>
      <c r="W173" s="45" t="str">
        <f>HYPERLINK("http://ictvonline.org/taxonomy/p/taxonomy-history?taxnode_id=201908621","ICTVonline=201908621")</f>
        <v>ICTVonline=201908621</v>
      </c>
      <c r="Y173" s="1" t="s">
        <v>6997</v>
      </c>
      <c r="AA173" s="1">
        <v>201900000</v>
      </c>
      <c r="AB173" s="1">
        <v>35</v>
      </c>
    </row>
    <row r="174" spans="1:28" x14ac:dyDescent="0.2">
      <c r="A174" s="1">
        <v>436</v>
      </c>
      <c r="B174" s="1" t="s">
        <v>6850</v>
      </c>
      <c r="D174" s="1" t="s">
        <v>6851</v>
      </c>
      <c r="F174" s="1" t="s">
        <v>6914</v>
      </c>
      <c r="H174" s="1" t="s">
        <v>6915</v>
      </c>
      <c r="J174" s="1" t="s">
        <v>1324</v>
      </c>
      <c r="L174" s="1" t="s">
        <v>6932</v>
      </c>
      <c r="M174" s="1" t="s">
        <v>6987</v>
      </c>
      <c r="N174" s="1" t="s">
        <v>6998</v>
      </c>
      <c r="P174" s="1" t="s">
        <v>6999</v>
      </c>
      <c r="Q174" s="3">
        <v>1</v>
      </c>
      <c r="R174" s="23" t="s">
        <v>6854</v>
      </c>
      <c r="S174" s="23" t="s">
        <v>6849</v>
      </c>
      <c r="T174" s="23" t="s">
        <v>4864</v>
      </c>
      <c r="U174" s="3">
        <v>35</v>
      </c>
      <c r="V174" s="3" t="s">
        <v>6936</v>
      </c>
      <c r="W174" s="45" t="str">
        <f>HYPERLINK("http://ictvonline.org/taxonomy/p/taxonomy-history?taxnode_id=201908624","ICTVonline=201908624")</f>
        <v>ICTVonline=201908624</v>
      </c>
      <c r="Y174" s="1" t="s">
        <v>7000</v>
      </c>
      <c r="AA174" s="1">
        <v>201900000</v>
      </c>
      <c r="AB174" s="1">
        <v>35</v>
      </c>
    </row>
    <row r="175" spans="1:28" x14ac:dyDescent="0.2">
      <c r="A175" s="1">
        <v>438</v>
      </c>
      <c r="B175" s="1" t="s">
        <v>6850</v>
      </c>
      <c r="D175" s="1" t="s">
        <v>6851</v>
      </c>
      <c r="F175" s="1" t="s">
        <v>6914</v>
      </c>
      <c r="H175" s="1" t="s">
        <v>6915</v>
      </c>
      <c r="J175" s="1" t="s">
        <v>1324</v>
      </c>
      <c r="L175" s="1" t="s">
        <v>6932</v>
      </c>
      <c r="M175" s="1" t="s">
        <v>6987</v>
      </c>
      <c r="N175" s="1" t="s">
        <v>6998</v>
      </c>
      <c r="P175" s="1" t="s">
        <v>7001</v>
      </c>
      <c r="Q175" s="3">
        <v>0</v>
      </c>
      <c r="R175" s="23" t="s">
        <v>6854</v>
      </c>
      <c r="S175" s="23" t="s">
        <v>6849</v>
      </c>
      <c r="T175" s="23" t="s">
        <v>4864</v>
      </c>
      <c r="U175" s="3">
        <v>35</v>
      </c>
      <c r="V175" s="3" t="s">
        <v>6936</v>
      </c>
      <c r="W175" s="45" t="str">
        <f>HYPERLINK("http://ictvonline.org/taxonomy/p/taxonomy-history?taxnode_id=201908623","ICTVonline=201908623")</f>
        <v>ICTVonline=201908623</v>
      </c>
      <c r="Y175" s="1" t="s">
        <v>7002</v>
      </c>
      <c r="AA175" s="1">
        <v>201900000</v>
      </c>
      <c r="AB175" s="1">
        <v>35</v>
      </c>
    </row>
    <row r="176" spans="1:28" x14ac:dyDescent="0.2">
      <c r="A176" s="1">
        <v>442</v>
      </c>
      <c r="B176" s="1" t="s">
        <v>6850</v>
      </c>
      <c r="D176" s="1" t="s">
        <v>6851</v>
      </c>
      <c r="F176" s="1" t="s">
        <v>6914</v>
      </c>
      <c r="H176" s="1" t="s">
        <v>6915</v>
      </c>
      <c r="J176" s="1" t="s">
        <v>1324</v>
      </c>
      <c r="L176" s="1" t="s">
        <v>6932</v>
      </c>
      <c r="M176" s="1" t="s">
        <v>6987</v>
      </c>
      <c r="N176" s="1" t="s">
        <v>7003</v>
      </c>
      <c r="P176" s="1" t="s">
        <v>7004</v>
      </c>
      <c r="Q176" s="3">
        <v>1</v>
      </c>
      <c r="R176" s="23" t="s">
        <v>6854</v>
      </c>
      <c r="S176" s="23" t="s">
        <v>6849</v>
      </c>
      <c r="T176" s="23" t="s">
        <v>4864</v>
      </c>
      <c r="U176" s="3">
        <v>35</v>
      </c>
      <c r="V176" s="3" t="s">
        <v>6936</v>
      </c>
      <c r="W176" s="45" t="str">
        <f>HYPERLINK("http://ictvonline.org/taxonomy/p/taxonomy-history?taxnode_id=201908632","ICTVonline=201908632")</f>
        <v>ICTVonline=201908632</v>
      </c>
      <c r="Y176" s="1" t="s">
        <v>7005</v>
      </c>
      <c r="AA176" s="1">
        <v>201900000</v>
      </c>
      <c r="AB176" s="1">
        <v>35</v>
      </c>
    </row>
    <row r="177" spans="1:28" x14ac:dyDescent="0.2">
      <c r="A177" s="1">
        <v>446</v>
      </c>
      <c r="B177" s="1" t="s">
        <v>6850</v>
      </c>
      <c r="D177" s="1" t="s">
        <v>6851</v>
      </c>
      <c r="F177" s="1" t="s">
        <v>6914</v>
      </c>
      <c r="H177" s="1" t="s">
        <v>6915</v>
      </c>
      <c r="J177" s="1" t="s">
        <v>1324</v>
      </c>
      <c r="L177" s="1" t="s">
        <v>6932</v>
      </c>
      <c r="M177" s="1" t="s">
        <v>6987</v>
      </c>
      <c r="N177" s="1" t="s">
        <v>7006</v>
      </c>
      <c r="P177" s="1" t="s">
        <v>7007</v>
      </c>
      <c r="Q177" s="3">
        <v>0</v>
      </c>
      <c r="R177" s="23" t="s">
        <v>6854</v>
      </c>
      <c r="S177" s="23" t="s">
        <v>6849</v>
      </c>
      <c r="T177" s="23" t="s">
        <v>4864</v>
      </c>
      <c r="U177" s="3">
        <v>35</v>
      </c>
      <c r="V177" s="3" t="s">
        <v>6936</v>
      </c>
      <c r="W177" s="45" t="str">
        <f>HYPERLINK("http://ictvonline.org/taxonomy/p/taxonomy-history?taxnode_id=201908628","ICTVonline=201908628")</f>
        <v>ICTVonline=201908628</v>
      </c>
      <c r="Y177" s="1" t="s">
        <v>7008</v>
      </c>
      <c r="AA177" s="1">
        <v>201900000</v>
      </c>
      <c r="AB177" s="1">
        <v>35</v>
      </c>
    </row>
    <row r="178" spans="1:28" x14ac:dyDescent="0.2">
      <c r="A178" s="1">
        <v>448</v>
      </c>
      <c r="B178" s="1" t="s">
        <v>6850</v>
      </c>
      <c r="D178" s="1" t="s">
        <v>6851</v>
      </c>
      <c r="F178" s="1" t="s">
        <v>6914</v>
      </c>
      <c r="H178" s="1" t="s">
        <v>6915</v>
      </c>
      <c r="J178" s="1" t="s">
        <v>1324</v>
      </c>
      <c r="L178" s="1" t="s">
        <v>6932</v>
      </c>
      <c r="M178" s="1" t="s">
        <v>6987</v>
      </c>
      <c r="N178" s="1" t="s">
        <v>7006</v>
      </c>
      <c r="P178" s="1" t="s">
        <v>7009</v>
      </c>
      <c r="Q178" s="3">
        <v>0</v>
      </c>
      <c r="R178" s="23" t="s">
        <v>6854</v>
      </c>
      <c r="S178" s="23" t="s">
        <v>6849</v>
      </c>
      <c r="T178" s="23" t="s">
        <v>4864</v>
      </c>
      <c r="U178" s="3">
        <v>35</v>
      </c>
      <c r="V178" s="3" t="s">
        <v>6936</v>
      </c>
      <c r="W178" s="45" t="str">
        <f>HYPERLINK("http://ictvonline.org/taxonomy/p/taxonomy-history?taxnode_id=201908629","ICTVonline=201908629")</f>
        <v>ICTVonline=201908629</v>
      </c>
      <c r="Y178" s="1" t="s">
        <v>7010</v>
      </c>
      <c r="AA178" s="1">
        <v>201900000</v>
      </c>
      <c r="AB178" s="1">
        <v>35</v>
      </c>
    </row>
    <row r="179" spans="1:28" x14ac:dyDescent="0.2">
      <c r="A179" s="1">
        <v>450</v>
      </c>
      <c r="B179" s="1" t="s">
        <v>6850</v>
      </c>
      <c r="D179" s="1" t="s">
        <v>6851</v>
      </c>
      <c r="F179" s="1" t="s">
        <v>6914</v>
      </c>
      <c r="H179" s="1" t="s">
        <v>6915</v>
      </c>
      <c r="J179" s="1" t="s">
        <v>1324</v>
      </c>
      <c r="L179" s="1" t="s">
        <v>6932</v>
      </c>
      <c r="M179" s="1" t="s">
        <v>6987</v>
      </c>
      <c r="N179" s="1" t="s">
        <v>7006</v>
      </c>
      <c r="P179" s="1" t="s">
        <v>7011</v>
      </c>
      <c r="Q179" s="3">
        <v>0</v>
      </c>
      <c r="R179" s="23" t="s">
        <v>6854</v>
      </c>
      <c r="S179" s="23" t="s">
        <v>6849</v>
      </c>
      <c r="T179" s="23" t="s">
        <v>4864</v>
      </c>
      <c r="U179" s="3">
        <v>35</v>
      </c>
      <c r="V179" s="3" t="s">
        <v>6936</v>
      </c>
      <c r="W179" s="45" t="str">
        <f>HYPERLINK("http://ictvonline.org/taxonomy/p/taxonomy-history?taxnode_id=201908627","ICTVonline=201908627")</f>
        <v>ICTVonline=201908627</v>
      </c>
      <c r="Y179" s="1" t="s">
        <v>7012</v>
      </c>
      <c r="AA179" s="1">
        <v>201900000</v>
      </c>
      <c r="AB179" s="1">
        <v>35</v>
      </c>
    </row>
    <row r="180" spans="1:28" x14ac:dyDescent="0.2">
      <c r="A180" s="1">
        <v>452</v>
      </c>
      <c r="B180" s="1" t="s">
        <v>6850</v>
      </c>
      <c r="D180" s="1" t="s">
        <v>6851</v>
      </c>
      <c r="F180" s="1" t="s">
        <v>6914</v>
      </c>
      <c r="H180" s="1" t="s">
        <v>6915</v>
      </c>
      <c r="J180" s="1" t="s">
        <v>1324</v>
      </c>
      <c r="L180" s="1" t="s">
        <v>6932</v>
      </c>
      <c r="M180" s="1" t="s">
        <v>6987</v>
      </c>
      <c r="N180" s="1" t="s">
        <v>7006</v>
      </c>
      <c r="P180" s="1" t="s">
        <v>7013</v>
      </c>
      <c r="Q180" s="3">
        <v>0</v>
      </c>
      <c r="R180" s="23" t="s">
        <v>6854</v>
      </c>
      <c r="S180" s="23" t="s">
        <v>6849</v>
      </c>
      <c r="T180" s="23" t="s">
        <v>4864</v>
      </c>
      <c r="U180" s="3">
        <v>35</v>
      </c>
      <c r="V180" s="3" t="s">
        <v>6936</v>
      </c>
      <c r="W180" s="45" t="str">
        <f>HYPERLINK("http://ictvonline.org/taxonomy/p/taxonomy-history?taxnode_id=201908626","ICTVonline=201908626")</f>
        <v>ICTVonline=201908626</v>
      </c>
      <c r="Y180" s="1" t="s">
        <v>7014</v>
      </c>
      <c r="AA180" s="1">
        <v>201900000</v>
      </c>
      <c r="AB180" s="1">
        <v>35</v>
      </c>
    </row>
    <row r="181" spans="1:28" x14ac:dyDescent="0.2">
      <c r="A181" s="1">
        <v>454</v>
      </c>
      <c r="B181" s="1" t="s">
        <v>6850</v>
      </c>
      <c r="D181" s="1" t="s">
        <v>6851</v>
      </c>
      <c r="F181" s="1" t="s">
        <v>6914</v>
      </c>
      <c r="H181" s="1" t="s">
        <v>6915</v>
      </c>
      <c r="J181" s="1" t="s">
        <v>1324</v>
      </c>
      <c r="L181" s="1" t="s">
        <v>6932</v>
      </c>
      <c r="M181" s="1" t="s">
        <v>6987</v>
      </c>
      <c r="N181" s="1" t="s">
        <v>7006</v>
      </c>
      <c r="P181" s="1" t="s">
        <v>7015</v>
      </c>
      <c r="Q181" s="3">
        <v>1</v>
      </c>
      <c r="R181" s="23" t="s">
        <v>6854</v>
      </c>
      <c r="S181" s="23" t="s">
        <v>6849</v>
      </c>
      <c r="T181" s="23" t="s">
        <v>4864</v>
      </c>
      <c r="U181" s="3">
        <v>35</v>
      </c>
      <c r="V181" s="3" t="s">
        <v>6936</v>
      </c>
      <c r="W181" s="45" t="str">
        <f>HYPERLINK("http://ictvonline.org/taxonomy/p/taxonomy-history?taxnode_id=201908630","ICTVonline=201908630")</f>
        <v>ICTVonline=201908630</v>
      </c>
      <c r="Y181" s="1" t="s">
        <v>7016</v>
      </c>
      <c r="AA181" s="1">
        <v>201900000</v>
      </c>
      <c r="AB181" s="1">
        <v>35</v>
      </c>
    </row>
    <row r="182" spans="1:28" x14ac:dyDescent="0.2">
      <c r="A182" s="1">
        <v>460</v>
      </c>
      <c r="B182" s="1" t="s">
        <v>6850</v>
      </c>
      <c r="D182" s="1" t="s">
        <v>6851</v>
      </c>
      <c r="F182" s="1" t="s">
        <v>6914</v>
      </c>
      <c r="H182" s="1" t="s">
        <v>6915</v>
      </c>
      <c r="J182" s="1" t="s">
        <v>1324</v>
      </c>
      <c r="L182" s="1" t="s">
        <v>6932</v>
      </c>
      <c r="M182" s="1" t="s">
        <v>7017</v>
      </c>
      <c r="N182" s="1" t="s">
        <v>7018</v>
      </c>
      <c r="P182" s="1" t="s">
        <v>7019</v>
      </c>
      <c r="Q182" s="3">
        <v>1</v>
      </c>
      <c r="R182" s="23" t="s">
        <v>6854</v>
      </c>
      <c r="S182" s="23" t="s">
        <v>6849</v>
      </c>
      <c r="T182" s="23" t="s">
        <v>4864</v>
      </c>
      <c r="U182" s="3">
        <v>35</v>
      </c>
      <c r="V182" s="3" t="s">
        <v>6936</v>
      </c>
      <c r="W182" s="45" t="str">
        <f>HYPERLINK("http://ictvonline.org/taxonomy/p/taxonomy-history?taxnode_id=201908569","ICTVonline=201908569")</f>
        <v>ICTVonline=201908569</v>
      </c>
      <c r="Y182" s="1" t="s">
        <v>7020</v>
      </c>
      <c r="AA182" s="1">
        <v>201900000</v>
      </c>
      <c r="AB182" s="1">
        <v>35</v>
      </c>
    </row>
    <row r="183" spans="1:28" x14ac:dyDescent="0.2">
      <c r="A183" s="1">
        <v>464</v>
      </c>
      <c r="B183" s="1" t="s">
        <v>6850</v>
      </c>
      <c r="D183" s="1" t="s">
        <v>6851</v>
      </c>
      <c r="F183" s="1" t="s">
        <v>6914</v>
      </c>
      <c r="H183" s="1" t="s">
        <v>6915</v>
      </c>
      <c r="J183" s="1" t="s">
        <v>1324</v>
      </c>
      <c r="L183" s="1" t="s">
        <v>6932</v>
      </c>
      <c r="M183" s="1" t="s">
        <v>7017</v>
      </c>
      <c r="N183" s="1" t="s">
        <v>7021</v>
      </c>
      <c r="P183" s="1" t="s">
        <v>7022</v>
      </c>
      <c r="Q183" s="3">
        <v>1</v>
      </c>
      <c r="R183" s="23" t="s">
        <v>6854</v>
      </c>
      <c r="S183" s="23" t="s">
        <v>6849</v>
      </c>
      <c r="T183" s="23" t="s">
        <v>4864</v>
      </c>
      <c r="U183" s="3">
        <v>35</v>
      </c>
      <c r="V183" s="3" t="s">
        <v>6936</v>
      </c>
      <c r="W183" s="45" t="str">
        <f>HYPERLINK("http://ictvonline.org/taxonomy/p/taxonomy-history?taxnode_id=201908557","ICTVonline=201908557")</f>
        <v>ICTVonline=201908557</v>
      </c>
      <c r="Y183" s="1" t="s">
        <v>7023</v>
      </c>
      <c r="AA183" s="1">
        <v>201900000</v>
      </c>
      <c r="AB183" s="1">
        <v>35</v>
      </c>
    </row>
    <row r="184" spans="1:28" x14ac:dyDescent="0.2">
      <c r="A184" s="1">
        <v>466</v>
      </c>
      <c r="B184" s="1" t="s">
        <v>6850</v>
      </c>
      <c r="D184" s="1" t="s">
        <v>6851</v>
      </c>
      <c r="F184" s="1" t="s">
        <v>6914</v>
      </c>
      <c r="H184" s="1" t="s">
        <v>6915</v>
      </c>
      <c r="J184" s="1" t="s">
        <v>1324</v>
      </c>
      <c r="L184" s="1" t="s">
        <v>6932</v>
      </c>
      <c r="M184" s="1" t="s">
        <v>7017</v>
      </c>
      <c r="N184" s="1" t="s">
        <v>7021</v>
      </c>
      <c r="P184" s="1" t="s">
        <v>7024</v>
      </c>
      <c r="Q184" s="3">
        <v>0</v>
      </c>
      <c r="R184" s="23" t="s">
        <v>6854</v>
      </c>
      <c r="S184" s="23" t="s">
        <v>6849</v>
      </c>
      <c r="T184" s="23" t="s">
        <v>4864</v>
      </c>
      <c r="U184" s="3">
        <v>35</v>
      </c>
      <c r="V184" s="3" t="s">
        <v>6936</v>
      </c>
      <c r="W184" s="45" t="str">
        <f>HYPERLINK("http://ictvonline.org/taxonomy/p/taxonomy-history?taxnode_id=201908555","ICTVonline=201908555")</f>
        <v>ICTVonline=201908555</v>
      </c>
      <c r="Y184" s="1" t="s">
        <v>7025</v>
      </c>
      <c r="AA184" s="1">
        <v>201900000</v>
      </c>
      <c r="AB184" s="1">
        <v>35</v>
      </c>
    </row>
    <row r="185" spans="1:28" x14ac:dyDescent="0.2">
      <c r="A185" s="1">
        <v>468</v>
      </c>
      <c r="B185" s="1" t="s">
        <v>6850</v>
      </c>
      <c r="D185" s="1" t="s">
        <v>6851</v>
      </c>
      <c r="F185" s="1" t="s">
        <v>6914</v>
      </c>
      <c r="H185" s="1" t="s">
        <v>6915</v>
      </c>
      <c r="J185" s="1" t="s">
        <v>1324</v>
      </c>
      <c r="L185" s="1" t="s">
        <v>6932</v>
      </c>
      <c r="M185" s="1" t="s">
        <v>7017</v>
      </c>
      <c r="N185" s="1" t="s">
        <v>7021</v>
      </c>
      <c r="P185" s="1" t="s">
        <v>7026</v>
      </c>
      <c r="Q185" s="3">
        <v>0</v>
      </c>
      <c r="R185" s="23" t="s">
        <v>6854</v>
      </c>
      <c r="S185" s="23" t="s">
        <v>6849</v>
      </c>
      <c r="T185" s="23" t="s">
        <v>4864</v>
      </c>
      <c r="U185" s="3">
        <v>35</v>
      </c>
      <c r="V185" s="3" t="s">
        <v>6936</v>
      </c>
      <c r="W185" s="45" t="str">
        <f>HYPERLINK("http://ictvonline.org/taxonomy/p/taxonomy-history?taxnode_id=201908556","ICTVonline=201908556")</f>
        <v>ICTVonline=201908556</v>
      </c>
      <c r="Y185" s="1" t="s">
        <v>7027</v>
      </c>
      <c r="AA185" s="1">
        <v>201900000</v>
      </c>
      <c r="AB185" s="1">
        <v>35</v>
      </c>
    </row>
    <row r="186" spans="1:28" x14ac:dyDescent="0.2">
      <c r="A186" s="1">
        <v>472</v>
      </c>
      <c r="B186" s="1" t="s">
        <v>6850</v>
      </c>
      <c r="D186" s="1" t="s">
        <v>6851</v>
      </c>
      <c r="F186" s="1" t="s">
        <v>6914</v>
      </c>
      <c r="H186" s="1" t="s">
        <v>6915</v>
      </c>
      <c r="J186" s="1" t="s">
        <v>1324</v>
      </c>
      <c r="L186" s="1" t="s">
        <v>6932</v>
      </c>
      <c r="M186" s="1" t="s">
        <v>7017</v>
      </c>
      <c r="N186" s="1" t="s">
        <v>6248</v>
      </c>
      <c r="P186" s="1" t="s">
        <v>6249</v>
      </c>
      <c r="Q186" s="3">
        <v>0</v>
      </c>
      <c r="R186" s="23" t="s">
        <v>6854</v>
      </c>
      <c r="S186" s="23" t="s">
        <v>6845</v>
      </c>
      <c r="T186" s="23" t="s">
        <v>4866</v>
      </c>
      <c r="U186" s="3">
        <v>35</v>
      </c>
      <c r="W186" s="45" t="str">
        <f>HYPERLINK("http://ictvonline.org/taxonomy/p/taxonomy-history?taxnode_id=201906925","ICTVonline=201906925")</f>
        <v>ICTVonline=201906925</v>
      </c>
      <c r="Y186" s="1" t="s">
        <v>7028</v>
      </c>
      <c r="Z186" s="1" t="s">
        <v>7029</v>
      </c>
      <c r="AA186" s="1">
        <v>201900000</v>
      </c>
      <c r="AB186" s="1">
        <v>35</v>
      </c>
    </row>
    <row r="187" spans="1:28" x14ac:dyDescent="0.2">
      <c r="A187" s="1">
        <v>474</v>
      </c>
      <c r="B187" s="1" t="s">
        <v>6850</v>
      </c>
      <c r="D187" s="1" t="s">
        <v>6851</v>
      </c>
      <c r="F187" s="1" t="s">
        <v>6914</v>
      </c>
      <c r="H187" s="1" t="s">
        <v>6915</v>
      </c>
      <c r="J187" s="1" t="s">
        <v>1324</v>
      </c>
      <c r="L187" s="1" t="s">
        <v>6932</v>
      </c>
      <c r="M187" s="1" t="s">
        <v>7017</v>
      </c>
      <c r="N187" s="1" t="s">
        <v>6248</v>
      </c>
      <c r="P187" s="1" t="s">
        <v>7030</v>
      </c>
      <c r="Q187" s="3">
        <v>0</v>
      </c>
      <c r="R187" s="23" t="s">
        <v>6854</v>
      </c>
      <c r="S187" s="23" t="s">
        <v>6849</v>
      </c>
      <c r="T187" s="23" t="s">
        <v>4864</v>
      </c>
      <c r="U187" s="3">
        <v>35</v>
      </c>
      <c r="V187" s="3" t="s">
        <v>6936</v>
      </c>
      <c r="W187" s="45" t="str">
        <f>HYPERLINK("http://ictvonline.org/taxonomy/p/taxonomy-history?taxnode_id=201908561","ICTVonline=201908561")</f>
        <v>ICTVonline=201908561</v>
      </c>
      <c r="Y187" s="1" t="s">
        <v>7031</v>
      </c>
      <c r="AA187" s="1">
        <v>201900000</v>
      </c>
      <c r="AB187" s="1">
        <v>35</v>
      </c>
    </row>
    <row r="188" spans="1:28" x14ac:dyDescent="0.2">
      <c r="A188" s="1">
        <v>476</v>
      </c>
      <c r="B188" s="1" t="s">
        <v>6850</v>
      </c>
      <c r="D188" s="1" t="s">
        <v>6851</v>
      </c>
      <c r="F188" s="1" t="s">
        <v>6914</v>
      </c>
      <c r="H188" s="1" t="s">
        <v>6915</v>
      </c>
      <c r="J188" s="1" t="s">
        <v>1324</v>
      </c>
      <c r="L188" s="1" t="s">
        <v>6932</v>
      </c>
      <c r="M188" s="1" t="s">
        <v>7017</v>
      </c>
      <c r="N188" s="1" t="s">
        <v>6248</v>
      </c>
      <c r="P188" s="1" t="s">
        <v>6250</v>
      </c>
      <c r="Q188" s="3">
        <v>1</v>
      </c>
      <c r="R188" s="23" t="s">
        <v>6854</v>
      </c>
      <c r="S188" s="23" t="s">
        <v>6845</v>
      </c>
      <c r="T188" s="23" t="s">
        <v>4866</v>
      </c>
      <c r="U188" s="3">
        <v>35</v>
      </c>
      <c r="W188" s="45" t="str">
        <f>HYPERLINK("http://ictvonline.org/taxonomy/p/taxonomy-history?taxnode_id=201906924","ICTVonline=201906924")</f>
        <v>ICTVonline=201906924</v>
      </c>
      <c r="Y188" s="1" t="s">
        <v>7032</v>
      </c>
      <c r="Z188" s="1" t="s">
        <v>7033</v>
      </c>
      <c r="AA188" s="1">
        <v>201900000</v>
      </c>
      <c r="AB188" s="1">
        <v>35</v>
      </c>
    </row>
    <row r="189" spans="1:28" x14ac:dyDescent="0.2">
      <c r="A189" s="1">
        <v>478</v>
      </c>
      <c r="B189" s="1" t="s">
        <v>6850</v>
      </c>
      <c r="D189" s="1" t="s">
        <v>6851</v>
      </c>
      <c r="F189" s="1" t="s">
        <v>6914</v>
      </c>
      <c r="H189" s="1" t="s">
        <v>6915</v>
      </c>
      <c r="J189" s="1" t="s">
        <v>1324</v>
      </c>
      <c r="L189" s="1" t="s">
        <v>6932</v>
      </c>
      <c r="M189" s="1" t="s">
        <v>7017</v>
      </c>
      <c r="N189" s="1" t="s">
        <v>6248</v>
      </c>
      <c r="P189" s="1" t="s">
        <v>7034</v>
      </c>
      <c r="Q189" s="3">
        <v>0</v>
      </c>
      <c r="R189" s="23" t="s">
        <v>6854</v>
      </c>
      <c r="S189" s="23" t="s">
        <v>6849</v>
      </c>
      <c r="T189" s="23" t="s">
        <v>4864</v>
      </c>
      <c r="U189" s="3">
        <v>35</v>
      </c>
      <c r="V189" s="3" t="s">
        <v>6936</v>
      </c>
      <c r="W189" s="45" t="str">
        <f>HYPERLINK("http://ictvonline.org/taxonomy/p/taxonomy-history?taxnode_id=201908558","ICTVonline=201908558")</f>
        <v>ICTVonline=201908558</v>
      </c>
      <c r="Y189" s="1" t="s">
        <v>7035</v>
      </c>
      <c r="AA189" s="1">
        <v>201900000</v>
      </c>
      <c r="AB189" s="1">
        <v>35</v>
      </c>
    </row>
    <row r="190" spans="1:28" x14ac:dyDescent="0.2">
      <c r="A190" s="1">
        <v>480</v>
      </c>
      <c r="B190" s="1" t="s">
        <v>6850</v>
      </c>
      <c r="D190" s="1" t="s">
        <v>6851</v>
      </c>
      <c r="F190" s="1" t="s">
        <v>6914</v>
      </c>
      <c r="H190" s="1" t="s">
        <v>6915</v>
      </c>
      <c r="J190" s="1" t="s">
        <v>1324</v>
      </c>
      <c r="L190" s="1" t="s">
        <v>6932</v>
      </c>
      <c r="M190" s="1" t="s">
        <v>7017</v>
      </c>
      <c r="N190" s="1" t="s">
        <v>6248</v>
      </c>
      <c r="P190" s="1" t="s">
        <v>7036</v>
      </c>
      <c r="Q190" s="3">
        <v>0</v>
      </c>
      <c r="R190" s="23" t="s">
        <v>6854</v>
      </c>
      <c r="S190" s="23" t="s">
        <v>6849</v>
      </c>
      <c r="T190" s="23" t="s">
        <v>4864</v>
      </c>
      <c r="U190" s="3">
        <v>35</v>
      </c>
      <c r="V190" s="3" t="s">
        <v>6936</v>
      </c>
      <c r="W190" s="45" t="str">
        <f>HYPERLINK("http://ictvonline.org/taxonomy/p/taxonomy-history?taxnode_id=201908562","ICTVonline=201908562")</f>
        <v>ICTVonline=201908562</v>
      </c>
      <c r="Y190" s="1" t="s">
        <v>7037</v>
      </c>
      <c r="AA190" s="1">
        <v>201900000</v>
      </c>
      <c r="AB190" s="1">
        <v>35</v>
      </c>
    </row>
    <row r="191" spans="1:28" x14ac:dyDescent="0.2">
      <c r="A191" s="1">
        <v>482</v>
      </c>
      <c r="B191" s="1" t="s">
        <v>6850</v>
      </c>
      <c r="D191" s="1" t="s">
        <v>6851</v>
      </c>
      <c r="F191" s="1" t="s">
        <v>6914</v>
      </c>
      <c r="H191" s="1" t="s">
        <v>6915</v>
      </c>
      <c r="J191" s="1" t="s">
        <v>1324</v>
      </c>
      <c r="L191" s="1" t="s">
        <v>6932</v>
      </c>
      <c r="M191" s="1" t="s">
        <v>7017</v>
      </c>
      <c r="N191" s="1" t="s">
        <v>6248</v>
      </c>
      <c r="P191" s="1" t="s">
        <v>7038</v>
      </c>
      <c r="Q191" s="3">
        <v>0</v>
      </c>
      <c r="R191" s="23" t="s">
        <v>6854</v>
      </c>
      <c r="S191" s="23" t="s">
        <v>6849</v>
      </c>
      <c r="T191" s="23" t="s">
        <v>4864</v>
      </c>
      <c r="U191" s="3">
        <v>35</v>
      </c>
      <c r="V191" s="3" t="s">
        <v>6936</v>
      </c>
      <c r="W191" s="45" t="str">
        <f>HYPERLINK("http://ictvonline.org/taxonomy/p/taxonomy-history?taxnode_id=201908563","ICTVonline=201908563")</f>
        <v>ICTVonline=201908563</v>
      </c>
      <c r="Y191" s="1" t="s">
        <v>7039</v>
      </c>
      <c r="AA191" s="1">
        <v>201900000</v>
      </c>
      <c r="AB191" s="1">
        <v>35</v>
      </c>
    </row>
    <row r="192" spans="1:28" x14ac:dyDescent="0.2">
      <c r="A192" s="1">
        <v>484</v>
      </c>
      <c r="B192" s="1" t="s">
        <v>6850</v>
      </c>
      <c r="D192" s="1" t="s">
        <v>6851</v>
      </c>
      <c r="F192" s="1" t="s">
        <v>6914</v>
      </c>
      <c r="H192" s="1" t="s">
        <v>6915</v>
      </c>
      <c r="J192" s="1" t="s">
        <v>1324</v>
      </c>
      <c r="L192" s="1" t="s">
        <v>6932</v>
      </c>
      <c r="M192" s="1" t="s">
        <v>7017</v>
      </c>
      <c r="N192" s="1" t="s">
        <v>6248</v>
      </c>
      <c r="P192" s="1" t="s">
        <v>7040</v>
      </c>
      <c r="Q192" s="3">
        <v>0</v>
      </c>
      <c r="R192" s="23" t="s">
        <v>6854</v>
      </c>
      <c r="S192" s="23" t="s">
        <v>6849</v>
      </c>
      <c r="T192" s="23" t="s">
        <v>4864</v>
      </c>
      <c r="U192" s="3">
        <v>35</v>
      </c>
      <c r="V192" s="3" t="s">
        <v>6936</v>
      </c>
      <c r="W192" s="45" t="str">
        <f>HYPERLINK("http://ictvonline.org/taxonomy/p/taxonomy-history?taxnode_id=201908559","ICTVonline=201908559")</f>
        <v>ICTVonline=201908559</v>
      </c>
      <c r="Y192" s="1" t="s">
        <v>7041</v>
      </c>
      <c r="AA192" s="1">
        <v>201900000</v>
      </c>
      <c r="AB192" s="1">
        <v>35</v>
      </c>
    </row>
    <row r="193" spans="1:28" x14ac:dyDescent="0.2">
      <c r="A193" s="1">
        <v>486</v>
      </c>
      <c r="B193" s="1" t="s">
        <v>6850</v>
      </c>
      <c r="D193" s="1" t="s">
        <v>6851</v>
      </c>
      <c r="F193" s="1" t="s">
        <v>6914</v>
      </c>
      <c r="H193" s="1" t="s">
        <v>6915</v>
      </c>
      <c r="J193" s="1" t="s">
        <v>1324</v>
      </c>
      <c r="L193" s="1" t="s">
        <v>6932</v>
      </c>
      <c r="M193" s="1" t="s">
        <v>7017</v>
      </c>
      <c r="N193" s="1" t="s">
        <v>6248</v>
      </c>
      <c r="P193" s="1" t="s">
        <v>7042</v>
      </c>
      <c r="Q193" s="3">
        <v>0</v>
      </c>
      <c r="R193" s="23" t="s">
        <v>6854</v>
      </c>
      <c r="S193" s="23" t="s">
        <v>6849</v>
      </c>
      <c r="T193" s="23" t="s">
        <v>4864</v>
      </c>
      <c r="U193" s="3">
        <v>35</v>
      </c>
      <c r="V193" s="3" t="s">
        <v>6936</v>
      </c>
      <c r="W193" s="45" t="str">
        <f>HYPERLINK("http://ictvonline.org/taxonomy/p/taxonomy-history?taxnode_id=201908560","ICTVonline=201908560")</f>
        <v>ICTVonline=201908560</v>
      </c>
      <c r="Y193" s="1" t="s">
        <v>7043</v>
      </c>
      <c r="AA193" s="1">
        <v>201900000</v>
      </c>
      <c r="AB193" s="1">
        <v>35</v>
      </c>
    </row>
    <row r="194" spans="1:28" x14ac:dyDescent="0.2">
      <c r="A194" s="1">
        <v>488</v>
      </c>
      <c r="B194" s="1" t="s">
        <v>6850</v>
      </c>
      <c r="D194" s="1" t="s">
        <v>6851</v>
      </c>
      <c r="F194" s="1" t="s">
        <v>6914</v>
      </c>
      <c r="H194" s="1" t="s">
        <v>6915</v>
      </c>
      <c r="J194" s="1" t="s">
        <v>1324</v>
      </c>
      <c r="L194" s="1" t="s">
        <v>6932</v>
      </c>
      <c r="M194" s="1" t="s">
        <v>7017</v>
      </c>
      <c r="N194" s="1" t="s">
        <v>6248</v>
      </c>
      <c r="P194" s="1" t="s">
        <v>6251</v>
      </c>
      <c r="Q194" s="3">
        <v>0</v>
      </c>
      <c r="R194" s="23" t="s">
        <v>6854</v>
      </c>
      <c r="S194" s="23" t="s">
        <v>6845</v>
      </c>
      <c r="T194" s="23" t="s">
        <v>4866</v>
      </c>
      <c r="U194" s="3">
        <v>35</v>
      </c>
      <c r="W194" s="45" t="str">
        <f>HYPERLINK("http://ictvonline.org/taxonomy/p/taxonomy-history?taxnode_id=201906926","ICTVonline=201906926")</f>
        <v>ICTVonline=201906926</v>
      </c>
      <c r="Y194" s="1" t="s">
        <v>7044</v>
      </c>
      <c r="Z194" s="1" t="s">
        <v>7045</v>
      </c>
      <c r="AA194" s="1">
        <v>201900000</v>
      </c>
      <c r="AB194" s="1">
        <v>35</v>
      </c>
    </row>
    <row r="195" spans="1:28" x14ac:dyDescent="0.2">
      <c r="A195" s="1">
        <v>490</v>
      </c>
      <c r="B195" s="1" t="s">
        <v>6850</v>
      </c>
      <c r="D195" s="1" t="s">
        <v>6851</v>
      </c>
      <c r="F195" s="1" t="s">
        <v>6914</v>
      </c>
      <c r="H195" s="1" t="s">
        <v>6915</v>
      </c>
      <c r="J195" s="1" t="s">
        <v>1324</v>
      </c>
      <c r="L195" s="1" t="s">
        <v>6932</v>
      </c>
      <c r="M195" s="1" t="s">
        <v>7017</v>
      </c>
      <c r="N195" s="1" t="s">
        <v>6248</v>
      </c>
      <c r="P195" s="1" t="s">
        <v>7046</v>
      </c>
      <c r="Q195" s="3">
        <v>0</v>
      </c>
      <c r="R195" s="23" t="s">
        <v>6854</v>
      </c>
      <c r="S195" s="23" t="s">
        <v>6849</v>
      </c>
      <c r="T195" s="23" t="s">
        <v>4864</v>
      </c>
      <c r="U195" s="3">
        <v>35</v>
      </c>
      <c r="V195" s="3" t="s">
        <v>6936</v>
      </c>
      <c r="W195" s="45" t="str">
        <f>HYPERLINK("http://ictvonline.org/taxonomy/p/taxonomy-history?taxnode_id=201908564","ICTVonline=201908564")</f>
        <v>ICTVonline=201908564</v>
      </c>
      <c r="Y195" s="1" t="s">
        <v>7047</v>
      </c>
      <c r="AA195" s="1">
        <v>201900000</v>
      </c>
      <c r="AB195" s="1">
        <v>35</v>
      </c>
    </row>
    <row r="196" spans="1:28" x14ac:dyDescent="0.2">
      <c r="A196" s="1">
        <v>492</v>
      </c>
      <c r="B196" s="1" t="s">
        <v>6850</v>
      </c>
      <c r="D196" s="1" t="s">
        <v>6851</v>
      </c>
      <c r="F196" s="1" t="s">
        <v>6914</v>
      </c>
      <c r="H196" s="1" t="s">
        <v>6915</v>
      </c>
      <c r="J196" s="1" t="s">
        <v>1324</v>
      </c>
      <c r="L196" s="1" t="s">
        <v>6932</v>
      </c>
      <c r="M196" s="1" t="s">
        <v>7017</v>
      </c>
      <c r="N196" s="1" t="s">
        <v>6248</v>
      </c>
      <c r="P196" s="1" t="s">
        <v>6252</v>
      </c>
      <c r="Q196" s="3">
        <v>0</v>
      </c>
      <c r="R196" s="23" t="s">
        <v>6854</v>
      </c>
      <c r="S196" s="23" t="s">
        <v>6845</v>
      </c>
      <c r="T196" s="23" t="s">
        <v>4866</v>
      </c>
      <c r="U196" s="3">
        <v>35</v>
      </c>
      <c r="W196" s="45" t="str">
        <f>HYPERLINK("http://ictvonline.org/taxonomy/p/taxonomy-history?taxnode_id=201906927","ICTVonline=201906927")</f>
        <v>ICTVonline=201906927</v>
      </c>
      <c r="Y196" s="1" t="s">
        <v>7048</v>
      </c>
      <c r="Z196" s="1" t="s">
        <v>7049</v>
      </c>
      <c r="AA196" s="1">
        <v>201900000</v>
      </c>
      <c r="AB196" s="1">
        <v>35</v>
      </c>
    </row>
    <row r="197" spans="1:28" x14ac:dyDescent="0.2">
      <c r="A197" s="1">
        <v>494</v>
      </c>
      <c r="B197" s="1" t="s">
        <v>6850</v>
      </c>
      <c r="D197" s="1" t="s">
        <v>6851</v>
      </c>
      <c r="F197" s="1" t="s">
        <v>6914</v>
      </c>
      <c r="H197" s="1" t="s">
        <v>6915</v>
      </c>
      <c r="J197" s="1" t="s">
        <v>1324</v>
      </c>
      <c r="L197" s="1" t="s">
        <v>6932</v>
      </c>
      <c r="M197" s="1" t="s">
        <v>7017</v>
      </c>
      <c r="N197" s="1" t="s">
        <v>6248</v>
      </c>
      <c r="P197" s="1" t="s">
        <v>7050</v>
      </c>
      <c r="Q197" s="3">
        <v>0</v>
      </c>
      <c r="R197" s="23" t="s">
        <v>6854</v>
      </c>
      <c r="S197" s="23" t="s">
        <v>6849</v>
      </c>
      <c r="T197" s="23" t="s">
        <v>4864</v>
      </c>
      <c r="U197" s="3">
        <v>35</v>
      </c>
      <c r="V197" s="3" t="s">
        <v>6936</v>
      </c>
      <c r="W197" s="45" t="str">
        <f>HYPERLINK("http://ictvonline.org/taxonomy/p/taxonomy-history?taxnode_id=201908565","ICTVonline=201908565")</f>
        <v>ICTVonline=201908565</v>
      </c>
      <c r="Y197" s="1" t="s">
        <v>7051</v>
      </c>
      <c r="AA197" s="1">
        <v>201900000</v>
      </c>
      <c r="AB197" s="1">
        <v>35</v>
      </c>
    </row>
    <row r="198" spans="1:28" x14ac:dyDescent="0.2">
      <c r="A198" s="1">
        <v>498</v>
      </c>
      <c r="B198" s="1" t="s">
        <v>6850</v>
      </c>
      <c r="D198" s="1" t="s">
        <v>6851</v>
      </c>
      <c r="F198" s="1" t="s">
        <v>6914</v>
      </c>
      <c r="H198" s="1" t="s">
        <v>6915</v>
      </c>
      <c r="J198" s="1" t="s">
        <v>1324</v>
      </c>
      <c r="L198" s="1" t="s">
        <v>6932</v>
      </c>
      <c r="M198" s="1" t="s">
        <v>7017</v>
      </c>
      <c r="N198" s="1" t="s">
        <v>7052</v>
      </c>
      <c r="P198" s="1" t="s">
        <v>7053</v>
      </c>
      <c r="Q198" s="3">
        <v>1</v>
      </c>
      <c r="R198" s="23" t="s">
        <v>6854</v>
      </c>
      <c r="S198" s="23" t="s">
        <v>6849</v>
      </c>
      <c r="T198" s="23" t="s">
        <v>4864</v>
      </c>
      <c r="U198" s="3">
        <v>35</v>
      </c>
      <c r="V198" s="3" t="s">
        <v>6936</v>
      </c>
      <c r="W198" s="45" t="str">
        <f>HYPERLINK("http://ictvonline.org/taxonomy/p/taxonomy-history?taxnode_id=201908567","ICTVonline=201908567")</f>
        <v>ICTVonline=201908567</v>
      </c>
      <c r="Y198" s="1" t="s">
        <v>7054</v>
      </c>
      <c r="AA198" s="1">
        <v>201900000</v>
      </c>
      <c r="AB198" s="1">
        <v>35</v>
      </c>
    </row>
    <row r="199" spans="1:28" x14ac:dyDescent="0.2">
      <c r="A199" s="1">
        <v>504</v>
      </c>
      <c r="B199" s="1" t="s">
        <v>6850</v>
      </c>
      <c r="D199" s="1" t="s">
        <v>6851</v>
      </c>
      <c r="F199" s="1" t="s">
        <v>6914</v>
      </c>
      <c r="H199" s="1" t="s">
        <v>6915</v>
      </c>
      <c r="J199" s="1" t="s">
        <v>1324</v>
      </c>
      <c r="L199" s="1" t="s">
        <v>6932</v>
      </c>
      <c r="M199" s="1" t="s">
        <v>7055</v>
      </c>
      <c r="N199" s="1" t="s">
        <v>7056</v>
      </c>
      <c r="P199" s="1" t="s">
        <v>7057</v>
      </c>
      <c r="Q199" s="3">
        <v>1</v>
      </c>
      <c r="R199" s="23" t="s">
        <v>6854</v>
      </c>
      <c r="S199" s="23" t="s">
        <v>6849</v>
      </c>
      <c r="T199" s="23" t="s">
        <v>4864</v>
      </c>
      <c r="U199" s="3">
        <v>35</v>
      </c>
      <c r="V199" s="3" t="s">
        <v>6936</v>
      </c>
      <c r="W199" s="45" t="str">
        <f>HYPERLINK("http://ictvonline.org/taxonomy/p/taxonomy-history?taxnode_id=201908534","ICTVonline=201908534")</f>
        <v>ICTVonline=201908534</v>
      </c>
      <c r="Y199" s="1" t="s">
        <v>7058</v>
      </c>
      <c r="AA199" s="1">
        <v>201900000</v>
      </c>
      <c r="AB199" s="1">
        <v>35</v>
      </c>
    </row>
    <row r="200" spans="1:28" x14ac:dyDescent="0.2">
      <c r="A200" s="1">
        <v>508</v>
      </c>
      <c r="B200" s="1" t="s">
        <v>6850</v>
      </c>
      <c r="D200" s="1" t="s">
        <v>6851</v>
      </c>
      <c r="F200" s="1" t="s">
        <v>6914</v>
      </c>
      <c r="H200" s="1" t="s">
        <v>6915</v>
      </c>
      <c r="J200" s="1" t="s">
        <v>1324</v>
      </c>
      <c r="L200" s="1" t="s">
        <v>6932</v>
      </c>
      <c r="M200" s="1" t="s">
        <v>7055</v>
      </c>
      <c r="N200" s="1" t="s">
        <v>2944</v>
      </c>
      <c r="P200" s="1" t="s">
        <v>7059</v>
      </c>
      <c r="Q200" s="3">
        <v>0</v>
      </c>
      <c r="R200" s="23" t="s">
        <v>6854</v>
      </c>
      <c r="S200" s="23" t="s">
        <v>6849</v>
      </c>
      <c r="T200" s="23" t="s">
        <v>4864</v>
      </c>
      <c r="U200" s="3">
        <v>35</v>
      </c>
      <c r="V200" s="3" t="s">
        <v>6936</v>
      </c>
      <c r="W200" s="45" t="str">
        <f>HYPERLINK("http://ictvonline.org/taxonomy/p/taxonomy-history?taxnode_id=201908528","ICTVonline=201908528")</f>
        <v>ICTVonline=201908528</v>
      </c>
      <c r="Y200" s="1" t="s">
        <v>7060</v>
      </c>
      <c r="AA200" s="1">
        <v>201900000</v>
      </c>
      <c r="AB200" s="1">
        <v>35</v>
      </c>
    </row>
    <row r="201" spans="1:28" x14ac:dyDescent="0.2">
      <c r="A201" s="1">
        <v>510</v>
      </c>
      <c r="B201" s="1" t="s">
        <v>6850</v>
      </c>
      <c r="D201" s="1" t="s">
        <v>6851</v>
      </c>
      <c r="F201" s="1" t="s">
        <v>6914</v>
      </c>
      <c r="H201" s="1" t="s">
        <v>6915</v>
      </c>
      <c r="J201" s="1" t="s">
        <v>1324</v>
      </c>
      <c r="L201" s="1" t="s">
        <v>6932</v>
      </c>
      <c r="M201" s="1" t="s">
        <v>7055</v>
      </c>
      <c r="N201" s="1" t="s">
        <v>2944</v>
      </c>
      <c r="P201" s="1" t="s">
        <v>7061</v>
      </c>
      <c r="Q201" s="3">
        <v>0</v>
      </c>
      <c r="R201" s="23" t="s">
        <v>6854</v>
      </c>
      <c r="S201" s="23" t="s">
        <v>6849</v>
      </c>
      <c r="T201" s="23" t="s">
        <v>4864</v>
      </c>
      <c r="U201" s="3">
        <v>35</v>
      </c>
      <c r="V201" s="3" t="s">
        <v>6936</v>
      </c>
      <c r="W201" s="45" t="str">
        <f>HYPERLINK("http://ictvonline.org/taxonomy/p/taxonomy-history?taxnode_id=201908527","ICTVonline=201908527")</f>
        <v>ICTVonline=201908527</v>
      </c>
      <c r="Y201" s="1" t="s">
        <v>7062</v>
      </c>
      <c r="AA201" s="1">
        <v>201900000</v>
      </c>
      <c r="AB201" s="1">
        <v>35</v>
      </c>
    </row>
    <row r="202" spans="1:28" x14ac:dyDescent="0.2">
      <c r="A202" s="1">
        <v>512</v>
      </c>
      <c r="B202" s="1" t="s">
        <v>6850</v>
      </c>
      <c r="D202" s="1" t="s">
        <v>6851</v>
      </c>
      <c r="F202" s="1" t="s">
        <v>6914</v>
      </c>
      <c r="H202" s="1" t="s">
        <v>6915</v>
      </c>
      <c r="J202" s="1" t="s">
        <v>1324</v>
      </c>
      <c r="L202" s="1" t="s">
        <v>6932</v>
      </c>
      <c r="M202" s="1" t="s">
        <v>7055</v>
      </c>
      <c r="N202" s="1" t="s">
        <v>2944</v>
      </c>
      <c r="P202" s="1" t="s">
        <v>7063</v>
      </c>
      <c r="Q202" s="3">
        <v>0</v>
      </c>
      <c r="R202" s="23" t="s">
        <v>6854</v>
      </c>
      <c r="S202" s="23" t="s">
        <v>6849</v>
      </c>
      <c r="T202" s="23" t="s">
        <v>4864</v>
      </c>
      <c r="U202" s="3">
        <v>35</v>
      </c>
      <c r="V202" s="3" t="s">
        <v>6936</v>
      </c>
      <c r="W202" s="45" t="str">
        <f>HYPERLINK("http://ictvonline.org/taxonomy/p/taxonomy-history?taxnode_id=201908526","ICTVonline=201908526")</f>
        <v>ICTVonline=201908526</v>
      </c>
      <c r="Y202" s="1" t="s">
        <v>7064</v>
      </c>
      <c r="AA202" s="1">
        <v>201900000</v>
      </c>
      <c r="AB202" s="1">
        <v>35</v>
      </c>
    </row>
    <row r="203" spans="1:28" x14ac:dyDescent="0.2">
      <c r="A203" s="1">
        <v>514</v>
      </c>
      <c r="B203" s="1" t="s">
        <v>6850</v>
      </c>
      <c r="D203" s="1" t="s">
        <v>6851</v>
      </c>
      <c r="F203" s="1" t="s">
        <v>6914</v>
      </c>
      <c r="H203" s="1" t="s">
        <v>6915</v>
      </c>
      <c r="J203" s="1" t="s">
        <v>1324</v>
      </c>
      <c r="L203" s="1" t="s">
        <v>6932</v>
      </c>
      <c r="M203" s="1" t="s">
        <v>7055</v>
      </c>
      <c r="N203" s="1" t="s">
        <v>2944</v>
      </c>
      <c r="P203" s="1" t="s">
        <v>7065</v>
      </c>
      <c r="Q203" s="3">
        <v>0</v>
      </c>
      <c r="R203" s="23" t="s">
        <v>6854</v>
      </c>
      <c r="S203" s="23" t="s">
        <v>6849</v>
      </c>
      <c r="T203" s="23" t="s">
        <v>4864</v>
      </c>
      <c r="U203" s="3">
        <v>35</v>
      </c>
      <c r="V203" s="3" t="s">
        <v>6936</v>
      </c>
      <c r="W203" s="45" t="str">
        <f>HYPERLINK("http://ictvonline.org/taxonomy/p/taxonomy-history?taxnode_id=201908522","ICTVonline=201908522")</f>
        <v>ICTVonline=201908522</v>
      </c>
      <c r="Y203" s="1" t="s">
        <v>7066</v>
      </c>
      <c r="AA203" s="1">
        <v>201900000</v>
      </c>
      <c r="AB203" s="1">
        <v>35</v>
      </c>
    </row>
    <row r="204" spans="1:28" x14ac:dyDescent="0.2">
      <c r="A204" s="1">
        <v>516</v>
      </c>
      <c r="B204" s="1" t="s">
        <v>6850</v>
      </c>
      <c r="D204" s="1" t="s">
        <v>6851</v>
      </c>
      <c r="F204" s="1" t="s">
        <v>6914</v>
      </c>
      <c r="H204" s="1" t="s">
        <v>6915</v>
      </c>
      <c r="J204" s="1" t="s">
        <v>1324</v>
      </c>
      <c r="L204" s="1" t="s">
        <v>6932</v>
      </c>
      <c r="M204" s="1" t="s">
        <v>7055</v>
      </c>
      <c r="N204" s="1" t="s">
        <v>2944</v>
      </c>
      <c r="P204" s="1" t="s">
        <v>7067</v>
      </c>
      <c r="Q204" s="3">
        <v>0</v>
      </c>
      <c r="R204" s="23" t="s">
        <v>6854</v>
      </c>
      <c r="S204" s="23" t="s">
        <v>6849</v>
      </c>
      <c r="T204" s="23" t="s">
        <v>4864</v>
      </c>
      <c r="U204" s="3">
        <v>35</v>
      </c>
      <c r="V204" s="3" t="s">
        <v>6936</v>
      </c>
      <c r="W204" s="45" t="str">
        <f>HYPERLINK("http://ictvonline.org/taxonomy/p/taxonomy-history?taxnode_id=201908523","ICTVonline=201908523")</f>
        <v>ICTVonline=201908523</v>
      </c>
      <c r="Y204" s="1" t="s">
        <v>7068</v>
      </c>
      <c r="AA204" s="1">
        <v>201900000</v>
      </c>
      <c r="AB204" s="1">
        <v>35</v>
      </c>
    </row>
    <row r="205" spans="1:28" x14ac:dyDescent="0.2">
      <c r="A205" s="1">
        <v>518</v>
      </c>
      <c r="B205" s="1" t="s">
        <v>6850</v>
      </c>
      <c r="D205" s="1" t="s">
        <v>6851</v>
      </c>
      <c r="F205" s="1" t="s">
        <v>6914</v>
      </c>
      <c r="H205" s="1" t="s">
        <v>6915</v>
      </c>
      <c r="J205" s="1" t="s">
        <v>1324</v>
      </c>
      <c r="L205" s="1" t="s">
        <v>6932</v>
      </c>
      <c r="M205" s="1" t="s">
        <v>7055</v>
      </c>
      <c r="N205" s="1" t="s">
        <v>2944</v>
      </c>
      <c r="P205" s="1" t="s">
        <v>7069</v>
      </c>
      <c r="Q205" s="3">
        <v>0</v>
      </c>
      <c r="R205" s="23" t="s">
        <v>6854</v>
      </c>
      <c r="S205" s="23" t="s">
        <v>6849</v>
      </c>
      <c r="T205" s="23" t="s">
        <v>4864</v>
      </c>
      <c r="U205" s="3">
        <v>35</v>
      </c>
      <c r="V205" s="3" t="s">
        <v>6936</v>
      </c>
      <c r="W205" s="45" t="str">
        <f>HYPERLINK("http://ictvonline.org/taxonomy/p/taxonomy-history?taxnode_id=201908519","ICTVonline=201908519")</f>
        <v>ICTVonline=201908519</v>
      </c>
      <c r="Y205" s="1" t="s">
        <v>7070</v>
      </c>
      <c r="AA205" s="1">
        <v>201900000</v>
      </c>
      <c r="AB205" s="1">
        <v>35</v>
      </c>
    </row>
    <row r="206" spans="1:28" x14ac:dyDescent="0.2">
      <c r="A206" s="1">
        <v>520</v>
      </c>
      <c r="B206" s="1" t="s">
        <v>6850</v>
      </c>
      <c r="D206" s="1" t="s">
        <v>6851</v>
      </c>
      <c r="F206" s="1" t="s">
        <v>6914</v>
      </c>
      <c r="H206" s="1" t="s">
        <v>6915</v>
      </c>
      <c r="J206" s="1" t="s">
        <v>1324</v>
      </c>
      <c r="L206" s="1" t="s">
        <v>6932</v>
      </c>
      <c r="M206" s="1" t="s">
        <v>7055</v>
      </c>
      <c r="N206" s="1" t="s">
        <v>2944</v>
      </c>
      <c r="P206" s="1" t="s">
        <v>7071</v>
      </c>
      <c r="Q206" s="3">
        <v>0</v>
      </c>
      <c r="R206" s="23" t="s">
        <v>6854</v>
      </c>
      <c r="S206" s="23" t="s">
        <v>6849</v>
      </c>
      <c r="T206" s="23" t="s">
        <v>4864</v>
      </c>
      <c r="U206" s="3">
        <v>35</v>
      </c>
      <c r="V206" s="3" t="s">
        <v>6936</v>
      </c>
      <c r="W206" s="45" t="str">
        <f>HYPERLINK("http://ictvonline.org/taxonomy/p/taxonomy-history?taxnode_id=201908515","ICTVonline=201908515")</f>
        <v>ICTVonline=201908515</v>
      </c>
      <c r="Y206" s="1" t="s">
        <v>7072</v>
      </c>
      <c r="AA206" s="1">
        <v>201900000</v>
      </c>
      <c r="AB206" s="1">
        <v>35</v>
      </c>
    </row>
    <row r="207" spans="1:28" x14ac:dyDescent="0.2">
      <c r="A207" s="1">
        <v>522</v>
      </c>
      <c r="B207" s="1" t="s">
        <v>6850</v>
      </c>
      <c r="D207" s="1" t="s">
        <v>6851</v>
      </c>
      <c r="F207" s="1" t="s">
        <v>6914</v>
      </c>
      <c r="H207" s="1" t="s">
        <v>6915</v>
      </c>
      <c r="J207" s="1" t="s">
        <v>1324</v>
      </c>
      <c r="L207" s="1" t="s">
        <v>6932</v>
      </c>
      <c r="M207" s="1" t="s">
        <v>7055</v>
      </c>
      <c r="N207" s="1" t="s">
        <v>2944</v>
      </c>
      <c r="P207" s="1" t="s">
        <v>7073</v>
      </c>
      <c r="Q207" s="3">
        <v>0</v>
      </c>
      <c r="R207" s="23" t="s">
        <v>6854</v>
      </c>
      <c r="S207" s="23" t="s">
        <v>6849</v>
      </c>
      <c r="T207" s="23" t="s">
        <v>4864</v>
      </c>
      <c r="U207" s="3">
        <v>35</v>
      </c>
      <c r="V207" s="3" t="s">
        <v>6936</v>
      </c>
      <c r="W207" s="45" t="str">
        <f>HYPERLINK("http://ictvonline.org/taxonomy/p/taxonomy-history?taxnode_id=201908516","ICTVonline=201908516")</f>
        <v>ICTVonline=201908516</v>
      </c>
      <c r="Y207" s="1" t="s">
        <v>7074</v>
      </c>
      <c r="AA207" s="1">
        <v>201900000</v>
      </c>
      <c r="AB207" s="1">
        <v>35</v>
      </c>
    </row>
    <row r="208" spans="1:28" x14ac:dyDescent="0.2">
      <c r="A208" s="1">
        <v>524</v>
      </c>
      <c r="B208" s="1" t="s">
        <v>6850</v>
      </c>
      <c r="D208" s="1" t="s">
        <v>6851</v>
      </c>
      <c r="F208" s="1" t="s">
        <v>6914</v>
      </c>
      <c r="H208" s="1" t="s">
        <v>6915</v>
      </c>
      <c r="J208" s="1" t="s">
        <v>1324</v>
      </c>
      <c r="L208" s="1" t="s">
        <v>6932</v>
      </c>
      <c r="M208" s="1" t="s">
        <v>7055</v>
      </c>
      <c r="N208" s="1" t="s">
        <v>2944</v>
      </c>
      <c r="P208" s="1" t="s">
        <v>7075</v>
      </c>
      <c r="Q208" s="3">
        <v>0</v>
      </c>
      <c r="R208" s="23" t="s">
        <v>6854</v>
      </c>
      <c r="S208" s="23" t="s">
        <v>6849</v>
      </c>
      <c r="T208" s="23" t="s">
        <v>4864</v>
      </c>
      <c r="U208" s="3">
        <v>35</v>
      </c>
      <c r="V208" s="3" t="s">
        <v>6936</v>
      </c>
      <c r="W208" s="45" t="str">
        <f>HYPERLINK("http://ictvonline.org/taxonomy/p/taxonomy-history?taxnode_id=201908521","ICTVonline=201908521")</f>
        <v>ICTVonline=201908521</v>
      </c>
      <c r="Y208" s="1" t="s">
        <v>7076</v>
      </c>
      <c r="AA208" s="1">
        <v>201900000</v>
      </c>
      <c r="AB208" s="1">
        <v>35</v>
      </c>
    </row>
    <row r="209" spans="1:28" x14ac:dyDescent="0.2">
      <c r="A209" s="1">
        <v>526</v>
      </c>
      <c r="B209" s="1" t="s">
        <v>6850</v>
      </c>
      <c r="D209" s="1" t="s">
        <v>6851</v>
      </c>
      <c r="F209" s="1" t="s">
        <v>6914</v>
      </c>
      <c r="H209" s="1" t="s">
        <v>6915</v>
      </c>
      <c r="J209" s="1" t="s">
        <v>1324</v>
      </c>
      <c r="L209" s="1" t="s">
        <v>6932</v>
      </c>
      <c r="M209" s="1" t="s">
        <v>7055</v>
      </c>
      <c r="N209" s="1" t="s">
        <v>2944</v>
      </c>
      <c r="P209" s="1" t="s">
        <v>7077</v>
      </c>
      <c r="Q209" s="3">
        <v>0</v>
      </c>
      <c r="R209" s="23" t="s">
        <v>6854</v>
      </c>
      <c r="S209" s="23" t="s">
        <v>6849</v>
      </c>
      <c r="T209" s="23" t="s">
        <v>4864</v>
      </c>
      <c r="U209" s="3">
        <v>35</v>
      </c>
      <c r="V209" s="3" t="s">
        <v>6936</v>
      </c>
      <c r="W209" s="45" t="str">
        <f>HYPERLINK("http://ictvonline.org/taxonomy/p/taxonomy-history?taxnode_id=201908520","ICTVonline=201908520")</f>
        <v>ICTVonline=201908520</v>
      </c>
      <c r="Y209" s="1" t="s">
        <v>7078</v>
      </c>
      <c r="AA209" s="1">
        <v>201900000</v>
      </c>
      <c r="AB209" s="1">
        <v>35</v>
      </c>
    </row>
    <row r="210" spans="1:28" x14ac:dyDescent="0.2">
      <c r="A210" s="1">
        <v>528</v>
      </c>
      <c r="B210" s="1" t="s">
        <v>6850</v>
      </c>
      <c r="D210" s="1" t="s">
        <v>6851</v>
      </c>
      <c r="F210" s="1" t="s">
        <v>6914</v>
      </c>
      <c r="H210" s="1" t="s">
        <v>6915</v>
      </c>
      <c r="J210" s="1" t="s">
        <v>1324</v>
      </c>
      <c r="L210" s="1" t="s">
        <v>6932</v>
      </c>
      <c r="M210" s="1" t="s">
        <v>7055</v>
      </c>
      <c r="N210" s="1" t="s">
        <v>2944</v>
      </c>
      <c r="P210" s="1" t="s">
        <v>7079</v>
      </c>
      <c r="Q210" s="3">
        <v>0</v>
      </c>
      <c r="R210" s="23" t="s">
        <v>6854</v>
      </c>
      <c r="S210" s="23" t="s">
        <v>6849</v>
      </c>
      <c r="T210" s="23" t="s">
        <v>4864</v>
      </c>
      <c r="U210" s="3">
        <v>35</v>
      </c>
      <c r="V210" s="3" t="s">
        <v>6936</v>
      </c>
      <c r="W210" s="45" t="str">
        <f>HYPERLINK("http://ictvonline.org/taxonomy/p/taxonomy-history?taxnode_id=201908524","ICTVonline=201908524")</f>
        <v>ICTVonline=201908524</v>
      </c>
      <c r="Y210" s="1" t="s">
        <v>7080</v>
      </c>
      <c r="AA210" s="1">
        <v>201900000</v>
      </c>
      <c r="AB210" s="1">
        <v>35</v>
      </c>
    </row>
    <row r="211" spans="1:28" x14ac:dyDescent="0.2">
      <c r="A211" s="1">
        <v>530</v>
      </c>
      <c r="B211" s="1" t="s">
        <v>6850</v>
      </c>
      <c r="D211" s="1" t="s">
        <v>6851</v>
      </c>
      <c r="F211" s="1" t="s">
        <v>6914</v>
      </c>
      <c r="H211" s="1" t="s">
        <v>6915</v>
      </c>
      <c r="J211" s="1" t="s">
        <v>1324</v>
      </c>
      <c r="L211" s="1" t="s">
        <v>6932</v>
      </c>
      <c r="M211" s="1" t="s">
        <v>7055</v>
      </c>
      <c r="N211" s="1" t="s">
        <v>2944</v>
      </c>
      <c r="P211" s="1" t="s">
        <v>7081</v>
      </c>
      <c r="Q211" s="3">
        <v>0</v>
      </c>
      <c r="R211" s="23" t="s">
        <v>6854</v>
      </c>
      <c r="S211" s="23" t="s">
        <v>6849</v>
      </c>
      <c r="T211" s="23" t="s">
        <v>4864</v>
      </c>
      <c r="U211" s="3">
        <v>35</v>
      </c>
      <c r="V211" s="3" t="s">
        <v>6936</v>
      </c>
      <c r="W211" s="45" t="str">
        <f>HYPERLINK("http://ictvonline.org/taxonomy/p/taxonomy-history?taxnode_id=201908525","ICTVonline=201908525")</f>
        <v>ICTVonline=201908525</v>
      </c>
      <c r="Y211" s="1" t="s">
        <v>7082</v>
      </c>
      <c r="AA211" s="1">
        <v>201900000</v>
      </c>
      <c r="AB211" s="1">
        <v>35</v>
      </c>
    </row>
    <row r="212" spans="1:28" x14ac:dyDescent="0.2">
      <c r="A212" s="1">
        <v>532</v>
      </c>
      <c r="B212" s="1" t="s">
        <v>6850</v>
      </c>
      <c r="D212" s="1" t="s">
        <v>6851</v>
      </c>
      <c r="F212" s="1" t="s">
        <v>6914</v>
      </c>
      <c r="H212" s="1" t="s">
        <v>6915</v>
      </c>
      <c r="J212" s="1" t="s">
        <v>1324</v>
      </c>
      <c r="L212" s="1" t="s">
        <v>6932</v>
      </c>
      <c r="M212" s="1" t="s">
        <v>7055</v>
      </c>
      <c r="N212" s="1" t="s">
        <v>2944</v>
      </c>
      <c r="P212" s="1" t="s">
        <v>2946</v>
      </c>
      <c r="Q212" s="3">
        <v>1</v>
      </c>
      <c r="R212" s="23" t="s">
        <v>6854</v>
      </c>
      <c r="S212" s="23" t="s">
        <v>6845</v>
      </c>
      <c r="T212" s="23" t="s">
        <v>4866</v>
      </c>
      <c r="U212" s="3">
        <v>35</v>
      </c>
      <c r="W212" s="45" t="str">
        <f>HYPERLINK("http://ictvonline.org/taxonomy/p/taxonomy-history?taxnode_id=201900571","ICTVonline=201900571")</f>
        <v>ICTVonline=201900571</v>
      </c>
      <c r="AA212" s="1">
        <v>201900000</v>
      </c>
      <c r="AB212" s="1">
        <v>35</v>
      </c>
    </row>
    <row r="213" spans="1:28" x14ac:dyDescent="0.2">
      <c r="A213" s="1">
        <v>534</v>
      </c>
      <c r="B213" s="1" t="s">
        <v>6850</v>
      </c>
      <c r="D213" s="1" t="s">
        <v>6851</v>
      </c>
      <c r="F213" s="1" t="s">
        <v>6914</v>
      </c>
      <c r="H213" s="1" t="s">
        <v>6915</v>
      </c>
      <c r="J213" s="1" t="s">
        <v>1324</v>
      </c>
      <c r="L213" s="1" t="s">
        <v>6932</v>
      </c>
      <c r="M213" s="1" t="s">
        <v>7055</v>
      </c>
      <c r="N213" s="1" t="s">
        <v>2944</v>
      </c>
      <c r="P213" s="1" t="s">
        <v>7083</v>
      </c>
      <c r="Q213" s="3">
        <v>0</v>
      </c>
      <c r="R213" s="23" t="s">
        <v>6854</v>
      </c>
      <c r="S213" s="23" t="s">
        <v>6849</v>
      </c>
      <c r="T213" s="23" t="s">
        <v>4864</v>
      </c>
      <c r="U213" s="3">
        <v>35</v>
      </c>
      <c r="V213" s="3" t="s">
        <v>6936</v>
      </c>
      <c r="W213" s="45" t="str">
        <f>HYPERLINK("http://ictvonline.org/taxonomy/p/taxonomy-history?taxnode_id=201908518","ICTVonline=201908518")</f>
        <v>ICTVonline=201908518</v>
      </c>
      <c r="Y213" s="1" t="s">
        <v>7084</v>
      </c>
      <c r="AA213" s="1">
        <v>201900000</v>
      </c>
      <c r="AB213" s="1">
        <v>35</v>
      </c>
    </row>
    <row r="214" spans="1:28" x14ac:dyDescent="0.2">
      <c r="A214" s="1">
        <v>536</v>
      </c>
      <c r="B214" s="1" t="s">
        <v>6850</v>
      </c>
      <c r="D214" s="1" t="s">
        <v>6851</v>
      </c>
      <c r="F214" s="1" t="s">
        <v>6914</v>
      </c>
      <c r="H214" s="1" t="s">
        <v>6915</v>
      </c>
      <c r="J214" s="1" t="s">
        <v>1324</v>
      </c>
      <c r="L214" s="1" t="s">
        <v>6932</v>
      </c>
      <c r="M214" s="1" t="s">
        <v>7055</v>
      </c>
      <c r="N214" s="1" t="s">
        <v>2944</v>
      </c>
      <c r="P214" s="1" t="s">
        <v>7085</v>
      </c>
      <c r="Q214" s="3">
        <v>0</v>
      </c>
      <c r="R214" s="23" t="s">
        <v>6854</v>
      </c>
      <c r="S214" s="23" t="s">
        <v>6849</v>
      </c>
      <c r="T214" s="23" t="s">
        <v>4864</v>
      </c>
      <c r="U214" s="3">
        <v>35</v>
      </c>
      <c r="V214" s="3" t="s">
        <v>6936</v>
      </c>
      <c r="W214" s="45" t="str">
        <f>HYPERLINK("http://ictvonline.org/taxonomy/p/taxonomy-history?taxnode_id=201908517","ICTVonline=201908517")</f>
        <v>ICTVonline=201908517</v>
      </c>
      <c r="Y214" s="1" t="s">
        <v>7086</v>
      </c>
      <c r="AA214" s="1">
        <v>201900000</v>
      </c>
      <c r="AB214" s="1">
        <v>35</v>
      </c>
    </row>
    <row r="215" spans="1:28" x14ac:dyDescent="0.2">
      <c r="A215" s="1">
        <v>538</v>
      </c>
      <c r="B215" s="1" t="s">
        <v>6850</v>
      </c>
      <c r="D215" s="1" t="s">
        <v>6851</v>
      </c>
      <c r="F215" s="1" t="s">
        <v>6914</v>
      </c>
      <c r="H215" s="1" t="s">
        <v>6915</v>
      </c>
      <c r="J215" s="1" t="s">
        <v>1324</v>
      </c>
      <c r="L215" s="1" t="s">
        <v>6932</v>
      </c>
      <c r="M215" s="1" t="s">
        <v>7055</v>
      </c>
      <c r="N215" s="1" t="s">
        <v>2944</v>
      </c>
      <c r="P215" s="1" t="s">
        <v>7087</v>
      </c>
      <c r="Q215" s="3">
        <v>0</v>
      </c>
      <c r="R215" s="23" t="s">
        <v>6854</v>
      </c>
      <c r="S215" s="23" t="s">
        <v>6849</v>
      </c>
      <c r="T215" s="23" t="s">
        <v>4864</v>
      </c>
      <c r="U215" s="3">
        <v>35</v>
      </c>
      <c r="V215" s="3" t="s">
        <v>6936</v>
      </c>
      <c r="W215" s="45" t="str">
        <f>HYPERLINK("http://ictvonline.org/taxonomy/p/taxonomy-history?taxnode_id=201908529","ICTVonline=201908529")</f>
        <v>ICTVonline=201908529</v>
      </c>
      <c r="Y215" s="1" t="s">
        <v>7088</v>
      </c>
      <c r="AA215" s="1">
        <v>201900000</v>
      </c>
      <c r="AB215" s="1">
        <v>35</v>
      </c>
    </row>
    <row r="216" spans="1:28" x14ac:dyDescent="0.2">
      <c r="A216" s="1">
        <v>542</v>
      </c>
      <c r="B216" s="1" t="s">
        <v>6850</v>
      </c>
      <c r="D216" s="1" t="s">
        <v>6851</v>
      </c>
      <c r="F216" s="1" t="s">
        <v>6914</v>
      </c>
      <c r="H216" s="1" t="s">
        <v>6915</v>
      </c>
      <c r="J216" s="1" t="s">
        <v>1324</v>
      </c>
      <c r="L216" s="1" t="s">
        <v>6932</v>
      </c>
      <c r="M216" s="1" t="s">
        <v>7055</v>
      </c>
      <c r="N216" s="1" t="s">
        <v>7089</v>
      </c>
      <c r="P216" s="1" t="s">
        <v>2945</v>
      </c>
      <c r="Q216" s="3">
        <v>1</v>
      </c>
      <c r="R216" s="23" t="s">
        <v>6854</v>
      </c>
      <c r="S216" s="23" t="s">
        <v>6849</v>
      </c>
      <c r="T216" s="23" t="s">
        <v>6395</v>
      </c>
      <c r="U216" s="3">
        <v>35</v>
      </c>
      <c r="V216" s="3" t="s">
        <v>6936</v>
      </c>
      <c r="W216" s="45" t="str">
        <f>HYPERLINK("http://ictvonline.org/taxonomy/p/taxonomy-history?taxnode_id=201900570","ICTVonline=201900570")</f>
        <v>ICTVonline=201900570</v>
      </c>
      <c r="Y216" s="1" t="s">
        <v>7090</v>
      </c>
      <c r="AA216" s="1">
        <v>201900000</v>
      </c>
      <c r="AB216" s="1">
        <v>35</v>
      </c>
    </row>
    <row r="217" spans="1:28" x14ac:dyDescent="0.2">
      <c r="A217" s="1">
        <v>546</v>
      </c>
      <c r="B217" s="1" t="s">
        <v>6850</v>
      </c>
      <c r="D217" s="1" t="s">
        <v>6851</v>
      </c>
      <c r="F217" s="1" t="s">
        <v>6914</v>
      </c>
      <c r="H217" s="1" t="s">
        <v>6915</v>
      </c>
      <c r="J217" s="1" t="s">
        <v>1324</v>
      </c>
      <c r="L217" s="1" t="s">
        <v>6932</v>
      </c>
      <c r="M217" s="1" t="s">
        <v>7055</v>
      </c>
      <c r="N217" s="1" t="s">
        <v>7091</v>
      </c>
      <c r="P217" s="1" t="s">
        <v>7092</v>
      </c>
      <c r="Q217" s="3">
        <v>1</v>
      </c>
      <c r="R217" s="23" t="s">
        <v>6854</v>
      </c>
      <c r="S217" s="23" t="s">
        <v>6849</v>
      </c>
      <c r="T217" s="23" t="s">
        <v>4864</v>
      </c>
      <c r="U217" s="3">
        <v>35</v>
      </c>
      <c r="V217" s="3" t="s">
        <v>6936</v>
      </c>
      <c r="W217" s="45" t="str">
        <f>HYPERLINK("http://ictvonline.org/taxonomy/p/taxonomy-history?taxnode_id=201908532","ICTVonline=201908532")</f>
        <v>ICTVonline=201908532</v>
      </c>
      <c r="Y217" s="1" t="s">
        <v>7093</v>
      </c>
      <c r="AA217" s="1">
        <v>201900000</v>
      </c>
      <c r="AB217" s="1">
        <v>35</v>
      </c>
    </row>
    <row r="218" spans="1:28" x14ac:dyDescent="0.2">
      <c r="A218" s="1">
        <v>552</v>
      </c>
      <c r="B218" s="1" t="s">
        <v>6850</v>
      </c>
      <c r="D218" s="1" t="s">
        <v>6851</v>
      </c>
      <c r="F218" s="1" t="s">
        <v>6914</v>
      </c>
      <c r="H218" s="1" t="s">
        <v>6915</v>
      </c>
      <c r="J218" s="1" t="s">
        <v>1324</v>
      </c>
      <c r="L218" s="1" t="s">
        <v>6932</v>
      </c>
      <c r="M218" s="1" t="s">
        <v>7094</v>
      </c>
      <c r="N218" s="1" t="s">
        <v>7095</v>
      </c>
      <c r="P218" s="1" t="s">
        <v>7096</v>
      </c>
      <c r="Q218" s="3">
        <v>0</v>
      </c>
      <c r="R218" s="23" t="s">
        <v>6854</v>
      </c>
      <c r="S218" s="23" t="s">
        <v>6849</v>
      </c>
      <c r="T218" s="23" t="s">
        <v>4864</v>
      </c>
      <c r="U218" s="3">
        <v>35</v>
      </c>
      <c r="V218" s="3" t="s">
        <v>6936</v>
      </c>
      <c r="W218" s="45" t="str">
        <f>HYPERLINK("http://ictvonline.org/taxonomy/p/taxonomy-history?taxnode_id=201908602","ICTVonline=201908602")</f>
        <v>ICTVonline=201908602</v>
      </c>
      <c r="Y218" s="1" t="s">
        <v>7097</v>
      </c>
      <c r="AA218" s="1">
        <v>201900000</v>
      </c>
      <c r="AB218" s="1">
        <v>35</v>
      </c>
    </row>
    <row r="219" spans="1:28" x14ac:dyDescent="0.2">
      <c r="A219" s="1">
        <v>554</v>
      </c>
      <c r="B219" s="1" t="s">
        <v>6850</v>
      </c>
      <c r="D219" s="1" t="s">
        <v>6851</v>
      </c>
      <c r="F219" s="1" t="s">
        <v>6914</v>
      </c>
      <c r="H219" s="1" t="s">
        <v>6915</v>
      </c>
      <c r="J219" s="1" t="s">
        <v>1324</v>
      </c>
      <c r="L219" s="1" t="s">
        <v>6932</v>
      </c>
      <c r="M219" s="1" t="s">
        <v>7094</v>
      </c>
      <c r="N219" s="1" t="s">
        <v>7095</v>
      </c>
      <c r="P219" s="1" t="s">
        <v>7098</v>
      </c>
      <c r="Q219" s="3">
        <v>1</v>
      </c>
      <c r="R219" s="23" t="s">
        <v>6854</v>
      </c>
      <c r="S219" s="23" t="s">
        <v>6849</v>
      </c>
      <c r="T219" s="23" t="s">
        <v>4864</v>
      </c>
      <c r="U219" s="3">
        <v>35</v>
      </c>
      <c r="V219" s="3" t="s">
        <v>6936</v>
      </c>
      <c r="W219" s="45" t="str">
        <f>HYPERLINK("http://ictvonline.org/taxonomy/p/taxonomy-history?taxnode_id=201908604","ICTVonline=201908604")</f>
        <v>ICTVonline=201908604</v>
      </c>
      <c r="Y219" s="1" t="s">
        <v>7099</v>
      </c>
      <c r="AA219" s="1">
        <v>201900000</v>
      </c>
      <c r="AB219" s="1">
        <v>35</v>
      </c>
    </row>
    <row r="220" spans="1:28" x14ac:dyDescent="0.2">
      <c r="A220" s="1">
        <v>556</v>
      </c>
      <c r="B220" s="1" t="s">
        <v>6850</v>
      </c>
      <c r="D220" s="1" t="s">
        <v>6851</v>
      </c>
      <c r="F220" s="1" t="s">
        <v>6914</v>
      </c>
      <c r="H220" s="1" t="s">
        <v>6915</v>
      </c>
      <c r="J220" s="1" t="s">
        <v>1324</v>
      </c>
      <c r="L220" s="1" t="s">
        <v>6932</v>
      </c>
      <c r="M220" s="1" t="s">
        <v>7094</v>
      </c>
      <c r="N220" s="1" t="s">
        <v>7095</v>
      </c>
      <c r="P220" s="1" t="s">
        <v>7100</v>
      </c>
      <c r="Q220" s="3">
        <v>0</v>
      </c>
      <c r="R220" s="23" t="s">
        <v>6854</v>
      </c>
      <c r="S220" s="23" t="s">
        <v>6849</v>
      </c>
      <c r="T220" s="23" t="s">
        <v>4864</v>
      </c>
      <c r="U220" s="3">
        <v>35</v>
      </c>
      <c r="V220" s="3" t="s">
        <v>6936</v>
      </c>
      <c r="W220" s="45" t="str">
        <f>HYPERLINK("http://ictvonline.org/taxonomy/p/taxonomy-history?taxnode_id=201908603","ICTVonline=201908603")</f>
        <v>ICTVonline=201908603</v>
      </c>
      <c r="Y220" s="1" t="s">
        <v>7101</v>
      </c>
      <c r="AA220" s="1">
        <v>201900000</v>
      </c>
      <c r="AB220" s="1">
        <v>35</v>
      </c>
    </row>
    <row r="221" spans="1:28" x14ac:dyDescent="0.2">
      <c r="A221" s="1">
        <v>560</v>
      </c>
      <c r="B221" s="1" t="s">
        <v>6850</v>
      </c>
      <c r="D221" s="1" t="s">
        <v>6851</v>
      </c>
      <c r="F221" s="1" t="s">
        <v>6914</v>
      </c>
      <c r="H221" s="1" t="s">
        <v>6915</v>
      </c>
      <c r="J221" s="1" t="s">
        <v>1324</v>
      </c>
      <c r="L221" s="1" t="s">
        <v>6932</v>
      </c>
      <c r="M221" s="1" t="s">
        <v>7094</v>
      </c>
      <c r="N221" s="1" t="s">
        <v>7102</v>
      </c>
      <c r="P221" s="1" t="s">
        <v>7103</v>
      </c>
      <c r="Q221" s="3">
        <v>1</v>
      </c>
      <c r="R221" s="23" t="s">
        <v>6854</v>
      </c>
      <c r="S221" s="23" t="s">
        <v>6849</v>
      </c>
      <c r="T221" s="23" t="s">
        <v>4864</v>
      </c>
      <c r="U221" s="3">
        <v>35</v>
      </c>
      <c r="V221" s="3" t="s">
        <v>6936</v>
      </c>
      <c r="W221" s="45" t="str">
        <f>HYPERLINK("http://ictvonline.org/taxonomy/p/taxonomy-history?taxnode_id=201908612","ICTVonline=201908612")</f>
        <v>ICTVonline=201908612</v>
      </c>
      <c r="Y221" s="1" t="s">
        <v>7104</v>
      </c>
      <c r="AA221" s="1">
        <v>201900000</v>
      </c>
      <c r="AB221" s="1">
        <v>35</v>
      </c>
    </row>
    <row r="222" spans="1:28" x14ac:dyDescent="0.2">
      <c r="A222" s="1">
        <v>564</v>
      </c>
      <c r="B222" s="1" t="s">
        <v>6850</v>
      </c>
      <c r="D222" s="1" t="s">
        <v>6851</v>
      </c>
      <c r="F222" s="1" t="s">
        <v>6914</v>
      </c>
      <c r="H222" s="1" t="s">
        <v>6915</v>
      </c>
      <c r="J222" s="1" t="s">
        <v>1324</v>
      </c>
      <c r="L222" s="1" t="s">
        <v>6932</v>
      </c>
      <c r="M222" s="1" t="s">
        <v>7094</v>
      </c>
      <c r="N222" s="1" t="s">
        <v>7105</v>
      </c>
      <c r="P222" s="1" t="s">
        <v>7106</v>
      </c>
      <c r="Q222" s="3">
        <v>1</v>
      </c>
      <c r="R222" s="23" t="s">
        <v>6854</v>
      </c>
      <c r="S222" s="23" t="s">
        <v>6849</v>
      </c>
      <c r="T222" s="23" t="s">
        <v>4864</v>
      </c>
      <c r="U222" s="3">
        <v>35</v>
      </c>
      <c r="V222" s="3" t="s">
        <v>6936</v>
      </c>
      <c r="W222" s="45" t="str">
        <f>HYPERLINK("http://ictvonline.org/taxonomy/p/taxonomy-history?taxnode_id=201908597","ICTVonline=201908597")</f>
        <v>ICTVonline=201908597</v>
      </c>
      <c r="Y222" s="1" t="s">
        <v>7107</v>
      </c>
      <c r="AA222" s="1">
        <v>201900000</v>
      </c>
      <c r="AB222" s="1">
        <v>35</v>
      </c>
    </row>
    <row r="223" spans="1:28" x14ac:dyDescent="0.2">
      <c r="A223" s="1">
        <v>566</v>
      </c>
      <c r="B223" s="1" t="s">
        <v>6850</v>
      </c>
      <c r="D223" s="1" t="s">
        <v>6851</v>
      </c>
      <c r="F223" s="1" t="s">
        <v>6914</v>
      </c>
      <c r="H223" s="1" t="s">
        <v>6915</v>
      </c>
      <c r="J223" s="1" t="s">
        <v>1324</v>
      </c>
      <c r="L223" s="1" t="s">
        <v>6932</v>
      </c>
      <c r="M223" s="1" t="s">
        <v>7094</v>
      </c>
      <c r="N223" s="1" t="s">
        <v>7105</v>
      </c>
      <c r="P223" s="1" t="s">
        <v>7108</v>
      </c>
      <c r="Q223" s="3">
        <v>0</v>
      </c>
      <c r="R223" s="23" t="s">
        <v>6854</v>
      </c>
      <c r="S223" s="23" t="s">
        <v>6849</v>
      </c>
      <c r="T223" s="23" t="s">
        <v>4864</v>
      </c>
      <c r="U223" s="3">
        <v>35</v>
      </c>
      <c r="V223" s="3" t="s">
        <v>6936</v>
      </c>
      <c r="W223" s="45" t="str">
        <f>HYPERLINK("http://ictvonline.org/taxonomy/p/taxonomy-history?taxnode_id=201908596","ICTVonline=201908596")</f>
        <v>ICTVonline=201908596</v>
      </c>
      <c r="Y223" s="1" t="s">
        <v>7109</v>
      </c>
      <c r="AA223" s="1">
        <v>201900000</v>
      </c>
      <c r="AB223" s="1">
        <v>35</v>
      </c>
    </row>
    <row r="224" spans="1:28" x14ac:dyDescent="0.2">
      <c r="A224" s="1">
        <v>570</v>
      </c>
      <c r="B224" s="1" t="s">
        <v>6850</v>
      </c>
      <c r="D224" s="1" t="s">
        <v>6851</v>
      </c>
      <c r="F224" s="1" t="s">
        <v>6914</v>
      </c>
      <c r="H224" s="1" t="s">
        <v>6915</v>
      </c>
      <c r="J224" s="1" t="s">
        <v>1324</v>
      </c>
      <c r="L224" s="1" t="s">
        <v>6932</v>
      </c>
      <c r="M224" s="1" t="s">
        <v>7094</v>
      </c>
      <c r="N224" s="1" t="s">
        <v>7110</v>
      </c>
      <c r="P224" s="1" t="s">
        <v>7111</v>
      </c>
      <c r="Q224" s="3">
        <v>0</v>
      </c>
      <c r="R224" s="23" t="s">
        <v>6854</v>
      </c>
      <c r="S224" s="23" t="s">
        <v>6849</v>
      </c>
      <c r="T224" s="23" t="s">
        <v>4864</v>
      </c>
      <c r="U224" s="3">
        <v>35</v>
      </c>
      <c r="V224" s="3" t="s">
        <v>6936</v>
      </c>
      <c r="W224" s="45" t="str">
        <f>HYPERLINK("http://ictvonline.org/taxonomy/p/taxonomy-history?taxnode_id=201908606","ICTVonline=201908606")</f>
        <v>ICTVonline=201908606</v>
      </c>
      <c r="Y224" s="1" t="s">
        <v>7112</v>
      </c>
      <c r="AA224" s="1">
        <v>201900000</v>
      </c>
      <c r="AB224" s="1">
        <v>35</v>
      </c>
    </row>
    <row r="225" spans="1:28" x14ac:dyDescent="0.2">
      <c r="A225" s="1">
        <v>572</v>
      </c>
      <c r="B225" s="1" t="s">
        <v>6850</v>
      </c>
      <c r="D225" s="1" t="s">
        <v>6851</v>
      </c>
      <c r="F225" s="1" t="s">
        <v>6914</v>
      </c>
      <c r="H225" s="1" t="s">
        <v>6915</v>
      </c>
      <c r="J225" s="1" t="s">
        <v>1324</v>
      </c>
      <c r="L225" s="1" t="s">
        <v>6932</v>
      </c>
      <c r="M225" s="1" t="s">
        <v>7094</v>
      </c>
      <c r="N225" s="1" t="s">
        <v>7110</v>
      </c>
      <c r="P225" s="1" t="s">
        <v>7113</v>
      </c>
      <c r="Q225" s="3">
        <v>1</v>
      </c>
      <c r="R225" s="23" t="s">
        <v>6854</v>
      </c>
      <c r="S225" s="23" t="s">
        <v>6849</v>
      </c>
      <c r="T225" s="23" t="s">
        <v>4864</v>
      </c>
      <c r="U225" s="3">
        <v>35</v>
      </c>
      <c r="V225" s="3" t="s">
        <v>6936</v>
      </c>
      <c r="W225" s="45" t="str">
        <f>HYPERLINK("http://ictvonline.org/taxonomy/p/taxonomy-history?taxnode_id=201908607","ICTVonline=201908607")</f>
        <v>ICTVonline=201908607</v>
      </c>
      <c r="Y225" s="1" t="s">
        <v>7114</v>
      </c>
      <c r="AA225" s="1">
        <v>201900000</v>
      </c>
      <c r="AB225" s="1">
        <v>35</v>
      </c>
    </row>
    <row r="226" spans="1:28" x14ac:dyDescent="0.2">
      <c r="A226" s="1">
        <v>576</v>
      </c>
      <c r="B226" s="1" t="s">
        <v>6850</v>
      </c>
      <c r="D226" s="1" t="s">
        <v>6851</v>
      </c>
      <c r="F226" s="1" t="s">
        <v>6914</v>
      </c>
      <c r="H226" s="1" t="s">
        <v>6915</v>
      </c>
      <c r="J226" s="1" t="s">
        <v>1324</v>
      </c>
      <c r="L226" s="1" t="s">
        <v>6932</v>
      </c>
      <c r="M226" s="1" t="s">
        <v>7094</v>
      </c>
      <c r="N226" s="1" t="s">
        <v>7115</v>
      </c>
      <c r="P226" s="1" t="s">
        <v>7116</v>
      </c>
      <c r="Q226" s="3">
        <v>1</v>
      </c>
      <c r="R226" s="23" t="s">
        <v>6854</v>
      </c>
      <c r="S226" s="23" t="s">
        <v>6849</v>
      </c>
      <c r="T226" s="23" t="s">
        <v>4864</v>
      </c>
      <c r="U226" s="3">
        <v>35</v>
      </c>
      <c r="V226" s="3" t="s">
        <v>6936</v>
      </c>
      <c r="W226" s="45" t="str">
        <f>HYPERLINK("http://ictvonline.org/taxonomy/p/taxonomy-history?taxnode_id=201908616","ICTVonline=201908616")</f>
        <v>ICTVonline=201908616</v>
      </c>
      <c r="Y226" s="1" t="s">
        <v>7117</v>
      </c>
      <c r="AA226" s="1">
        <v>201900000</v>
      </c>
      <c r="AB226" s="1">
        <v>35</v>
      </c>
    </row>
    <row r="227" spans="1:28" x14ac:dyDescent="0.2">
      <c r="A227" s="1">
        <v>580</v>
      </c>
      <c r="B227" s="1" t="s">
        <v>6850</v>
      </c>
      <c r="D227" s="1" t="s">
        <v>6851</v>
      </c>
      <c r="F227" s="1" t="s">
        <v>6914</v>
      </c>
      <c r="H227" s="1" t="s">
        <v>6915</v>
      </c>
      <c r="J227" s="1" t="s">
        <v>1324</v>
      </c>
      <c r="L227" s="1" t="s">
        <v>6932</v>
      </c>
      <c r="M227" s="1" t="s">
        <v>7094</v>
      </c>
      <c r="N227" s="1" t="s">
        <v>7118</v>
      </c>
      <c r="P227" s="1" t="s">
        <v>7119</v>
      </c>
      <c r="Q227" s="3">
        <v>1</v>
      </c>
      <c r="R227" s="23" t="s">
        <v>6854</v>
      </c>
      <c r="S227" s="23" t="s">
        <v>6849</v>
      </c>
      <c r="T227" s="23" t="s">
        <v>4864</v>
      </c>
      <c r="U227" s="3">
        <v>35</v>
      </c>
      <c r="V227" s="3" t="s">
        <v>6936</v>
      </c>
      <c r="W227" s="45" t="str">
        <f>HYPERLINK("http://ictvonline.org/taxonomy/p/taxonomy-history?taxnode_id=201908614","ICTVonline=201908614")</f>
        <v>ICTVonline=201908614</v>
      </c>
      <c r="Y227" s="1" t="s">
        <v>7120</v>
      </c>
      <c r="AA227" s="1">
        <v>201900000</v>
      </c>
      <c r="AB227" s="1">
        <v>35</v>
      </c>
    </row>
    <row r="228" spans="1:28" x14ac:dyDescent="0.2">
      <c r="A228" s="1">
        <v>584</v>
      </c>
      <c r="B228" s="1" t="s">
        <v>6850</v>
      </c>
      <c r="D228" s="1" t="s">
        <v>6851</v>
      </c>
      <c r="F228" s="1" t="s">
        <v>6914</v>
      </c>
      <c r="H228" s="1" t="s">
        <v>6915</v>
      </c>
      <c r="J228" s="1" t="s">
        <v>1324</v>
      </c>
      <c r="L228" s="1" t="s">
        <v>6932</v>
      </c>
      <c r="M228" s="1" t="s">
        <v>7094</v>
      </c>
      <c r="N228" s="1" t="s">
        <v>7121</v>
      </c>
      <c r="P228" s="1" t="s">
        <v>7122</v>
      </c>
      <c r="Q228" s="3">
        <v>0</v>
      </c>
      <c r="R228" s="23" t="s">
        <v>6854</v>
      </c>
      <c r="S228" s="23" t="s">
        <v>6849</v>
      </c>
      <c r="T228" s="23" t="s">
        <v>4864</v>
      </c>
      <c r="U228" s="3">
        <v>35</v>
      </c>
      <c r="V228" s="3" t="s">
        <v>6936</v>
      </c>
      <c r="W228" s="45" t="str">
        <f>HYPERLINK("http://ictvonline.org/taxonomy/p/taxonomy-history?taxnode_id=201908599","ICTVonline=201908599")</f>
        <v>ICTVonline=201908599</v>
      </c>
      <c r="Y228" s="1" t="s">
        <v>7123</v>
      </c>
      <c r="AA228" s="1">
        <v>201900000</v>
      </c>
      <c r="AB228" s="1">
        <v>35</v>
      </c>
    </row>
    <row r="229" spans="1:28" x14ac:dyDescent="0.2">
      <c r="A229" s="1">
        <v>586</v>
      </c>
      <c r="B229" s="1" t="s">
        <v>6850</v>
      </c>
      <c r="D229" s="1" t="s">
        <v>6851</v>
      </c>
      <c r="F229" s="1" t="s">
        <v>6914</v>
      </c>
      <c r="H229" s="1" t="s">
        <v>6915</v>
      </c>
      <c r="J229" s="1" t="s">
        <v>1324</v>
      </c>
      <c r="L229" s="1" t="s">
        <v>6932</v>
      </c>
      <c r="M229" s="1" t="s">
        <v>7094</v>
      </c>
      <c r="N229" s="1" t="s">
        <v>7121</v>
      </c>
      <c r="P229" s="1" t="s">
        <v>7124</v>
      </c>
      <c r="Q229" s="3">
        <v>1</v>
      </c>
      <c r="R229" s="23" t="s">
        <v>6854</v>
      </c>
      <c r="S229" s="23" t="s">
        <v>6849</v>
      </c>
      <c r="T229" s="23" t="s">
        <v>4864</v>
      </c>
      <c r="U229" s="3">
        <v>35</v>
      </c>
      <c r="V229" s="3" t="s">
        <v>6936</v>
      </c>
      <c r="W229" s="45" t="str">
        <f>HYPERLINK("http://ictvonline.org/taxonomy/p/taxonomy-history?taxnode_id=201908600","ICTVonline=201908600")</f>
        <v>ICTVonline=201908600</v>
      </c>
      <c r="Y229" s="1" t="s">
        <v>7125</v>
      </c>
      <c r="AA229" s="1">
        <v>201900000</v>
      </c>
      <c r="AB229" s="1">
        <v>35</v>
      </c>
    </row>
    <row r="230" spans="1:28" x14ac:dyDescent="0.2">
      <c r="A230" s="1">
        <v>590</v>
      </c>
      <c r="B230" s="1" t="s">
        <v>6850</v>
      </c>
      <c r="D230" s="1" t="s">
        <v>6851</v>
      </c>
      <c r="F230" s="1" t="s">
        <v>6914</v>
      </c>
      <c r="H230" s="1" t="s">
        <v>6915</v>
      </c>
      <c r="J230" s="1" t="s">
        <v>1324</v>
      </c>
      <c r="L230" s="1" t="s">
        <v>6932</v>
      </c>
      <c r="M230" s="1" t="s">
        <v>7094</v>
      </c>
      <c r="N230" s="1" t="s">
        <v>7126</v>
      </c>
      <c r="P230" s="1" t="s">
        <v>7127</v>
      </c>
      <c r="Q230" s="3">
        <v>0</v>
      </c>
      <c r="R230" s="23" t="s">
        <v>6854</v>
      </c>
      <c r="S230" s="23" t="s">
        <v>6849</v>
      </c>
      <c r="T230" s="23" t="s">
        <v>4864</v>
      </c>
      <c r="U230" s="3">
        <v>35</v>
      </c>
      <c r="V230" s="3" t="s">
        <v>6936</v>
      </c>
      <c r="W230" s="45" t="str">
        <f>HYPERLINK("http://ictvonline.org/taxonomy/p/taxonomy-history?taxnode_id=201908609","ICTVonline=201908609")</f>
        <v>ICTVonline=201908609</v>
      </c>
      <c r="Y230" s="1" t="s">
        <v>7128</v>
      </c>
      <c r="AA230" s="1">
        <v>201900000</v>
      </c>
      <c r="AB230" s="1">
        <v>35</v>
      </c>
    </row>
    <row r="231" spans="1:28" x14ac:dyDescent="0.2">
      <c r="A231" s="1">
        <v>592</v>
      </c>
      <c r="B231" s="1" t="s">
        <v>6850</v>
      </c>
      <c r="D231" s="1" t="s">
        <v>6851</v>
      </c>
      <c r="F231" s="1" t="s">
        <v>6914</v>
      </c>
      <c r="H231" s="1" t="s">
        <v>6915</v>
      </c>
      <c r="J231" s="1" t="s">
        <v>1324</v>
      </c>
      <c r="L231" s="1" t="s">
        <v>6932</v>
      </c>
      <c r="M231" s="1" t="s">
        <v>7094</v>
      </c>
      <c r="N231" s="1" t="s">
        <v>7126</v>
      </c>
      <c r="P231" s="1" t="s">
        <v>7129</v>
      </c>
      <c r="Q231" s="3">
        <v>1</v>
      </c>
      <c r="R231" s="23" t="s">
        <v>6854</v>
      </c>
      <c r="S231" s="23" t="s">
        <v>6849</v>
      </c>
      <c r="T231" s="23" t="s">
        <v>4864</v>
      </c>
      <c r="U231" s="3">
        <v>35</v>
      </c>
      <c r="V231" s="3" t="s">
        <v>6936</v>
      </c>
      <c r="W231" s="45" t="str">
        <f>HYPERLINK("http://ictvonline.org/taxonomy/p/taxonomy-history?taxnode_id=201908610","ICTVonline=201908610")</f>
        <v>ICTVonline=201908610</v>
      </c>
      <c r="Y231" s="1" t="s">
        <v>7130</v>
      </c>
      <c r="AA231" s="1">
        <v>201900000</v>
      </c>
      <c r="AB231" s="1">
        <v>35</v>
      </c>
    </row>
    <row r="232" spans="1:28" x14ac:dyDescent="0.2">
      <c r="A232" s="1">
        <v>598</v>
      </c>
      <c r="B232" s="1" t="s">
        <v>6850</v>
      </c>
      <c r="D232" s="1" t="s">
        <v>6851</v>
      </c>
      <c r="F232" s="1" t="s">
        <v>6914</v>
      </c>
      <c r="H232" s="1" t="s">
        <v>6915</v>
      </c>
      <c r="J232" s="1" t="s">
        <v>1324</v>
      </c>
      <c r="L232" s="1" t="s">
        <v>6932</v>
      </c>
      <c r="M232" s="1" t="s">
        <v>7131</v>
      </c>
      <c r="N232" s="1" t="s">
        <v>7132</v>
      </c>
      <c r="P232" s="1" t="s">
        <v>7133</v>
      </c>
      <c r="Q232" s="3">
        <v>1</v>
      </c>
      <c r="R232" s="23" t="s">
        <v>6854</v>
      </c>
      <c r="S232" s="23" t="s">
        <v>6849</v>
      </c>
      <c r="T232" s="23" t="s">
        <v>4864</v>
      </c>
      <c r="U232" s="3">
        <v>35</v>
      </c>
      <c r="V232" s="3" t="s">
        <v>6936</v>
      </c>
      <c r="W232" s="45" t="str">
        <f>HYPERLINK("http://ictvonline.org/taxonomy/p/taxonomy-history?taxnode_id=201908579","ICTVonline=201908579")</f>
        <v>ICTVonline=201908579</v>
      </c>
      <c r="Y232" s="1" t="s">
        <v>7134</v>
      </c>
      <c r="AA232" s="1">
        <v>201900000</v>
      </c>
      <c r="AB232" s="1">
        <v>35</v>
      </c>
    </row>
    <row r="233" spans="1:28" x14ac:dyDescent="0.2">
      <c r="A233" s="1">
        <v>600</v>
      </c>
      <c r="B233" s="1" t="s">
        <v>6850</v>
      </c>
      <c r="D233" s="1" t="s">
        <v>6851</v>
      </c>
      <c r="F233" s="1" t="s">
        <v>6914</v>
      </c>
      <c r="H233" s="1" t="s">
        <v>6915</v>
      </c>
      <c r="J233" s="1" t="s">
        <v>1324</v>
      </c>
      <c r="L233" s="1" t="s">
        <v>6932</v>
      </c>
      <c r="M233" s="1" t="s">
        <v>7131</v>
      </c>
      <c r="N233" s="1" t="s">
        <v>7132</v>
      </c>
      <c r="P233" s="1" t="s">
        <v>7135</v>
      </c>
      <c r="Q233" s="3">
        <v>0</v>
      </c>
      <c r="R233" s="23" t="s">
        <v>6854</v>
      </c>
      <c r="S233" s="23" t="s">
        <v>6849</v>
      </c>
      <c r="T233" s="23" t="s">
        <v>4864</v>
      </c>
      <c r="U233" s="3">
        <v>35</v>
      </c>
      <c r="V233" s="3" t="s">
        <v>6936</v>
      </c>
      <c r="W233" s="45" t="str">
        <f>HYPERLINK("http://ictvonline.org/taxonomy/p/taxonomy-history?taxnode_id=201908576","ICTVonline=201908576")</f>
        <v>ICTVonline=201908576</v>
      </c>
      <c r="Y233" s="1" t="s">
        <v>7136</v>
      </c>
      <c r="AA233" s="1">
        <v>201900000</v>
      </c>
      <c r="AB233" s="1">
        <v>35</v>
      </c>
    </row>
    <row r="234" spans="1:28" x14ac:dyDescent="0.2">
      <c r="A234" s="1">
        <v>602</v>
      </c>
      <c r="B234" s="1" t="s">
        <v>6850</v>
      </c>
      <c r="D234" s="1" t="s">
        <v>6851</v>
      </c>
      <c r="F234" s="1" t="s">
        <v>6914</v>
      </c>
      <c r="H234" s="1" t="s">
        <v>6915</v>
      </c>
      <c r="J234" s="1" t="s">
        <v>1324</v>
      </c>
      <c r="L234" s="1" t="s">
        <v>6932</v>
      </c>
      <c r="M234" s="1" t="s">
        <v>7131</v>
      </c>
      <c r="N234" s="1" t="s">
        <v>7132</v>
      </c>
      <c r="P234" s="1" t="s">
        <v>7137</v>
      </c>
      <c r="Q234" s="3">
        <v>0</v>
      </c>
      <c r="R234" s="23" t="s">
        <v>6854</v>
      </c>
      <c r="S234" s="23" t="s">
        <v>6849</v>
      </c>
      <c r="T234" s="23" t="s">
        <v>4864</v>
      </c>
      <c r="U234" s="3">
        <v>35</v>
      </c>
      <c r="V234" s="3" t="s">
        <v>6936</v>
      </c>
      <c r="W234" s="45" t="str">
        <f>HYPERLINK("http://ictvonline.org/taxonomy/p/taxonomy-history?taxnode_id=201908578","ICTVonline=201908578")</f>
        <v>ICTVonline=201908578</v>
      </c>
      <c r="Y234" s="1" t="s">
        <v>7138</v>
      </c>
      <c r="AA234" s="1">
        <v>201900000</v>
      </c>
      <c r="AB234" s="1">
        <v>35</v>
      </c>
    </row>
    <row r="235" spans="1:28" x14ac:dyDescent="0.2">
      <c r="A235" s="1">
        <v>604</v>
      </c>
      <c r="B235" s="1" t="s">
        <v>6850</v>
      </c>
      <c r="D235" s="1" t="s">
        <v>6851</v>
      </c>
      <c r="F235" s="1" t="s">
        <v>6914</v>
      </c>
      <c r="H235" s="1" t="s">
        <v>6915</v>
      </c>
      <c r="J235" s="1" t="s">
        <v>1324</v>
      </c>
      <c r="L235" s="1" t="s">
        <v>6932</v>
      </c>
      <c r="M235" s="1" t="s">
        <v>7131</v>
      </c>
      <c r="N235" s="1" t="s">
        <v>7132</v>
      </c>
      <c r="P235" s="1" t="s">
        <v>7139</v>
      </c>
      <c r="Q235" s="3">
        <v>0</v>
      </c>
      <c r="R235" s="23" t="s">
        <v>6854</v>
      </c>
      <c r="S235" s="23" t="s">
        <v>6849</v>
      </c>
      <c r="T235" s="23" t="s">
        <v>4864</v>
      </c>
      <c r="U235" s="3">
        <v>35</v>
      </c>
      <c r="V235" s="3" t="s">
        <v>6936</v>
      </c>
      <c r="W235" s="45" t="str">
        <f>HYPERLINK("http://ictvonline.org/taxonomy/p/taxonomy-history?taxnode_id=201908577","ICTVonline=201908577")</f>
        <v>ICTVonline=201908577</v>
      </c>
      <c r="Y235" s="1" t="s">
        <v>7140</v>
      </c>
      <c r="AA235" s="1">
        <v>201900000</v>
      </c>
      <c r="AB235" s="1">
        <v>35</v>
      </c>
    </row>
    <row r="236" spans="1:28" x14ac:dyDescent="0.2">
      <c r="A236" s="1">
        <v>608</v>
      </c>
      <c r="B236" s="1" t="s">
        <v>6850</v>
      </c>
      <c r="D236" s="1" t="s">
        <v>6851</v>
      </c>
      <c r="F236" s="1" t="s">
        <v>6914</v>
      </c>
      <c r="H236" s="1" t="s">
        <v>6915</v>
      </c>
      <c r="J236" s="1" t="s">
        <v>1324</v>
      </c>
      <c r="L236" s="1" t="s">
        <v>6932</v>
      </c>
      <c r="M236" s="1" t="s">
        <v>7131</v>
      </c>
      <c r="N236" s="1" t="s">
        <v>7141</v>
      </c>
      <c r="P236" s="1" t="s">
        <v>7142</v>
      </c>
      <c r="Q236" s="3">
        <v>1</v>
      </c>
      <c r="R236" s="23" t="s">
        <v>6854</v>
      </c>
      <c r="S236" s="23" t="s">
        <v>6849</v>
      </c>
      <c r="T236" s="23" t="s">
        <v>4864</v>
      </c>
      <c r="U236" s="3">
        <v>35</v>
      </c>
      <c r="V236" s="3" t="s">
        <v>6936</v>
      </c>
      <c r="W236" s="45" t="str">
        <f>HYPERLINK("http://ictvonline.org/taxonomy/p/taxonomy-history?taxnode_id=201908574","ICTVonline=201908574")</f>
        <v>ICTVonline=201908574</v>
      </c>
      <c r="Y236" s="1" t="s">
        <v>7143</v>
      </c>
      <c r="AA236" s="1">
        <v>201900000</v>
      </c>
      <c r="AB236" s="1">
        <v>35</v>
      </c>
    </row>
    <row r="237" spans="1:28" x14ac:dyDescent="0.2">
      <c r="A237" s="1">
        <v>612</v>
      </c>
      <c r="B237" s="1" t="s">
        <v>6850</v>
      </c>
      <c r="D237" s="1" t="s">
        <v>6851</v>
      </c>
      <c r="F237" s="1" t="s">
        <v>6914</v>
      </c>
      <c r="H237" s="1" t="s">
        <v>6915</v>
      </c>
      <c r="J237" s="1" t="s">
        <v>1324</v>
      </c>
      <c r="L237" s="1" t="s">
        <v>6932</v>
      </c>
      <c r="M237" s="1" t="s">
        <v>7131</v>
      </c>
      <c r="N237" s="1" t="s">
        <v>7144</v>
      </c>
      <c r="P237" s="1" t="s">
        <v>2947</v>
      </c>
      <c r="Q237" s="3">
        <v>1</v>
      </c>
      <c r="R237" s="23" t="s">
        <v>6854</v>
      </c>
      <c r="S237" s="23" t="s">
        <v>6849</v>
      </c>
      <c r="T237" s="23" t="s">
        <v>6395</v>
      </c>
      <c r="U237" s="3">
        <v>35</v>
      </c>
      <c r="V237" s="3" t="s">
        <v>6936</v>
      </c>
      <c r="W237" s="45" t="str">
        <f>HYPERLINK("http://ictvonline.org/taxonomy/p/taxonomy-history?taxnode_id=201900577","ICTVonline=201900577")</f>
        <v>ICTVonline=201900577</v>
      </c>
      <c r="Y237" s="1" t="s">
        <v>7145</v>
      </c>
      <c r="AA237" s="1">
        <v>201900000</v>
      </c>
      <c r="AB237" s="1">
        <v>35</v>
      </c>
    </row>
    <row r="238" spans="1:28" x14ac:dyDescent="0.2">
      <c r="A238" s="1">
        <v>614</v>
      </c>
      <c r="B238" s="1" t="s">
        <v>6850</v>
      </c>
      <c r="D238" s="1" t="s">
        <v>6851</v>
      </c>
      <c r="F238" s="1" t="s">
        <v>6914</v>
      </c>
      <c r="H238" s="1" t="s">
        <v>6915</v>
      </c>
      <c r="J238" s="1" t="s">
        <v>1324</v>
      </c>
      <c r="L238" s="1" t="s">
        <v>6932</v>
      </c>
      <c r="M238" s="1" t="s">
        <v>7131</v>
      </c>
      <c r="N238" s="1" t="s">
        <v>7144</v>
      </c>
      <c r="P238" s="1" t="s">
        <v>7146</v>
      </c>
      <c r="Q238" s="3">
        <v>0</v>
      </c>
      <c r="R238" s="23" t="s">
        <v>6854</v>
      </c>
      <c r="S238" s="23" t="s">
        <v>6849</v>
      </c>
      <c r="T238" s="23" t="s">
        <v>4864</v>
      </c>
      <c r="U238" s="3">
        <v>35</v>
      </c>
      <c r="V238" s="3" t="s">
        <v>6936</v>
      </c>
      <c r="W238" s="45" t="str">
        <f>HYPERLINK("http://ictvonline.org/taxonomy/p/taxonomy-history?taxnode_id=201908572","ICTVonline=201908572")</f>
        <v>ICTVonline=201908572</v>
      </c>
      <c r="Y238" s="1" t="s">
        <v>7147</v>
      </c>
      <c r="AA238" s="1">
        <v>201900000</v>
      </c>
      <c r="AB238" s="1">
        <v>35</v>
      </c>
    </row>
    <row r="239" spans="1:28" x14ac:dyDescent="0.2">
      <c r="A239" s="1">
        <v>618</v>
      </c>
      <c r="B239" s="1" t="s">
        <v>6850</v>
      </c>
      <c r="D239" s="1" t="s">
        <v>6851</v>
      </c>
      <c r="F239" s="1" t="s">
        <v>6914</v>
      </c>
      <c r="H239" s="1" t="s">
        <v>6915</v>
      </c>
      <c r="J239" s="1" t="s">
        <v>1324</v>
      </c>
      <c r="L239" s="1" t="s">
        <v>6932</v>
      </c>
      <c r="M239" s="1" t="s">
        <v>7131</v>
      </c>
      <c r="N239" s="1" t="s">
        <v>7148</v>
      </c>
      <c r="P239" s="1" t="s">
        <v>7149</v>
      </c>
      <c r="Q239" s="3">
        <v>1</v>
      </c>
      <c r="R239" s="23" t="s">
        <v>6854</v>
      </c>
      <c r="S239" s="23" t="s">
        <v>6849</v>
      </c>
      <c r="T239" s="23" t="s">
        <v>4864</v>
      </c>
      <c r="U239" s="3">
        <v>35</v>
      </c>
      <c r="V239" s="3" t="s">
        <v>6936</v>
      </c>
      <c r="W239" s="45" t="str">
        <f>HYPERLINK("http://ictvonline.org/taxonomy/p/taxonomy-history?taxnode_id=201908581","ICTVonline=201908581")</f>
        <v>ICTVonline=201908581</v>
      </c>
      <c r="Y239" s="1" t="s">
        <v>7150</v>
      </c>
      <c r="AA239" s="1">
        <v>201900000</v>
      </c>
      <c r="AB239" s="1">
        <v>35</v>
      </c>
    </row>
    <row r="240" spans="1:28" x14ac:dyDescent="0.2">
      <c r="A240" s="1">
        <v>622</v>
      </c>
      <c r="B240" s="1" t="s">
        <v>6850</v>
      </c>
      <c r="D240" s="1" t="s">
        <v>6851</v>
      </c>
      <c r="F240" s="1" t="s">
        <v>6914</v>
      </c>
      <c r="H240" s="1" t="s">
        <v>6915</v>
      </c>
      <c r="J240" s="1" t="s">
        <v>1324</v>
      </c>
      <c r="L240" s="1" t="s">
        <v>6932</v>
      </c>
      <c r="M240" s="1" t="s">
        <v>7131</v>
      </c>
      <c r="N240" s="1" t="s">
        <v>7151</v>
      </c>
      <c r="P240" s="1" t="s">
        <v>7152</v>
      </c>
      <c r="Q240" s="3">
        <v>0</v>
      </c>
      <c r="R240" s="23" t="s">
        <v>6854</v>
      </c>
      <c r="S240" s="23" t="s">
        <v>6849</v>
      </c>
      <c r="T240" s="23" t="s">
        <v>4864</v>
      </c>
      <c r="U240" s="3">
        <v>35</v>
      </c>
      <c r="V240" s="3" t="s">
        <v>6936</v>
      </c>
      <c r="W240" s="45" t="str">
        <f>HYPERLINK("http://ictvonline.org/taxonomy/p/taxonomy-history?taxnode_id=201908590","ICTVonline=201908590")</f>
        <v>ICTVonline=201908590</v>
      </c>
      <c r="Y240" s="1" t="s">
        <v>7153</v>
      </c>
      <c r="AA240" s="1">
        <v>201900000</v>
      </c>
      <c r="AB240" s="1">
        <v>35</v>
      </c>
    </row>
    <row r="241" spans="1:28" x14ac:dyDescent="0.2">
      <c r="A241" s="1">
        <v>624</v>
      </c>
      <c r="B241" s="1" t="s">
        <v>6850</v>
      </c>
      <c r="D241" s="1" t="s">
        <v>6851</v>
      </c>
      <c r="F241" s="1" t="s">
        <v>6914</v>
      </c>
      <c r="H241" s="1" t="s">
        <v>6915</v>
      </c>
      <c r="J241" s="1" t="s">
        <v>1324</v>
      </c>
      <c r="L241" s="1" t="s">
        <v>6932</v>
      </c>
      <c r="M241" s="1" t="s">
        <v>7131</v>
      </c>
      <c r="N241" s="1" t="s">
        <v>7151</v>
      </c>
      <c r="P241" s="1" t="s">
        <v>7154</v>
      </c>
      <c r="Q241" s="3">
        <v>0</v>
      </c>
      <c r="R241" s="23" t="s">
        <v>6854</v>
      </c>
      <c r="S241" s="23" t="s">
        <v>6849</v>
      </c>
      <c r="T241" s="23" t="s">
        <v>4864</v>
      </c>
      <c r="U241" s="3">
        <v>35</v>
      </c>
      <c r="V241" s="3" t="s">
        <v>6936</v>
      </c>
      <c r="W241" s="45" t="str">
        <f>HYPERLINK("http://ictvonline.org/taxonomy/p/taxonomy-history?taxnode_id=201908591","ICTVonline=201908591")</f>
        <v>ICTVonline=201908591</v>
      </c>
      <c r="Y241" s="1" t="s">
        <v>7155</v>
      </c>
      <c r="AA241" s="1">
        <v>201900000</v>
      </c>
      <c r="AB241" s="1">
        <v>35</v>
      </c>
    </row>
    <row r="242" spans="1:28" x14ac:dyDescent="0.2">
      <c r="A242" s="1">
        <v>626</v>
      </c>
      <c r="B242" s="1" t="s">
        <v>6850</v>
      </c>
      <c r="D242" s="1" t="s">
        <v>6851</v>
      </c>
      <c r="F242" s="1" t="s">
        <v>6914</v>
      </c>
      <c r="H242" s="1" t="s">
        <v>6915</v>
      </c>
      <c r="J242" s="1" t="s">
        <v>1324</v>
      </c>
      <c r="L242" s="1" t="s">
        <v>6932</v>
      </c>
      <c r="M242" s="1" t="s">
        <v>7131</v>
      </c>
      <c r="N242" s="1" t="s">
        <v>7151</v>
      </c>
      <c r="P242" s="1" t="s">
        <v>7156</v>
      </c>
      <c r="Q242" s="3">
        <v>0</v>
      </c>
      <c r="R242" s="23" t="s">
        <v>6854</v>
      </c>
      <c r="S242" s="23" t="s">
        <v>6849</v>
      </c>
      <c r="T242" s="23" t="s">
        <v>4864</v>
      </c>
      <c r="U242" s="3">
        <v>35</v>
      </c>
      <c r="V242" s="3" t="s">
        <v>6936</v>
      </c>
      <c r="W242" s="45" t="str">
        <f>HYPERLINK("http://ictvonline.org/taxonomy/p/taxonomy-history?taxnode_id=201908585","ICTVonline=201908585")</f>
        <v>ICTVonline=201908585</v>
      </c>
      <c r="Y242" s="1" t="s">
        <v>7157</v>
      </c>
      <c r="AA242" s="1">
        <v>201900000</v>
      </c>
      <c r="AB242" s="1">
        <v>35</v>
      </c>
    </row>
    <row r="243" spans="1:28" x14ac:dyDescent="0.2">
      <c r="A243" s="1">
        <v>628</v>
      </c>
      <c r="B243" s="1" t="s">
        <v>6850</v>
      </c>
      <c r="D243" s="1" t="s">
        <v>6851</v>
      </c>
      <c r="F243" s="1" t="s">
        <v>6914</v>
      </c>
      <c r="H243" s="1" t="s">
        <v>6915</v>
      </c>
      <c r="J243" s="1" t="s">
        <v>1324</v>
      </c>
      <c r="L243" s="1" t="s">
        <v>6932</v>
      </c>
      <c r="M243" s="1" t="s">
        <v>7131</v>
      </c>
      <c r="N243" s="1" t="s">
        <v>7151</v>
      </c>
      <c r="P243" s="1" t="s">
        <v>7158</v>
      </c>
      <c r="Q243" s="3">
        <v>0</v>
      </c>
      <c r="R243" s="23" t="s">
        <v>6854</v>
      </c>
      <c r="S243" s="23" t="s">
        <v>6849</v>
      </c>
      <c r="T243" s="23" t="s">
        <v>4864</v>
      </c>
      <c r="U243" s="3">
        <v>35</v>
      </c>
      <c r="V243" s="3" t="s">
        <v>6936</v>
      </c>
      <c r="W243" s="45" t="str">
        <f>HYPERLINK("http://ictvonline.org/taxonomy/p/taxonomy-history?taxnode_id=201908584","ICTVonline=201908584")</f>
        <v>ICTVonline=201908584</v>
      </c>
      <c r="Y243" s="1" t="s">
        <v>7159</v>
      </c>
      <c r="AA243" s="1">
        <v>201900000</v>
      </c>
      <c r="AB243" s="1">
        <v>35</v>
      </c>
    </row>
    <row r="244" spans="1:28" x14ac:dyDescent="0.2">
      <c r="A244" s="1">
        <v>630</v>
      </c>
      <c r="B244" s="1" t="s">
        <v>6850</v>
      </c>
      <c r="D244" s="1" t="s">
        <v>6851</v>
      </c>
      <c r="F244" s="1" t="s">
        <v>6914</v>
      </c>
      <c r="H244" s="1" t="s">
        <v>6915</v>
      </c>
      <c r="J244" s="1" t="s">
        <v>1324</v>
      </c>
      <c r="L244" s="1" t="s">
        <v>6932</v>
      </c>
      <c r="M244" s="1" t="s">
        <v>7131</v>
      </c>
      <c r="N244" s="1" t="s">
        <v>7151</v>
      </c>
      <c r="P244" s="1" t="s">
        <v>7160</v>
      </c>
      <c r="Q244" s="3">
        <v>0</v>
      </c>
      <c r="R244" s="23" t="s">
        <v>6854</v>
      </c>
      <c r="S244" s="23" t="s">
        <v>6849</v>
      </c>
      <c r="T244" s="23" t="s">
        <v>4864</v>
      </c>
      <c r="U244" s="3">
        <v>35</v>
      </c>
      <c r="V244" s="3" t="s">
        <v>6936</v>
      </c>
      <c r="W244" s="45" t="str">
        <f>HYPERLINK("http://ictvonline.org/taxonomy/p/taxonomy-history?taxnode_id=201908586","ICTVonline=201908586")</f>
        <v>ICTVonline=201908586</v>
      </c>
      <c r="Y244" s="1" t="s">
        <v>7161</v>
      </c>
      <c r="AA244" s="1">
        <v>201900000</v>
      </c>
      <c r="AB244" s="1">
        <v>35</v>
      </c>
    </row>
    <row r="245" spans="1:28" x14ac:dyDescent="0.2">
      <c r="A245" s="1">
        <v>632</v>
      </c>
      <c r="B245" s="1" t="s">
        <v>6850</v>
      </c>
      <c r="D245" s="1" t="s">
        <v>6851</v>
      </c>
      <c r="F245" s="1" t="s">
        <v>6914</v>
      </c>
      <c r="H245" s="1" t="s">
        <v>6915</v>
      </c>
      <c r="J245" s="1" t="s">
        <v>1324</v>
      </c>
      <c r="L245" s="1" t="s">
        <v>6932</v>
      </c>
      <c r="M245" s="1" t="s">
        <v>7131</v>
      </c>
      <c r="N245" s="1" t="s">
        <v>7151</v>
      </c>
      <c r="P245" s="1" t="s">
        <v>7162</v>
      </c>
      <c r="Q245" s="3">
        <v>0</v>
      </c>
      <c r="R245" s="23" t="s">
        <v>6854</v>
      </c>
      <c r="S245" s="23" t="s">
        <v>6849</v>
      </c>
      <c r="T245" s="23" t="s">
        <v>4864</v>
      </c>
      <c r="U245" s="3">
        <v>35</v>
      </c>
      <c r="V245" s="3" t="s">
        <v>6936</v>
      </c>
      <c r="W245" s="45" t="str">
        <f>HYPERLINK("http://ictvonline.org/taxonomy/p/taxonomy-history?taxnode_id=201908587","ICTVonline=201908587")</f>
        <v>ICTVonline=201908587</v>
      </c>
      <c r="Y245" s="1" t="s">
        <v>7163</v>
      </c>
      <c r="AA245" s="1">
        <v>201900000</v>
      </c>
      <c r="AB245" s="1">
        <v>35</v>
      </c>
    </row>
    <row r="246" spans="1:28" x14ac:dyDescent="0.2">
      <c r="A246" s="1">
        <v>634</v>
      </c>
      <c r="B246" s="1" t="s">
        <v>6850</v>
      </c>
      <c r="D246" s="1" t="s">
        <v>6851</v>
      </c>
      <c r="F246" s="1" t="s">
        <v>6914</v>
      </c>
      <c r="H246" s="1" t="s">
        <v>6915</v>
      </c>
      <c r="J246" s="1" t="s">
        <v>1324</v>
      </c>
      <c r="L246" s="1" t="s">
        <v>6932</v>
      </c>
      <c r="M246" s="1" t="s">
        <v>7131</v>
      </c>
      <c r="N246" s="1" t="s">
        <v>7151</v>
      </c>
      <c r="P246" s="1" t="s">
        <v>7164</v>
      </c>
      <c r="Q246" s="3">
        <v>0</v>
      </c>
      <c r="R246" s="23" t="s">
        <v>6854</v>
      </c>
      <c r="S246" s="23" t="s">
        <v>6849</v>
      </c>
      <c r="T246" s="23" t="s">
        <v>4864</v>
      </c>
      <c r="U246" s="3">
        <v>35</v>
      </c>
      <c r="V246" s="3" t="s">
        <v>6936</v>
      </c>
      <c r="W246" s="45" t="str">
        <f>HYPERLINK("http://ictvonline.org/taxonomy/p/taxonomy-history?taxnode_id=201908588","ICTVonline=201908588")</f>
        <v>ICTVonline=201908588</v>
      </c>
      <c r="Y246" s="1" t="s">
        <v>7165</v>
      </c>
      <c r="AA246" s="1">
        <v>201900000</v>
      </c>
      <c r="AB246" s="1">
        <v>35</v>
      </c>
    </row>
    <row r="247" spans="1:28" x14ac:dyDescent="0.2">
      <c r="A247" s="1">
        <v>636</v>
      </c>
      <c r="B247" s="1" t="s">
        <v>6850</v>
      </c>
      <c r="D247" s="1" t="s">
        <v>6851</v>
      </c>
      <c r="F247" s="1" t="s">
        <v>6914</v>
      </c>
      <c r="H247" s="1" t="s">
        <v>6915</v>
      </c>
      <c r="J247" s="1" t="s">
        <v>1324</v>
      </c>
      <c r="L247" s="1" t="s">
        <v>6932</v>
      </c>
      <c r="M247" s="1" t="s">
        <v>7131</v>
      </c>
      <c r="N247" s="1" t="s">
        <v>7151</v>
      </c>
      <c r="P247" s="1" t="s">
        <v>2948</v>
      </c>
      <c r="Q247" s="3">
        <v>0</v>
      </c>
      <c r="R247" s="23" t="s">
        <v>6854</v>
      </c>
      <c r="S247" s="23" t="s">
        <v>6849</v>
      </c>
      <c r="T247" s="23" t="s">
        <v>4866</v>
      </c>
      <c r="U247" s="3">
        <v>35</v>
      </c>
      <c r="V247" s="3" t="s">
        <v>6936</v>
      </c>
      <c r="W247" s="45" t="str">
        <f>HYPERLINK("http://ictvonline.org/taxonomy/p/taxonomy-history?taxnode_id=201900579","ICTVonline=201900579")</f>
        <v>ICTVonline=201900579</v>
      </c>
      <c r="Y247" s="1" t="s">
        <v>7166</v>
      </c>
      <c r="AA247" s="1">
        <v>201900000</v>
      </c>
      <c r="AB247" s="1">
        <v>35</v>
      </c>
    </row>
    <row r="248" spans="1:28" x14ac:dyDescent="0.2">
      <c r="A248" s="1">
        <v>638</v>
      </c>
      <c r="B248" s="1" t="s">
        <v>6850</v>
      </c>
      <c r="D248" s="1" t="s">
        <v>6851</v>
      </c>
      <c r="F248" s="1" t="s">
        <v>6914</v>
      </c>
      <c r="H248" s="1" t="s">
        <v>6915</v>
      </c>
      <c r="J248" s="1" t="s">
        <v>1324</v>
      </c>
      <c r="L248" s="1" t="s">
        <v>6932</v>
      </c>
      <c r="M248" s="1" t="s">
        <v>7131</v>
      </c>
      <c r="N248" s="1" t="s">
        <v>7151</v>
      </c>
      <c r="P248" s="1" t="s">
        <v>2949</v>
      </c>
      <c r="Q248" s="3">
        <v>0</v>
      </c>
      <c r="R248" s="23" t="s">
        <v>6854</v>
      </c>
      <c r="S248" s="23" t="s">
        <v>6849</v>
      </c>
      <c r="T248" s="23" t="s">
        <v>4866</v>
      </c>
      <c r="U248" s="3">
        <v>35</v>
      </c>
      <c r="V248" s="3" t="s">
        <v>6936</v>
      </c>
      <c r="W248" s="45" t="str">
        <f>HYPERLINK("http://ictvonline.org/taxonomy/p/taxonomy-history?taxnode_id=201900580","ICTVonline=201900580")</f>
        <v>ICTVonline=201900580</v>
      </c>
      <c r="Y248" s="1" t="s">
        <v>7167</v>
      </c>
      <c r="AA248" s="1">
        <v>201900000</v>
      </c>
      <c r="AB248" s="1">
        <v>35</v>
      </c>
    </row>
    <row r="249" spans="1:28" x14ac:dyDescent="0.2">
      <c r="A249" s="1">
        <v>640</v>
      </c>
      <c r="B249" s="1" t="s">
        <v>6850</v>
      </c>
      <c r="D249" s="1" t="s">
        <v>6851</v>
      </c>
      <c r="F249" s="1" t="s">
        <v>6914</v>
      </c>
      <c r="H249" s="1" t="s">
        <v>6915</v>
      </c>
      <c r="J249" s="1" t="s">
        <v>1324</v>
      </c>
      <c r="L249" s="1" t="s">
        <v>6932</v>
      </c>
      <c r="M249" s="1" t="s">
        <v>7131</v>
      </c>
      <c r="N249" s="1" t="s">
        <v>7151</v>
      </c>
      <c r="P249" s="1" t="s">
        <v>7168</v>
      </c>
      <c r="Q249" s="3">
        <v>0</v>
      </c>
      <c r="R249" s="23" t="s">
        <v>6854</v>
      </c>
      <c r="S249" s="23" t="s">
        <v>6849</v>
      </c>
      <c r="T249" s="23" t="s">
        <v>4864</v>
      </c>
      <c r="U249" s="3">
        <v>35</v>
      </c>
      <c r="V249" s="3" t="s">
        <v>6936</v>
      </c>
      <c r="W249" s="45" t="str">
        <f>HYPERLINK("http://ictvonline.org/taxonomy/p/taxonomy-history?taxnode_id=201908589","ICTVonline=201908589")</f>
        <v>ICTVonline=201908589</v>
      </c>
      <c r="Y249" s="1" t="s">
        <v>7169</v>
      </c>
      <c r="AA249" s="1">
        <v>201900000</v>
      </c>
      <c r="AB249" s="1">
        <v>35</v>
      </c>
    </row>
    <row r="250" spans="1:28" x14ac:dyDescent="0.2">
      <c r="A250" s="1">
        <v>642</v>
      </c>
      <c r="B250" s="1" t="s">
        <v>6850</v>
      </c>
      <c r="D250" s="1" t="s">
        <v>6851</v>
      </c>
      <c r="F250" s="1" t="s">
        <v>6914</v>
      </c>
      <c r="H250" s="1" t="s">
        <v>6915</v>
      </c>
      <c r="J250" s="1" t="s">
        <v>1324</v>
      </c>
      <c r="L250" s="1" t="s">
        <v>6932</v>
      </c>
      <c r="M250" s="1" t="s">
        <v>7131</v>
      </c>
      <c r="N250" s="1" t="s">
        <v>7151</v>
      </c>
      <c r="P250" s="1" t="s">
        <v>7170</v>
      </c>
      <c r="Q250" s="3">
        <v>1</v>
      </c>
      <c r="R250" s="23" t="s">
        <v>6854</v>
      </c>
      <c r="S250" s="23" t="s">
        <v>6849</v>
      </c>
      <c r="T250" s="23" t="s">
        <v>4864</v>
      </c>
      <c r="U250" s="3">
        <v>35</v>
      </c>
      <c r="V250" s="3" t="s">
        <v>6936</v>
      </c>
      <c r="W250" s="45" t="str">
        <f>HYPERLINK("http://ictvonline.org/taxonomy/p/taxonomy-history?taxnode_id=201908583","ICTVonline=201908583")</f>
        <v>ICTVonline=201908583</v>
      </c>
      <c r="Y250" s="1" t="s">
        <v>7171</v>
      </c>
      <c r="AA250" s="1">
        <v>201900000</v>
      </c>
      <c r="AB250" s="1">
        <v>35</v>
      </c>
    </row>
    <row r="251" spans="1:28" x14ac:dyDescent="0.2">
      <c r="A251" s="1">
        <v>646</v>
      </c>
      <c r="B251" s="1" t="s">
        <v>6850</v>
      </c>
      <c r="D251" s="1" t="s">
        <v>6851</v>
      </c>
      <c r="F251" s="1" t="s">
        <v>6914</v>
      </c>
      <c r="H251" s="1" t="s">
        <v>6915</v>
      </c>
      <c r="J251" s="1" t="s">
        <v>1324</v>
      </c>
      <c r="L251" s="1" t="s">
        <v>6932</v>
      </c>
      <c r="M251" s="1" t="s">
        <v>7131</v>
      </c>
      <c r="N251" s="1" t="s">
        <v>6257</v>
      </c>
      <c r="P251" s="1" t="s">
        <v>7172</v>
      </c>
      <c r="Q251" s="3">
        <v>0</v>
      </c>
      <c r="R251" s="23" t="s">
        <v>6854</v>
      </c>
      <c r="S251" s="23" t="s">
        <v>6849</v>
      </c>
      <c r="T251" s="23" t="s">
        <v>4864</v>
      </c>
      <c r="U251" s="3">
        <v>35</v>
      </c>
      <c r="V251" s="3" t="s">
        <v>6936</v>
      </c>
      <c r="W251" s="45" t="str">
        <f>HYPERLINK("http://ictvonline.org/taxonomy/p/taxonomy-history?taxnode_id=201908592","ICTVonline=201908592")</f>
        <v>ICTVonline=201908592</v>
      </c>
      <c r="Y251" s="1" t="s">
        <v>7173</v>
      </c>
      <c r="AA251" s="1">
        <v>201900000</v>
      </c>
      <c r="AB251" s="1">
        <v>35</v>
      </c>
    </row>
    <row r="252" spans="1:28" x14ac:dyDescent="0.2">
      <c r="A252" s="1">
        <v>648</v>
      </c>
      <c r="B252" s="1" t="s">
        <v>6850</v>
      </c>
      <c r="D252" s="1" t="s">
        <v>6851</v>
      </c>
      <c r="F252" s="1" t="s">
        <v>6914</v>
      </c>
      <c r="H252" s="1" t="s">
        <v>6915</v>
      </c>
      <c r="J252" s="1" t="s">
        <v>1324</v>
      </c>
      <c r="L252" s="1" t="s">
        <v>6932</v>
      </c>
      <c r="M252" s="1" t="s">
        <v>7131</v>
      </c>
      <c r="N252" s="1" t="s">
        <v>6257</v>
      </c>
      <c r="P252" s="1" t="s">
        <v>7174</v>
      </c>
      <c r="Q252" s="3">
        <v>0</v>
      </c>
      <c r="R252" s="23" t="s">
        <v>6854</v>
      </c>
      <c r="S252" s="23" t="s">
        <v>6849</v>
      </c>
      <c r="T252" s="23" t="s">
        <v>4864</v>
      </c>
      <c r="U252" s="3">
        <v>35</v>
      </c>
      <c r="V252" s="3" t="s">
        <v>6936</v>
      </c>
      <c r="W252" s="45" t="str">
        <f>HYPERLINK("http://ictvonline.org/taxonomy/p/taxonomy-history?taxnode_id=201908593","ICTVonline=201908593")</f>
        <v>ICTVonline=201908593</v>
      </c>
      <c r="Y252" s="1" t="s">
        <v>7175</v>
      </c>
      <c r="AA252" s="1">
        <v>201900000</v>
      </c>
      <c r="AB252" s="1">
        <v>35</v>
      </c>
    </row>
    <row r="253" spans="1:28" x14ac:dyDescent="0.2">
      <c r="A253" s="1">
        <v>650</v>
      </c>
      <c r="B253" s="1" t="s">
        <v>6850</v>
      </c>
      <c r="D253" s="1" t="s">
        <v>6851</v>
      </c>
      <c r="F253" s="1" t="s">
        <v>6914</v>
      </c>
      <c r="H253" s="1" t="s">
        <v>6915</v>
      </c>
      <c r="J253" s="1" t="s">
        <v>1324</v>
      </c>
      <c r="L253" s="1" t="s">
        <v>6932</v>
      </c>
      <c r="M253" s="1" t="s">
        <v>7131</v>
      </c>
      <c r="N253" s="1" t="s">
        <v>6257</v>
      </c>
      <c r="P253" s="1" t="s">
        <v>2950</v>
      </c>
      <c r="Q253" s="3">
        <v>1</v>
      </c>
      <c r="R253" s="23" t="s">
        <v>6854</v>
      </c>
      <c r="S253" s="23" t="s">
        <v>6845</v>
      </c>
      <c r="T253" s="23" t="s">
        <v>4866</v>
      </c>
      <c r="U253" s="3">
        <v>35</v>
      </c>
      <c r="W253" s="45" t="str">
        <f>HYPERLINK("http://ictvonline.org/taxonomy/p/taxonomy-history?taxnode_id=201900581","ICTVonline=201900581")</f>
        <v>ICTVonline=201900581</v>
      </c>
      <c r="AA253" s="1">
        <v>201900000</v>
      </c>
      <c r="AB253" s="1">
        <v>35</v>
      </c>
    </row>
    <row r="254" spans="1:28" x14ac:dyDescent="0.2">
      <c r="A254" s="1">
        <v>656</v>
      </c>
      <c r="B254" s="1" t="s">
        <v>6850</v>
      </c>
      <c r="D254" s="1" t="s">
        <v>6851</v>
      </c>
      <c r="F254" s="1" t="s">
        <v>6914</v>
      </c>
      <c r="H254" s="1" t="s">
        <v>6915</v>
      </c>
      <c r="J254" s="1" t="s">
        <v>1324</v>
      </c>
      <c r="L254" s="1" t="s">
        <v>6932</v>
      </c>
      <c r="M254" s="1" t="s">
        <v>7176</v>
      </c>
      <c r="N254" s="1" t="s">
        <v>7177</v>
      </c>
      <c r="P254" s="1" t="s">
        <v>7178</v>
      </c>
      <c r="Q254" s="3">
        <v>1</v>
      </c>
      <c r="R254" s="23" t="s">
        <v>6854</v>
      </c>
      <c r="S254" s="23" t="s">
        <v>6849</v>
      </c>
      <c r="T254" s="23" t="s">
        <v>4864</v>
      </c>
      <c r="U254" s="3">
        <v>35</v>
      </c>
      <c r="V254" s="3" t="s">
        <v>6936</v>
      </c>
      <c r="W254" s="45" t="str">
        <f>HYPERLINK("http://ictvonline.org/taxonomy/p/taxonomy-history?taxnode_id=201908337","ICTVonline=201908337")</f>
        <v>ICTVonline=201908337</v>
      </c>
      <c r="Y254" s="1" t="s">
        <v>7179</v>
      </c>
      <c r="AA254" s="1">
        <v>201900000</v>
      </c>
      <c r="AB254" s="1">
        <v>35</v>
      </c>
    </row>
    <row r="255" spans="1:28" x14ac:dyDescent="0.2">
      <c r="A255" s="1">
        <v>658</v>
      </c>
      <c r="B255" s="1" t="s">
        <v>6850</v>
      </c>
      <c r="D255" s="1" t="s">
        <v>6851</v>
      </c>
      <c r="F255" s="1" t="s">
        <v>6914</v>
      </c>
      <c r="H255" s="1" t="s">
        <v>6915</v>
      </c>
      <c r="J255" s="1" t="s">
        <v>1324</v>
      </c>
      <c r="L255" s="1" t="s">
        <v>6932</v>
      </c>
      <c r="M255" s="1" t="s">
        <v>7176</v>
      </c>
      <c r="N255" s="1" t="s">
        <v>7177</v>
      </c>
      <c r="P255" s="1" t="s">
        <v>7180</v>
      </c>
      <c r="Q255" s="3">
        <v>0</v>
      </c>
      <c r="R255" s="23" t="s">
        <v>6854</v>
      </c>
      <c r="S255" s="23" t="s">
        <v>6849</v>
      </c>
      <c r="T255" s="23" t="s">
        <v>4864</v>
      </c>
      <c r="U255" s="3">
        <v>35</v>
      </c>
      <c r="V255" s="3" t="s">
        <v>6936</v>
      </c>
      <c r="W255" s="45" t="str">
        <f>HYPERLINK("http://ictvonline.org/taxonomy/p/taxonomy-history?taxnode_id=201908338","ICTVonline=201908338")</f>
        <v>ICTVonline=201908338</v>
      </c>
      <c r="Y255" s="1" t="s">
        <v>7181</v>
      </c>
      <c r="AA255" s="1">
        <v>201900000</v>
      </c>
      <c r="AB255" s="1">
        <v>35</v>
      </c>
    </row>
    <row r="256" spans="1:28" x14ac:dyDescent="0.2">
      <c r="A256" s="1">
        <v>662</v>
      </c>
      <c r="B256" s="1" t="s">
        <v>6850</v>
      </c>
      <c r="D256" s="1" t="s">
        <v>6851</v>
      </c>
      <c r="F256" s="1" t="s">
        <v>6914</v>
      </c>
      <c r="H256" s="1" t="s">
        <v>6915</v>
      </c>
      <c r="J256" s="1" t="s">
        <v>1324</v>
      </c>
      <c r="L256" s="1" t="s">
        <v>6932</v>
      </c>
      <c r="M256" s="1" t="s">
        <v>7176</v>
      </c>
      <c r="N256" s="1" t="s">
        <v>7182</v>
      </c>
      <c r="P256" s="1" t="s">
        <v>7183</v>
      </c>
      <c r="Q256" s="3">
        <v>1</v>
      </c>
      <c r="R256" s="23" t="s">
        <v>6854</v>
      </c>
      <c r="S256" s="23" t="s">
        <v>6849</v>
      </c>
      <c r="T256" s="23" t="s">
        <v>4864</v>
      </c>
      <c r="U256" s="3">
        <v>35</v>
      </c>
      <c r="V256" s="3" t="s">
        <v>6936</v>
      </c>
      <c r="W256" s="45" t="str">
        <f>HYPERLINK("http://ictvonline.org/taxonomy/p/taxonomy-history?taxnode_id=201908334","ICTVonline=201908334")</f>
        <v>ICTVonline=201908334</v>
      </c>
      <c r="Y256" s="1" t="s">
        <v>7184</v>
      </c>
      <c r="AA256" s="1">
        <v>201900000</v>
      </c>
      <c r="AB256" s="1">
        <v>35</v>
      </c>
    </row>
    <row r="257" spans="1:28" x14ac:dyDescent="0.2">
      <c r="A257" s="1">
        <v>664</v>
      </c>
      <c r="B257" s="1" t="s">
        <v>6850</v>
      </c>
      <c r="D257" s="1" t="s">
        <v>6851</v>
      </c>
      <c r="F257" s="1" t="s">
        <v>6914</v>
      </c>
      <c r="H257" s="1" t="s">
        <v>6915</v>
      </c>
      <c r="J257" s="1" t="s">
        <v>1324</v>
      </c>
      <c r="L257" s="1" t="s">
        <v>6932</v>
      </c>
      <c r="M257" s="1" t="s">
        <v>7176</v>
      </c>
      <c r="N257" s="1" t="s">
        <v>7182</v>
      </c>
      <c r="P257" s="1" t="s">
        <v>7185</v>
      </c>
      <c r="Q257" s="3">
        <v>0</v>
      </c>
      <c r="R257" s="23" t="s">
        <v>6854</v>
      </c>
      <c r="S257" s="23" t="s">
        <v>6849</v>
      </c>
      <c r="T257" s="23" t="s">
        <v>4864</v>
      </c>
      <c r="U257" s="3">
        <v>35</v>
      </c>
      <c r="V257" s="3" t="s">
        <v>6936</v>
      </c>
      <c r="W257" s="45" t="str">
        <f>HYPERLINK("http://ictvonline.org/taxonomy/p/taxonomy-history?taxnode_id=201908335","ICTVonline=201908335")</f>
        <v>ICTVonline=201908335</v>
      </c>
      <c r="Y257" s="1" t="s">
        <v>7186</v>
      </c>
      <c r="AA257" s="1">
        <v>201900000</v>
      </c>
      <c r="AB257" s="1">
        <v>35</v>
      </c>
    </row>
    <row r="258" spans="1:28" x14ac:dyDescent="0.2">
      <c r="A258" s="1">
        <v>668</v>
      </c>
      <c r="B258" s="1" t="s">
        <v>6850</v>
      </c>
      <c r="D258" s="1" t="s">
        <v>6851</v>
      </c>
      <c r="F258" s="1" t="s">
        <v>6914</v>
      </c>
      <c r="H258" s="1" t="s">
        <v>6915</v>
      </c>
      <c r="J258" s="1" t="s">
        <v>1324</v>
      </c>
      <c r="L258" s="1" t="s">
        <v>6932</v>
      </c>
      <c r="M258" s="1" t="s">
        <v>7176</v>
      </c>
      <c r="N258" s="1" t="s">
        <v>7187</v>
      </c>
      <c r="P258" s="1" t="s">
        <v>7188</v>
      </c>
      <c r="Q258" s="3">
        <v>1</v>
      </c>
      <c r="R258" s="23" t="s">
        <v>6854</v>
      </c>
      <c r="S258" s="23" t="s">
        <v>6849</v>
      </c>
      <c r="T258" s="23" t="s">
        <v>4864</v>
      </c>
      <c r="U258" s="3">
        <v>35</v>
      </c>
      <c r="V258" s="3" t="s">
        <v>6936</v>
      </c>
      <c r="W258" s="45" t="str">
        <f>HYPERLINK("http://ictvonline.org/taxonomy/p/taxonomy-history?taxnode_id=201908342","ICTVonline=201908342")</f>
        <v>ICTVonline=201908342</v>
      </c>
      <c r="Y258" s="1" t="s">
        <v>7189</v>
      </c>
      <c r="AA258" s="1">
        <v>201900000</v>
      </c>
      <c r="AB258" s="1">
        <v>35</v>
      </c>
    </row>
    <row r="259" spans="1:28" x14ac:dyDescent="0.2">
      <c r="A259" s="1">
        <v>672</v>
      </c>
      <c r="B259" s="1" t="s">
        <v>6850</v>
      </c>
      <c r="D259" s="1" t="s">
        <v>6851</v>
      </c>
      <c r="F259" s="1" t="s">
        <v>6914</v>
      </c>
      <c r="H259" s="1" t="s">
        <v>6915</v>
      </c>
      <c r="J259" s="1" t="s">
        <v>1324</v>
      </c>
      <c r="L259" s="1" t="s">
        <v>6932</v>
      </c>
      <c r="M259" s="1" t="s">
        <v>7176</v>
      </c>
      <c r="N259" s="1" t="s">
        <v>7190</v>
      </c>
      <c r="P259" s="1" t="s">
        <v>7191</v>
      </c>
      <c r="Q259" s="3">
        <v>1</v>
      </c>
      <c r="R259" s="23" t="s">
        <v>6854</v>
      </c>
      <c r="S259" s="23" t="s">
        <v>6849</v>
      </c>
      <c r="T259" s="23" t="s">
        <v>4864</v>
      </c>
      <c r="U259" s="3">
        <v>35</v>
      </c>
      <c r="V259" s="3" t="s">
        <v>6936</v>
      </c>
      <c r="W259" s="45" t="str">
        <f>HYPERLINK("http://ictvonline.org/taxonomy/p/taxonomy-history?taxnode_id=201908332","ICTVonline=201908332")</f>
        <v>ICTVonline=201908332</v>
      </c>
      <c r="Y259" s="1" t="s">
        <v>7192</v>
      </c>
      <c r="AA259" s="1">
        <v>201900000</v>
      </c>
      <c r="AB259" s="1">
        <v>35</v>
      </c>
    </row>
    <row r="260" spans="1:28" x14ac:dyDescent="0.2">
      <c r="A260" s="1">
        <v>674</v>
      </c>
      <c r="B260" s="1" t="s">
        <v>6850</v>
      </c>
      <c r="D260" s="1" t="s">
        <v>6851</v>
      </c>
      <c r="F260" s="1" t="s">
        <v>6914</v>
      </c>
      <c r="H260" s="1" t="s">
        <v>6915</v>
      </c>
      <c r="J260" s="1" t="s">
        <v>1324</v>
      </c>
      <c r="L260" s="1" t="s">
        <v>6932</v>
      </c>
      <c r="M260" s="1" t="s">
        <v>7176</v>
      </c>
      <c r="N260" s="1" t="s">
        <v>7190</v>
      </c>
      <c r="P260" s="1" t="s">
        <v>7193</v>
      </c>
      <c r="Q260" s="3">
        <v>0</v>
      </c>
      <c r="R260" s="23" t="s">
        <v>6854</v>
      </c>
      <c r="S260" s="23" t="s">
        <v>6849</v>
      </c>
      <c r="T260" s="23" t="s">
        <v>4864</v>
      </c>
      <c r="U260" s="3">
        <v>35</v>
      </c>
      <c r="V260" s="3" t="s">
        <v>6936</v>
      </c>
      <c r="W260" s="45" t="str">
        <f>HYPERLINK("http://ictvonline.org/taxonomy/p/taxonomy-history?taxnode_id=201908331","ICTVonline=201908331")</f>
        <v>ICTVonline=201908331</v>
      </c>
      <c r="Y260" s="1" t="s">
        <v>7194</v>
      </c>
      <c r="AA260" s="1">
        <v>201900000</v>
      </c>
      <c r="AB260" s="1">
        <v>35</v>
      </c>
    </row>
    <row r="261" spans="1:28" x14ac:dyDescent="0.2">
      <c r="A261" s="1">
        <v>678</v>
      </c>
      <c r="B261" s="1" t="s">
        <v>6850</v>
      </c>
      <c r="D261" s="1" t="s">
        <v>6851</v>
      </c>
      <c r="F261" s="1" t="s">
        <v>6914</v>
      </c>
      <c r="H261" s="1" t="s">
        <v>6915</v>
      </c>
      <c r="J261" s="1" t="s">
        <v>1324</v>
      </c>
      <c r="L261" s="1" t="s">
        <v>6932</v>
      </c>
      <c r="M261" s="1" t="s">
        <v>7176</v>
      </c>
      <c r="N261" s="1" t="s">
        <v>7195</v>
      </c>
      <c r="P261" s="1" t="s">
        <v>7196</v>
      </c>
      <c r="Q261" s="3">
        <v>1</v>
      </c>
      <c r="R261" s="23" t="s">
        <v>6854</v>
      </c>
      <c r="S261" s="23" t="s">
        <v>6849</v>
      </c>
      <c r="T261" s="23" t="s">
        <v>4864</v>
      </c>
      <c r="U261" s="3">
        <v>35</v>
      </c>
      <c r="V261" s="3" t="s">
        <v>6936</v>
      </c>
      <c r="W261" s="45" t="str">
        <f>HYPERLINK("http://ictvonline.org/taxonomy/p/taxonomy-history?taxnode_id=201908340","ICTVonline=201908340")</f>
        <v>ICTVonline=201908340</v>
      </c>
      <c r="Y261" s="1" t="s">
        <v>7197</v>
      </c>
      <c r="AA261" s="1">
        <v>201900000</v>
      </c>
      <c r="AB261" s="1">
        <v>35</v>
      </c>
    </row>
    <row r="262" spans="1:28" x14ac:dyDescent="0.2">
      <c r="A262" s="1">
        <v>684</v>
      </c>
      <c r="B262" s="1" t="s">
        <v>6850</v>
      </c>
      <c r="D262" s="1" t="s">
        <v>6851</v>
      </c>
      <c r="F262" s="1" t="s">
        <v>6914</v>
      </c>
      <c r="H262" s="1" t="s">
        <v>6915</v>
      </c>
      <c r="J262" s="1" t="s">
        <v>1324</v>
      </c>
      <c r="L262" s="1" t="s">
        <v>6932</v>
      </c>
      <c r="M262" s="1" t="s">
        <v>7198</v>
      </c>
      <c r="N262" s="1" t="s">
        <v>7199</v>
      </c>
      <c r="P262" s="1" t="s">
        <v>7200</v>
      </c>
      <c r="Q262" s="3">
        <v>1</v>
      </c>
      <c r="R262" s="23" t="s">
        <v>6854</v>
      </c>
      <c r="S262" s="23" t="s">
        <v>6849</v>
      </c>
      <c r="T262" s="23" t="s">
        <v>4864</v>
      </c>
      <c r="U262" s="3">
        <v>35</v>
      </c>
      <c r="V262" s="3" t="s">
        <v>6936</v>
      </c>
      <c r="W262" s="45" t="str">
        <f>HYPERLINK("http://ictvonline.org/taxonomy/p/taxonomy-history?taxnode_id=201908550","ICTVonline=201908550")</f>
        <v>ICTVonline=201908550</v>
      </c>
      <c r="Y262" s="1" t="s">
        <v>7201</v>
      </c>
      <c r="AA262" s="1">
        <v>201900000</v>
      </c>
      <c r="AB262" s="1">
        <v>35</v>
      </c>
    </row>
    <row r="263" spans="1:28" x14ac:dyDescent="0.2">
      <c r="A263" s="1">
        <v>688</v>
      </c>
      <c r="B263" s="1" t="s">
        <v>6850</v>
      </c>
      <c r="D263" s="1" t="s">
        <v>6851</v>
      </c>
      <c r="F263" s="1" t="s">
        <v>6914</v>
      </c>
      <c r="H263" s="1" t="s">
        <v>6915</v>
      </c>
      <c r="J263" s="1" t="s">
        <v>1324</v>
      </c>
      <c r="L263" s="1" t="s">
        <v>6932</v>
      </c>
      <c r="M263" s="1" t="s">
        <v>7198</v>
      </c>
      <c r="N263" s="1" t="s">
        <v>6233</v>
      </c>
      <c r="P263" s="1" t="s">
        <v>7202</v>
      </c>
      <c r="Q263" s="3">
        <v>0</v>
      </c>
      <c r="R263" s="23" t="s">
        <v>6854</v>
      </c>
      <c r="S263" s="23" t="s">
        <v>6849</v>
      </c>
      <c r="T263" s="23" t="s">
        <v>4864</v>
      </c>
      <c r="U263" s="3">
        <v>35</v>
      </c>
      <c r="V263" s="3" t="s">
        <v>6936</v>
      </c>
      <c r="W263" s="45" t="str">
        <f>HYPERLINK("http://ictvonline.org/taxonomy/p/taxonomy-history?taxnode_id=201908545","ICTVonline=201908545")</f>
        <v>ICTVonline=201908545</v>
      </c>
      <c r="Y263" s="1" t="s">
        <v>7203</v>
      </c>
      <c r="AA263" s="1">
        <v>201900000</v>
      </c>
      <c r="AB263" s="1">
        <v>35</v>
      </c>
    </row>
    <row r="264" spans="1:28" x14ac:dyDescent="0.2">
      <c r="A264" s="1">
        <v>690</v>
      </c>
      <c r="B264" s="1" t="s">
        <v>6850</v>
      </c>
      <c r="D264" s="1" t="s">
        <v>6851</v>
      </c>
      <c r="F264" s="1" t="s">
        <v>6914</v>
      </c>
      <c r="H264" s="1" t="s">
        <v>6915</v>
      </c>
      <c r="J264" s="1" t="s">
        <v>1324</v>
      </c>
      <c r="L264" s="1" t="s">
        <v>6932</v>
      </c>
      <c r="M264" s="1" t="s">
        <v>7198</v>
      </c>
      <c r="N264" s="1" t="s">
        <v>6233</v>
      </c>
      <c r="P264" s="1" t="s">
        <v>7204</v>
      </c>
      <c r="Q264" s="3">
        <v>0</v>
      </c>
      <c r="R264" s="23" t="s">
        <v>6854</v>
      </c>
      <c r="S264" s="23" t="s">
        <v>6849</v>
      </c>
      <c r="T264" s="23" t="s">
        <v>4864</v>
      </c>
      <c r="U264" s="3">
        <v>35</v>
      </c>
      <c r="V264" s="3" t="s">
        <v>6936</v>
      </c>
      <c r="W264" s="45" t="str">
        <f>HYPERLINK("http://ictvonline.org/taxonomy/p/taxonomy-history?taxnode_id=201908543","ICTVonline=201908543")</f>
        <v>ICTVonline=201908543</v>
      </c>
      <c r="Y264" s="1" t="s">
        <v>7205</v>
      </c>
      <c r="AA264" s="1">
        <v>201900000</v>
      </c>
      <c r="AB264" s="1">
        <v>35</v>
      </c>
    </row>
    <row r="265" spans="1:28" x14ac:dyDescent="0.2">
      <c r="A265" s="1">
        <v>692</v>
      </c>
      <c r="B265" s="1" t="s">
        <v>6850</v>
      </c>
      <c r="D265" s="1" t="s">
        <v>6851</v>
      </c>
      <c r="F265" s="1" t="s">
        <v>6914</v>
      </c>
      <c r="H265" s="1" t="s">
        <v>6915</v>
      </c>
      <c r="J265" s="1" t="s">
        <v>1324</v>
      </c>
      <c r="L265" s="1" t="s">
        <v>6932</v>
      </c>
      <c r="M265" s="1" t="s">
        <v>7198</v>
      </c>
      <c r="N265" s="1" t="s">
        <v>6233</v>
      </c>
      <c r="P265" s="1" t="s">
        <v>7206</v>
      </c>
      <c r="Q265" s="3">
        <v>0</v>
      </c>
      <c r="R265" s="23" t="s">
        <v>6854</v>
      </c>
      <c r="S265" s="23" t="s">
        <v>6849</v>
      </c>
      <c r="T265" s="23" t="s">
        <v>4864</v>
      </c>
      <c r="U265" s="3">
        <v>35</v>
      </c>
      <c r="V265" s="3" t="s">
        <v>6936</v>
      </c>
      <c r="W265" s="45" t="str">
        <f>HYPERLINK("http://ictvonline.org/taxonomy/p/taxonomy-history?taxnode_id=201908536","ICTVonline=201908536")</f>
        <v>ICTVonline=201908536</v>
      </c>
      <c r="Y265" s="1" t="s">
        <v>7207</v>
      </c>
      <c r="AA265" s="1">
        <v>201900000</v>
      </c>
      <c r="AB265" s="1">
        <v>35</v>
      </c>
    </row>
    <row r="266" spans="1:28" x14ac:dyDescent="0.2">
      <c r="A266" s="1">
        <v>694</v>
      </c>
      <c r="B266" s="1" t="s">
        <v>6850</v>
      </c>
      <c r="D266" s="1" t="s">
        <v>6851</v>
      </c>
      <c r="F266" s="1" t="s">
        <v>6914</v>
      </c>
      <c r="H266" s="1" t="s">
        <v>6915</v>
      </c>
      <c r="J266" s="1" t="s">
        <v>1324</v>
      </c>
      <c r="L266" s="1" t="s">
        <v>6932</v>
      </c>
      <c r="M266" s="1" t="s">
        <v>7198</v>
      </c>
      <c r="N266" s="1" t="s">
        <v>6233</v>
      </c>
      <c r="P266" s="1" t="s">
        <v>2939</v>
      </c>
      <c r="Q266" s="3">
        <v>0</v>
      </c>
      <c r="R266" s="23" t="s">
        <v>6854</v>
      </c>
      <c r="S266" s="23" t="s">
        <v>6845</v>
      </c>
      <c r="T266" s="23" t="s">
        <v>4866</v>
      </c>
      <c r="U266" s="3">
        <v>35</v>
      </c>
      <c r="W266" s="45" t="str">
        <f>HYPERLINK("http://ictvonline.org/taxonomy/p/taxonomy-history?taxnode_id=201900558","ICTVonline=201900558")</f>
        <v>ICTVonline=201900558</v>
      </c>
      <c r="Y266" s="1" t="s">
        <v>7208</v>
      </c>
      <c r="Z266" s="1" t="s">
        <v>7209</v>
      </c>
      <c r="AA266" s="1">
        <v>201900000</v>
      </c>
      <c r="AB266" s="1">
        <v>35</v>
      </c>
    </row>
    <row r="267" spans="1:28" x14ac:dyDescent="0.2">
      <c r="A267" s="1">
        <v>696</v>
      </c>
      <c r="B267" s="1" t="s">
        <v>6850</v>
      </c>
      <c r="D267" s="1" t="s">
        <v>6851</v>
      </c>
      <c r="F267" s="1" t="s">
        <v>6914</v>
      </c>
      <c r="H267" s="1" t="s">
        <v>6915</v>
      </c>
      <c r="J267" s="1" t="s">
        <v>1324</v>
      </c>
      <c r="L267" s="1" t="s">
        <v>6932</v>
      </c>
      <c r="M267" s="1" t="s">
        <v>7198</v>
      </c>
      <c r="N267" s="1" t="s">
        <v>6233</v>
      </c>
      <c r="P267" s="1" t="s">
        <v>2940</v>
      </c>
      <c r="Q267" s="3">
        <v>0</v>
      </c>
      <c r="R267" s="23" t="s">
        <v>6854</v>
      </c>
      <c r="S267" s="23" t="s">
        <v>6845</v>
      </c>
      <c r="T267" s="23" t="s">
        <v>4866</v>
      </c>
      <c r="U267" s="3">
        <v>35</v>
      </c>
      <c r="W267" s="45" t="str">
        <f>HYPERLINK("http://ictvonline.org/taxonomy/p/taxonomy-history?taxnode_id=201900559","ICTVonline=201900559")</f>
        <v>ICTVonline=201900559</v>
      </c>
      <c r="Y267" s="1" t="s">
        <v>7210</v>
      </c>
      <c r="Z267" s="1" t="s">
        <v>7211</v>
      </c>
      <c r="AA267" s="1">
        <v>201900000</v>
      </c>
      <c r="AB267" s="1">
        <v>35</v>
      </c>
    </row>
    <row r="268" spans="1:28" x14ac:dyDescent="0.2">
      <c r="A268" s="1">
        <v>698</v>
      </c>
      <c r="B268" s="1" t="s">
        <v>6850</v>
      </c>
      <c r="D268" s="1" t="s">
        <v>6851</v>
      </c>
      <c r="F268" s="1" t="s">
        <v>6914</v>
      </c>
      <c r="H268" s="1" t="s">
        <v>6915</v>
      </c>
      <c r="J268" s="1" t="s">
        <v>1324</v>
      </c>
      <c r="L268" s="1" t="s">
        <v>6932</v>
      </c>
      <c r="M268" s="1" t="s">
        <v>7198</v>
      </c>
      <c r="N268" s="1" t="s">
        <v>6233</v>
      </c>
      <c r="P268" s="1" t="s">
        <v>4216</v>
      </c>
      <c r="Q268" s="3">
        <v>0</v>
      </c>
      <c r="R268" s="23" t="s">
        <v>6854</v>
      </c>
      <c r="S268" s="23" t="s">
        <v>6845</v>
      </c>
      <c r="T268" s="23" t="s">
        <v>4866</v>
      </c>
      <c r="U268" s="3">
        <v>35</v>
      </c>
      <c r="W268" s="45" t="str">
        <f>HYPERLINK("http://ictvonline.org/taxonomy/p/taxonomy-history?taxnode_id=201900560","ICTVonline=201900560")</f>
        <v>ICTVonline=201900560</v>
      </c>
      <c r="Y268" s="1" t="s">
        <v>7212</v>
      </c>
      <c r="Z268" s="1" t="s">
        <v>7213</v>
      </c>
      <c r="AA268" s="1">
        <v>201900000</v>
      </c>
      <c r="AB268" s="1">
        <v>35</v>
      </c>
    </row>
    <row r="269" spans="1:28" x14ac:dyDescent="0.2">
      <c r="A269" s="1">
        <v>700</v>
      </c>
      <c r="B269" s="1" t="s">
        <v>6850</v>
      </c>
      <c r="D269" s="1" t="s">
        <v>6851</v>
      </c>
      <c r="F269" s="1" t="s">
        <v>6914</v>
      </c>
      <c r="H269" s="1" t="s">
        <v>6915</v>
      </c>
      <c r="J269" s="1" t="s">
        <v>1324</v>
      </c>
      <c r="L269" s="1" t="s">
        <v>6932</v>
      </c>
      <c r="M269" s="1" t="s">
        <v>7198</v>
      </c>
      <c r="N269" s="1" t="s">
        <v>6233</v>
      </c>
      <c r="P269" s="1" t="s">
        <v>2941</v>
      </c>
      <c r="Q269" s="3">
        <v>1</v>
      </c>
      <c r="R269" s="23" t="s">
        <v>6854</v>
      </c>
      <c r="S269" s="23" t="s">
        <v>6845</v>
      </c>
      <c r="T269" s="23" t="s">
        <v>4866</v>
      </c>
      <c r="U269" s="3">
        <v>35</v>
      </c>
      <c r="W269" s="45" t="str">
        <f>HYPERLINK("http://ictvonline.org/taxonomy/p/taxonomy-history?taxnode_id=201900561","ICTVonline=201900561")</f>
        <v>ICTVonline=201900561</v>
      </c>
      <c r="Y269" s="1" t="s">
        <v>7214</v>
      </c>
      <c r="Z269" s="1" t="s">
        <v>7215</v>
      </c>
      <c r="AA269" s="1">
        <v>201900000</v>
      </c>
      <c r="AB269" s="1">
        <v>35</v>
      </c>
    </row>
    <row r="270" spans="1:28" x14ac:dyDescent="0.2">
      <c r="A270" s="1">
        <v>702</v>
      </c>
      <c r="B270" s="1" t="s">
        <v>6850</v>
      </c>
      <c r="D270" s="1" t="s">
        <v>6851</v>
      </c>
      <c r="F270" s="1" t="s">
        <v>6914</v>
      </c>
      <c r="H270" s="1" t="s">
        <v>6915</v>
      </c>
      <c r="J270" s="1" t="s">
        <v>1324</v>
      </c>
      <c r="L270" s="1" t="s">
        <v>6932</v>
      </c>
      <c r="M270" s="1" t="s">
        <v>7198</v>
      </c>
      <c r="N270" s="1" t="s">
        <v>6233</v>
      </c>
      <c r="P270" s="1" t="s">
        <v>7216</v>
      </c>
      <c r="Q270" s="3">
        <v>0</v>
      </c>
      <c r="R270" s="23" t="s">
        <v>6854</v>
      </c>
      <c r="S270" s="23" t="s">
        <v>6849</v>
      </c>
      <c r="T270" s="23" t="s">
        <v>4864</v>
      </c>
      <c r="U270" s="3">
        <v>35</v>
      </c>
      <c r="V270" s="3" t="s">
        <v>6936</v>
      </c>
      <c r="W270" s="45" t="str">
        <f>HYPERLINK("http://ictvonline.org/taxonomy/p/taxonomy-history?taxnode_id=201908539","ICTVonline=201908539")</f>
        <v>ICTVonline=201908539</v>
      </c>
      <c r="Y270" s="1" t="s">
        <v>7217</v>
      </c>
      <c r="AA270" s="1">
        <v>201900000</v>
      </c>
      <c r="AB270" s="1">
        <v>35</v>
      </c>
    </row>
    <row r="271" spans="1:28" x14ac:dyDescent="0.2">
      <c r="A271" s="1">
        <v>704</v>
      </c>
      <c r="B271" s="1" t="s">
        <v>6850</v>
      </c>
      <c r="D271" s="1" t="s">
        <v>6851</v>
      </c>
      <c r="F271" s="1" t="s">
        <v>6914</v>
      </c>
      <c r="H271" s="1" t="s">
        <v>6915</v>
      </c>
      <c r="J271" s="1" t="s">
        <v>1324</v>
      </c>
      <c r="L271" s="1" t="s">
        <v>6932</v>
      </c>
      <c r="M271" s="1" t="s">
        <v>7198</v>
      </c>
      <c r="N271" s="1" t="s">
        <v>6233</v>
      </c>
      <c r="P271" s="1" t="s">
        <v>7218</v>
      </c>
      <c r="Q271" s="3">
        <v>0</v>
      </c>
      <c r="R271" s="23" t="s">
        <v>6854</v>
      </c>
      <c r="S271" s="23" t="s">
        <v>6849</v>
      </c>
      <c r="T271" s="23" t="s">
        <v>4864</v>
      </c>
      <c r="U271" s="3">
        <v>35</v>
      </c>
      <c r="V271" s="3" t="s">
        <v>6936</v>
      </c>
      <c r="W271" s="45" t="str">
        <f>HYPERLINK("http://ictvonline.org/taxonomy/p/taxonomy-history?taxnode_id=201908538","ICTVonline=201908538")</f>
        <v>ICTVonline=201908538</v>
      </c>
      <c r="Y271" s="1" t="s">
        <v>7219</v>
      </c>
      <c r="AA271" s="1">
        <v>201900000</v>
      </c>
      <c r="AB271" s="1">
        <v>35</v>
      </c>
    </row>
    <row r="272" spans="1:28" x14ac:dyDescent="0.2">
      <c r="A272" s="1">
        <v>706</v>
      </c>
      <c r="B272" s="1" t="s">
        <v>6850</v>
      </c>
      <c r="D272" s="1" t="s">
        <v>6851</v>
      </c>
      <c r="F272" s="1" t="s">
        <v>6914</v>
      </c>
      <c r="H272" s="1" t="s">
        <v>6915</v>
      </c>
      <c r="J272" s="1" t="s">
        <v>1324</v>
      </c>
      <c r="L272" s="1" t="s">
        <v>6932</v>
      </c>
      <c r="M272" s="1" t="s">
        <v>7198</v>
      </c>
      <c r="N272" s="1" t="s">
        <v>6233</v>
      </c>
      <c r="P272" s="1" t="s">
        <v>4217</v>
      </c>
      <c r="Q272" s="3">
        <v>0</v>
      </c>
      <c r="R272" s="23" t="s">
        <v>6854</v>
      </c>
      <c r="S272" s="23" t="s">
        <v>6845</v>
      </c>
      <c r="T272" s="23" t="s">
        <v>4866</v>
      </c>
      <c r="U272" s="3">
        <v>35</v>
      </c>
      <c r="W272" s="45" t="str">
        <f>HYPERLINK("http://ictvonline.org/taxonomy/p/taxonomy-history?taxnode_id=201900562","ICTVonline=201900562")</f>
        <v>ICTVonline=201900562</v>
      </c>
      <c r="Y272" s="1" t="s">
        <v>7220</v>
      </c>
      <c r="Z272" s="1" t="s">
        <v>7221</v>
      </c>
      <c r="AA272" s="1">
        <v>201900000</v>
      </c>
      <c r="AB272" s="1">
        <v>35</v>
      </c>
    </row>
    <row r="273" spans="1:28" x14ac:dyDescent="0.2">
      <c r="A273" s="1">
        <v>708</v>
      </c>
      <c r="B273" s="1" t="s">
        <v>6850</v>
      </c>
      <c r="D273" s="1" t="s">
        <v>6851</v>
      </c>
      <c r="F273" s="1" t="s">
        <v>6914</v>
      </c>
      <c r="H273" s="1" t="s">
        <v>6915</v>
      </c>
      <c r="J273" s="1" t="s">
        <v>1324</v>
      </c>
      <c r="L273" s="1" t="s">
        <v>6932</v>
      </c>
      <c r="M273" s="1" t="s">
        <v>7198</v>
      </c>
      <c r="N273" s="1" t="s">
        <v>6233</v>
      </c>
      <c r="P273" s="1" t="s">
        <v>7222</v>
      </c>
      <c r="Q273" s="3">
        <v>0</v>
      </c>
      <c r="R273" s="23" t="s">
        <v>6854</v>
      </c>
      <c r="S273" s="23" t="s">
        <v>6849</v>
      </c>
      <c r="T273" s="23" t="s">
        <v>4864</v>
      </c>
      <c r="U273" s="3">
        <v>35</v>
      </c>
      <c r="V273" s="3" t="s">
        <v>6936</v>
      </c>
      <c r="W273" s="45" t="str">
        <f>HYPERLINK("http://ictvonline.org/taxonomy/p/taxonomy-history?taxnode_id=201908537","ICTVonline=201908537")</f>
        <v>ICTVonline=201908537</v>
      </c>
      <c r="Y273" s="1" t="s">
        <v>7223</v>
      </c>
      <c r="AA273" s="1">
        <v>201900000</v>
      </c>
      <c r="AB273" s="1">
        <v>35</v>
      </c>
    </row>
    <row r="274" spans="1:28" x14ac:dyDescent="0.2">
      <c r="A274" s="1">
        <v>710</v>
      </c>
      <c r="B274" s="1" t="s">
        <v>6850</v>
      </c>
      <c r="D274" s="1" t="s">
        <v>6851</v>
      </c>
      <c r="F274" s="1" t="s">
        <v>6914</v>
      </c>
      <c r="H274" s="1" t="s">
        <v>6915</v>
      </c>
      <c r="J274" s="1" t="s">
        <v>1324</v>
      </c>
      <c r="L274" s="1" t="s">
        <v>6932</v>
      </c>
      <c r="M274" s="1" t="s">
        <v>7198</v>
      </c>
      <c r="N274" s="1" t="s">
        <v>6233</v>
      </c>
      <c r="P274" s="1" t="s">
        <v>4218</v>
      </c>
      <c r="Q274" s="3">
        <v>0</v>
      </c>
      <c r="R274" s="23" t="s">
        <v>6854</v>
      </c>
      <c r="S274" s="23" t="s">
        <v>6845</v>
      </c>
      <c r="T274" s="23" t="s">
        <v>4866</v>
      </c>
      <c r="U274" s="3">
        <v>35</v>
      </c>
      <c r="W274" s="45" t="str">
        <f>HYPERLINK("http://ictvonline.org/taxonomy/p/taxonomy-history?taxnode_id=201900563","ICTVonline=201900563")</f>
        <v>ICTVonline=201900563</v>
      </c>
      <c r="Y274" s="1" t="s">
        <v>7224</v>
      </c>
      <c r="Z274" s="1" t="s">
        <v>7225</v>
      </c>
      <c r="AA274" s="1">
        <v>201900000</v>
      </c>
      <c r="AB274" s="1">
        <v>35</v>
      </c>
    </row>
    <row r="275" spans="1:28" x14ac:dyDescent="0.2">
      <c r="A275" s="1">
        <v>712</v>
      </c>
      <c r="B275" s="1" t="s">
        <v>6850</v>
      </c>
      <c r="D275" s="1" t="s">
        <v>6851</v>
      </c>
      <c r="F275" s="1" t="s">
        <v>6914</v>
      </c>
      <c r="H275" s="1" t="s">
        <v>6915</v>
      </c>
      <c r="J275" s="1" t="s">
        <v>1324</v>
      </c>
      <c r="L275" s="1" t="s">
        <v>6932</v>
      </c>
      <c r="M275" s="1" t="s">
        <v>7198</v>
      </c>
      <c r="N275" s="1" t="s">
        <v>6233</v>
      </c>
      <c r="P275" s="1" t="s">
        <v>7226</v>
      </c>
      <c r="Q275" s="3">
        <v>0</v>
      </c>
      <c r="R275" s="23" t="s">
        <v>6854</v>
      </c>
      <c r="S275" s="23" t="s">
        <v>6849</v>
      </c>
      <c r="T275" s="23" t="s">
        <v>4864</v>
      </c>
      <c r="U275" s="3">
        <v>35</v>
      </c>
      <c r="V275" s="3" t="s">
        <v>6936</v>
      </c>
      <c r="W275" s="45" t="str">
        <f>HYPERLINK("http://ictvonline.org/taxonomy/p/taxonomy-history?taxnode_id=201908541","ICTVonline=201908541")</f>
        <v>ICTVonline=201908541</v>
      </c>
      <c r="Y275" s="1" t="s">
        <v>7227</v>
      </c>
      <c r="AA275" s="1">
        <v>201900000</v>
      </c>
      <c r="AB275" s="1">
        <v>35</v>
      </c>
    </row>
    <row r="276" spans="1:28" x14ac:dyDescent="0.2">
      <c r="A276" s="1">
        <v>714</v>
      </c>
      <c r="B276" s="1" t="s">
        <v>6850</v>
      </c>
      <c r="D276" s="1" t="s">
        <v>6851</v>
      </c>
      <c r="F276" s="1" t="s">
        <v>6914</v>
      </c>
      <c r="H276" s="1" t="s">
        <v>6915</v>
      </c>
      <c r="J276" s="1" t="s">
        <v>1324</v>
      </c>
      <c r="L276" s="1" t="s">
        <v>6932</v>
      </c>
      <c r="M276" s="1" t="s">
        <v>7198</v>
      </c>
      <c r="N276" s="1" t="s">
        <v>6233</v>
      </c>
      <c r="P276" s="1" t="s">
        <v>4219</v>
      </c>
      <c r="Q276" s="3">
        <v>0</v>
      </c>
      <c r="R276" s="23" t="s">
        <v>6854</v>
      </c>
      <c r="S276" s="23" t="s">
        <v>6845</v>
      </c>
      <c r="T276" s="23" t="s">
        <v>4866</v>
      </c>
      <c r="U276" s="3">
        <v>35</v>
      </c>
      <c r="W276" s="45" t="str">
        <f>HYPERLINK("http://ictvonline.org/taxonomy/p/taxonomy-history?taxnode_id=201900564","ICTVonline=201900564")</f>
        <v>ICTVonline=201900564</v>
      </c>
      <c r="Y276" s="1" t="s">
        <v>7228</v>
      </c>
      <c r="Z276" s="1" t="s">
        <v>7229</v>
      </c>
      <c r="AA276" s="1">
        <v>201900000</v>
      </c>
      <c r="AB276" s="1">
        <v>35</v>
      </c>
    </row>
    <row r="277" spans="1:28" x14ac:dyDescent="0.2">
      <c r="A277" s="1">
        <v>716</v>
      </c>
      <c r="B277" s="1" t="s">
        <v>6850</v>
      </c>
      <c r="D277" s="1" t="s">
        <v>6851</v>
      </c>
      <c r="F277" s="1" t="s">
        <v>6914</v>
      </c>
      <c r="H277" s="1" t="s">
        <v>6915</v>
      </c>
      <c r="J277" s="1" t="s">
        <v>1324</v>
      </c>
      <c r="L277" s="1" t="s">
        <v>6932</v>
      </c>
      <c r="M277" s="1" t="s">
        <v>7198</v>
      </c>
      <c r="N277" s="1" t="s">
        <v>6233</v>
      </c>
      <c r="P277" s="1" t="s">
        <v>7230</v>
      </c>
      <c r="Q277" s="3">
        <v>0</v>
      </c>
      <c r="R277" s="23" t="s">
        <v>6854</v>
      </c>
      <c r="S277" s="23" t="s">
        <v>6849</v>
      </c>
      <c r="T277" s="23" t="s">
        <v>4864</v>
      </c>
      <c r="U277" s="3">
        <v>35</v>
      </c>
      <c r="V277" s="3" t="s">
        <v>6936</v>
      </c>
      <c r="W277" s="45" t="str">
        <f>HYPERLINK("http://ictvonline.org/taxonomy/p/taxonomy-history?taxnode_id=201908540","ICTVonline=201908540")</f>
        <v>ICTVonline=201908540</v>
      </c>
      <c r="Y277" s="1" t="s">
        <v>7231</v>
      </c>
      <c r="AA277" s="1">
        <v>201900000</v>
      </c>
      <c r="AB277" s="1">
        <v>35</v>
      </c>
    </row>
    <row r="278" spans="1:28" x14ac:dyDescent="0.2">
      <c r="A278" s="1">
        <v>718</v>
      </c>
      <c r="B278" s="1" t="s">
        <v>6850</v>
      </c>
      <c r="D278" s="1" t="s">
        <v>6851</v>
      </c>
      <c r="F278" s="1" t="s">
        <v>6914</v>
      </c>
      <c r="H278" s="1" t="s">
        <v>6915</v>
      </c>
      <c r="J278" s="1" t="s">
        <v>1324</v>
      </c>
      <c r="L278" s="1" t="s">
        <v>6932</v>
      </c>
      <c r="M278" s="1" t="s">
        <v>7198</v>
      </c>
      <c r="N278" s="1" t="s">
        <v>6233</v>
      </c>
      <c r="P278" s="1" t="s">
        <v>7232</v>
      </c>
      <c r="Q278" s="3">
        <v>0</v>
      </c>
      <c r="R278" s="23" t="s">
        <v>6854</v>
      </c>
      <c r="S278" s="23" t="s">
        <v>6849</v>
      </c>
      <c r="T278" s="23" t="s">
        <v>4864</v>
      </c>
      <c r="U278" s="3">
        <v>35</v>
      </c>
      <c r="V278" s="3" t="s">
        <v>6936</v>
      </c>
      <c r="W278" s="45" t="str">
        <f>HYPERLINK("http://ictvonline.org/taxonomy/p/taxonomy-history?taxnode_id=201908544","ICTVonline=201908544")</f>
        <v>ICTVonline=201908544</v>
      </c>
      <c r="Y278" s="1" t="s">
        <v>7233</v>
      </c>
      <c r="AA278" s="1">
        <v>201900000</v>
      </c>
      <c r="AB278" s="1">
        <v>35</v>
      </c>
    </row>
    <row r="279" spans="1:28" x14ac:dyDescent="0.2">
      <c r="A279" s="1">
        <v>720</v>
      </c>
      <c r="B279" s="1" t="s">
        <v>6850</v>
      </c>
      <c r="D279" s="1" t="s">
        <v>6851</v>
      </c>
      <c r="F279" s="1" t="s">
        <v>6914</v>
      </c>
      <c r="H279" s="1" t="s">
        <v>6915</v>
      </c>
      <c r="J279" s="1" t="s">
        <v>1324</v>
      </c>
      <c r="L279" s="1" t="s">
        <v>6932</v>
      </c>
      <c r="M279" s="1" t="s">
        <v>7198</v>
      </c>
      <c r="N279" s="1" t="s">
        <v>6233</v>
      </c>
      <c r="P279" s="1" t="s">
        <v>2942</v>
      </c>
      <c r="Q279" s="3">
        <v>0</v>
      </c>
      <c r="R279" s="23" t="s">
        <v>6854</v>
      </c>
      <c r="S279" s="23" t="s">
        <v>6845</v>
      </c>
      <c r="T279" s="23" t="s">
        <v>4866</v>
      </c>
      <c r="U279" s="3">
        <v>35</v>
      </c>
      <c r="W279" s="45" t="str">
        <f>HYPERLINK("http://ictvonline.org/taxonomy/p/taxonomy-history?taxnode_id=201900565","ICTVonline=201900565")</f>
        <v>ICTVonline=201900565</v>
      </c>
      <c r="Y279" s="1" t="s">
        <v>7234</v>
      </c>
      <c r="Z279" s="1" t="s">
        <v>7235</v>
      </c>
      <c r="AA279" s="1">
        <v>201900000</v>
      </c>
      <c r="AB279" s="1">
        <v>35</v>
      </c>
    </row>
    <row r="280" spans="1:28" x14ac:dyDescent="0.2">
      <c r="A280" s="1">
        <v>722</v>
      </c>
      <c r="B280" s="1" t="s">
        <v>6850</v>
      </c>
      <c r="D280" s="1" t="s">
        <v>6851</v>
      </c>
      <c r="F280" s="1" t="s">
        <v>6914</v>
      </c>
      <c r="H280" s="1" t="s">
        <v>6915</v>
      </c>
      <c r="J280" s="1" t="s">
        <v>1324</v>
      </c>
      <c r="L280" s="1" t="s">
        <v>6932</v>
      </c>
      <c r="M280" s="1" t="s">
        <v>7198</v>
      </c>
      <c r="N280" s="1" t="s">
        <v>6233</v>
      </c>
      <c r="P280" s="1" t="s">
        <v>2943</v>
      </c>
      <c r="Q280" s="3">
        <v>0</v>
      </c>
      <c r="R280" s="23" t="s">
        <v>6854</v>
      </c>
      <c r="S280" s="23" t="s">
        <v>6845</v>
      </c>
      <c r="T280" s="23" t="s">
        <v>4866</v>
      </c>
      <c r="U280" s="3">
        <v>35</v>
      </c>
      <c r="W280" s="45" t="str">
        <f>HYPERLINK("http://ictvonline.org/taxonomy/p/taxonomy-history?taxnode_id=201900566","ICTVonline=201900566")</f>
        <v>ICTVonline=201900566</v>
      </c>
      <c r="Y280" s="1" t="s">
        <v>7236</v>
      </c>
      <c r="Z280" s="1" t="s">
        <v>7237</v>
      </c>
      <c r="AA280" s="1">
        <v>201900000</v>
      </c>
      <c r="AB280" s="1">
        <v>35</v>
      </c>
    </row>
    <row r="281" spans="1:28" x14ac:dyDescent="0.2">
      <c r="A281" s="1">
        <v>724</v>
      </c>
      <c r="B281" s="1" t="s">
        <v>6850</v>
      </c>
      <c r="D281" s="1" t="s">
        <v>6851</v>
      </c>
      <c r="F281" s="1" t="s">
        <v>6914</v>
      </c>
      <c r="H281" s="1" t="s">
        <v>6915</v>
      </c>
      <c r="J281" s="1" t="s">
        <v>1324</v>
      </c>
      <c r="L281" s="1" t="s">
        <v>6932</v>
      </c>
      <c r="M281" s="1" t="s">
        <v>7198</v>
      </c>
      <c r="N281" s="1" t="s">
        <v>6233</v>
      </c>
      <c r="P281" s="1" t="s">
        <v>7238</v>
      </c>
      <c r="Q281" s="3">
        <v>0</v>
      </c>
      <c r="R281" s="23" t="s">
        <v>6854</v>
      </c>
      <c r="S281" s="23" t="s">
        <v>6849</v>
      </c>
      <c r="T281" s="23" t="s">
        <v>4864</v>
      </c>
      <c r="U281" s="3">
        <v>35</v>
      </c>
      <c r="V281" s="3" t="s">
        <v>6936</v>
      </c>
      <c r="W281" s="45" t="str">
        <f>HYPERLINK("http://ictvonline.org/taxonomy/p/taxonomy-history?taxnode_id=201908542","ICTVonline=201908542")</f>
        <v>ICTVonline=201908542</v>
      </c>
      <c r="Y281" s="1" t="s">
        <v>7239</v>
      </c>
      <c r="AA281" s="1">
        <v>201900000</v>
      </c>
      <c r="AB281" s="1">
        <v>35</v>
      </c>
    </row>
    <row r="282" spans="1:28" x14ac:dyDescent="0.2">
      <c r="A282" s="1">
        <v>728</v>
      </c>
      <c r="B282" s="1" t="s">
        <v>6850</v>
      </c>
      <c r="D282" s="1" t="s">
        <v>6851</v>
      </c>
      <c r="F282" s="1" t="s">
        <v>6914</v>
      </c>
      <c r="H282" s="1" t="s">
        <v>6915</v>
      </c>
      <c r="J282" s="1" t="s">
        <v>1324</v>
      </c>
      <c r="L282" s="1" t="s">
        <v>6932</v>
      </c>
      <c r="M282" s="1" t="s">
        <v>7198</v>
      </c>
      <c r="N282" s="1" t="s">
        <v>7240</v>
      </c>
      <c r="P282" s="1" t="s">
        <v>7241</v>
      </c>
      <c r="Q282" s="3">
        <v>1</v>
      </c>
      <c r="R282" s="23" t="s">
        <v>6854</v>
      </c>
      <c r="S282" s="23" t="s">
        <v>6849</v>
      </c>
      <c r="T282" s="23" t="s">
        <v>4864</v>
      </c>
      <c r="U282" s="3">
        <v>35</v>
      </c>
      <c r="V282" s="3" t="s">
        <v>6936</v>
      </c>
      <c r="W282" s="45" t="str">
        <f>HYPERLINK("http://ictvonline.org/taxonomy/p/taxonomy-history?taxnode_id=201908552","ICTVonline=201908552")</f>
        <v>ICTVonline=201908552</v>
      </c>
      <c r="Y282" s="1" t="s">
        <v>7242</v>
      </c>
      <c r="AA282" s="1">
        <v>201900000</v>
      </c>
      <c r="AB282" s="1">
        <v>35</v>
      </c>
    </row>
    <row r="283" spans="1:28" x14ac:dyDescent="0.2">
      <c r="A283" s="1">
        <v>732</v>
      </c>
      <c r="B283" s="1" t="s">
        <v>6850</v>
      </c>
      <c r="D283" s="1" t="s">
        <v>6851</v>
      </c>
      <c r="F283" s="1" t="s">
        <v>6914</v>
      </c>
      <c r="H283" s="1" t="s">
        <v>6915</v>
      </c>
      <c r="J283" s="1" t="s">
        <v>1324</v>
      </c>
      <c r="L283" s="1" t="s">
        <v>6932</v>
      </c>
      <c r="M283" s="1" t="s">
        <v>7198</v>
      </c>
      <c r="N283" s="1" t="s">
        <v>7243</v>
      </c>
      <c r="P283" s="1" t="s">
        <v>7244</v>
      </c>
      <c r="Q283" s="3">
        <v>1</v>
      </c>
      <c r="R283" s="23" t="s">
        <v>6854</v>
      </c>
      <c r="S283" s="23" t="s">
        <v>6849</v>
      </c>
      <c r="T283" s="23" t="s">
        <v>4864</v>
      </c>
      <c r="U283" s="3">
        <v>35</v>
      </c>
      <c r="V283" s="3" t="s">
        <v>6936</v>
      </c>
      <c r="W283" s="45" t="str">
        <f>HYPERLINK("http://ictvonline.org/taxonomy/p/taxonomy-history?taxnode_id=201908547","ICTVonline=201908547")</f>
        <v>ICTVonline=201908547</v>
      </c>
      <c r="Y283" s="1" t="s">
        <v>7245</v>
      </c>
      <c r="AA283" s="1">
        <v>201900000</v>
      </c>
      <c r="AB283" s="1">
        <v>35</v>
      </c>
    </row>
    <row r="284" spans="1:28" x14ac:dyDescent="0.2">
      <c r="A284" s="1">
        <v>734</v>
      </c>
      <c r="B284" s="1" t="s">
        <v>6850</v>
      </c>
      <c r="D284" s="1" t="s">
        <v>6851</v>
      </c>
      <c r="F284" s="1" t="s">
        <v>6914</v>
      </c>
      <c r="H284" s="1" t="s">
        <v>6915</v>
      </c>
      <c r="J284" s="1" t="s">
        <v>1324</v>
      </c>
      <c r="L284" s="1" t="s">
        <v>6932</v>
      </c>
      <c r="M284" s="1" t="s">
        <v>7198</v>
      </c>
      <c r="N284" s="1" t="s">
        <v>7243</v>
      </c>
      <c r="P284" s="1" t="s">
        <v>7246</v>
      </c>
      <c r="Q284" s="3">
        <v>0</v>
      </c>
      <c r="R284" s="23" t="s">
        <v>6854</v>
      </c>
      <c r="S284" s="23" t="s">
        <v>6849</v>
      </c>
      <c r="T284" s="23" t="s">
        <v>4864</v>
      </c>
      <c r="U284" s="3">
        <v>35</v>
      </c>
      <c r="V284" s="3" t="s">
        <v>6936</v>
      </c>
      <c r="W284" s="45" t="str">
        <f>HYPERLINK("http://ictvonline.org/taxonomy/p/taxonomy-history?taxnode_id=201908548","ICTVonline=201908548")</f>
        <v>ICTVonline=201908548</v>
      </c>
      <c r="Y284" s="1" t="s">
        <v>7247</v>
      </c>
      <c r="AA284" s="1">
        <v>201900000</v>
      </c>
      <c r="AB284" s="1">
        <v>35</v>
      </c>
    </row>
    <row r="285" spans="1:28" x14ac:dyDescent="0.2">
      <c r="A285" s="1">
        <v>740</v>
      </c>
      <c r="B285" s="1" t="s">
        <v>6850</v>
      </c>
      <c r="D285" s="1" t="s">
        <v>6851</v>
      </c>
      <c r="F285" s="1" t="s">
        <v>6914</v>
      </c>
      <c r="H285" s="1" t="s">
        <v>6915</v>
      </c>
      <c r="J285" s="1" t="s">
        <v>1324</v>
      </c>
      <c r="L285" s="1" t="s">
        <v>6932</v>
      </c>
      <c r="M285" s="1" t="s">
        <v>7248</v>
      </c>
      <c r="N285" s="1" t="s">
        <v>7249</v>
      </c>
      <c r="P285" s="1" t="s">
        <v>7250</v>
      </c>
      <c r="Q285" s="3">
        <v>1</v>
      </c>
      <c r="R285" s="23" t="s">
        <v>6854</v>
      </c>
      <c r="S285" s="23" t="s">
        <v>6849</v>
      </c>
      <c r="T285" s="23" t="s">
        <v>4864</v>
      </c>
      <c r="U285" s="3">
        <v>35</v>
      </c>
      <c r="V285" s="3" t="s">
        <v>6936</v>
      </c>
      <c r="W285" s="45" t="str">
        <f>HYPERLINK("http://ictvonline.org/taxonomy/p/taxonomy-history?taxnode_id=201908380","ICTVonline=201908380")</f>
        <v>ICTVonline=201908380</v>
      </c>
      <c r="Y285" s="1" t="s">
        <v>7251</v>
      </c>
      <c r="AA285" s="1">
        <v>201900000</v>
      </c>
      <c r="AB285" s="1">
        <v>35</v>
      </c>
    </row>
    <row r="286" spans="1:28" x14ac:dyDescent="0.2">
      <c r="A286" s="1">
        <v>742</v>
      </c>
      <c r="B286" s="1" t="s">
        <v>6850</v>
      </c>
      <c r="D286" s="1" t="s">
        <v>6851</v>
      </c>
      <c r="F286" s="1" t="s">
        <v>6914</v>
      </c>
      <c r="H286" s="1" t="s">
        <v>6915</v>
      </c>
      <c r="J286" s="1" t="s">
        <v>1324</v>
      </c>
      <c r="L286" s="1" t="s">
        <v>6932</v>
      </c>
      <c r="M286" s="1" t="s">
        <v>7248</v>
      </c>
      <c r="N286" s="1" t="s">
        <v>7249</v>
      </c>
      <c r="P286" s="1" t="s">
        <v>7252</v>
      </c>
      <c r="Q286" s="3">
        <v>0</v>
      </c>
      <c r="R286" s="23" t="s">
        <v>6854</v>
      </c>
      <c r="S286" s="23" t="s">
        <v>6849</v>
      </c>
      <c r="T286" s="23" t="s">
        <v>4864</v>
      </c>
      <c r="U286" s="3">
        <v>35</v>
      </c>
      <c r="V286" s="3" t="s">
        <v>6936</v>
      </c>
      <c r="W286" s="45" t="str">
        <f>HYPERLINK("http://ictvonline.org/taxonomy/p/taxonomy-history?taxnode_id=201908381","ICTVonline=201908381")</f>
        <v>ICTVonline=201908381</v>
      </c>
      <c r="Y286" s="1" t="s">
        <v>7253</v>
      </c>
      <c r="AA286" s="1">
        <v>201900000</v>
      </c>
      <c r="AB286" s="1">
        <v>35</v>
      </c>
    </row>
    <row r="287" spans="1:28" x14ac:dyDescent="0.2">
      <c r="A287" s="1">
        <v>744</v>
      </c>
      <c r="B287" s="1" t="s">
        <v>6850</v>
      </c>
      <c r="D287" s="1" t="s">
        <v>6851</v>
      </c>
      <c r="F287" s="1" t="s">
        <v>6914</v>
      </c>
      <c r="H287" s="1" t="s">
        <v>6915</v>
      </c>
      <c r="J287" s="1" t="s">
        <v>1324</v>
      </c>
      <c r="L287" s="1" t="s">
        <v>6932</v>
      </c>
      <c r="M287" s="1" t="s">
        <v>7248</v>
      </c>
      <c r="N287" s="1" t="s">
        <v>7249</v>
      </c>
      <c r="P287" s="1" t="s">
        <v>7254</v>
      </c>
      <c r="Q287" s="3">
        <v>0</v>
      </c>
      <c r="R287" s="23" t="s">
        <v>6854</v>
      </c>
      <c r="S287" s="23" t="s">
        <v>6849</v>
      </c>
      <c r="T287" s="23" t="s">
        <v>4864</v>
      </c>
      <c r="U287" s="3">
        <v>35</v>
      </c>
      <c r="V287" s="3" t="s">
        <v>6936</v>
      </c>
      <c r="W287" s="45" t="str">
        <f>HYPERLINK("http://ictvonline.org/taxonomy/p/taxonomy-history?taxnode_id=201908382","ICTVonline=201908382")</f>
        <v>ICTVonline=201908382</v>
      </c>
      <c r="Y287" s="1" t="s">
        <v>7255</v>
      </c>
      <c r="AA287" s="1">
        <v>201900000</v>
      </c>
      <c r="AB287" s="1">
        <v>35</v>
      </c>
    </row>
    <row r="288" spans="1:28" x14ac:dyDescent="0.2">
      <c r="A288" s="1">
        <v>746</v>
      </c>
      <c r="B288" s="1" t="s">
        <v>6850</v>
      </c>
      <c r="D288" s="1" t="s">
        <v>6851</v>
      </c>
      <c r="F288" s="1" t="s">
        <v>6914</v>
      </c>
      <c r="H288" s="1" t="s">
        <v>6915</v>
      </c>
      <c r="J288" s="1" t="s">
        <v>1324</v>
      </c>
      <c r="L288" s="1" t="s">
        <v>6932</v>
      </c>
      <c r="M288" s="1" t="s">
        <v>7248</v>
      </c>
      <c r="N288" s="1" t="s">
        <v>7249</v>
      </c>
      <c r="P288" s="1" t="s">
        <v>7256</v>
      </c>
      <c r="Q288" s="3">
        <v>0</v>
      </c>
      <c r="R288" s="23" t="s">
        <v>6854</v>
      </c>
      <c r="S288" s="23" t="s">
        <v>6849</v>
      </c>
      <c r="T288" s="23" t="s">
        <v>4864</v>
      </c>
      <c r="U288" s="3">
        <v>35</v>
      </c>
      <c r="V288" s="3" t="s">
        <v>6936</v>
      </c>
      <c r="W288" s="45" t="str">
        <f>HYPERLINK("http://ictvonline.org/taxonomy/p/taxonomy-history?taxnode_id=201908383","ICTVonline=201908383")</f>
        <v>ICTVonline=201908383</v>
      </c>
      <c r="Y288" s="1" t="s">
        <v>7257</v>
      </c>
      <c r="AA288" s="1">
        <v>201900000</v>
      </c>
      <c r="AB288" s="1">
        <v>35</v>
      </c>
    </row>
    <row r="289" spans="1:28" x14ac:dyDescent="0.2">
      <c r="A289" s="1">
        <v>750</v>
      </c>
      <c r="B289" s="1" t="s">
        <v>6850</v>
      </c>
      <c r="D289" s="1" t="s">
        <v>6851</v>
      </c>
      <c r="F289" s="1" t="s">
        <v>6914</v>
      </c>
      <c r="H289" s="1" t="s">
        <v>6915</v>
      </c>
      <c r="J289" s="1" t="s">
        <v>1324</v>
      </c>
      <c r="L289" s="1" t="s">
        <v>6932</v>
      </c>
      <c r="M289" s="1" t="s">
        <v>7248</v>
      </c>
      <c r="N289" s="1" t="s">
        <v>7258</v>
      </c>
      <c r="P289" s="1" t="s">
        <v>7259</v>
      </c>
      <c r="Q289" s="3">
        <v>1</v>
      </c>
      <c r="R289" s="23" t="s">
        <v>6854</v>
      </c>
      <c r="S289" s="23" t="s">
        <v>6849</v>
      </c>
      <c r="T289" s="23" t="s">
        <v>4864</v>
      </c>
      <c r="U289" s="3">
        <v>35</v>
      </c>
      <c r="V289" s="3" t="s">
        <v>6936</v>
      </c>
      <c r="W289" s="45" t="str">
        <f>HYPERLINK("http://ictvonline.org/taxonomy/p/taxonomy-history?taxnode_id=201908429","ICTVonline=201908429")</f>
        <v>ICTVonline=201908429</v>
      </c>
      <c r="Y289" s="1" t="s">
        <v>7260</v>
      </c>
      <c r="AA289" s="1">
        <v>201900000</v>
      </c>
      <c r="AB289" s="1">
        <v>35</v>
      </c>
    </row>
    <row r="290" spans="1:28" x14ac:dyDescent="0.2">
      <c r="A290" s="1">
        <v>754</v>
      </c>
      <c r="B290" s="1" t="s">
        <v>6850</v>
      </c>
      <c r="D290" s="1" t="s">
        <v>6851</v>
      </c>
      <c r="F290" s="1" t="s">
        <v>6914</v>
      </c>
      <c r="H290" s="1" t="s">
        <v>6915</v>
      </c>
      <c r="J290" s="1" t="s">
        <v>1324</v>
      </c>
      <c r="L290" s="1" t="s">
        <v>6932</v>
      </c>
      <c r="M290" s="1" t="s">
        <v>7248</v>
      </c>
      <c r="N290" s="1" t="s">
        <v>7261</v>
      </c>
      <c r="P290" s="1" t="s">
        <v>7262</v>
      </c>
      <c r="Q290" s="3">
        <v>0</v>
      </c>
      <c r="R290" s="23" t="s">
        <v>6854</v>
      </c>
      <c r="S290" s="23" t="s">
        <v>6849</v>
      </c>
      <c r="T290" s="23" t="s">
        <v>4864</v>
      </c>
      <c r="U290" s="3">
        <v>35</v>
      </c>
      <c r="V290" s="3" t="s">
        <v>6936</v>
      </c>
      <c r="W290" s="45" t="str">
        <f>HYPERLINK("http://ictvonline.org/taxonomy/p/taxonomy-history?taxnode_id=201908393","ICTVonline=201908393")</f>
        <v>ICTVonline=201908393</v>
      </c>
      <c r="Y290" s="1" t="s">
        <v>7263</v>
      </c>
      <c r="AA290" s="1">
        <v>201900000</v>
      </c>
      <c r="AB290" s="1">
        <v>35</v>
      </c>
    </row>
    <row r="291" spans="1:28" x14ac:dyDescent="0.2">
      <c r="A291" s="1">
        <v>756</v>
      </c>
      <c r="B291" s="1" t="s">
        <v>6850</v>
      </c>
      <c r="D291" s="1" t="s">
        <v>6851</v>
      </c>
      <c r="F291" s="1" t="s">
        <v>6914</v>
      </c>
      <c r="H291" s="1" t="s">
        <v>6915</v>
      </c>
      <c r="J291" s="1" t="s">
        <v>1324</v>
      </c>
      <c r="L291" s="1" t="s">
        <v>6932</v>
      </c>
      <c r="M291" s="1" t="s">
        <v>7248</v>
      </c>
      <c r="N291" s="1" t="s">
        <v>7261</v>
      </c>
      <c r="P291" s="1" t="s">
        <v>7264</v>
      </c>
      <c r="Q291" s="3">
        <v>0</v>
      </c>
      <c r="R291" s="23" t="s">
        <v>6854</v>
      </c>
      <c r="S291" s="23" t="s">
        <v>6849</v>
      </c>
      <c r="T291" s="23" t="s">
        <v>4864</v>
      </c>
      <c r="U291" s="3">
        <v>35</v>
      </c>
      <c r="V291" s="3" t="s">
        <v>6936</v>
      </c>
      <c r="W291" s="45" t="str">
        <f>HYPERLINK("http://ictvonline.org/taxonomy/p/taxonomy-history?taxnode_id=201908391","ICTVonline=201908391")</f>
        <v>ICTVonline=201908391</v>
      </c>
      <c r="Y291" s="1" t="s">
        <v>7265</v>
      </c>
      <c r="AA291" s="1">
        <v>201900000</v>
      </c>
      <c r="AB291" s="1">
        <v>35</v>
      </c>
    </row>
    <row r="292" spans="1:28" x14ac:dyDescent="0.2">
      <c r="A292" s="1">
        <v>758</v>
      </c>
      <c r="B292" s="1" t="s">
        <v>6850</v>
      </c>
      <c r="D292" s="1" t="s">
        <v>6851</v>
      </c>
      <c r="F292" s="1" t="s">
        <v>6914</v>
      </c>
      <c r="H292" s="1" t="s">
        <v>6915</v>
      </c>
      <c r="J292" s="1" t="s">
        <v>1324</v>
      </c>
      <c r="L292" s="1" t="s">
        <v>6932</v>
      </c>
      <c r="M292" s="1" t="s">
        <v>7248</v>
      </c>
      <c r="N292" s="1" t="s">
        <v>7261</v>
      </c>
      <c r="P292" s="1" t="s">
        <v>7266</v>
      </c>
      <c r="Q292" s="3">
        <v>0</v>
      </c>
      <c r="R292" s="23" t="s">
        <v>6854</v>
      </c>
      <c r="S292" s="23" t="s">
        <v>6849</v>
      </c>
      <c r="T292" s="23" t="s">
        <v>4864</v>
      </c>
      <c r="U292" s="3">
        <v>35</v>
      </c>
      <c r="V292" s="3" t="s">
        <v>6936</v>
      </c>
      <c r="W292" s="45" t="str">
        <f>HYPERLINK("http://ictvonline.org/taxonomy/p/taxonomy-history?taxnode_id=201908390","ICTVonline=201908390")</f>
        <v>ICTVonline=201908390</v>
      </c>
      <c r="Y292" s="1" t="s">
        <v>7267</v>
      </c>
      <c r="AA292" s="1">
        <v>201900000</v>
      </c>
      <c r="AB292" s="1">
        <v>35</v>
      </c>
    </row>
    <row r="293" spans="1:28" x14ac:dyDescent="0.2">
      <c r="A293" s="1">
        <v>760</v>
      </c>
      <c r="B293" s="1" t="s">
        <v>6850</v>
      </c>
      <c r="D293" s="1" t="s">
        <v>6851</v>
      </c>
      <c r="F293" s="1" t="s">
        <v>6914</v>
      </c>
      <c r="H293" s="1" t="s">
        <v>6915</v>
      </c>
      <c r="J293" s="1" t="s">
        <v>1324</v>
      </c>
      <c r="L293" s="1" t="s">
        <v>6932</v>
      </c>
      <c r="M293" s="1" t="s">
        <v>7248</v>
      </c>
      <c r="N293" s="1" t="s">
        <v>7261</v>
      </c>
      <c r="P293" s="1" t="s">
        <v>7268</v>
      </c>
      <c r="Q293" s="3">
        <v>0</v>
      </c>
      <c r="R293" s="23" t="s">
        <v>6854</v>
      </c>
      <c r="S293" s="23" t="s">
        <v>6849</v>
      </c>
      <c r="T293" s="23" t="s">
        <v>4864</v>
      </c>
      <c r="U293" s="3">
        <v>35</v>
      </c>
      <c r="V293" s="3" t="s">
        <v>6936</v>
      </c>
      <c r="W293" s="45" t="str">
        <f>HYPERLINK("http://ictvonline.org/taxonomy/p/taxonomy-history?taxnode_id=201908395","ICTVonline=201908395")</f>
        <v>ICTVonline=201908395</v>
      </c>
      <c r="Y293" s="1" t="s">
        <v>7269</v>
      </c>
      <c r="AA293" s="1">
        <v>201900000</v>
      </c>
      <c r="AB293" s="1">
        <v>35</v>
      </c>
    </row>
    <row r="294" spans="1:28" x14ac:dyDescent="0.2">
      <c r="A294" s="1">
        <v>762</v>
      </c>
      <c r="B294" s="1" t="s">
        <v>6850</v>
      </c>
      <c r="D294" s="1" t="s">
        <v>6851</v>
      </c>
      <c r="F294" s="1" t="s">
        <v>6914</v>
      </c>
      <c r="H294" s="1" t="s">
        <v>6915</v>
      </c>
      <c r="J294" s="1" t="s">
        <v>1324</v>
      </c>
      <c r="L294" s="1" t="s">
        <v>6932</v>
      </c>
      <c r="M294" s="1" t="s">
        <v>7248</v>
      </c>
      <c r="N294" s="1" t="s">
        <v>7261</v>
      </c>
      <c r="P294" s="1" t="s">
        <v>7270</v>
      </c>
      <c r="Q294" s="3">
        <v>0</v>
      </c>
      <c r="R294" s="23" t="s">
        <v>6854</v>
      </c>
      <c r="S294" s="23" t="s">
        <v>6849</v>
      </c>
      <c r="T294" s="23" t="s">
        <v>4864</v>
      </c>
      <c r="U294" s="3">
        <v>35</v>
      </c>
      <c r="V294" s="3" t="s">
        <v>6936</v>
      </c>
      <c r="W294" s="45" t="str">
        <f>HYPERLINK("http://ictvonline.org/taxonomy/p/taxonomy-history?taxnode_id=201908396","ICTVonline=201908396")</f>
        <v>ICTVonline=201908396</v>
      </c>
      <c r="Y294" s="1" t="s">
        <v>7271</v>
      </c>
      <c r="AA294" s="1">
        <v>201900000</v>
      </c>
      <c r="AB294" s="1">
        <v>35</v>
      </c>
    </row>
    <row r="295" spans="1:28" x14ac:dyDescent="0.2">
      <c r="A295" s="1">
        <v>764</v>
      </c>
      <c r="B295" s="1" t="s">
        <v>6850</v>
      </c>
      <c r="D295" s="1" t="s">
        <v>6851</v>
      </c>
      <c r="F295" s="1" t="s">
        <v>6914</v>
      </c>
      <c r="H295" s="1" t="s">
        <v>6915</v>
      </c>
      <c r="J295" s="1" t="s">
        <v>1324</v>
      </c>
      <c r="L295" s="1" t="s">
        <v>6932</v>
      </c>
      <c r="M295" s="1" t="s">
        <v>7248</v>
      </c>
      <c r="N295" s="1" t="s">
        <v>7261</v>
      </c>
      <c r="P295" s="1" t="s">
        <v>7272</v>
      </c>
      <c r="Q295" s="3">
        <v>0</v>
      </c>
      <c r="R295" s="23" t="s">
        <v>6854</v>
      </c>
      <c r="S295" s="23" t="s">
        <v>6849</v>
      </c>
      <c r="T295" s="23" t="s">
        <v>4864</v>
      </c>
      <c r="U295" s="3">
        <v>35</v>
      </c>
      <c r="V295" s="3" t="s">
        <v>6936</v>
      </c>
      <c r="W295" s="45" t="str">
        <f>HYPERLINK("http://ictvonline.org/taxonomy/p/taxonomy-history?taxnode_id=201908399","ICTVonline=201908399")</f>
        <v>ICTVonline=201908399</v>
      </c>
      <c r="Y295" s="1" t="s">
        <v>7273</v>
      </c>
      <c r="AA295" s="1">
        <v>201900000</v>
      </c>
      <c r="AB295" s="1">
        <v>35</v>
      </c>
    </row>
    <row r="296" spans="1:28" x14ac:dyDescent="0.2">
      <c r="A296" s="1">
        <v>766</v>
      </c>
      <c r="B296" s="1" t="s">
        <v>6850</v>
      </c>
      <c r="D296" s="1" t="s">
        <v>6851</v>
      </c>
      <c r="F296" s="1" t="s">
        <v>6914</v>
      </c>
      <c r="H296" s="1" t="s">
        <v>6915</v>
      </c>
      <c r="J296" s="1" t="s">
        <v>1324</v>
      </c>
      <c r="L296" s="1" t="s">
        <v>6932</v>
      </c>
      <c r="M296" s="1" t="s">
        <v>7248</v>
      </c>
      <c r="N296" s="1" t="s">
        <v>7261</v>
      </c>
      <c r="P296" s="1" t="s">
        <v>2952</v>
      </c>
      <c r="Q296" s="3">
        <v>0</v>
      </c>
      <c r="R296" s="23" t="s">
        <v>6854</v>
      </c>
      <c r="S296" s="23" t="s">
        <v>6849</v>
      </c>
      <c r="T296" s="23" t="s">
        <v>4866</v>
      </c>
      <c r="U296" s="3">
        <v>35</v>
      </c>
      <c r="V296" s="3" t="s">
        <v>6936</v>
      </c>
      <c r="W296" s="45" t="str">
        <f>HYPERLINK("http://ictvonline.org/taxonomy/p/taxonomy-history?taxnode_id=201900584","ICTVonline=201900584")</f>
        <v>ICTVonline=201900584</v>
      </c>
      <c r="Y296" s="1" t="s">
        <v>7274</v>
      </c>
      <c r="AA296" s="1">
        <v>201900000</v>
      </c>
      <c r="AB296" s="1">
        <v>35</v>
      </c>
    </row>
    <row r="297" spans="1:28" x14ac:dyDescent="0.2">
      <c r="A297" s="1">
        <v>768</v>
      </c>
      <c r="B297" s="1" t="s">
        <v>6850</v>
      </c>
      <c r="D297" s="1" t="s">
        <v>6851</v>
      </c>
      <c r="F297" s="1" t="s">
        <v>6914</v>
      </c>
      <c r="H297" s="1" t="s">
        <v>6915</v>
      </c>
      <c r="J297" s="1" t="s">
        <v>1324</v>
      </c>
      <c r="L297" s="1" t="s">
        <v>6932</v>
      </c>
      <c r="M297" s="1" t="s">
        <v>7248</v>
      </c>
      <c r="N297" s="1" t="s">
        <v>7261</v>
      </c>
      <c r="P297" s="1" t="s">
        <v>7275</v>
      </c>
      <c r="Q297" s="3">
        <v>0</v>
      </c>
      <c r="R297" s="23" t="s">
        <v>6854</v>
      </c>
      <c r="S297" s="23" t="s">
        <v>6849</v>
      </c>
      <c r="T297" s="23" t="s">
        <v>4864</v>
      </c>
      <c r="U297" s="3">
        <v>35</v>
      </c>
      <c r="V297" s="3" t="s">
        <v>6936</v>
      </c>
      <c r="W297" s="45" t="str">
        <f>HYPERLINK("http://ictvonline.org/taxonomy/p/taxonomy-history?taxnode_id=201908397","ICTVonline=201908397")</f>
        <v>ICTVonline=201908397</v>
      </c>
      <c r="Y297" s="1" t="s">
        <v>7276</v>
      </c>
      <c r="AA297" s="1">
        <v>201900000</v>
      </c>
      <c r="AB297" s="1">
        <v>35</v>
      </c>
    </row>
    <row r="298" spans="1:28" x14ac:dyDescent="0.2">
      <c r="A298" s="1">
        <v>770</v>
      </c>
      <c r="B298" s="1" t="s">
        <v>6850</v>
      </c>
      <c r="D298" s="1" t="s">
        <v>6851</v>
      </c>
      <c r="F298" s="1" t="s">
        <v>6914</v>
      </c>
      <c r="H298" s="1" t="s">
        <v>6915</v>
      </c>
      <c r="J298" s="1" t="s">
        <v>1324</v>
      </c>
      <c r="L298" s="1" t="s">
        <v>6932</v>
      </c>
      <c r="M298" s="1" t="s">
        <v>7248</v>
      </c>
      <c r="N298" s="1" t="s">
        <v>7261</v>
      </c>
      <c r="P298" s="1" t="s">
        <v>7277</v>
      </c>
      <c r="Q298" s="3">
        <v>0</v>
      </c>
      <c r="R298" s="23" t="s">
        <v>6854</v>
      </c>
      <c r="S298" s="23" t="s">
        <v>6849</v>
      </c>
      <c r="T298" s="23" t="s">
        <v>4864</v>
      </c>
      <c r="U298" s="3">
        <v>35</v>
      </c>
      <c r="V298" s="3" t="s">
        <v>6936</v>
      </c>
      <c r="W298" s="45" t="str">
        <f>HYPERLINK("http://ictvonline.org/taxonomy/p/taxonomy-history?taxnode_id=201908394","ICTVonline=201908394")</f>
        <v>ICTVonline=201908394</v>
      </c>
      <c r="Y298" s="1" t="s">
        <v>7278</v>
      </c>
      <c r="AA298" s="1">
        <v>201900000</v>
      </c>
      <c r="AB298" s="1">
        <v>35</v>
      </c>
    </row>
    <row r="299" spans="1:28" x14ac:dyDescent="0.2">
      <c r="A299" s="1">
        <v>772</v>
      </c>
      <c r="B299" s="1" t="s">
        <v>6850</v>
      </c>
      <c r="D299" s="1" t="s">
        <v>6851</v>
      </c>
      <c r="F299" s="1" t="s">
        <v>6914</v>
      </c>
      <c r="H299" s="1" t="s">
        <v>6915</v>
      </c>
      <c r="J299" s="1" t="s">
        <v>1324</v>
      </c>
      <c r="L299" s="1" t="s">
        <v>6932</v>
      </c>
      <c r="M299" s="1" t="s">
        <v>7248</v>
      </c>
      <c r="N299" s="1" t="s">
        <v>7261</v>
      </c>
      <c r="P299" s="1" t="s">
        <v>7279</v>
      </c>
      <c r="Q299" s="3">
        <v>0</v>
      </c>
      <c r="R299" s="23" t="s">
        <v>6854</v>
      </c>
      <c r="S299" s="23" t="s">
        <v>6849</v>
      </c>
      <c r="T299" s="23" t="s">
        <v>4864</v>
      </c>
      <c r="U299" s="3">
        <v>35</v>
      </c>
      <c r="V299" s="3" t="s">
        <v>6936</v>
      </c>
      <c r="W299" s="45" t="str">
        <f>HYPERLINK("http://ictvonline.org/taxonomy/p/taxonomy-history?taxnode_id=201908398","ICTVonline=201908398")</f>
        <v>ICTVonline=201908398</v>
      </c>
      <c r="Y299" s="1" t="s">
        <v>7280</v>
      </c>
      <c r="AA299" s="1">
        <v>201900000</v>
      </c>
      <c r="AB299" s="1">
        <v>35</v>
      </c>
    </row>
    <row r="300" spans="1:28" x14ac:dyDescent="0.2">
      <c r="A300" s="1">
        <v>774</v>
      </c>
      <c r="B300" s="1" t="s">
        <v>6850</v>
      </c>
      <c r="D300" s="1" t="s">
        <v>6851</v>
      </c>
      <c r="F300" s="1" t="s">
        <v>6914</v>
      </c>
      <c r="H300" s="1" t="s">
        <v>6915</v>
      </c>
      <c r="J300" s="1" t="s">
        <v>1324</v>
      </c>
      <c r="L300" s="1" t="s">
        <v>6932</v>
      </c>
      <c r="M300" s="1" t="s">
        <v>7248</v>
      </c>
      <c r="N300" s="1" t="s">
        <v>7261</v>
      </c>
      <c r="P300" s="1" t="s">
        <v>7281</v>
      </c>
      <c r="Q300" s="3">
        <v>0</v>
      </c>
      <c r="R300" s="23" t="s">
        <v>6854</v>
      </c>
      <c r="S300" s="23" t="s">
        <v>6849</v>
      </c>
      <c r="T300" s="23" t="s">
        <v>4864</v>
      </c>
      <c r="U300" s="3">
        <v>35</v>
      </c>
      <c r="V300" s="3" t="s">
        <v>6936</v>
      </c>
      <c r="W300" s="45" t="str">
        <f>HYPERLINK("http://ictvonline.org/taxonomy/p/taxonomy-history?taxnode_id=201908401","ICTVonline=201908401")</f>
        <v>ICTVonline=201908401</v>
      </c>
      <c r="Y300" s="1" t="s">
        <v>7282</v>
      </c>
      <c r="AA300" s="1">
        <v>201900000</v>
      </c>
      <c r="AB300" s="1">
        <v>35</v>
      </c>
    </row>
    <row r="301" spans="1:28" x14ac:dyDescent="0.2">
      <c r="A301" s="1">
        <v>776</v>
      </c>
      <c r="B301" s="1" t="s">
        <v>6850</v>
      </c>
      <c r="D301" s="1" t="s">
        <v>6851</v>
      </c>
      <c r="F301" s="1" t="s">
        <v>6914</v>
      </c>
      <c r="H301" s="1" t="s">
        <v>6915</v>
      </c>
      <c r="J301" s="1" t="s">
        <v>1324</v>
      </c>
      <c r="L301" s="1" t="s">
        <v>6932</v>
      </c>
      <c r="M301" s="1" t="s">
        <v>7248</v>
      </c>
      <c r="N301" s="1" t="s">
        <v>7261</v>
      </c>
      <c r="P301" s="1" t="s">
        <v>7283</v>
      </c>
      <c r="Q301" s="3">
        <v>1</v>
      </c>
      <c r="R301" s="23" t="s">
        <v>6854</v>
      </c>
      <c r="S301" s="23" t="s">
        <v>6849</v>
      </c>
      <c r="T301" s="23" t="s">
        <v>4864</v>
      </c>
      <c r="U301" s="3">
        <v>35</v>
      </c>
      <c r="V301" s="3" t="s">
        <v>6936</v>
      </c>
      <c r="W301" s="45" t="str">
        <f>HYPERLINK("http://ictvonline.org/taxonomy/p/taxonomy-history?taxnode_id=201908388","ICTVonline=201908388")</f>
        <v>ICTVonline=201908388</v>
      </c>
      <c r="Y301" s="1" t="s">
        <v>7284</v>
      </c>
      <c r="AA301" s="1">
        <v>201900000</v>
      </c>
      <c r="AB301" s="1">
        <v>35</v>
      </c>
    </row>
    <row r="302" spans="1:28" x14ac:dyDescent="0.2">
      <c r="A302" s="1">
        <v>778</v>
      </c>
      <c r="B302" s="1" t="s">
        <v>6850</v>
      </c>
      <c r="D302" s="1" t="s">
        <v>6851</v>
      </c>
      <c r="F302" s="1" t="s">
        <v>6914</v>
      </c>
      <c r="H302" s="1" t="s">
        <v>6915</v>
      </c>
      <c r="J302" s="1" t="s">
        <v>1324</v>
      </c>
      <c r="L302" s="1" t="s">
        <v>6932</v>
      </c>
      <c r="M302" s="1" t="s">
        <v>7248</v>
      </c>
      <c r="N302" s="1" t="s">
        <v>7261</v>
      </c>
      <c r="P302" s="1" t="s">
        <v>7285</v>
      </c>
      <c r="Q302" s="3">
        <v>0</v>
      </c>
      <c r="R302" s="23" t="s">
        <v>6854</v>
      </c>
      <c r="S302" s="23" t="s">
        <v>6849</v>
      </c>
      <c r="T302" s="23" t="s">
        <v>4864</v>
      </c>
      <c r="U302" s="3">
        <v>35</v>
      </c>
      <c r="V302" s="3" t="s">
        <v>6936</v>
      </c>
      <c r="W302" s="45" t="str">
        <f>HYPERLINK("http://ictvonline.org/taxonomy/p/taxonomy-history?taxnode_id=201908400","ICTVonline=201908400")</f>
        <v>ICTVonline=201908400</v>
      </c>
      <c r="Y302" s="1" t="s">
        <v>7286</v>
      </c>
      <c r="AA302" s="1">
        <v>201900000</v>
      </c>
      <c r="AB302" s="1">
        <v>35</v>
      </c>
    </row>
    <row r="303" spans="1:28" x14ac:dyDescent="0.2">
      <c r="A303" s="1">
        <v>780</v>
      </c>
      <c r="B303" s="1" t="s">
        <v>6850</v>
      </c>
      <c r="D303" s="1" t="s">
        <v>6851</v>
      </c>
      <c r="F303" s="1" t="s">
        <v>6914</v>
      </c>
      <c r="H303" s="1" t="s">
        <v>6915</v>
      </c>
      <c r="J303" s="1" t="s">
        <v>1324</v>
      </c>
      <c r="L303" s="1" t="s">
        <v>6932</v>
      </c>
      <c r="M303" s="1" t="s">
        <v>7248</v>
      </c>
      <c r="N303" s="1" t="s">
        <v>7261</v>
      </c>
      <c r="P303" s="1" t="s">
        <v>7287</v>
      </c>
      <c r="Q303" s="3">
        <v>0</v>
      </c>
      <c r="R303" s="23" t="s">
        <v>6854</v>
      </c>
      <c r="S303" s="23" t="s">
        <v>6849</v>
      </c>
      <c r="T303" s="23" t="s">
        <v>4864</v>
      </c>
      <c r="U303" s="3">
        <v>35</v>
      </c>
      <c r="V303" s="3" t="s">
        <v>6936</v>
      </c>
      <c r="W303" s="45" t="str">
        <f>HYPERLINK("http://ictvonline.org/taxonomy/p/taxonomy-history?taxnode_id=201908389","ICTVonline=201908389")</f>
        <v>ICTVonline=201908389</v>
      </c>
      <c r="Y303" s="1" t="s">
        <v>7288</v>
      </c>
      <c r="AA303" s="1">
        <v>201900000</v>
      </c>
      <c r="AB303" s="1">
        <v>35</v>
      </c>
    </row>
    <row r="304" spans="1:28" x14ac:dyDescent="0.2">
      <c r="A304" s="1">
        <v>782</v>
      </c>
      <c r="B304" s="1" t="s">
        <v>6850</v>
      </c>
      <c r="D304" s="1" t="s">
        <v>6851</v>
      </c>
      <c r="F304" s="1" t="s">
        <v>6914</v>
      </c>
      <c r="H304" s="1" t="s">
        <v>6915</v>
      </c>
      <c r="J304" s="1" t="s">
        <v>1324</v>
      </c>
      <c r="L304" s="1" t="s">
        <v>6932</v>
      </c>
      <c r="M304" s="1" t="s">
        <v>7248</v>
      </c>
      <c r="N304" s="1" t="s">
        <v>7261</v>
      </c>
      <c r="P304" s="1" t="s">
        <v>7289</v>
      </c>
      <c r="Q304" s="3">
        <v>0</v>
      </c>
      <c r="R304" s="23" t="s">
        <v>6854</v>
      </c>
      <c r="S304" s="23" t="s">
        <v>6849</v>
      </c>
      <c r="T304" s="23" t="s">
        <v>4864</v>
      </c>
      <c r="U304" s="3">
        <v>35</v>
      </c>
      <c r="V304" s="3" t="s">
        <v>6936</v>
      </c>
      <c r="W304" s="45" t="str">
        <f>HYPERLINK("http://ictvonline.org/taxonomy/p/taxonomy-history?taxnode_id=201908392","ICTVonline=201908392")</f>
        <v>ICTVonline=201908392</v>
      </c>
      <c r="Y304" s="1" t="s">
        <v>7290</v>
      </c>
      <c r="AA304" s="1">
        <v>201900000</v>
      </c>
      <c r="AB304" s="1">
        <v>35</v>
      </c>
    </row>
    <row r="305" spans="1:28" x14ac:dyDescent="0.2">
      <c r="A305" s="1">
        <v>786</v>
      </c>
      <c r="B305" s="1" t="s">
        <v>6850</v>
      </c>
      <c r="D305" s="1" t="s">
        <v>6851</v>
      </c>
      <c r="F305" s="1" t="s">
        <v>6914</v>
      </c>
      <c r="H305" s="1" t="s">
        <v>6915</v>
      </c>
      <c r="J305" s="1" t="s">
        <v>1324</v>
      </c>
      <c r="L305" s="1" t="s">
        <v>6932</v>
      </c>
      <c r="M305" s="1" t="s">
        <v>7248</v>
      </c>
      <c r="N305" s="1" t="s">
        <v>7291</v>
      </c>
      <c r="P305" s="1" t="s">
        <v>7292</v>
      </c>
      <c r="Q305" s="3">
        <v>1</v>
      </c>
      <c r="R305" s="23" t="s">
        <v>6854</v>
      </c>
      <c r="S305" s="23" t="s">
        <v>6849</v>
      </c>
      <c r="T305" s="23" t="s">
        <v>4864</v>
      </c>
      <c r="U305" s="3">
        <v>35</v>
      </c>
      <c r="V305" s="3" t="s">
        <v>6936</v>
      </c>
      <c r="W305" s="45" t="str">
        <f>HYPERLINK("http://ictvonline.org/taxonomy/p/taxonomy-history?taxnode_id=201908454","ICTVonline=201908454")</f>
        <v>ICTVonline=201908454</v>
      </c>
      <c r="Y305" s="1" t="s">
        <v>7293</v>
      </c>
      <c r="AA305" s="1">
        <v>201900000</v>
      </c>
      <c r="AB305" s="1">
        <v>35</v>
      </c>
    </row>
    <row r="306" spans="1:28" x14ac:dyDescent="0.2">
      <c r="A306" s="1">
        <v>790</v>
      </c>
      <c r="B306" s="1" t="s">
        <v>6850</v>
      </c>
      <c r="D306" s="1" t="s">
        <v>6851</v>
      </c>
      <c r="F306" s="1" t="s">
        <v>6914</v>
      </c>
      <c r="H306" s="1" t="s">
        <v>6915</v>
      </c>
      <c r="J306" s="1" t="s">
        <v>1324</v>
      </c>
      <c r="L306" s="1" t="s">
        <v>6932</v>
      </c>
      <c r="M306" s="1" t="s">
        <v>7248</v>
      </c>
      <c r="N306" s="1" t="s">
        <v>7294</v>
      </c>
      <c r="P306" s="1" t="s">
        <v>7295</v>
      </c>
      <c r="Q306" s="3">
        <v>0</v>
      </c>
      <c r="R306" s="23" t="s">
        <v>6854</v>
      </c>
      <c r="S306" s="23" t="s">
        <v>6849</v>
      </c>
      <c r="T306" s="23" t="s">
        <v>4864</v>
      </c>
      <c r="U306" s="3">
        <v>35</v>
      </c>
      <c r="V306" s="3" t="s">
        <v>6936</v>
      </c>
      <c r="W306" s="45" t="str">
        <f>HYPERLINK("http://ictvonline.org/taxonomy/p/taxonomy-history?taxnode_id=201908496","ICTVonline=201908496")</f>
        <v>ICTVonline=201908496</v>
      </c>
      <c r="Y306" s="1" t="s">
        <v>7296</v>
      </c>
      <c r="AA306" s="1">
        <v>201900000</v>
      </c>
      <c r="AB306" s="1">
        <v>35</v>
      </c>
    </row>
    <row r="307" spans="1:28" x14ac:dyDescent="0.2">
      <c r="A307" s="1">
        <v>792</v>
      </c>
      <c r="B307" s="1" t="s">
        <v>6850</v>
      </c>
      <c r="D307" s="1" t="s">
        <v>6851</v>
      </c>
      <c r="F307" s="1" t="s">
        <v>6914</v>
      </c>
      <c r="H307" s="1" t="s">
        <v>6915</v>
      </c>
      <c r="J307" s="1" t="s">
        <v>1324</v>
      </c>
      <c r="L307" s="1" t="s">
        <v>6932</v>
      </c>
      <c r="M307" s="1" t="s">
        <v>7248</v>
      </c>
      <c r="N307" s="1" t="s">
        <v>7294</v>
      </c>
      <c r="P307" s="1" t="s">
        <v>7297</v>
      </c>
      <c r="Q307" s="3">
        <v>1</v>
      </c>
      <c r="R307" s="23" t="s">
        <v>6854</v>
      </c>
      <c r="S307" s="23" t="s">
        <v>6849</v>
      </c>
      <c r="T307" s="23" t="s">
        <v>4864</v>
      </c>
      <c r="U307" s="3">
        <v>35</v>
      </c>
      <c r="V307" s="3" t="s">
        <v>6936</v>
      </c>
      <c r="W307" s="45" t="str">
        <f>HYPERLINK("http://ictvonline.org/taxonomy/p/taxonomy-history?taxnode_id=201908495","ICTVonline=201908495")</f>
        <v>ICTVonline=201908495</v>
      </c>
      <c r="Y307" s="1" t="s">
        <v>7298</v>
      </c>
      <c r="AA307" s="1">
        <v>201900000</v>
      </c>
      <c r="AB307" s="1">
        <v>35</v>
      </c>
    </row>
    <row r="308" spans="1:28" x14ac:dyDescent="0.2">
      <c r="A308" s="1">
        <v>794</v>
      </c>
      <c r="B308" s="1" t="s">
        <v>6850</v>
      </c>
      <c r="D308" s="1" t="s">
        <v>6851</v>
      </c>
      <c r="F308" s="1" t="s">
        <v>6914</v>
      </c>
      <c r="H308" s="1" t="s">
        <v>6915</v>
      </c>
      <c r="J308" s="1" t="s">
        <v>1324</v>
      </c>
      <c r="L308" s="1" t="s">
        <v>6932</v>
      </c>
      <c r="M308" s="1" t="s">
        <v>7248</v>
      </c>
      <c r="N308" s="1" t="s">
        <v>7294</v>
      </c>
      <c r="P308" s="1" t="s">
        <v>7299</v>
      </c>
      <c r="Q308" s="3">
        <v>0</v>
      </c>
      <c r="R308" s="23" t="s">
        <v>6854</v>
      </c>
      <c r="S308" s="23" t="s">
        <v>6849</v>
      </c>
      <c r="T308" s="23" t="s">
        <v>4864</v>
      </c>
      <c r="U308" s="3">
        <v>35</v>
      </c>
      <c r="V308" s="3" t="s">
        <v>6936</v>
      </c>
      <c r="W308" s="45" t="str">
        <f>HYPERLINK("http://ictvonline.org/taxonomy/p/taxonomy-history?taxnode_id=201908497","ICTVonline=201908497")</f>
        <v>ICTVonline=201908497</v>
      </c>
      <c r="Y308" s="1" t="s">
        <v>7300</v>
      </c>
      <c r="AA308" s="1">
        <v>201900000</v>
      </c>
      <c r="AB308" s="1">
        <v>35</v>
      </c>
    </row>
    <row r="309" spans="1:28" x14ac:dyDescent="0.2">
      <c r="A309" s="1">
        <v>798</v>
      </c>
      <c r="B309" s="1" t="s">
        <v>6850</v>
      </c>
      <c r="D309" s="1" t="s">
        <v>6851</v>
      </c>
      <c r="F309" s="1" t="s">
        <v>6914</v>
      </c>
      <c r="H309" s="1" t="s">
        <v>6915</v>
      </c>
      <c r="J309" s="1" t="s">
        <v>1324</v>
      </c>
      <c r="L309" s="1" t="s">
        <v>6932</v>
      </c>
      <c r="M309" s="1" t="s">
        <v>7248</v>
      </c>
      <c r="N309" s="1" t="s">
        <v>7301</v>
      </c>
      <c r="P309" s="1" t="s">
        <v>7302</v>
      </c>
      <c r="Q309" s="3">
        <v>1</v>
      </c>
      <c r="R309" s="23" t="s">
        <v>6854</v>
      </c>
      <c r="S309" s="23" t="s">
        <v>6849</v>
      </c>
      <c r="T309" s="23" t="s">
        <v>4864</v>
      </c>
      <c r="U309" s="3">
        <v>35</v>
      </c>
      <c r="V309" s="3" t="s">
        <v>6936</v>
      </c>
      <c r="W309" s="45" t="str">
        <f>HYPERLINK("http://ictvonline.org/taxonomy/p/taxonomy-history?taxnode_id=201908425","ICTVonline=201908425")</f>
        <v>ICTVonline=201908425</v>
      </c>
      <c r="Y309" s="1" t="s">
        <v>7303</v>
      </c>
      <c r="AA309" s="1">
        <v>201900000</v>
      </c>
      <c r="AB309" s="1">
        <v>35</v>
      </c>
    </row>
    <row r="310" spans="1:28" x14ac:dyDescent="0.2">
      <c r="A310" s="1">
        <v>802</v>
      </c>
      <c r="B310" s="1" t="s">
        <v>6850</v>
      </c>
      <c r="D310" s="1" t="s">
        <v>6851</v>
      </c>
      <c r="F310" s="1" t="s">
        <v>6914</v>
      </c>
      <c r="H310" s="1" t="s">
        <v>6915</v>
      </c>
      <c r="J310" s="1" t="s">
        <v>1324</v>
      </c>
      <c r="L310" s="1" t="s">
        <v>6932</v>
      </c>
      <c r="M310" s="1" t="s">
        <v>7248</v>
      </c>
      <c r="N310" s="1" t="s">
        <v>7304</v>
      </c>
      <c r="P310" s="1" t="s">
        <v>7305</v>
      </c>
      <c r="Q310" s="3">
        <v>1</v>
      </c>
      <c r="R310" s="23" t="s">
        <v>6854</v>
      </c>
      <c r="S310" s="23" t="s">
        <v>6849</v>
      </c>
      <c r="T310" s="23" t="s">
        <v>4864</v>
      </c>
      <c r="U310" s="3">
        <v>35</v>
      </c>
      <c r="V310" s="3" t="s">
        <v>6936</v>
      </c>
      <c r="W310" s="45" t="str">
        <f>HYPERLINK("http://ictvonline.org/taxonomy/p/taxonomy-history?taxnode_id=201908423","ICTVonline=201908423")</f>
        <v>ICTVonline=201908423</v>
      </c>
      <c r="Y310" s="1" t="s">
        <v>7306</v>
      </c>
      <c r="AA310" s="1">
        <v>201900000</v>
      </c>
      <c r="AB310" s="1">
        <v>35</v>
      </c>
    </row>
    <row r="311" spans="1:28" x14ac:dyDescent="0.2">
      <c r="A311" s="1">
        <v>806</v>
      </c>
      <c r="B311" s="1" t="s">
        <v>6850</v>
      </c>
      <c r="D311" s="1" t="s">
        <v>6851</v>
      </c>
      <c r="F311" s="1" t="s">
        <v>6914</v>
      </c>
      <c r="H311" s="1" t="s">
        <v>6915</v>
      </c>
      <c r="J311" s="1" t="s">
        <v>1324</v>
      </c>
      <c r="L311" s="1" t="s">
        <v>6932</v>
      </c>
      <c r="M311" s="1" t="s">
        <v>7248</v>
      </c>
      <c r="N311" s="1" t="s">
        <v>7307</v>
      </c>
      <c r="P311" s="1" t="s">
        <v>7308</v>
      </c>
      <c r="Q311" s="3">
        <v>1</v>
      </c>
      <c r="R311" s="23" t="s">
        <v>6854</v>
      </c>
      <c r="S311" s="23" t="s">
        <v>6849</v>
      </c>
      <c r="T311" s="23" t="s">
        <v>4864</v>
      </c>
      <c r="U311" s="3">
        <v>35</v>
      </c>
      <c r="V311" s="3" t="s">
        <v>6936</v>
      </c>
      <c r="W311" s="45" t="str">
        <f>HYPERLINK("http://ictvonline.org/taxonomy/p/taxonomy-history?taxnode_id=201908427","ICTVonline=201908427")</f>
        <v>ICTVonline=201908427</v>
      </c>
      <c r="Y311" s="1" t="s">
        <v>7309</v>
      </c>
      <c r="AA311" s="1">
        <v>201900000</v>
      </c>
      <c r="AB311" s="1">
        <v>35</v>
      </c>
    </row>
    <row r="312" spans="1:28" x14ac:dyDescent="0.2">
      <c r="A312" s="1">
        <v>810</v>
      </c>
      <c r="B312" s="1" t="s">
        <v>6850</v>
      </c>
      <c r="D312" s="1" t="s">
        <v>6851</v>
      </c>
      <c r="F312" s="1" t="s">
        <v>6914</v>
      </c>
      <c r="H312" s="1" t="s">
        <v>6915</v>
      </c>
      <c r="J312" s="1" t="s">
        <v>1324</v>
      </c>
      <c r="L312" s="1" t="s">
        <v>6932</v>
      </c>
      <c r="M312" s="1" t="s">
        <v>7248</v>
      </c>
      <c r="N312" s="1" t="s">
        <v>7310</v>
      </c>
      <c r="P312" s="1" t="s">
        <v>7311</v>
      </c>
      <c r="Q312" s="3">
        <v>0</v>
      </c>
      <c r="R312" s="23" t="s">
        <v>6854</v>
      </c>
      <c r="S312" s="23" t="s">
        <v>6849</v>
      </c>
      <c r="T312" s="23" t="s">
        <v>4864</v>
      </c>
      <c r="U312" s="3">
        <v>35</v>
      </c>
      <c r="V312" s="3" t="s">
        <v>6936</v>
      </c>
      <c r="W312" s="45" t="str">
        <f>HYPERLINK("http://ictvonline.org/taxonomy/p/taxonomy-history?taxnode_id=201908353","ICTVonline=201908353")</f>
        <v>ICTVonline=201908353</v>
      </c>
      <c r="Y312" s="1" t="s">
        <v>7312</v>
      </c>
      <c r="AA312" s="1">
        <v>201900000</v>
      </c>
      <c r="AB312" s="1">
        <v>35</v>
      </c>
    </row>
    <row r="313" spans="1:28" x14ac:dyDescent="0.2">
      <c r="A313" s="1">
        <v>812</v>
      </c>
      <c r="B313" s="1" t="s">
        <v>6850</v>
      </c>
      <c r="D313" s="1" t="s">
        <v>6851</v>
      </c>
      <c r="F313" s="1" t="s">
        <v>6914</v>
      </c>
      <c r="H313" s="1" t="s">
        <v>6915</v>
      </c>
      <c r="J313" s="1" t="s">
        <v>1324</v>
      </c>
      <c r="L313" s="1" t="s">
        <v>6932</v>
      </c>
      <c r="M313" s="1" t="s">
        <v>7248</v>
      </c>
      <c r="N313" s="1" t="s">
        <v>7310</v>
      </c>
      <c r="P313" s="1" t="s">
        <v>2953</v>
      </c>
      <c r="Q313" s="3">
        <v>1</v>
      </c>
      <c r="R313" s="23" t="s">
        <v>6854</v>
      </c>
      <c r="S313" s="23" t="s">
        <v>6849</v>
      </c>
      <c r="T313" s="23" t="s">
        <v>6395</v>
      </c>
      <c r="U313" s="3">
        <v>35</v>
      </c>
      <c r="V313" s="3" t="s">
        <v>6936</v>
      </c>
      <c r="W313" s="45" t="str">
        <f>HYPERLINK("http://ictvonline.org/taxonomy/p/taxonomy-history?taxnode_id=201900585","ICTVonline=201900585")</f>
        <v>ICTVonline=201900585</v>
      </c>
      <c r="Y313" s="1" t="s">
        <v>7313</v>
      </c>
      <c r="AA313" s="1">
        <v>201900000</v>
      </c>
      <c r="AB313" s="1">
        <v>35</v>
      </c>
    </row>
    <row r="314" spans="1:28" x14ac:dyDescent="0.2">
      <c r="A314" s="1">
        <v>814</v>
      </c>
      <c r="B314" s="1" t="s">
        <v>6850</v>
      </c>
      <c r="D314" s="1" t="s">
        <v>6851</v>
      </c>
      <c r="F314" s="1" t="s">
        <v>6914</v>
      </c>
      <c r="H314" s="1" t="s">
        <v>6915</v>
      </c>
      <c r="J314" s="1" t="s">
        <v>1324</v>
      </c>
      <c r="L314" s="1" t="s">
        <v>6932</v>
      </c>
      <c r="M314" s="1" t="s">
        <v>7248</v>
      </c>
      <c r="N314" s="1" t="s">
        <v>7310</v>
      </c>
      <c r="P314" s="1" t="s">
        <v>7314</v>
      </c>
      <c r="Q314" s="3">
        <v>0</v>
      </c>
      <c r="R314" s="23" t="s">
        <v>6854</v>
      </c>
      <c r="S314" s="23" t="s">
        <v>6849</v>
      </c>
      <c r="T314" s="23" t="s">
        <v>4864</v>
      </c>
      <c r="U314" s="3">
        <v>35</v>
      </c>
      <c r="V314" s="3" t="s">
        <v>6936</v>
      </c>
      <c r="W314" s="45" t="str">
        <f>HYPERLINK("http://ictvonline.org/taxonomy/p/taxonomy-history?taxnode_id=201908352","ICTVonline=201908352")</f>
        <v>ICTVonline=201908352</v>
      </c>
      <c r="Y314" s="1" t="s">
        <v>7315</v>
      </c>
      <c r="AA314" s="1">
        <v>201900000</v>
      </c>
      <c r="AB314" s="1">
        <v>35</v>
      </c>
    </row>
    <row r="315" spans="1:28" x14ac:dyDescent="0.2">
      <c r="A315" s="1">
        <v>816</v>
      </c>
      <c r="B315" s="1" t="s">
        <v>6850</v>
      </c>
      <c r="D315" s="1" t="s">
        <v>6851</v>
      </c>
      <c r="F315" s="1" t="s">
        <v>6914</v>
      </c>
      <c r="H315" s="1" t="s">
        <v>6915</v>
      </c>
      <c r="J315" s="1" t="s">
        <v>1324</v>
      </c>
      <c r="L315" s="1" t="s">
        <v>6932</v>
      </c>
      <c r="M315" s="1" t="s">
        <v>7248</v>
      </c>
      <c r="N315" s="1" t="s">
        <v>7310</v>
      </c>
      <c r="P315" s="1" t="s">
        <v>7316</v>
      </c>
      <c r="Q315" s="3">
        <v>0</v>
      </c>
      <c r="R315" s="23" t="s">
        <v>6854</v>
      </c>
      <c r="S315" s="23" t="s">
        <v>6849</v>
      </c>
      <c r="T315" s="23" t="s">
        <v>4864</v>
      </c>
      <c r="U315" s="3">
        <v>35</v>
      </c>
      <c r="V315" s="3" t="s">
        <v>6936</v>
      </c>
      <c r="W315" s="45" t="str">
        <f>HYPERLINK("http://ictvonline.org/taxonomy/p/taxonomy-history?taxnode_id=201908349","ICTVonline=201908349")</f>
        <v>ICTVonline=201908349</v>
      </c>
      <c r="Y315" s="1" t="s">
        <v>7317</v>
      </c>
      <c r="AA315" s="1">
        <v>201900000</v>
      </c>
      <c r="AB315" s="1">
        <v>35</v>
      </c>
    </row>
    <row r="316" spans="1:28" x14ac:dyDescent="0.2">
      <c r="A316" s="1">
        <v>818</v>
      </c>
      <c r="B316" s="1" t="s">
        <v>6850</v>
      </c>
      <c r="D316" s="1" t="s">
        <v>6851</v>
      </c>
      <c r="F316" s="1" t="s">
        <v>6914</v>
      </c>
      <c r="H316" s="1" t="s">
        <v>6915</v>
      </c>
      <c r="J316" s="1" t="s">
        <v>1324</v>
      </c>
      <c r="L316" s="1" t="s">
        <v>6932</v>
      </c>
      <c r="M316" s="1" t="s">
        <v>7248</v>
      </c>
      <c r="N316" s="1" t="s">
        <v>7310</v>
      </c>
      <c r="P316" s="1" t="s">
        <v>7318</v>
      </c>
      <c r="Q316" s="3">
        <v>0</v>
      </c>
      <c r="R316" s="23" t="s">
        <v>6854</v>
      </c>
      <c r="S316" s="23" t="s">
        <v>6849</v>
      </c>
      <c r="T316" s="23" t="s">
        <v>4864</v>
      </c>
      <c r="U316" s="3">
        <v>35</v>
      </c>
      <c r="V316" s="3" t="s">
        <v>6936</v>
      </c>
      <c r="W316" s="45" t="str">
        <f>HYPERLINK("http://ictvonline.org/taxonomy/p/taxonomy-history?taxnode_id=201908351","ICTVonline=201908351")</f>
        <v>ICTVonline=201908351</v>
      </c>
      <c r="Y316" s="1" t="s">
        <v>7319</v>
      </c>
      <c r="AA316" s="1">
        <v>201900000</v>
      </c>
      <c r="AB316" s="1">
        <v>35</v>
      </c>
    </row>
    <row r="317" spans="1:28" x14ac:dyDescent="0.2">
      <c r="A317" s="1">
        <v>820</v>
      </c>
      <c r="B317" s="1" t="s">
        <v>6850</v>
      </c>
      <c r="D317" s="1" t="s">
        <v>6851</v>
      </c>
      <c r="F317" s="1" t="s">
        <v>6914</v>
      </c>
      <c r="H317" s="1" t="s">
        <v>6915</v>
      </c>
      <c r="J317" s="1" t="s">
        <v>1324</v>
      </c>
      <c r="L317" s="1" t="s">
        <v>6932</v>
      </c>
      <c r="M317" s="1" t="s">
        <v>7248</v>
      </c>
      <c r="N317" s="1" t="s">
        <v>7310</v>
      </c>
      <c r="P317" s="1" t="s">
        <v>7320</v>
      </c>
      <c r="Q317" s="3">
        <v>0</v>
      </c>
      <c r="R317" s="23" t="s">
        <v>6854</v>
      </c>
      <c r="S317" s="23" t="s">
        <v>6849</v>
      </c>
      <c r="T317" s="23" t="s">
        <v>4864</v>
      </c>
      <c r="U317" s="3">
        <v>35</v>
      </c>
      <c r="V317" s="3" t="s">
        <v>6936</v>
      </c>
      <c r="W317" s="45" t="str">
        <f>HYPERLINK("http://ictvonline.org/taxonomy/p/taxonomy-history?taxnode_id=201908345","ICTVonline=201908345")</f>
        <v>ICTVonline=201908345</v>
      </c>
      <c r="Y317" s="1" t="s">
        <v>7321</v>
      </c>
      <c r="AA317" s="1">
        <v>201900000</v>
      </c>
      <c r="AB317" s="1">
        <v>35</v>
      </c>
    </row>
    <row r="318" spans="1:28" x14ac:dyDescent="0.2">
      <c r="A318" s="1">
        <v>822</v>
      </c>
      <c r="B318" s="1" t="s">
        <v>6850</v>
      </c>
      <c r="D318" s="1" t="s">
        <v>6851</v>
      </c>
      <c r="F318" s="1" t="s">
        <v>6914</v>
      </c>
      <c r="H318" s="1" t="s">
        <v>6915</v>
      </c>
      <c r="J318" s="1" t="s">
        <v>1324</v>
      </c>
      <c r="L318" s="1" t="s">
        <v>6932</v>
      </c>
      <c r="M318" s="1" t="s">
        <v>7248</v>
      </c>
      <c r="N318" s="1" t="s">
        <v>7310</v>
      </c>
      <c r="P318" s="1" t="s">
        <v>7322</v>
      </c>
      <c r="Q318" s="3">
        <v>0</v>
      </c>
      <c r="R318" s="23" t="s">
        <v>6854</v>
      </c>
      <c r="S318" s="23" t="s">
        <v>6849</v>
      </c>
      <c r="T318" s="23" t="s">
        <v>4864</v>
      </c>
      <c r="U318" s="3">
        <v>35</v>
      </c>
      <c r="V318" s="3" t="s">
        <v>6936</v>
      </c>
      <c r="W318" s="45" t="str">
        <f>HYPERLINK("http://ictvonline.org/taxonomy/p/taxonomy-history?taxnode_id=201908346","ICTVonline=201908346")</f>
        <v>ICTVonline=201908346</v>
      </c>
      <c r="Y318" s="1" t="s">
        <v>7323</v>
      </c>
      <c r="AA318" s="1">
        <v>201900000</v>
      </c>
      <c r="AB318" s="1">
        <v>35</v>
      </c>
    </row>
    <row r="319" spans="1:28" x14ac:dyDescent="0.2">
      <c r="A319" s="1">
        <v>824</v>
      </c>
      <c r="B319" s="1" t="s">
        <v>6850</v>
      </c>
      <c r="D319" s="1" t="s">
        <v>6851</v>
      </c>
      <c r="F319" s="1" t="s">
        <v>6914</v>
      </c>
      <c r="H319" s="1" t="s">
        <v>6915</v>
      </c>
      <c r="J319" s="1" t="s">
        <v>1324</v>
      </c>
      <c r="L319" s="1" t="s">
        <v>6932</v>
      </c>
      <c r="M319" s="1" t="s">
        <v>7248</v>
      </c>
      <c r="N319" s="1" t="s">
        <v>7310</v>
      </c>
      <c r="P319" s="1" t="s">
        <v>7324</v>
      </c>
      <c r="Q319" s="3">
        <v>0</v>
      </c>
      <c r="R319" s="23" t="s">
        <v>6854</v>
      </c>
      <c r="S319" s="23" t="s">
        <v>6849</v>
      </c>
      <c r="T319" s="23" t="s">
        <v>4864</v>
      </c>
      <c r="U319" s="3">
        <v>35</v>
      </c>
      <c r="V319" s="3" t="s">
        <v>6936</v>
      </c>
      <c r="W319" s="45" t="str">
        <f>HYPERLINK("http://ictvonline.org/taxonomy/p/taxonomy-history?taxnode_id=201908347","ICTVonline=201908347")</f>
        <v>ICTVonline=201908347</v>
      </c>
      <c r="Y319" s="1" t="s">
        <v>7325</v>
      </c>
      <c r="AA319" s="1">
        <v>201900000</v>
      </c>
      <c r="AB319" s="1">
        <v>35</v>
      </c>
    </row>
    <row r="320" spans="1:28" x14ac:dyDescent="0.2">
      <c r="A320" s="1">
        <v>826</v>
      </c>
      <c r="B320" s="1" t="s">
        <v>6850</v>
      </c>
      <c r="D320" s="1" t="s">
        <v>6851</v>
      </c>
      <c r="F320" s="1" t="s">
        <v>6914</v>
      </c>
      <c r="H320" s="1" t="s">
        <v>6915</v>
      </c>
      <c r="J320" s="1" t="s">
        <v>1324</v>
      </c>
      <c r="L320" s="1" t="s">
        <v>6932</v>
      </c>
      <c r="M320" s="1" t="s">
        <v>7248</v>
      </c>
      <c r="N320" s="1" t="s">
        <v>7310</v>
      </c>
      <c r="P320" s="1" t="s">
        <v>7326</v>
      </c>
      <c r="Q320" s="3">
        <v>0</v>
      </c>
      <c r="R320" s="23" t="s">
        <v>6854</v>
      </c>
      <c r="S320" s="23" t="s">
        <v>6849</v>
      </c>
      <c r="T320" s="23" t="s">
        <v>4864</v>
      </c>
      <c r="U320" s="3">
        <v>35</v>
      </c>
      <c r="V320" s="3" t="s">
        <v>6936</v>
      </c>
      <c r="W320" s="45" t="str">
        <f>HYPERLINK("http://ictvonline.org/taxonomy/p/taxonomy-history?taxnode_id=201908350","ICTVonline=201908350")</f>
        <v>ICTVonline=201908350</v>
      </c>
      <c r="Y320" s="1" t="s">
        <v>7327</v>
      </c>
      <c r="AA320" s="1">
        <v>201900000</v>
      </c>
      <c r="AB320" s="1">
        <v>35</v>
      </c>
    </row>
    <row r="321" spans="1:28" x14ac:dyDescent="0.2">
      <c r="A321" s="1">
        <v>828</v>
      </c>
      <c r="B321" s="1" t="s">
        <v>6850</v>
      </c>
      <c r="D321" s="1" t="s">
        <v>6851</v>
      </c>
      <c r="F321" s="1" t="s">
        <v>6914</v>
      </c>
      <c r="H321" s="1" t="s">
        <v>6915</v>
      </c>
      <c r="J321" s="1" t="s">
        <v>1324</v>
      </c>
      <c r="L321" s="1" t="s">
        <v>6932</v>
      </c>
      <c r="M321" s="1" t="s">
        <v>7248</v>
      </c>
      <c r="N321" s="1" t="s">
        <v>7310</v>
      </c>
      <c r="P321" s="1" t="s">
        <v>7328</v>
      </c>
      <c r="Q321" s="3">
        <v>0</v>
      </c>
      <c r="R321" s="23" t="s">
        <v>6854</v>
      </c>
      <c r="S321" s="23" t="s">
        <v>6849</v>
      </c>
      <c r="T321" s="23" t="s">
        <v>4864</v>
      </c>
      <c r="U321" s="3">
        <v>35</v>
      </c>
      <c r="V321" s="3" t="s">
        <v>6936</v>
      </c>
      <c r="W321" s="45" t="str">
        <f>HYPERLINK("http://ictvonline.org/taxonomy/p/taxonomy-history?taxnode_id=201908348","ICTVonline=201908348")</f>
        <v>ICTVonline=201908348</v>
      </c>
      <c r="Y321" s="1" t="s">
        <v>7329</v>
      </c>
      <c r="AA321" s="1">
        <v>201900000</v>
      </c>
      <c r="AB321" s="1">
        <v>35</v>
      </c>
    </row>
    <row r="322" spans="1:28" x14ac:dyDescent="0.2">
      <c r="A322" s="1">
        <v>832</v>
      </c>
      <c r="B322" s="1" t="s">
        <v>6850</v>
      </c>
      <c r="D322" s="1" t="s">
        <v>6851</v>
      </c>
      <c r="F322" s="1" t="s">
        <v>6914</v>
      </c>
      <c r="H322" s="1" t="s">
        <v>6915</v>
      </c>
      <c r="J322" s="1" t="s">
        <v>1324</v>
      </c>
      <c r="L322" s="1" t="s">
        <v>6932</v>
      </c>
      <c r="M322" s="1" t="s">
        <v>7248</v>
      </c>
      <c r="N322" s="1" t="s">
        <v>7330</v>
      </c>
      <c r="P322" s="1" t="s">
        <v>7331</v>
      </c>
      <c r="Q322" s="3">
        <v>1</v>
      </c>
      <c r="R322" s="23" t="s">
        <v>6854</v>
      </c>
      <c r="S322" s="23" t="s">
        <v>6849</v>
      </c>
      <c r="T322" s="23" t="s">
        <v>4864</v>
      </c>
      <c r="U322" s="3">
        <v>35</v>
      </c>
      <c r="V322" s="3" t="s">
        <v>6936</v>
      </c>
      <c r="W322" s="45" t="str">
        <f>HYPERLINK("http://ictvonline.org/taxonomy/p/taxonomy-history?taxnode_id=201908378","ICTVonline=201908378")</f>
        <v>ICTVonline=201908378</v>
      </c>
      <c r="Y322" s="1" t="s">
        <v>7332</v>
      </c>
      <c r="AA322" s="1">
        <v>201900000</v>
      </c>
      <c r="AB322" s="1">
        <v>35</v>
      </c>
    </row>
    <row r="323" spans="1:28" x14ac:dyDescent="0.2">
      <c r="A323" s="1">
        <v>834</v>
      </c>
      <c r="B323" s="1" t="s">
        <v>6850</v>
      </c>
      <c r="D323" s="1" t="s">
        <v>6851</v>
      </c>
      <c r="F323" s="1" t="s">
        <v>6914</v>
      </c>
      <c r="H323" s="1" t="s">
        <v>6915</v>
      </c>
      <c r="J323" s="1" t="s">
        <v>1324</v>
      </c>
      <c r="L323" s="1" t="s">
        <v>6932</v>
      </c>
      <c r="M323" s="1" t="s">
        <v>7248</v>
      </c>
      <c r="N323" s="1" t="s">
        <v>7330</v>
      </c>
      <c r="P323" s="1" t="s">
        <v>7333</v>
      </c>
      <c r="Q323" s="3">
        <v>0</v>
      </c>
      <c r="R323" s="23" t="s">
        <v>6854</v>
      </c>
      <c r="S323" s="23" t="s">
        <v>6849</v>
      </c>
      <c r="T323" s="23" t="s">
        <v>4864</v>
      </c>
      <c r="U323" s="3">
        <v>35</v>
      </c>
      <c r="V323" s="3" t="s">
        <v>6936</v>
      </c>
      <c r="W323" s="45" t="str">
        <f>HYPERLINK("http://ictvonline.org/taxonomy/p/taxonomy-history?taxnode_id=201908376","ICTVonline=201908376")</f>
        <v>ICTVonline=201908376</v>
      </c>
      <c r="Y323" s="1" t="s">
        <v>7334</v>
      </c>
      <c r="AA323" s="1">
        <v>201900000</v>
      </c>
      <c r="AB323" s="1">
        <v>35</v>
      </c>
    </row>
    <row r="324" spans="1:28" x14ac:dyDescent="0.2">
      <c r="A324" s="1">
        <v>836</v>
      </c>
      <c r="B324" s="1" t="s">
        <v>6850</v>
      </c>
      <c r="D324" s="1" t="s">
        <v>6851</v>
      </c>
      <c r="F324" s="1" t="s">
        <v>6914</v>
      </c>
      <c r="H324" s="1" t="s">
        <v>6915</v>
      </c>
      <c r="J324" s="1" t="s">
        <v>1324</v>
      </c>
      <c r="L324" s="1" t="s">
        <v>6932</v>
      </c>
      <c r="M324" s="1" t="s">
        <v>7248</v>
      </c>
      <c r="N324" s="1" t="s">
        <v>7330</v>
      </c>
      <c r="P324" s="1" t="s">
        <v>7335</v>
      </c>
      <c r="Q324" s="3">
        <v>0</v>
      </c>
      <c r="R324" s="23" t="s">
        <v>6854</v>
      </c>
      <c r="S324" s="23" t="s">
        <v>6849</v>
      </c>
      <c r="T324" s="23" t="s">
        <v>4864</v>
      </c>
      <c r="U324" s="3">
        <v>35</v>
      </c>
      <c r="V324" s="3" t="s">
        <v>6936</v>
      </c>
      <c r="W324" s="45" t="str">
        <f>HYPERLINK("http://ictvonline.org/taxonomy/p/taxonomy-history?taxnode_id=201908375","ICTVonline=201908375")</f>
        <v>ICTVonline=201908375</v>
      </c>
      <c r="Y324" s="1" t="s">
        <v>7336</v>
      </c>
      <c r="AA324" s="1">
        <v>201900000</v>
      </c>
      <c r="AB324" s="1">
        <v>35</v>
      </c>
    </row>
    <row r="325" spans="1:28" x14ac:dyDescent="0.2">
      <c r="A325" s="1">
        <v>838</v>
      </c>
      <c r="B325" s="1" t="s">
        <v>6850</v>
      </c>
      <c r="D325" s="1" t="s">
        <v>6851</v>
      </c>
      <c r="F325" s="1" t="s">
        <v>6914</v>
      </c>
      <c r="H325" s="1" t="s">
        <v>6915</v>
      </c>
      <c r="J325" s="1" t="s">
        <v>1324</v>
      </c>
      <c r="L325" s="1" t="s">
        <v>6932</v>
      </c>
      <c r="M325" s="1" t="s">
        <v>7248</v>
      </c>
      <c r="N325" s="1" t="s">
        <v>7330</v>
      </c>
      <c r="P325" s="1" t="s">
        <v>7337</v>
      </c>
      <c r="Q325" s="3">
        <v>0</v>
      </c>
      <c r="R325" s="23" t="s">
        <v>6854</v>
      </c>
      <c r="S325" s="23" t="s">
        <v>6849</v>
      </c>
      <c r="T325" s="23" t="s">
        <v>4864</v>
      </c>
      <c r="U325" s="3">
        <v>35</v>
      </c>
      <c r="V325" s="3" t="s">
        <v>6936</v>
      </c>
      <c r="W325" s="45" t="str">
        <f>HYPERLINK("http://ictvonline.org/taxonomy/p/taxonomy-history?taxnode_id=201908377","ICTVonline=201908377")</f>
        <v>ICTVonline=201908377</v>
      </c>
      <c r="Y325" s="1" t="s">
        <v>7338</v>
      </c>
      <c r="AA325" s="1">
        <v>201900000</v>
      </c>
      <c r="AB325" s="1">
        <v>35</v>
      </c>
    </row>
    <row r="326" spans="1:28" x14ac:dyDescent="0.2">
      <c r="A326" s="1">
        <v>842</v>
      </c>
      <c r="B326" s="1" t="s">
        <v>6850</v>
      </c>
      <c r="D326" s="1" t="s">
        <v>6851</v>
      </c>
      <c r="F326" s="1" t="s">
        <v>6914</v>
      </c>
      <c r="H326" s="1" t="s">
        <v>6915</v>
      </c>
      <c r="J326" s="1" t="s">
        <v>1324</v>
      </c>
      <c r="L326" s="1" t="s">
        <v>6932</v>
      </c>
      <c r="M326" s="1" t="s">
        <v>7248</v>
      </c>
      <c r="N326" s="1" t="s">
        <v>7339</v>
      </c>
      <c r="P326" s="1" t="s">
        <v>7340</v>
      </c>
      <c r="Q326" s="3">
        <v>1</v>
      </c>
      <c r="R326" s="23" t="s">
        <v>6854</v>
      </c>
      <c r="S326" s="23" t="s">
        <v>6849</v>
      </c>
      <c r="T326" s="23" t="s">
        <v>4864</v>
      </c>
      <c r="U326" s="3">
        <v>35</v>
      </c>
      <c r="V326" s="3" t="s">
        <v>6936</v>
      </c>
      <c r="W326" s="45" t="str">
        <f>HYPERLINK("http://ictvonline.org/taxonomy/p/taxonomy-history?taxnode_id=201908458","ICTVonline=201908458")</f>
        <v>ICTVonline=201908458</v>
      </c>
      <c r="Y326" s="1" t="s">
        <v>7341</v>
      </c>
      <c r="AA326" s="1">
        <v>201900000</v>
      </c>
      <c r="AB326" s="1">
        <v>35</v>
      </c>
    </row>
    <row r="327" spans="1:28" x14ac:dyDescent="0.2">
      <c r="A327" s="1">
        <v>846</v>
      </c>
      <c r="B327" s="1" t="s">
        <v>6850</v>
      </c>
      <c r="D327" s="1" t="s">
        <v>6851</v>
      </c>
      <c r="F327" s="1" t="s">
        <v>6914</v>
      </c>
      <c r="H327" s="1" t="s">
        <v>6915</v>
      </c>
      <c r="J327" s="1" t="s">
        <v>1324</v>
      </c>
      <c r="L327" s="1" t="s">
        <v>6932</v>
      </c>
      <c r="M327" s="1" t="s">
        <v>7248</v>
      </c>
      <c r="N327" s="1" t="s">
        <v>7342</v>
      </c>
      <c r="P327" s="1" t="s">
        <v>7343</v>
      </c>
      <c r="Q327" s="3">
        <v>0</v>
      </c>
      <c r="R327" s="23" t="s">
        <v>6854</v>
      </c>
      <c r="S327" s="23" t="s">
        <v>6849</v>
      </c>
      <c r="T327" s="23" t="s">
        <v>4864</v>
      </c>
      <c r="U327" s="3">
        <v>35</v>
      </c>
      <c r="V327" s="3" t="s">
        <v>6936</v>
      </c>
      <c r="W327" s="45" t="str">
        <f>HYPERLINK("http://ictvonline.org/taxonomy/p/taxonomy-history?taxnode_id=201908406","ICTVonline=201908406")</f>
        <v>ICTVonline=201908406</v>
      </c>
      <c r="Y327" s="1" t="s">
        <v>7344</v>
      </c>
      <c r="AA327" s="1">
        <v>201900000</v>
      </c>
      <c r="AB327" s="1">
        <v>35</v>
      </c>
    </row>
    <row r="328" spans="1:28" x14ac:dyDescent="0.2">
      <c r="A328" s="1">
        <v>848</v>
      </c>
      <c r="B328" s="1" t="s">
        <v>6850</v>
      </c>
      <c r="D328" s="1" t="s">
        <v>6851</v>
      </c>
      <c r="F328" s="1" t="s">
        <v>6914</v>
      </c>
      <c r="H328" s="1" t="s">
        <v>6915</v>
      </c>
      <c r="J328" s="1" t="s">
        <v>1324</v>
      </c>
      <c r="L328" s="1" t="s">
        <v>6932</v>
      </c>
      <c r="M328" s="1" t="s">
        <v>7248</v>
      </c>
      <c r="N328" s="1" t="s">
        <v>7342</v>
      </c>
      <c r="P328" s="1" t="s">
        <v>7345</v>
      </c>
      <c r="Q328" s="3">
        <v>0</v>
      </c>
      <c r="R328" s="23" t="s">
        <v>6854</v>
      </c>
      <c r="S328" s="23" t="s">
        <v>6849</v>
      </c>
      <c r="T328" s="23" t="s">
        <v>4864</v>
      </c>
      <c r="U328" s="3">
        <v>35</v>
      </c>
      <c r="V328" s="3" t="s">
        <v>6936</v>
      </c>
      <c r="W328" s="45" t="str">
        <f>HYPERLINK("http://ictvonline.org/taxonomy/p/taxonomy-history?taxnode_id=201908409","ICTVonline=201908409")</f>
        <v>ICTVonline=201908409</v>
      </c>
      <c r="Y328" s="1" t="s">
        <v>7346</v>
      </c>
      <c r="AA328" s="1">
        <v>201900000</v>
      </c>
      <c r="AB328" s="1">
        <v>35</v>
      </c>
    </row>
    <row r="329" spans="1:28" x14ac:dyDescent="0.2">
      <c r="A329" s="1">
        <v>850</v>
      </c>
      <c r="B329" s="1" t="s">
        <v>6850</v>
      </c>
      <c r="D329" s="1" t="s">
        <v>6851</v>
      </c>
      <c r="F329" s="1" t="s">
        <v>6914</v>
      </c>
      <c r="H329" s="1" t="s">
        <v>6915</v>
      </c>
      <c r="J329" s="1" t="s">
        <v>1324</v>
      </c>
      <c r="L329" s="1" t="s">
        <v>6932</v>
      </c>
      <c r="M329" s="1" t="s">
        <v>7248</v>
      </c>
      <c r="N329" s="1" t="s">
        <v>7342</v>
      </c>
      <c r="P329" s="1" t="s">
        <v>7347</v>
      </c>
      <c r="Q329" s="3">
        <v>0</v>
      </c>
      <c r="R329" s="23" t="s">
        <v>6854</v>
      </c>
      <c r="S329" s="23" t="s">
        <v>6849</v>
      </c>
      <c r="T329" s="23" t="s">
        <v>4864</v>
      </c>
      <c r="U329" s="3">
        <v>35</v>
      </c>
      <c r="V329" s="3" t="s">
        <v>6936</v>
      </c>
      <c r="W329" s="45" t="str">
        <f>HYPERLINK("http://ictvonline.org/taxonomy/p/taxonomy-history?taxnode_id=201908410","ICTVonline=201908410")</f>
        <v>ICTVonline=201908410</v>
      </c>
      <c r="Y329" s="1" t="s">
        <v>7348</v>
      </c>
      <c r="AA329" s="1">
        <v>201900000</v>
      </c>
      <c r="AB329" s="1">
        <v>35</v>
      </c>
    </row>
    <row r="330" spans="1:28" x14ac:dyDescent="0.2">
      <c r="A330" s="1">
        <v>852</v>
      </c>
      <c r="B330" s="1" t="s">
        <v>6850</v>
      </c>
      <c r="D330" s="1" t="s">
        <v>6851</v>
      </c>
      <c r="F330" s="1" t="s">
        <v>6914</v>
      </c>
      <c r="H330" s="1" t="s">
        <v>6915</v>
      </c>
      <c r="J330" s="1" t="s">
        <v>1324</v>
      </c>
      <c r="L330" s="1" t="s">
        <v>6932</v>
      </c>
      <c r="M330" s="1" t="s">
        <v>7248</v>
      </c>
      <c r="N330" s="1" t="s">
        <v>7342</v>
      </c>
      <c r="P330" s="1" t="s">
        <v>7349</v>
      </c>
      <c r="Q330" s="3">
        <v>0</v>
      </c>
      <c r="R330" s="23" t="s">
        <v>6854</v>
      </c>
      <c r="S330" s="23" t="s">
        <v>6849</v>
      </c>
      <c r="T330" s="23" t="s">
        <v>4864</v>
      </c>
      <c r="U330" s="3">
        <v>35</v>
      </c>
      <c r="V330" s="3" t="s">
        <v>6936</v>
      </c>
      <c r="W330" s="45" t="str">
        <f>HYPERLINK("http://ictvonline.org/taxonomy/p/taxonomy-history?taxnode_id=201908405","ICTVonline=201908405")</f>
        <v>ICTVonline=201908405</v>
      </c>
      <c r="Y330" s="1" t="s">
        <v>7350</v>
      </c>
      <c r="AA330" s="1">
        <v>201900000</v>
      </c>
      <c r="AB330" s="1">
        <v>35</v>
      </c>
    </row>
    <row r="331" spans="1:28" x14ac:dyDescent="0.2">
      <c r="A331" s="1">
        <v>854</v>
      </c>
      <c r="B331" s="1" t="s">
        <v>6850</v>
      </c>
      <c r="D331" s="1" t="s">
        <v>6851</v>
      </c>
      <c r="F331" s="1" t="s">
        <v>6914</v>
      </c>
      <c r="H331" s="1" t="s">
        <v>6915</v>
      </c>
      <c r="J331" s="1" t="s">
        <v>1324</v>
      </c>
      <c r="L331" s="1" t="s">
        <v>6932</v>
      </c>
      <c r="M331" s="1" t="s">
        <v>7248</v>
      </c>
      <c r="N331" s="1" t="s">
        <v>7342</v>
      </c>
      <c r="P331" s="1" t="s">
        <v>7351</v>
      </c>
      <c r="Q331" s="3">
        <v>0</v>
      </c>
      <c r="R331" s="23" t="s">
        <v>6854</v>
      </c>
      <c r="S331" s="23" t="s">
        <v>6849</v>
      </c>
      <c r="T331" s="23" t="s">
        <v>4864</v>
      </c>
      <c r="U331" s="3">
        <v>35</v>
      </c>
      <c r="V331" s="3" t="s">
        <v>6936</v>
      </c>
      <c r="W331" s="45" t="str">
        <f>HYPERLINK("http://ictvonline.org/taxonomy/p/taxonomy-history?taxnode_id=201908418","ICTVonline=201908418")</f>
        <v>ICTVonline=201908418</v>
      </c>
      <c r="Y331" s="1" t="s">
        <v>7352</v>
      </c>
      <c r="AA331" s="1">
        <v>201900000</v>
      </c>
      <c r="AB331" s="1">
        <v>35</v>
      </c>
    </row>
    <row r="332" spans="1:28" x14ac:dyDescent="0.2">
      <c r="A332" s="1">
        <v>856</v>
      </c>
      <c r="B332" s="1" t="s">
        <v>6850</v>
      </c>
      <c r="D332" s="1" t="s">
        <v>6851</v>
      </c>
      <c r="F332" s="1" t="s">
        <v>6914</v>
      </c>
      <c r="H332" s="1" t="s">
        <v>6915</v>
      </c>
      <c r="J332" s="1" t="s">
        <v>1324</v>
      </c>
      <c r="L332" s="1" t="s">
        <v>6932</v>
      </c>
      <c r="M332" s="1" t="s">
        <v>7248</v>
      </c>
      <c r="N332" s="1" t="s">
        <v>7342</v>
      </c>
      <c r="P332" s="1" t="s">
        <v>7353</v>
      </c>
      <c r="Q332" s="3">
        <v>0</v>
      </c>
      <c r="R332" s="23" t="s">
        <v>6854</v>
      </c>
      <c r="S332" s="23" t="s">
        <v>6849</v>
      </c>
      <c r="T332" s="23" t="s">
        <v>4864</v>
      </c>
      <c r="U332" s="3">
        <v>35</v>
      </c>
      <c r="V332" s="3" t="s">
        <v>6936</v>
      </c>
      <c r="W332" s="45" t="str">
        <f>HYPERLINK("http://ictvonline.org/taxonomy/p/taxonomy-history?taxnode_id=201908420","ICTVonline=201908420")</f>
        <v>ICTVonline=201908420</v>
      </c>
      <c r="Y332" s="1" t="s">
        <v>7354</v>
      </c>
      <c r="AA332" s="1">
        <v>201900000</v>
      </c>
      <c r="AB332" s="1">
        <v>35</v>
      </c>
    </row>
    <row r="333" spans="1:28" x14ac:dyDescent="0.2">
      <c r="A333" s="1">
        <v>858</v>
      </c>
      <c r="B333" s="1" t="s">
        <v>6850</v>
      </c>
      <c r="D333" s="1" t="s">
        <v>6851</v>
      </c>
      <c r="F333" s="1" t="s">
        <v>6914</v>
      </c>
      <c r="H333" s="1" t="s">
        <v>6915</v>
      </c>
      <c r="J333" s="1" t="s">
        <v>1324</v>
      </c>
      <c r="L333" s="1" t="s">
        <v>6932</v>
      </c>
      <c r="M333" s="1" t="s">
        <v>7248</v>
      </c>
      <c r="N333" s="1" t="s">
        <v>7342</v>
      </c>
      <c r="P333" s="1" t="s">
        <v>7355</v>
      </c>
      <c r="Q333" s="3">
        <v>0</v>
      </c>
      <c r="R333" s="23" t="s">
        <v>6854</v>
      </c>
      <c r="S333" s="23" t="s">
        <v>6849</v>
      </c>
      <c r="T333" s="23" t="s">
        <v>4864</v>
      </c>
      <c r="U333" s="3">
        <v>35</v>
      </c>
      <c r="V333" s="3" t="s">
        <v>6936</v>
      </c>
      <c r="W333" s="45" t="str">
        <f>HYPERLINK("http://ictvonline.org/taxonomy/p/taxonomy-history?taxnode_id=201908404","ICTVonline=201908404")</f>
        <v>ICTVonline=201908404</v>
      </c>
      <c r="Y333" s="1" t="s">
        <v>7356</v>
      </c>
      <c r="AA333" s="1">
        <v>201900000</v>
      </c>
      <c r="AB333" s="1">
        <v>35</v>
      </c>
    </row>
    <row r="334" spans="1:28" x14ac:dyDescent="0.2">
      <c r="A334" s="1">
        <v>860</v>
      </c>
      <c r="B334" s="1" t="s">
        <v>6850</v>
      </c>
      <c r="D334" s="1" t="s">
        <v>6851</v>
      </c>
      <c r="F334" s="1" t="s">
        <v>6914</v>
      </c>
      <c r="H334" s="1" t="s">
        <v>6915</v>
      </c>
      <c r="J334" s="1" t="s">
        <v>1324</v>
      </c>
      <c r="L334" s="1" t="s">
        <v>6932</v>
      </c>
      <c r="M334" s="1" t="s">
        <v>7248</v>
      </c>
      <c r="N334" s="1" t="s">
        <v>7342</v>
      </c>
      <c r="P334" s="1" t="s">
        <v>7357</v>
      </c>
      <c r="Q334" s="3">
        <v>0</v>
      </c>
      <c r="R334" s="23" t="s">
        <v>6854</v>
      </c>
      <c r="S334" s="23" t="s">
        <v>6849</v>
      </c>
      <c r="T334" s="23" t="s">
        <v>4864</v>
      </c>
      <c r="U334" s="3">
        <v>35</v>
      </c>
      <c r="V334" s="3" t="s">
        <v>6936</v>
      </c>
      <c r="W334" s="45" t="str">
        <f>HYPERLINK("http://ictvonline.org/taxonomy/p/taxonomy-history?taxnode_id=201908412","ICTVonline=201908412")</f>
        <v>ICTVonline=201908412</v>
      </c>
      <c r="Y334" s="1" t="s">
        <v>7358</v>
      </c>
      <c r="AA334" s="1">
        <v>201900000</v>
      </c>
      <c r="AB334" s="1">
        <v>35</v>
      </c>
    </row>
    <row r="335" spans="1:28" x14ac:dyDescent="0.2">
      <c r="A335" s="1">
        <v>862</v>
      </c>
      <c r="B335" s="1" t="s">
        <v>6850</v>
      </c>
      <c r="D335" s="1" t="s">
        <v>6851</v>
      </c>
      <c r="F335" s="1" t="s">
        <v>6914</v>
      </c>
      <c r="H335" s="1" t="s">
        <v>6915</v>
      </c>
      <c r="J335" s="1" t="s">
        <v>1324</v>
      </c>
      <c r="L335" s="1" t="s">
        <v>6932</v>
      </c>
      <c r="M335" s="1" t="s">
        <v>7248</v>
      </c>
      <c r="N335" s="1" t="s">
        <v>7342</v>
      </c>
      <c r="P335" s="1" t="s">
        <v>7359</v>
      </c>
      <c r="Q335" s="3">
        <v>0</v>
      </c>
      <c r="R335" s="23" t="s">
        <v>6854</v>
      </c>
      <c r="S335" s="23" t="s">
        <v>6849</v>
      </c>
      <c r="T335" s="23" t="s">
        <v>4864</v>
      </c>
      <c r="U335" s="3">
        <v>35</v>
      </c>
      <c r="V335" s="3" t="s">
        <v>6936</v>
      </c>
      <c r="W335" s="45" t="str">
        <f>HYPERLINK("http://ictvonline.org/taxonomy/p/taxonomy-history?taxnode_id=201908408","ICTVonline=201908408")</f>
        <v>ICTVonline=201908408</v>
      </c>
      <c r="Y335" s="1" t="s">
        <v>7360</v>
      </c>
      <c r="AA335" s="1">
        <v>201900000</v>
      </c>
      <c r="AB335" s="1">
        <v>35</v>
      </c>
    </row>
    <row r="336" spans="1:28" x14ac:dyDescent="0.2">
      <c r="A336" s="1">
        <v>864</v>
      </c>
      <c r="B336" s="1" t="s">
        <v>6850</v>
      </c>
      <c r="D336" s="1" t="s">
        <v>6851</v>
      </c>
      <c r="F336" s="1" t="s">
        <v>6914</v>
      </c>
      <c r="H336" s="1" t="s">
        <v>6915</v>
      </c>
      <c r="J336" s="1" t="s">
        <v>1324</v>
      </c>
      <c r="L336" s="1" t="s">
        <v>6932</v>
      </c>
      <c r="M336" s="1" t="s">
        <v>7248</v>
      </c>
      <c r="N336" s="1" t="s">
        <v>7342</v>
      </c>
      <c r="P336" s="1" t="s">
        <v>7361</v>
      </c>
      <c r="Q336" s="3">
        <v>0</v>
      </c>
      <c r="R336" s="23" t="s">
        <v>6854</v>
      </c>
      <c r="S336" s="23" t="s">
        <v>6849</v>
      </c>
      <c r="T336" s="23" t="s">
        <v>4864</v>
      </c>
      <c r="U336" s="3">
        <v>35</v>
      </c>
      <c r="V336" s="3" t="s">
        <v>6936</v>
      </c>
      <c r="W336" s="45" t="str">
        <f>HYPERLINK("http://ictvonline.org/taxonomy/p/taxonomy-history?taxnode_id=201908421","ICTVonline=201908421")</f>
        <v>ICTVonline=201908421</v>
      </c>
      <c r="Y336" s="1" t="s">
        <v>7362</v>
      </c>
      <c r="AA336" s="1">
        <v>201900000</v>
      </c>
      <c r="AB336" s="1">
        <v>35</v>
      </c>
    </row>
    <row r="337" spans="1:28" x14ac:dyDescent="0.2">
      <c r="A337" s="1">
        <v>866</v>
      </c>
      <c r="B337" s="1" t="s">
        <v>6850</v>
      </c>
      <c r="D337" s="1" t="s">
        <v>6851</v>
      </c>
      <c r="F337" s="1" t="s">
        <v>6914</v>
      </c>
      <c r="H337" s="1" t="s">
        <v>6915</v>
      </c>
      <c r="J337" s="1" t="s">
        <v>1324</v>
      </c>
      <c r="L337" s="1" t="s">
        <v>6932</v>
      </c>
      <c r="M337" s="1" t="s">
        <v>7248</v>
      </c>
      <c r="N337" s="1" t="s">
        <v>7342</v>
      </c>
      <c r="P337" s="1" t="s">
        <v>7363</v>
      </c>
      <c r="Q337" s="3">
        <v>1</v>
      </c>
      <c r="R337" s="23" t="s">
        <v>6854</v>
      </c>
      <c r="S337" s="23" t="s">
        <v>6849</v>
      </c>
      <c r="T337" s="23" t="s">
        <v>4864</v>
      </c>
      <c r="U337" s="3">
        <v>35</v>
      </c>
      <c r="V337" s="3" t="s">
        <v>6936</v>
      </c>
      <c r="W337" s="45" t="str">
        <f>HYPERLINK("http://ictvonline.org/taxonomy/p/taxonomy-history?taxnode_id=201908403","ICTVonline=201908403")</f>
        <v>ICTVonline=201908403</v>
      </c>
      <c r="Y337" s="1" t="s">
        <v>7364</v>
      </c>
      <c r="AA337" s="1">
        <v>201900000</v>
      </c>
      <c r="AB337" s="1">
        <v>35</v>
      </c>
    </row>
    <row r="338" spans="1:28" x14ac:dyDescent="0.2">
      <c r="A338" s="1">
        <v>868</v>
      </c>
      <c r="B338" s="1" t="s">
        <v>6850</v>
      </c>
      <c r="D338" s="1" t="s">
        <v>6851</v>
      </c>
      <c r="F338" s="1" t="s">
        <v>6914</v>
      </c>
      <c r="H338" s="1" t="s">
        <v>6915</v>
      </c>
      <c r="J338" s="1" t="s">
        <v>1324</v>
      </c>
      <c r="L338" s="1" t="s">
        <v>6932</v>
      </c>
      <c r="M338" s="1" t="s">
        <v>7248</v>
      </c>
      <c r="N338" s="1" t="s">
        <v>7342</v>
      </c>
      <c r="P338" s="1" t="s">
        <v>7365</v>
      </c>
      <c r="Q338" s="3">
        <v>0</v>
      </c>
      <c r="R338" s="23" t="s">
        <v>6854</v>
      </c>
      <c r="S338" s="23" t="s">
        <v>6849</v>
      </c>
      <c r="T338" s="23" t="s">
        <v>4864</v>
      </c>
      <c r="U338" s="3">
        <v>35</v>
      </c>
      <c r="V338" s="3" t="s">
        <v>6936</v>
      </c>
      <c r="W338" s="45" t="str">
        <f>HYPERLINK("http://ictvonline.org/taxonomy/p/taxonomy-history?taxnode_id=201908414","ICTVonline=201908414")</f>
        <v>ICTVonline=201908414</v>
      </c>
      <c r="Y338" s="1" t="s">
        <v>7366</v>
      </c>
      <c r="AA338" s="1">
        <v>201900000</v>
      </c>
      <c r="AB338" s="1">
        <v>35</v>
      </c>
    </row>
    <row r="339" spans="1:28" x14ac:dyDescent="0.2">
      <c r="A339" s="1">
        <v>870</v>
      </c>
      <c r="B339" s="1" t="s">
        <v>6850</v>
      </c>
      <c r="D339" s="1" t="s">
        <v>6851</v>
      </c>
      <c r="F339" s="1" t="s">
        <v>6914</v>
      </c>
      <c r="H339" s="1" t="s">
        <v>6915</v>
      </c>
      <c r="J339" s="1" t="s">
        <v>1324</v>
      </c>
      <c r="L339" s="1" t="s">
        <v>6932</v>
      </c>
      <c r="M339" s="1" t="s">
        <v>7248</v>
      </c>
      <c r="N339" s="1" t="s">
        <v>7342</v>
      </c>
      <c r="P339" s="1" t="s">
        <v>7367</v>
      </c>
      <c r="Q339" s="3">
        <v>0</v>
      </c>
      <c r="R339" s="23" t="s">
        <v>6854</v>
      </c>
      <c r="S339" s="23" t="s">
        <v>6849</v>
      </c>
      <c r="T339" s="23" t="s">
        <v>4864</v>
      </c>
      <c r="U339" s="3">
        <v>35</v>
      </c>
      <c r="V339" s="3" t="s">
        <v>6936</v>
      </c>
      <c r="W339" s="45" t="str">
        <f>HYPERLINK("http://ictvonline.org/taxonomy/p/taxonomy-history?taxnode_id=201908407","ICTVonline=201908407")</f>
        <v>ICTVonline=201908407</v>
      </c>
      <c r="Y339" s="1" t="s">
        <v>7368</v>
      </c>
      <c r="AA339" s="1">
        <v>201900000</v>
      </c>
      <c r="AB339" s="1">
        <v>35</v>
      </c>
    </row>
    <row r="340" spans="1:28" x14ac:dyDescent="0.2">
      <c r="A340" s="1">
        <v>872</v>
      </c>
      <c r="B340" s="1" t="s">
        <v>6850</v>
      </c>
      <c r="D340" s="1" t="s">
        <v>6851</v>
      </c>
      <c r="F340" s="1" t="s">
        <v>6914</v>
      </c>
      <c r="H340" s="1" t="s">
        <v>6915</v>
      </c>
      <c r="J340" s="1" t="s">
        <v>1324</v>
      </c>
      <c r="L340" s="1" t="s">
        <v>6932</v>
      </c>
      <c r="M340" s="1" t="s">
        <v>7248</v>
      </c>
      <c r="N340" s="1" t="s">
        <v>7342</v>
      </c>
      <c r="P340" s="1" t="s">
        <v>7369</v>
      </c>
      <c r="Q340" s="3">
        <v>0</v>
      </c>
      <c r="R340" s="23" t="s">
        <v>6854</v>
      </c>
      <c r="S340" s="23" t="s">
        <v>6849</v>
      </c>
      <c r="T340" s="23" t="s">
        <v>4864</v>
      </c>
      <c r="U340" s="3">
        <v>35</v>
      </c>
      <c r="V340" s="3" t="s">
        <v>6936</v>
      </c>
      <c r="W340" s="45" t="str">
        <f>HYPERLINK("http://ictvonline.org/taxonomy/p/taxonomy-history?taxnode_id=201908419","ICTVonline=201908419")</f>
        <v>ICTVonline=201908419</v>
      </c>
      <c r="Y340" s="1" t="s">
        <v>7370</v>
      </c>
      <c r="AA340" s="1">
        <v>201900000</v>
      </c>
      <c r="AB340" s="1">
        <v>35</v>
      </c>
    </row>
    <row r="341" spans="1:28" x14ac:dyDescent="0.2">
      <c r="A341" s="1">
        <v>874</v>
      </c>
      <c r="B341" s="1" t="s">
        <v>6850</v>
      </c>
      <c r="D341" s="1" t="s">
        <v>6851</v>
      </c>
      <c r="F341" s="1" t="s">
        <v>6914</v>
      </c>
      <c r="H341" s="1" t="s">
        <v>6915</v>
      </c>
      <c r="J341" s="1" t="s">
        <v>1324</v>
      </c>
      <c r="L341" s="1" t="s">
        <v>6932</v>
      </c>
      <c r="M341" s="1" t="s">
        <v>7248</v>
      </c>
      <c r="N341" s="1" t="s">
        <v>7342</v>
      </c>
      <c r="P341" s="1" t="s">
        <v>7371</v>
      </c>
      <c r="Q341" s="3">
        <v>0</v>
      </c>
      <c r="R341" s="23" t="s">
        <v>6854</v>
      </c>
      <c r="S341" s="23" t="s">
        <v>6849</v>
      </c>
      <c r="T341" s="23" t="s">
        <v>4864</v>
      </c>
      <c r="U341" s="3">
        <v>35</v>
      </c>
      <c r="V341" s="3" t="s">
        <v>6936</v>
      </c>
      <c r="W341" s="45" t="str">
        <f>HYPERLINK("http://ictvonline.org/taxonomy/p/taxonomy-history?taxnode_id=201908413","ICTVonline=201908413")</f>
        <v>ICTVonline=201908413</v>
      </c>
      <c r="Y341" s="1" t="s">
        <v>7372</v>
      </c>
      <c r="AA341" s="1">
        <v>201900000</v>
      </c>
      <c r="AB341" s="1">
        <v>35</v>
      </c>
    </row>
    <row r="342" spans="1:28" x14ac:dyDescent="0.2">
      <c r="A342" s="1">
        <v>876</v>
      </c>
      <c r="B342" s="1" t="s">
        <v>6850</v>
      </c>
      <c r="D342" s="1" t="s">
        <v>6851</v>
      </c>
      <c r="F342" s="1" t="s">
        <v>6914</v>
      </c>
      <c r="H342" s="1" t="s">
        <v>6915</v>
      </c>
      <c r="J342" s="1" t="s">
        <v>1324</v>
      </c>
      <c r="L342" s="1" t="s">
        <v>6932</v>
      </c>
      <c r="M342" s="1" t="s">
        <v>7248</v>
      </c>
      <c r="N342" s="1" t="s">
        <v>7342</v>
      </c>
      <c r="P342" s="1" t="s">
        <v>7373</v>
      </c>
      <c r="Q342" s="3">
        <v>0</v>
      </c>
      <c r="R342" s="23" t="s">
        <v>6854</v>
      </c>
      <c r="S342" s="23" t="s">
        <v>6849</v>
      </c>
      <c r="T342" s="23" t="s">
        <v>4864</v>
      </c>
      <c r="U342" s="3">
        <v>35</v>
      </c>
      <c r="V342" s="3" t="s">
        <v>6936</v>
      </c>
      <c r="W342" s="45" t="str">
        <f>HYPERLINK("http://ictvonline.org/taxonomy/p/taxonomy-history?taxnode_id=201908416","ICTVonline=201908416")</f>
        <v>ICTVonline=201908416</v>
      </c>
      <c r="Y342" s="1" t="s">
        <v>7374</v>
      </c>
      <c r="AA342" s="1">
        <v>201900000</v>
      </c>
      <c r="AB342" s="1">
        <v>35</v>
      </c>
    </row>
    <row r="343" spans="1:28" x14ac:dyDescent="0.2">
      <c r="A343" s="1">
        <v>878</v>
      </c>
      <c r="B343" s="1" t="s">
        <v>6850</v>
      </c>
      <c r="D343" s="1" t="s">
        <v>6851</v>
      </c>
      <c r="F343" s="1" t="s">
        <v>6914</v>
      </c>
      <c r="H343" s="1" t="s">
        <v>6915</v>
      </c>
      <c r="J343" s="1" t="s">
        <v>1324</v>
      </c>
      <c r="L343" s="1" t="s">
        <v>6932</v>
      </c>
      <c r="M343" s="1" t="s">
        <v>7248</v>
      </c>
      <c r="N343" s="1" t="s">
        <v>7342</v>
      </c>
      <c r="P343" s="1" t="s">
        <v>7375</v>
      </c>
      <c r="Q343" s="3">
        <v>0</v>
      </c>
      <c r="R343" s="23" t="s">
        <v>6854</v>
      </c>
      <c r="S343" s="23" t="s">
        <v>6849</v>
      </c>
      <c r="T343" s="23" t="s">
        <v>4864</v>
      </c>
      <c r="U343" s="3">
        <v>35</v>
      </c>
      <c r="V343" s="3" t="s">
        <v>6936</v>
      </c>
      <c r="W343" s="45" t="str">
        <f>HYPERLINK("http://ictvonline.org/taxonomy/p/taxonomy-history?taxnode_id=201908415","ICTVonline=201908415")</f>
        <v>ICTVonline=201908415</v>
      </c>
      <c r="Y343" s="1" t="s">
        <v>7376</v>
      </c>
      <c r="AA343" s="1">
        <v>201900000</v>
      </c>
      <c r="AB343" s="1">
        <v>35</v>
      </c>
    </row>
    <row r="344" spans="1:28" x14ac:dyDescent="0.2">
      <c r="A344" s="1">
        <v>880</v>
      </c>
      <c r="B344" s="1" t="s">
        <v>6850</v>
      </c>
      <c r="D344" s="1" t="s">
        <v>6851</v>
      </c>
      <c r="F344" s="1" t="s">
        <v>6914</v>
      </c>
      <c r="H344" s="1" t="s">
        <v>6915</v>
      </c>
      <c r="J344" s="1" t="s">
        <v>1324</v>
      </c>
      <c r="L344" s="1" t="s">
        <v>6932</v>
      </c>
      <c r="M344" s="1" t="s">
        <v>7248</v>
      </c>
      <c r="N344" s="1" t="s">
        <v>7342</v>
      </c>
      <c r="P344" s="1" t="s">
        <v>7377</v>
      </c>
      <c r="Q344" s="3">
        <v>0</v>
      </c>
      <c r="R344" s="23" t="s">
        <v>6854</v>
      </c>
      <c r="S344" s="23" t="s">
        <v>6849</v>
      </c>
      <c r="T344" s="23" t="s">
        <v>4864</v>
      </c>
      <c r="U344" s="3">
        <v>35</v>
      </c>
      <c r="V344" s="3" t="s">
        <v>6936</v>
      </c>
      <c r="W344" s="45" t="str">
        <f>HYPERLINK("http://ictvonline.org/taxonomy/p/taxonomy-history?taxnode_id=201908411","ICTVonline=201908411")</f>
        <v>ICTVonline=201908411</v>
      </c>
      <c r="Y344" s="1" t="s">
        <v>7378</v>
      </c>
      <c r="AA344" s="1">
        <v>201900000</v>
      </c>
      <c r="AB344" s="1">
        <v>35</v>
      </c>
    </row>
    <row r="345" spans="1:28" x14ac:dyDescent="0.2">
      <c r="A345" s="1">
        <v>882</v>
      </c>
      <c r="B345" s="1" t="s">
        <v>6850</v>
      </c>
      <c r="D345" s="1" t="s">
        <v>6851</v>
      </c>
      <c r="F345" s="1" t="s">
        <v>6914</v>
      </c>
      <c r="H345" s="1" t="s">
        <v>6915</v>
      </c>
      <c r="J345" s="1" t="s">
        <v>1324</v>
      </c>
      <c r="L345" s="1" t="s">
        <v>6932</v>
      </c>
      <c r="M345" s="1" t="s">
        <v>7248</v>
      </c>
      <c r="N345" s="1" t="s">
        <v>7342</v>
      </c>
      <c r="P345" s="1" t="s">
        <v>7379</v>
      </c>
      <c r="Q345" s="3">
        <v>0</v>
      </c>
      <c r="R345" s="23" t="s">
        <v>6854</v>
      </c>
      <c r="S345" s="23" t="s">
        <v>6849</v>
      </c>
      <c r="T345" s="23" t="s">
        <v>4864</v>
      </c>
      <c r="U345" s="3">
        <v>35</v>
      </c>
      <c r="V345" s="3" t="s">
        <v>6936</v>
      </c>
      <c r="W345" s="45" t="str">
        <f>HYPERLINK("http://ictvonline.org/taxonomy/p/taxonomy-history?taxnode_id=201908417","ICTVonline=201908417")</f>
        <v>ICTVonline=201908417</v>
      </c>
      <c r="Y345" s="1" t="s">
        <v>7380</v>
      </c>
      <c r="AA345" s="1">
        <v>201900000</v>
      </c>
      <c r="AB345" s="1">
        <v>35</v>
      </c>
    </row>
    <row r="346" spans="1:28" x14ac:dyDescent="0.2">
      <c r="A346" s="1">
        <v>886</v>
      </c>
      <c r="B346" s="1" t="s">
        <v>6850</v>
      </c>
      <c r="D346" s="1" t="s">
        <v>6851</v>
      </c>
      <c r="F346" s="1" t="s">
        <v>6914</v>
      </c>
      <c r="H346" s="1" t="s">
        <v>6915</v>
      </c>
      <c r="J346" s="1" t="s">
        <v>1324</v>
      </c>
      <c r="L346" s="1" t="s">
        <v>6932</v>
      </c>
      <c r="M346" s="1" t="s">
        <v>7248</v>
      </c>
      <c r="N346" s="1" t="s">
        <v>7381</v>
      </c>
      <c r="P346" s="1" t="s">
        <v>7382</v>
      </c>
      <c r="Q346" s="3">
        <v>1</v>
      </c>
      <c r="R346" s="23" t="s">
        <v>6854</v>
      </c>
      <c r="S346" s="23" t="s">
        <v>6849</v>
      </c>
      <c r="T346" s="23" t="s">
        <v>4864</v>
      </c>
      <c r="U346" s="3">
        <v>35</v>
      </c>
      <c r="V346" s="3" t="s">
        <v>6936</v>
      </c>
      <c r="W346" s="45" t="str">
        <f>HYPERLINK("http://ictvonline.org/taxonomy/p/taxonomy-history?taxnode_id=201908369","ICTVonline=201908369")</f>
        <v>ICTVonline=201908369</v>
      </c>
      <c r="Y346" s="1" t="s">
        <v>7383</v>
      </c>
      <c r="AA346" s="1">
        <v>201900000</v>
      </c>
      <c r="AB346" s="1">
        <v>35</v>
      </c>
    </row>
    <row r="347" spans="1:28" x14ac:dyDescent="0.2">
      <c r="A347" s="1">
        <v>888</v>
      </c>
      <c r="B347" s="1" t="s">
        <v>6850</v>
      </c>
      <c r="D347" s="1" t="s">
        <v>6851</v>
      </c>
      <c r="F347" s="1" t="s">
        <v>6914</v>
      </c>
      <c r="H347" s="1" t="s">
        <v>6915</v>
      </c>
      <c r="J347" s="1" t="s">
        <v>1324</v>
      </c>
      <c r="L347" s="1" t="s">
        <v>6932</v>
      </c>
      <c r="M347" s="1" t="s">
        <v>7248</v>
      </c>
      <c r="N347" s="1" t="s">
        <v>7381</v>
      </c>
      <c r="P347" s="1" t="s">
        <v>7384</v>
      </c>
      <c r="Q347" s="3">
        <v>0</v>
      </c>
      <c r="R347" s="23" t="s">
        <v>6854</v>
      </c>
      <c r="S347" s="23" t="s">
        <v>6849</v>
      </c>
      <c r="T347" s="23" t="s">
        <v>4864</v>
      </c>
      <c r="U347" s="3">
        <v>35</v>
      </c>
      <c r="V347" s="3" t="s">
        <v>6936</v>
      </c>
      <c r="W347" s="45" t="str">
        <f>HYPERLINK("http://ictvonline.org/taxonomy/p/taxonomy-history?taxnode_id=201908368","ICTVonline=201908368")</f>
        <v>ICTVonline=201908368</v>
      </c>
      <c r="Y347" s="1" t="s">
        <v>7385</v>
      </c>
      <c r="AA347" s="1">
        <v>201900000</v>
      </c>
      <c r="AB347" s="1">
        <v>35</v>
      </c>
    </row>
    <row r="348" spans="1:28" x14ac:dyDescent="0.2">
      <c r="A348" s="1">
        <v>892</v>
      </c>
      <c r="B348" s="1" t="s">
        <v>6850</v>
      </c>
      <c r="D348" s="1" t="s">
        <v>6851</v>
      </c>
      <c r="F348" s="1" t="s">
        <v>6914</v>
      </c>
      <c r="H348" s="1" t="s">
        <v>6915</v>
      </c>
      <c r="J348" s="1" t="s">
        <v>1324</v>
      </c>
      <c r="L348" s="1" t="s">
        <v>6932</v>
      </c>
      <c r="M348" s="1" t="s">
        <v>7248</v>
      </c>
      <c r="N348" s="1" t="s">
        <v>7386</v>
      </c>
      <c r="P348" s="1" t="s">
        <v>7387</v>
      </c>
      <c r="Q348" s="3">
        <v>0</v>
      </c>
      <c r="R348" s="23" t="s">
        <v>6854</v>
      </c>
      <c r="S348" s="23" t="s">
        <v>6849</v>
      </c>
      <c r="T348" s="23" t="s">
        <v>4864</v>
      </c>
      <c r="U348" s="3">
        <v>35</v>
      </c>
      <c r="V348" s="3" t="s">
        <v>6936</v>
      </c>
      <c r="W348" s="45" t="str">
        <f>HYPERLINK("http://ictvonline.org/taxonomy/p/taxonomy-history?taxnode_id=201908386","ICTVonline=201908386")</f>
        <v>ICTVonline=201908386</v>
      </c>
      <c r="Y348" s="1" t="s">
        <v>7388</v>
      </c>
      <c r="AA348" s="1">
        <v>201900000</v>
      </c>
      <c r="AB348" s="1">
        <v>35</v>
      </c>
    </row>
    <row r="349" spans="1:28" x14ac:dyDescent="0.2">
      <c r="A349" s="1">
        <v>894</v>
      </c>
      <c r="B349" s="1" t="s">
        <v>6850</v>
      </c>
      <c r="D349" s="1" t="s">
        <v>6851</v>
      </c>
      <c r="F349" s="1" t="s">
        <v>6914</v>
      </c>
      <c r="H349" s="1" t="s">
        <v>6915</v>
      </c>
      <c r="J349" s="1" t="s">
        <v>1324</v>
      </c>
      <c r="L349" s="1" t="s">
        <v>6932</v>
      </c>
      <c r="M349" s="1" t="s">
        <v>7248</v>
      </c>
      <c r="N349" s="1" t="s">
        <v>7386</v>
      </c>
      <c r="P349" s="1" t="s">
        <v>7389</v>
      </c>
      <c r="Q349" s="3">
        <v>1</v>
      </c>
      <c r="R349" s="23" t="s">
        <v>6854</v>
      </c>
      <c r="S349" s="23" t="s">
        <v>6849</v>
      </c>
      <c r="T349" s="23" t="s">
        <v>4864</v>
      </c>
      <c r="U349" s="3">
        <v>35</v>
      </c>
      <c r="V349" s="3" t="s">
        <v>6936</v>
      </c>
      <c r="W349" s="45" t="str">
        <f>HYPERLINK("http://ictvonline.org/taxonomy/p/taxonomy-history?taxnode_id=201908385","ICTVonline=201908385")</f>
        <v>ICTVonline=201908385</v>
      </c>
      <c r="Y349" s="1" t="s">
        <v>7390</v>
      </c>
      <c r="AA349" s="1">
        <v>201900000</v>
      </c>
      <c r="AB349" s="1">
        <v>35</v>
      </c>
    </row>
    <row r="350" spans="1:28" x14ac:dyDescent="0.2">
      <c r="A350" s="1">
        <v>898</v>
      </c>
      <c r="B350" s="1" t="s">
        <v>6850</v>
      </c>
      <c r="D350" s="1" t="s">
        <v>6851</v>
      </c>
      <c r="F350" s="1" t="s">
        <v>6914</v>
      </c>
      <c r="H350" s="1" t="s">
        <v>6915</v>
      </c>
      <c r="J350" s="1" t="s">
        <v>1324</v>
      </c>
      <c r="L350" s="1" t="s">
        <v>6932</v>
      </c>
      <c r="M350" s="1" t="s">
        <v>7248</v>
      </c>
      <c r="N350" s="1" t="s">
        <v>7391</v>
      </c>
      <c r="P350" s="1" t="s">
        <v>7392</v>
      </c>
      <c r="Q350" s="3">
        <v>0</v>
      </c>
      <c r="R350" s="23" t="s">
        <v>6854</v>
      </c>
      <c r="S350" s="23" t="s">
        <v>6849</v>
      </c>
      <c r="T350" s="23" t="s">
        <v>4864</v>
      </c>
      <c r="U350" s="3">
        <v>35</v>
      </c>
      <c r="V350" s="3" t="s">
        <v>6936</v>
      </c>
      <c r="W350" s="45" t="str">
        <f>HYPERLINK("http://ictvonline.org/taxonomy/p/taxonomy-history?taxnode_id=201908371","ICTVonline=201908371")</f>
        <v>ICTVonline=201908371</v>
      </c>
      <c r="Y350" s="1" t="s">
        <v>7393</v>
      </c>
      <c r="AA350" s="1">
        <v>201900000</v>
      </c>
      <c r="AB350" s="1">
        <v>35</v>
      </c>
    </row>
    <row r="351" spans="1:28" x14ac:dyDescent="0.2">
      <c r="A351" s="1">
        <v>900</v>
      </c>
      <c r="B351" s="1" t="s">
        <v>6850</v>
      </c>
      <c r="D351" s="1" t="s">
        <v>6851</v>
      </c>
      <c r="F351" s="1" t="s">
        <v>6914</v>
      </c>
      <c r="H351" s="1" t="s">
        <v>6915</v>
      </c>
      <c r="J351" s="1" t="s">
        <v>1324</v>
      </c>
      <c r="L351" s="1" t="s">
        <v>6932</v>
      </c>
      <c r="M351" s="1" t="s">
        <v>7248</v>
      </c>
      <c r="N351" s="1" t="s">
        <v>7391</v>
      </c>
      <c r="P351" s="1" t="s">
        <v>7394</v>
      </c>
      <c r="Q351" s="3">
        <v>1</v>
      </c>
      <c r="R351" s="23" t="s">
        <v>6854</v>
      </c>
      <c r="S351" s="23" t="s">
        <v>6849</v>
      </c>
      <c r="T351" s="23" t="s">
        <v>4864</v>
      </c>
      <c r="U351" s="3">
        <v>35</v>
      </c>
      <c r="V351" s="3" t="s">
        <v>6936</v>
      </c>
      <c r="W351" s="45" t="str">
        <f>HYPERLINK("http://ictvonline.org/taxonomy/p/taxonomy-history?taxnode_id=201908373","ICTVonline=201908373")</f>
        <v>ICTVonline=201908373</v>
      </c>
      <c r="Y351" s="1" t="s">
        <v>7395</v>
      </c>
      <c r="AA351" s="1">
        <v>201900000</v>
      </c>
      <c r="AB351" s="1">
        <v>35</v>
      </c>
    </row>
    <row r="352" spans="1:28" x14ac:dyDescent="0.2">
      <c r="A352" s="1">
        <v>902</v>
      </c>
      <c r="B352" s="1" t="s">
        <v>6850</v>
      </c>
      <c r="D352" s="1" t="s">
        <v>6851</v>
      </c>
      <c r="F352" s="1" t="s">
        <v>6914</v>
      </c>
      <c r="H352" s="1" t="s">
        <v>6915</v>
      </c>
      <c r="J352" s="1" t="s">
        <v>1324</v>
      </c>
      <c r="L352" s="1" t="s">
        <v>6932</v>
      </c>
      <c r="M352" s="1" t="s">
        <v>7248</v>
      </c>
      <c r="N352" s="1" t="s">
        <v>7391</v>
      </c>
      <c r="P352" s="1" t="s">
        <v>7396</v>
      </c>
      <c r="Q352" s="3">
        <v>0</v>
      </c>
      <c r="R352" s="23" t="s">
        <v>6854</v>
      </c>
      <c r="S352" s="23" t="s">
        <v>6849</v>
      </c>
      <c r="T352" s="23" t="s">
        <v>4864</v>
      </c>
      <c r="U352" s="3">
        <v>35</v>
      </c>
      <c r="V352" s="3" t="s">
        <v>6936</v>
      </c>
      <c r="W352" s="45" t="str">
        <f>HYPERLINK("http://ictvonline.org/taxonomy/p/taxonomy-history?taxnode_id=201908372","ICTVonline=201908372")</f>
        <v>ICTVonline=201908372</v>
      </c>
      <c r="Y352" s="1" t="s">
        <v>7397</v>
      </c>
      <c r="AA352" s="1">
        <v>201900000</v>
      </c>
      <c r="AB352" s="1">
        <v>35</v>
      </c>
    </row>
    <row r="353" spans="1:28" x14ac:dyDescent="0.2">
      <c r="A353" s="1">
        <v>906</v>
      </c>
      <c r="B353" s="1" t="s">
        <v>6850</v>
      </c>
      <c r="D353" s="1" t="s">
        <v>6851</v>
      </c>
      <c r="F353" s="1" t="s">
        <v>6914</v>
      </c>
      <c r="H353" s="1" t="s">
        <v>6915</v>
      </c>
      <c r="J353" s="1" t="s">
        <v>1324</v>
      </c>
      <c r="L353" s="1" t="s">
        <v>6932</v>
      </c>
      <c r="M353" s="1" t="s">
        <v>7248</v>
      </c>
      <c r="N353" s="1" t="s">
        <v>7398</v>
      </c>
      <c r="P353" s="1" t="s">
        <v>7399</v>
      </c>
      <c r="Q353" s="3">
        <v>1</v>
      </c>
      <c r="R353" s="23" t="s">
        <v>6854</v>
      </c>
      <c r="S353" s="23" t="s">
        <v>6849</v>
      </c>
      <c r="T353" s="23" t="s">
        <v>4864</v>
      </c>
      <c r="U353" s="3">
        <v>35</v>
      </c>
      <c r="V353" s="3" t="s">
        <v>6936</v>
      </c>
      <c r="W353" s="45" t="str">
        <f>HYPERLINK("http://ictvonline.org/taxonomy/p/taxonomy-history?taxnode_id=201908357","ICTVonline=201908357")</f>
        <v>ICTVonline=201908357</v>
      </c>
      <c r="Y353" s="1" t="s">
        <v>7400</v>
      </c>
      <c r="AA353" s="1">
        <v>201900000</v>
      </c>
      <c r="AB353" s="1">
        <v>35</v>
      </c>
    </row>
    <row r="354" spans="1:28" x14ac:dyDescent="0.2">
      <c r="A354" s="1">
        <v>910</v>
      </c>
      <c r="B354" s="1" t="s">
        <v>6850</v>
      </c>
      <c r="D354" s="1" t="s">
        <v>6851</v>
      </c>
      <c r="F354" s="1" t="s">
        <v>6914</v>
      </c>
      <c r="H354" s="1" t="s">
        <v>6915</v>
      </c>
      <c r="J354" s="1" t="s">
        <v>1324</v>
      </c>
      <c r="L354" s="1" t="s">
        <v>6932</v>
      </c>
      <c r="M354" s="1" t="s">
        <v>7248</v>
      </c>
      <c r="N354" s="1" t="s">
        <v>7401</v>
      </c>
      <c r="P354" s="1" t="s">
        <v>7402</v>
      </c>
      <c r="Q354" s="3">
        <v>0</v>
      </c>
      <c r="R354" s="23" t="s">
        <v>6854</v>
      </c>
      <c r="S354" s="23" t="s">
        <v>6849</v>
      </c>
      <c r="T354" s="23" t="s">
        <v>4864</v>
      </c>
      <c r="U354" s="3">
        <v>35</v>
      </c>
      <c r="V354" s="3" t="s">
        <v>6936</v>
      </c>
      <c r="W354" s="45" t="str">
        <f>HYPERLINK("http://ictvonline.org/taxonomy/p/taxonomy-history?taxnode_id=201908365","ICTVonline=201908365")</f>
        <v>ICTVonline=201908365</v>
      </c>
      <c r="Y354" s="1" t="s">
        <v>7403</v>
      </c>
      <c r="AA354" s="1">
        <v>201900000</v>
      </c>
      <c r="AB354" s="1">
        <v>35</v>
      </c>
    </row>
    <row r="355" spans="1:28" x14ac:dyDescent="0.2">
      <c r="A355" s="1">
        <v>912</v>
      </c>
      <c r="B355" s="1" t="s">
        <v>6850</v>
      </c>
      <c r="D355" s="1" t="s">
        <v>6851</v>
      </c>
      <c r="F355" s="1" t="s">
        <v>6914</v>
      </c>
      <c r="H355" s="1" t="s">
        <v>6915</v>
      </c>
      <c r="J355" s="1" t="s">
        <v>1324</v>
      </c>
      <c r="L355" s="1" t="s">
        <v>6932</v>
      </c>
      <c r="M355" s="1" t="s">
        <v>7248</v>
      </c>
      <c r="N355" s="1" t="s">
        <v>7401</v>
      </c>
      <c r="P355" s="1" t="s">
        <v>7404</v>
      </c>
      <c r="Q355" s="3">
        <v>0</v>
      </c>
      <c r="R355" s="23" t="s">
        <v>6854</v>
      </c>
      <c r="S355" s="23" t="s">
        <v>6849</v>
      </c>
      <c r="T355" s="23" t="s">
        <v>4864</v>
      </c>
      <c r="U355" s="3">
        <v>35</v>
      </c>
      <c r="V355" s="3" t="s">
        <v>6936</v>
      </c>
      <c r="W355" s="45" t="str">
        <f>HYPERLINK("http://ictvonline.org/taxonomy/p/taxonomy-history?taxnode_id=201908362","ICTVonline=201908362")</f>
        <v>ICTVonline=201908362</v>
      </c>
      <c r="Y355" s="1" t="s">
        <v>7405</v>
      </c>
      <c r="AA355" s="1">
        <v>201900000</v>
      </c>
      <c r="AB355" s="1">
        <v>35</v>
      </c>
    </row>
    <row r="356" spans="1:28" x14ac:dyDescent="0.2">
      <c r="A356" s="1">
        <v>914</v>
      </c>
      <c r="B356" s="1" t="s">
        <v>6850</v>
      </c>
      <c r="D356" s="1" t="s">
        <v>6851</v>
      </c>
      <c r="F356" s="1" t="s">
        <v>6914</v>
      </c>
      <c r="H356" s="1" t="s">
        <v>6915</v>
      </c>
      <c r="J356" s="1" t="s">
        <v>1324</v>
      </c>
      <c r="L356" s="1" t="s">
        <v>6932</v>
      </c>
      <c r="M356" s="1" t="s">
        <v>7248</v>
      </c>
      <c r="N356" s="1" t="s">
        <v>7401</v>
      </c>
      <c r="P356" s="1" t="s">
        <v>7406</v>
      </c>
      <c r="Q356" s="3">
        <v>1</v>
      </c>
      <c r="R356" s="23" t="s">
        <v>6854</v>
      </c>
      <c r="S356" s="23" t="s">
        <v>6849</v>
      </c>
      <c r="T356" s="23" t="s">
        <v>4864</v>
      </c>
      <c r="U356" s="3">
        <v>35</v>
      </c>
      <c r="V356" s="3" t="s">
        <v>6936</v>
      </c>
      <c r="W356" s="45" t="str">
        <f>HYPERLINK("http://ictvonline.org/taxonomy/p/taxonomy-history?taxnode_id=201908361","ICTVonline=201908361")</f>
        <v>ICTVonline=201908361</v>
      </c>
      <c r="Y356" s="1" t="s">
        <v>7407</v>
      </c>
      <c r="AA356" s="1">
        <v>201900000</v>
      </c>
      <c r="AB356" s="1">
        <v>35</v>
      </c>
    </row>
    <row r="357" spans="1:28" x14ac:dyDescent="0.2">
      <c r="A357" s="1">
        <v>916</v>
      </c>
      <c r="B357" s="1" t="s">
        <v>6850</v>
      </c>
      <c r="D357" s="1" t="s">
        <v>6851</v>
      </c>
      <c r="F357" s="1" t="s">
        <v>6914</v>
      </c>
      <c r="H357" s="1" t="s">
        <v>6915</v>
      </c>
      <c r="J357" s="1" t="s">
        <v>1324</v>
      </c>
      <c r="L357" s="1" t="s">
        <v>6932</v>
      </c>
      <c r="M357" s="1" t="s">
        <v>7248</v>
      </c>
      <c r="N357" s="1" t="s">
        <v>7401</v>
      </c>
      <c r="P357" s="1" t="s">
        <v>7408</v>
      </c>
      <c r="Q357" s="3">
        <v>0</v>
      </c>
      <c r="R357" s="23" t="s">
        <v>6854</v>
      </c>
      <c r="S357" s="23" t="s">
        <v>6849</v>
      </c>
      <c r="T357" s="23" t="s">
        <v>4864</v>
      </c>
      <c r="U357" s="3">
        <v>35</v>
      </c>
      <c r="V357" s="3" t="s">
        <v>6936</v>
      </c>
      <c r="W357" s="45" t="str">
        <f>HYPERLINK("http://ictvonline.org/taxonomy/p/taxonomy-history?taxnode_id=201908366","ICTVonline=201908366")</f>
        <v>ICTVonline=201908366</v>
      </c>
      <c r="Y357" s="1" t="s">
        <v>7409</v>
      </c>
      <c r="AA357" s="1">
        <v>201900000</v>
      </c>
      <c r="AB357" s="1">
        <v>35</v>
      </c>
    </row>
    <row r="358" spans="1:28" x14ac:dyDescent="0.2">
      <c r="A358" s="1">
        <v>918</v>
      </c>
      <c r="B358" s="1" t="s">
        <v>6850</v>
      </c>
      <c r="D358" s="1" t="s">
        <v>6851</v>
      </c>
      <c r="F358" s="1" t="s">
        <v>6914</v>
      </c>
      <c r="H358" s="1" t="s">
        <v>6915</v>
      </c>
      <c r="J358" s="1" t="s">
        <v>1324</v>
      </c>
      <c r="L358" s="1" t="s">
        <v>6932</v>
      </c>
      <c r="M358" s="1" t="s">
        <v>7248</v>
      </c>
      <c r="N358" s="1" t="s">
        <v>7401</v>
      </c>
      <c r="P358" s="1" t="s">
        <v>7410</v>
      </c>
      <c r="Q358" s="3">
        <v>0</v>
      </c>
      <c r="R358" s="23" t="s">
        <v>6854</v>
      </c>
      <c r="S358" s="23" t="s">
        <v>6849</v>
      </c>
      <c r="T358" s="23" t="s">
        <v>4864</v>
      </c>
      <c r="U358" s="3">
        <v>35</v>
      </c>
      <c r="V358" s="3" t="s">
        <v>6936</v>
      </c>
      <c r="W358" s="45" t="str">
        <f>HYPERLINK("http://ictvonline.org/taxonomy/p/taxonomy-history?taxnode_id=201908363","ICTVonline=201908363")</f>
        <v>ICTVonline=201908363</v>
      </c>
      <c r="Y358" s="1" t="s">
        <v>7411</v>
      </c>
      <c r="AA358" s="1">
        <v>201900000</v>
      </c>
      <c r="AB358" s="1">
        <v>35</v>
      </c>
    </row>
    <row r="359" spans="1:28" x14ac:dyDescent="0.2">
      <c r="A359" s="1">
        <v>920</v>
      </c>
      <c r="B359" s="1" t="s">
        <v>6850</v>
      </c>
      <c r="D359" s="1" t="s">
        <v>6851</v>
      </c>
      <c r="F359" s="1" t="s">
        <v>6914</v>
      </c>
      <c r="H359" s="1" t="s">
        <v>6915</v>
      </c>
      <c r="J359" s="1" t="s">
        <v>1324</v>
      </c>
      <c r="L359" s="1" t="s">
        <v>6932</v>
      </c>
      <c r="M359" s="1" t="s">
        <v>7248</v>
      </c>
      <c r="N359" s="1" t="s">
        <v>7401</v>
      </c>
      <c r="P359" s="1" t="s">
        <v>7412</v>
      </c>
      <c r="Q359" s="3">
        <v>0</v>
      </c>
      <c r="R359" s="23" t="s">
        <v>6854</v>
      </c>
      <c r="S359" s="23" t="s">
        <v>6849</v>
      </c>
      <c r="T359" s="23" t="s">
        <v>4864</v>
      </c>
      <c r="U359" s="3">
        <v>35</v>
      </c>
      <c r="V359" s="3" t="s">
        <v>6936</v>
      </c>
      <c r="W359" s="45" t="str">
        <f>HYPERLINK("http://ictvonline.org/taxonomy/p/taxonomy-history?taxnode_id=201908364","ICTVonline=201908364")</f>
        <v>ICTVonline=201908364</v>
      </c>
      <c r="Y359" s="1" t="s">
        <v>7413</v>
      </c>
      <c r="AA359" s="1">
        <v>201900000</v>
      </c>
      <c r="AB359" s="1">
        <v>35</v>
      </c>
    </row>
    <row r="360" spans="1:28" x14ac:dyDescent="0.2">
      <c r="A360" s="1">
        <v>924</v>
      </c>
      <c r="B360" s="1" t="s">
        <v>6850</v>
      </c>
      <c r="D360" s="1" t="s">
        <v>6851</v>
      </c>
      <c r="F360" s="1" t="s">
        <v>6914</v>
      </c>
      <c r="H360" s="1" t="s">
        <v>6915</v>
      </c>
      <c r="J360" s="1" t="s">
        <v>1324</v>
      </c>
      <c r="L360" s="1" t="s">
        <v>6932</v>
      </c>
      <c r="M360" s="1" t="s">
        <v>7248</v>
      </c>
      <c r="N360" s="1" t="s">
        <v>7414</v>
      </c>
      <c r="P360" s="1" t="s">
        <v>7415</v>
      </c>
      <c r="Q360" s="3">
        <v>1</v>
      </c>
      <c r="R360" s="23" t="s">
        <v>6854</v>
      </c>
      <c r="S360" s="23" t="s">
        <v>6849</v>
      </c>
      <c r="T360" s="23" t="s">
        <v>4864</v>
      </c>
      <c r="U360" s="3">
        <v>35</v>
      </c>
      <c r="V360" s="3" t="s">
        <v>6936</v>
      </c>
      <c r="W360" s="45" t="str">
        <f>HYPERLINK("http://ictvonline.org/taxonomy/p/taxonomy-history?taxnode_id=201908355","ICTVonline=201908355")</f>
        <v>ICTVonline=201908355</v>
      </c>
      <c r="Y360" s="1" t="s">
        <v>7416</v>
      </c>
      <c r="AA360" s="1">
        <v>201900000</v>
      </c>
      <c r="AB360" s="1">
        <v>35</v>
      </c>
    </row>
    <row r="361" spans="1:28" x14ac:dyDescent="0.2">
      <c r="A361" s="1">
        <v>928</v>
      </c>
      <c r="B361" s="1" t="s">
        <v>6850</v>
      </c>
      <c r="D361" s="1" t="s">
        <v>6851</v>
      </c>
      <c r="F361" s="1" t="s">
        <v>6914</v>
      </c>
      <c r="H361" s="1" t="s">
        <v>6915</v>
      </c>
      <c r="J361" s="1" t="s">
        <v>1324</v>
      </c>
      <c r="L361" s="1" t="s">
        <v>6932</v>
      </c>
      <c r="M361" s="1" t="s">
        <v>7248</v>
      </c>
      <c r="N361" s="1" t="s">
        <v>6255</v>
      </c>
      <c r="P361" s="1" t="s">
        <v>4210</v>
      </c>
      <c r="Q361" s="3">
        <v>0</v>
      </c>
      <c r="R361" s="23" t="s">
        <v>6854</v>
      </c>
      <c r="S361" s="23" t="s">
        <v>6845</v>
      </c>
      <c r="T361" s="23" t="s">
        <v>4866</v>
      </c>
      <c r="U361" s="3">
        <v>35</v>
      </c>
      <c r="W361" s="45" t="str">
        <f>HYPERLINK("http://ictvonline.org/taxonomy/p/taxonomy-history?taxnode_id=201900551","ICTVonline=201900551")</f>
        <v>ICTVonline=201900551</v>
      </c>
      <c r="Y361" s="1" t="s">
        <v>7417</v>
      </c>
      <c r="Z361" s="1" t="s">
        <v>7418</v>
      </c>
      <c r="AA361" s="1">
        <v>201900000</v>
      </c>
      <c r="AB361" s="1">
        <v>35</v>
      </c>
    </row>
    <row r="362" spans="1:28" x14ac:dyDescent="0.2">
      <c r="A362" s="1">
        <v>930</v>
      </c>
      <c r="B362" s="1" t="s">
        <v>6850</v>
      </c>
      <c r="D362" s="1" t="s">
        <v>6851</v>
      </c>
      <c r="F362" s="1" t="s">
        <v>6914</v>
      </c>
      <c r="H362" s="1" t="s">
        <v>6915</v>
      </c>
      <c r="J362" s="1" t="s">
        <v>1324</v>
      </c>
      <c r="L362" s="1" t="s">
        <v>6932</v>
      </c>
      <c r="M362" s="1" t="s">
        <v>7248</v>
      </c>
      <c r="N362" s="1" t="s">
        <v>6255</v>
      </c>
      <c r="P362" s="1" t="s">
        <v>7419</v>
      </c>
      <c r="Q362" s="3">
        <v>0</v>
      </c>
      <c r="R362" s="23" t="s">
        <v>6854</v>
      </c>
      <c r="S362" s="23" t="s">
        <v>6849</v>
      </c>
      <c r="T362" s="23" t="s">
        <v>4864</v>
      </c>
      <c r="U362" s="3">
        <v>35</v>
      </c>
      <c r="V362" s="3" t="s">
        <v>6936</v>
      </c>
      <c r="W362" s="45" t="str">
        <f>HYPERLINK("http://ictvonline.org/taxonomy/p/taxonomy-history?taxnode_id=201908439","ICTVonline=201908439")</f>
        <v>ICTVonline=201908439</v>
      </c>
      <c r="Y362" s="1" t="s">
        <v>7420</v>
      </c>
      <c r="AA362" s="1">
        <v>201900000</v>
      </c>
      <c r="AB362" s="1">
        <v>35</v>
      </c>
    </row>
    <row r="363" spans="1:28" x14ac:dyDescent="0.2">
      <c r="A363" s="1">
        <v>932</v>
      </c>
      <c r="B363" s="1" t="s">
        <v>6850</v>
      </c>
      <c r="D363" s="1" t="s">
        <v>6851</v>
      </c>
      <c r="F363" s="1" t="s">
        <v>6914</v>
      </c>
      <c r="H363" s="1" t="s">
        <v>6915</v>
      </c>
      <c r="J363" s="1" t="s">
        <v>1324</v>
      </c>
      <c r="L363" s="1" t="s">
        <v>6932</v>
      </c>
      <c r="M363" s="1" t="s">
        <v>7248</v>
      </c>
      <c r="N363" s="1" t="s">
        <v>6255</v>
      </c>
      <c r="P363" s="1" t="s">
        <v>7421</v>
      </c>
      <c r="Q363" s="3">
        <v>0</v>
      </c>
      <c r="R363" s="23" t="s">
        <v>6854</v>
      </c>
      <c r="S363" s="23" t="s">
        <v>6849</v>
      </c>
      <c r="T363" s="23" t="s">
        <v>4864</v>
      </c>
      <c r="U363" s="3">
        <v>35</v>
      </c>
      <c r="V363" s="3" t="s">
        <v>6936</v>
      </c>
      <c r="W363" s="45" t="str">
        <f>HYPERLINK("http://ictvonline.org/taxonomy/p/taxonomy-history?taxnode_id=201908438","ICTVonline=201908438")</f>
        <v>ICTVonline=201908438</v>
      </c>
      <c r="Y363" s="1" t="s">
        <v>7422</v>
      </c>
      <c r="AA363" s="1">
        <v>201900000</v>
      </c>
      <c r="AB363" s="1">
        <v>35</v>
      </c>
    </row>
    <row r="364" spans="1:28" x14ac:dyDescent="0.2">
      <c r="A364" s="1">
        <v>934</v>
      </c>
      <c r="B364" s="1" t="s">
        <v>6850</v>
      </c>
      <c r="D364" s="1" t="s">
        <v>6851</v>
      </c>
      <c r="F364" s="1" t="s">
        <v>6914</v>
      </c>
      <c r="H364" s="1" t="s">
        <v>6915</v>
      </c>
      <c r="J364" s="1" t="s">
        <v>1324</v>
      </c>
      <c r="L364" s="1" t="s">
        <v>6932</v>
      </c>
      <c r="M364" s="1" t="s">
        <v>7248</v>
      </c>
      <c r="N364" s="1" t="s">
        <v>6255</v>
      </c>
      <c r="P364" s="1" t="s">
        <v>7423</v>
      </c>
      <c r="Q364" s="3">
        <v>0</v>
      </c>
      <c r="R364" s="23" t="s">
        <v>6854</v>
      </c>
      <c r="S364" s="23" t="s">
        <v>6849</v>
      </c>
      <c r="T364" s="23" t="s">
        <v>4864</v>
      </c>
      <c r="U364" s="3">
        <v>35</v>
      </c>
      <c r="V364" s="3" t="s">
        <v>6936</v>
      </c>
      <c r="W364" s="45" t="str">
        <f>HYPERLINK("http://ictvonline.org/taxonomy/p/taxonomy-history?taxnode_id=201908447","ICTVonline=201908447")</f>
        <v>ICTVonline=201908447</v>
      </c>
      <c r="Y364" s="1" t="s">
        <v>7424</v>
      </c>
      <c r="AA364" s="1">
        <v>201900000</v>
      </c>
      <c r="AB364" s="1">
        <v>35</v>
      </c>
    </row>
    <row r="365" spans="1:28" x14ac:dyDescent="0.2">
      <c r="A365" s="1">
        <v>936</v>
      </c>
      <c r="B365" s="1" t="s">
        <v>6850</v>
      </c>
      <c r="D365" s="1" t="s">
        <v>6851</v>
      </c>
      <c r="F365" s="1" t="s">
        <v>6914</v>
      </c>
      <c r="H365" s="1" t="s">
        <v>6915</v>
      </c>
      <c r="J365" s="1" t="s">
        <v>1324</v>
      </c>
      <c r="L365" s="1" t="s">
        <v>6932</v>
      </c>
      <c r="M365" s="1" t="s">
        <v>7248</v>
      </c>
      <c r="N365" s="1" t="s">
        <v>6255</v>
      </c>
      <c r="P365" s="1" t="s">
        <v>7425</v>
      </c>
      <c r="Q365" s="3">
        <v>0</v>
      </c>
      <c r="R365" s="23" t="s">
        <v>6854</v>
      </c>
      <c r="S365" s="23" t="s">
        <v>6849</v>
      </c>
      <c r="T365" s="23" t="s">
        <v>4864</v>
      </c>
      <c r="U365" s="3">
        <v>35</v>
      </c>
      <c r="V365" s="3" t="s">
        <v>6936</v>
      </c>
      <c r="W365" s="45" t="str">
        <f>HYPERLINK("http://ictvonline.org/taxonomy/p/taxonomy-history?taxnode_id=201908437","ICTVonline=201908437")</f>
        <v>ICTVonline=201908437</v>
      </c>
      <c r="Y365" s="1" t="s">
        <v>7426</v>
      </c>
      <c r="AA365" s="1">
        <v>201900000</v>
      </c>
      <c r="AB365" s="1">
        <v>35</v>
      </c>
    </row>
    <row r="366" spans="1:28" x14ac:dyDescent="0.2">
      <c r="A366" s="1">
        <v>938</v>
      </c>
      <c r="B366" s="1" t="s">
        <v>6850</v>
      </c>
      <c r="D366" s="1" t="s">
        <v>6851</v>
      </c>
      <c r="F366" s="1" t="s">
        <v>6914</v>
      </c>
      <c r="H366" s="1" t="s">
        <v>6915</v>
      </c>
      <c r="J366" s="1" t="s">
        <v>1324</v>
      </c>
      <c r="L366" s="1" t="s">
        <v>6932</v>
      </c>
      <c r="M366" s="1" t="s">
        <v>7248</v>
      </c>
      <c r="N366" s="1" t="s">
        <v>6255</v>
      </c>
      <c r="P366" s="1" t="s">
        <v>7427</v>
      </c>
      <c r="Q366" s="3">
        <v>0</v>
      </c>
      <c r="R366" s="23" t="s">
        <v>6854</v>
      </c>
      <c r="S366" s="23" t="s">
        <v>6849</v>
      </c>
      <c r="T366" s="23" t="s">
        <v>4864</v>
      </c>
      <c r="U366" s="3">
        <v>35</v>
      </c>
      <c r="V366" s="3" t="s">
        <v>6936</v>
      </c>
      <c r="W366" s="45" t="str">
        <f>HYPERLINK("http://ictvonline.org/taxonomy/p/taxonomy-history?taxnode_id=201908430","ICTVonline=201908430")</f>
        <v>ICTVonline=201908430</v>
      </c>
      <c r="Y366" s="1" t="s">
        <v>7428</v>
      </c>
      <c r="AA366" s="1">
        <v>201900000</v>
      </c>
      <c r="AB366" s="1">
        <v>35</v>
      </c>
    </row>
    <row r="367" spans="1:28" x14ac:dyDescent="0.2">
      <c r="A367" s="1">
        <v>940</v>
      </c>
      <c r="B367" s="1" t="s">
        <v>6850</v>
      </c>
      <c r="D367" s="1" t="s">
        <v>6851</v>
      </c>
      <c r="F367" s="1" t="s">
        <v>6914</v>
      </c>
      <c r="H367" s="1" t="s">
        <v>6915</v>
      </c>
      <c r="J367" s="1" t="s">
        <v>1324</v>
      </c>
      <c r="L367" s="1" t="s">
        <v>6932</v>
      </c>
      <c r="M367" s="1" t="s">
        <v>7248</v>
      </c>
      <c r="N367" s="1" t="s">
        <v>6255</v>
      </c>
      <c r="P367" s="1" t="s">
        <v>7429</v>
      </c>
      <c r="Q367" s="3">
        <v>0</v>
      </c>
      <c r="R367" s="23" t="s">
        <v>6854</v>
      </c>
      <c r="S367" s="23" t="s">
        <v>6849</v>
      </c>
      <c r="T367" s="23" t="s">
        <v>4864</v>
      </c>
      <c r="U367" s="3">
        <v>35</v>
      </c>
      <c r="V367" s="3" t="s">
        <v>6936</v>
      </c>
      <c r="W367" s="45" t="str">
        <f>HYPERLINK("http://ictvonline.org/taxonomy/p/taxonomy-history?taxnode_id=201908445","ICTVonline=201908445")</f>
        <v>ICTVonline=201908445</v>
      </c>
      <c r="Y367" s="1" t="s">
        <v>7430</v>
      </c>
      <c r="AA367" s="1">
        <v>201900000</v>
      </c>
      <c r="AB367" s="1">
        <v>35</v>
      </c>
    </row>
    <row r="368" spans="1:28" x14ac:dyDescent="0.2">
      <c r="A368" s="1">
        <v>942</v>
      </c>
      <c r="B368" s="1" t="s">
        <v>6850</v>
      </c>
      <c r="D368" s="1" t="s">
        <v>6851</v>
      </c>
      <c r="F368" s="1" t="s">
        <v>6914</v>
      </c>
      <c r="H368" s="1" t="s">
        <v>6915</v>
      </c>
      <c r="J368" s="1" t="s">
        <v>1324</v>
      </c>
      <c r="L368" s="1" t="s">
        <v>6932</v>
      </c>
      <c r="M368" s="1" t="s">
        <v>7248</v>
      </c>
      <c r="N368" s="1" t="s">
        <v>6255</v>
      </c>
      <c r="P368" s="1" t="s">
        <v>4211</v>
      </c>
      <c r="Q368" s="3">
        <v>0</v>
      </c>
      <c r="R368" s="23" t="s">
        <v>6854</v>
      </c>
      <c r="S368" s="23" t="s">
        <v>6845</v>
      </c>
      <c r="T368" s="23" t="s">
        <v>4866</v>
      </c>
      <c r="U368" s="3">
        <v>35</v>
      </c>
      <c r="W368" s="45" t="str">
        <f>HYPERLINK("http://ictvonline.org/taxonomy/p/taxonomy-history?taxnode_id=201900552","ICTVonline=201900552")</f>
        <v>ICTVonline=201900552</v>
      </c>
      <c r="Y368" s="1" t="s">
        <v>7431</v>
      </c>
      <c r="Z368" s="1" t="s">
        <v>7432</v>
      </c>
      <c r="AA368" s="1">
        <v>201900000</v>
      </c>
      <c r="AB368" s="1">
        <v>35</v>
      </c>
    </row>
    <row r="369" spans="1:28" x14ac:dyDescent="0.2">
      <c r="A369" s="1">
        <v>944</v>
      </c>
      <c r="B369" s="1" t="s">
        <v>6850</v>
      </c>
      <c r="D369" s="1" t="s">
        <v>6851</v>
      </c>
      <c r="F369" s="1" t="s">
        <v>6914</v>
      </c>
      <c r="H369" s="1" t="s">
        <v>6915</v>
      </c>
      <c r="J369" s="1" t="s">
        <v>1324</v>
      </c>
      <c r="L369" s="1" t="s">
        <v>6932</v>
      </c>
      <c r="M369" s="1" t="s">
        <v>7248</v>
      </c>
      <c r="N369" s="1" t="s">
        <v>6255</v>
      </c>
      <c r="P369" s="1" t="s">
        <v>4212</v>
      </c>
      <c r="Q369" s="3">
        <v>0</v>
      </c>
      <c r="R369" s="23" t="s">
        <v>6854</v>
      </c>
      <c r="S369" s="23" t="s">
        <v>6845</v>
      </c>
      <c r="T369" s="23" t="s">
        <v>4866</v>
      </c>
      <c r="U369" s="3">
        <v>35</v>
      </c>
      <c r="W369" s="45" t="str">
        <f>HYPERLINK("http://ictvonline.org/taxonomy/p/taxonomy-history?taxnode_id=201900553","ICTVonline=201900553")</f>
        <v>ICTVonline=201900553</v>
      </c>
      <c r="Y369" s="1" t="s">
        <v>7433</v>
      </c>
      <c r="Z369" s="1" t="s">
        <v>7434</v>
      </c>
      <c r="AA369" s="1">
        <v>201900000</v>
      </c>
      <c r="AB369" s="1">
        <v>35</v>
      </c>
    </row>
    <row r="370" spans="1:28" x14ac:dyDescent="0.2">
      <c r="A370" s="1">
        <v>946</v>
      </c>
      <c r="B370" s="1" t="s">
        <v>6850</v>
      </c>
      <c r="D370" s="1" t="s">
        <v>6851</v>
      </c>
      <c r="F370" s="1" t="s">
        <v>6914</v>
      </c>
      <c r="H370" s="1" t="s">
        <v>6915</v>
      </c>
      <c r="J370" s="1" t="s">
        <v>1324</v>
      </c>
      <c r="L370" s="1" t="s">
        <v>6932</v>
      </c>
      <c r="M370" s="1" t="s">
        <v>7248</v>
      </c>
      <c r="N370" s="1" t="s">
        <v>6255</v>
      </c>
      <c r="P370" s="1" t="s">
        <v>7435</v>
      </c>
      <c r="Q370" s="3">
        <v>0</v>
      </c>
      <c r="R370" s="23" t="s">
        <v>6854</v>
      </c>
      <c r="S370" s="23" t="s">
        <v>6849</v>
      </c>
      <c r="T370" s="23" t="s">
        <v>4864</v>
      </c>
      <c r="U370" s="3">
        <v>35</v>
      </c>
      <c r="V370" s="3" t="s">
        <v>6936</v>
      </c>
      <c r="W370" s="45" t="str">
        <f>HYPERLINK("http://ictvonline.org/taxonomy/p/taxonomy-history?taxnode_id=201908434","ICTVonline=201908434")</f>
        <v>ICTVonline=201908434</v>
      </c>
      <c r="Y370" s="1" t="s">
        <v>7436</v>
      </c>
      <c r="AA370" s="1">
        <v>201900000</v>
      </c>
      <c r="AB370" s="1">
        <v>35</v>
      </c>
    </row>
    <row r="371" spans="1:28" x14ac:dyDescent="0.2">
      <c r="A371" s="1">
        <v>948</v>
      </c>
      <c r="B371" s="1" t="s">
        <v>6850</v>
      </c>
      <c r="D371" s="1" t="s">
        <v>6851</v>
      </c>
      <c r="F371" s="1" t="s">
        <v>6914</v>
      </c>
      <c r="H371" s="1" t="s">
        <v>6915</v>
      </c>
      <c r="J371" s="1" t="s">
        <v>1324</v>
      </c>
      <c r="L371" s="1" t="s">
        <v>6932</v>
      </c>
      <c r="M371" s="1" t="s">
        <v>7248</v>
      </c>
      <c r="N371" s="1" t="s">
        <v>6255</v>
      </c>
      <c r="P371" s="1" t="s">
        <v>7437</v>
      </c>
      <c r="Q371" s="3">
        <v>0</v>
      </c>
      <c r="R371" s="23" t="s">
        <v>6854</v>
      </c>
      <c r="S371" s="23" t="s">
        <v>6849</v>
      </c>
      <c r="T371" s="23" t="s">
        <v>4864</v>
      </c>
      <c r="U371" s="3">
        <v>35</v>
      </c>
      <c r="V371" s="3" t="s">
        <v>6936</v>
      </c>
      <c r="W371" s="45" t="str">
        <f>HYPERLINK("http://ictvonline.org/taxonomy/p/taxonomy-history?taxnode_id=201908435","ICTVonline=201908435")</f>
        <v>ICTVonline=201908435</v>
      </c>
      <c r="Y371" s="1" t="s">
        <v>7438</v>
      </c>
      <c r="AA371" s="1">
        <v>201900000</v>
      </c>
      <c r="AB371" s="1">
        <v>35</v>
      </c>
    </row>
    <row r="372" spans="1:28" x14ac:dyDescent="0.2">
      <c r="A372" s="1">
        <v>950</v>
      </c>
      <c r="B372" s="1" t="s">
        <v>6850</v>
      </c>
      <c r="D372" s="1" t="s">
        <v>6851</v>
      </c>
      <c r="F372" s="1" t="s">
        <v>6914</v>
      </c>
      <c r="H372" s="1" t="s">
        <v>6915</v>
      </c>
      <c r="J372" s="1" t="s">
        <v>1324</v>
      </c>
      <c r="L372" s="1" t="s">
        <v>6932</v>
      </c>
      <c r="M372" s="1" t="s">
        <v>7248</v>
      </c>
      <c r="N372" s="1" t="s">
        <v>6255</v>
      </c>
      <c r="P372" s="1" t="s">
        <v>7439</v>
      </c>
      <c r="Q372" s="3">
        <v>0</v>
      </c>
      <c r="R372" s="23" t="s">
        <v>6854</v>
      </c>
      <c r="S372" s="23" t="s">
        <v>6849</v>
      </c>
      <c r="T372" s="23" t="s">
        <v>4864</v>
      </c>
      <c r="U372" s="3">
        <v>35</v>
      </c>
      <c r="V372" s="3" t="s">
        <v>6936</v>
      </c>
      <c r="W372" s="45" t="str">
        <f>HYPERLINK("http://ictvonline.org/taxonomy/p/taxonomy-history?taxnode_id=201908450","ICTVonline=201908450")</f>
        <v>ICTVonline=201908450</v>
      </c>
      <c r="Y372" s="1" t="s">
        <v>7440</v>
      </c>
      <c r="AA372" s="1">
        <v>201900000</v>
      </c>
      <c r="AB372" s="1">
        <v>35</v>
      </c>
    </row>
    <row r="373" spans="1:28" x14ac:dyDescent="0.2">
      <c r="A373" s="1">
        <v>952</v>
      </c>
      <c r="B373" s="1" t="s">
        <v>6850</v>
      </c>
      <c r="D373" s="1" t="s">
        <v>6851</v>
      </c>
      <c r="F373" s="1" t="s">
        <v>6914</v>
      </c>
      <c r="H373" s="1" t="s">
        <v>6915</v>
      </c>
      <c r="J373" s="1" t="s">
        <v>1324</v>
      </c>
      <c r="L373" s="1" t="s">
        <v>6932</v>
      </c>
      <c r="M373" s="1" t="s">
        <v>7248</v>
      </c>
      <c r="N373" s="1" t="s">
        <v>6255</v>
      </c>
      <c r="P373" s="1" t="s">
        <v>7441</v>
      </c>
      <c r="Q373" s="3">
        <v>0</v>
      </c>
      <c r="R373" s="23" t="s">
        <v>6854</v>
      </c>
      <c r="S373" s="23" t="s">
        <v>6849</v>
      </c>
      <c r="T373" s="23" t="s">
        <v>4864</v>
      </c>
      <c r="U373" s="3">
        <v>35</v>
      </c>
      <c r="V373" s="3" t="s">
        <v>6936</v>
      </c>
      <c r="W373" s="45" t="str">
        <f>HYPERLINK("http://ictvonline.org/taxonomy/p/taxonomy-history?taxnode_id=201908451","ICTVonline=201908451")</f>
        <v>ICTVonline=201908451</v>
      </c>
      <c r="Y373" s="1" t="s">
        <v>7442</v>
      </c>
      <c r="AA373" s="1">
        <v>201900000</v>
      </c>
      <c r="AB373" s="1">
        <v>35</v>
      </c>
    </row>
    <row r="374" spans="1:28" x14ac:dyDescent="0.2">
      <c r="A374" s="1">
        <v>954</v>
      </c>
      <c r="B374" s="1" t="s">
        <v>6850</v>
      </c>
      <c r="D374" s="1" t="s">
        <v>6851</v>
      </c>
      <c r="F374" s="1" t="s">
        <v>6914</v>
      </c>
      <c r="H374" s="1" t="s">
        <v>6915</v>
      </c>
      <c r="J374" s="1" t="s">
        <v>1324</v>
      </c>
      <c r="L374" s="1" t="s">
        <v>6932</v>
      </c>
      <c r="M374" s="1" t="s">
        <v>7248</v>
      </c>
      <c r="N374" s="1" t="s">
        <v>6255</v>
      </c>
      <c r="P374" s="1" t="s">
        <v>7443</v>
      </c>
      <c r="Q374" s="3">
        <v>0</v>
      </c>
      <c r="R374" s="23" t="s">
        <v>6854</v>
      </c>
      <c r="S374" s="23" t="s">
        <v>6849</v>
      </c>
      <c r="T374" s="23" t="s">
        <v>4864</v>
      </c>
      <c r="U374" s="3">
        <v>35</v>
      </c>
      <c r="V374" s="3" t="s">
        <v>6936</v>
      </c>
      <c r="W374" s="45" t="str">
        <f>HYPERLINK("http://ictvonline.org/taxonomy/p/taxonomy-history?taxnode_id=201908452","ICTVonline=201908452")</f>
        <v>ICTVonline=201908452</v>
      </c>
      <c r="Y374" s="1" t="s">
        <v>7444</v>
      </c>
      <c r="AA374" s="1">
        <v>201900000</v>
      </c>
      <c r="AB374" s="1">
        <v>35</v>
      </c>
    </row>
    <row r="375" spans="1:28" x14ac:dyDescent="0.2">
      <c r="A375" s="1">
        <v>956</v>
      </c>
      <c r="B375" s="1" t="s">
        <v>6850</v>
      </c>
      <c r="D375" s="1" t="s">
        <v>6851</v>
      </c>
      <c r="F375" s="1" t="s">
        <v>6914</v>
      </c>
      <c r="H375" s="1" t="s">
        <v>6915</v>
      </c>
      <c r="J375" s="1" t="s">
        <v>1324</v>
      </c>
      <c r="L375" s="1" t="s">
        <v>6932</v>
      </c>
      <c r="M375" s="1" t="s">
        <v>7248</v>
      </c>
      <c r="N375" s="1" t="s">
        <v>6255</v>
      </c>
      <c r="P375" s="1" t="s">
        <v>4213</v>
      </c>
      <c r="Q375" s="3">
        <v>0</v>
      </c>
      <c r="R375" s="23" t="s">
        <v>6854</v>
      </c>
      <c r="S375" s="23" t="s">
        <v>6845</v>
      </c>
      <c r="T375" s="23" t="s">
        <v>4866</v>
      </c>
      <c r="U375" s="3">
        <v>35</v>
      </c>
      <c r="W375" s="45" t="str">
        <f>HYPERLINK("http://ictvonline.org/taxonomy/p/taxonomy-history?taxnode_id=201900554","ICTVonline=201900554")</f>
        <v>ICTVonline=201900554</v>
      </c>
      <c r="Y375" s="1" t="s">
        <v>7445</v>
      </c>
      <c r="Z375" s="1" t="s">
        <v>7446</v>
      </c>
      <c r="AA375" s="1">
        <v>201900000</v>
      </c>
      <c r="AB375" s="1">
        <v>35</v>
      </c>
    </row>
    <row r="376" spans="1:28" x14ac:dyDescent="0.2">
      <c r="A376" s="1">
        <v>958</v>
      </c>
      <c r="B376" s="1" t="s">
        <v>6850</v>
      </c>
      <c r="D376" s="1" t="s">
        <v>6851</v>
      </c>
      <c r="F376" s="1" t="s">
        <v>6914</v>
      </c>
      <c r="H376" s="1" t="s">
        <v>6915</v>
      </c>
      <c r="J376" s="1" t="s">
        <v>1324</v>
      </c>
      <c r="L376" s="1" t="s">
        <v>6932</v>
      </c>
      <c r="M376" s="1" t="s">
        <v>7248</v>
      </c>
      <c r="N376" s="1" t="s">
        <v>6255</v>
      </c>
      <c r="P376" s="1" t="s">
        <v>4214</v>
      </c>
      <c r="Q376" s="3">
        <v>1</v>
      </c>
      <c r="R376" s="23" t="s">
        <v>6854</v>
      </c>
      <c r="S376" s="23" t="s">
        <v>6845</v>
      </c>
      <c r="T376" s="23" t="s">
        <v>4866</v>
      </c>
      <c r="U376" s="3">
        <v>35</v>
      </c>
      <c r="W376" s="45" t="str">
        <f>HYPERLINK("http://ictvonline.org/taxonomy/p/taxonomy-history?taxnode_id=201900555","ICTVonline=201900555")</f>
        <v>ICTVonline=201900555</v>
      </c>
      <c r="Y376" s="1" t="s">
        <v>7447</v>
      </c>
      <c r="Z376" s="1" t="s">
        <v>7448</v>
      </c>
      <c r="AA376" s="1">
        <v>201900000</v>
      </c>
      <c r="AB376" s="1">
        <v>35</v>
      </c>
    </row>
    <row r="377" spans="1:28" x14ac:dyDescent="0.2">
      <c r="A377" s="1">
        <v>960</v>
      </c>
      <c r="B377" s="1" t="s">
        <v>6850</v>
      </c>
      <c r="D377" s="1" t="s">
        <v>6851</v>
      </c>
      <c r="F377" s="1" t="s">
        <v>6914</v>
      </c>
      <c r="H377" s="1" t="s">
        <v>6915</v>
      </c>
      <c r="J377" s="1" t="s">
        <v>1324</v>
      </c>
      <c r="L377" s="1" t="s">
        <v>6932</v>
      </c>
      <c r="M377" s="1" t="s">
        <v>7248</v>
      </c>
      <c r="N377" s="1" t="s">
        <v>6255</v>
      </c>
      <c r="P377" s="1" t="s">
        <v>7449</v>
      </c>
      <c r="Q377" s="3">
        <v>0</v>
      </c>
      <c r="R377" s="23" t="s">
        <v>6854</v>
      </c>
      <c r="S377" s="23" t="s">
        <v>6849</v>
      </c>
      <c r="T377" s="23" t="s">
        <v>4864</v>
      </c>
      <c r="U377" s="3">
        <v>35</v>
      </c>
      <c r="V377" s="3" t="s">
        <v>6936</v>
      </c>
      <c r="W377" s="45" t="str">
        <f>HYPERLINK("http://ictvonline.org/taxonomy/p/taxonomy-history?taxnode_id=201908441","ICTVonline=201908441")</f>
        <v>ICTVonline=201908441</v>
      </c>
      <c r="Y377" s="1" t="s">
        <v>7450</v>
      </c>
      <c r="AA377" s="1">
        <v>201900000</v>
      </c>
      <c r="AB377" s="1">
        <v>35</v>
      </c>
    </row>
    <row r="378" spans="1:28" x14ac:dyDescent="0.2">
      <c r="A378" s="1">
        <v>962</v>
      </c>
      <c r="B378" s="1" t="s">
        <v>6850</v>
      </c>
      <c r="D378" s="1" t="s">
        <v>6851</v>
      </c>
      <c r="F378" s="1" t="s">
        <v>6914</v>
      </c>
      <c r="H378" s="1" t="s">
        <v>6915</v>
      </c>
      <c r="J378" s="1" t="s">
        <v>1324</v>
      </c>
      <c r="L378" s="1" t="s">
        <v>6932</v>
      </c>
      <c r="M378" s="1" t="s">
        <v>7248</v>
      </c>
      <c r="N378" s="1" t="s">
        <v>6255</v>
      </c>
      <c r="P378" s="1" t="s">
        <v>7451</v>
      </c>
      <c r="Q378" s="3">
        <v>0</v>
      </c>
      <c r="R378" s="23" t="s">
        <v>6854</v>
      </c>
      <c r="S378" s="23" t="s">
        <v>6849</v>
      </c>
      <c r="T378" s="23" t="s">
        <v>4864</v>
      </c>
      <c r="U378" s="3">
        <v>35</v>
      </c>
      <c r="V378" s="3" t="s">
        <v>6936</v>
      </c>
      <c r="W378" s="45" t="str">
        <f>HYPERLINK("http://ictvonline.org/taxonomy/p/taxonomy-history?taxnode_id=201908442","ICTVonline=201908442")</f>
        <v>ICTVonline=201908442</v>
      </c>
      <c r="Y378" s="1" t="s">
        <v>7452</v>
      </c>
      <c r="AA378" s="1">
        <v>201900000</v>
      </c>
      <c r="AB378" s="1">
        <v>35</v>
      </c>
    </row>
    <row r="379" spans="1:28" x14ac:dyDescent="0.2">
      <c r="A379" s="1">
        <v>964</v>
      </c>
      <c r="B379" s="1" t="s">
        <v>6850</v>
      </c>
      <c r="D379" s="1" t="s">
        <v>6851</v>
      </c>
      <c r="F379" s="1" t="s">
        <v>6914</v>
      </c>
      <c r="H379" s="1" t="s">
        <v>6915</v>
      </c>
      <c r="J379" s="1" t="s">
        <v>1324</v>
      </c>
      <c r="L379" s="1" t="s">
        <v>6932</v>
      </c>
      <c r="M379" s="1" t="s">
        <v>7248</v>
      </c>
      <c r="N379" s="1" t="s">
        <v>6255</v>
      </c>
      <c r="P379" s="1" t="s">
        <v>7453</v>
      </c>
      <c r="Q379" s="3">
        <v>0</v>
      </c>
      <c r="R379" s="23" t="s">
        <v>6854</v>
      </c>
      <c r="S379" s="23" t="s">
        <v>6849</v>
      </c>
      <c r="T379" s="23" t="s">
        <v>4864</v>
      </c>
      <c r="U379" s="3">
        <v>35</v>
      </c>
      <c r="V379" s="3" t="s">
        <v>6936</v>
      </c>
      <c r="W379" s="45" t="str">
        <f>HYPERLINK("http://ictvonline.org/taxonomy/p/taxonomy-history?taxnode_id=201908443","ICTVonline=201908443")</f>
        <v>ICTVonline=201908443</v>
      </c>
      <c r="Y379" s="1" t="s">
        <v>7454</v>
      </c>
      <c r="AA379" s="1">
        <v>201900000</v>
      </c>
      <c r="AB379" s="1">
        <v>35</v>
      </c>
    </row>
    <row r="380" spans="1:28" x14ac:dyDescent="0.2">
      <c r="A380" s="1">
        <v>966</v>
      </c>
      <c r="B380" s="1" t="s">
        <v>6850</v>
      </c>
      <c r="D380" s="1" t="s">
        <v>6851</v>
      </c>
      <c r="F380" s="1" t="s">
        <v>6914</v>
      </c>
      <c r="H380" s="1" t="s">
        <v>6915</v>
      </c>
      <c r="J380" s="1" t="s">
        <v>1324</v>
      </c>
      <c r="L380" s="1" t="s">
        <v>6932</v>
      </c>
      <c r="M380" s="1" t="s">
        <v>7248</v>
      </c>
      <c r="N380" s="1" t="s">
        <v>6255</v>
      </c>
      <c r="P380" s="1" t="s">
        <v>7455</v>
      </c>
      <c r="Q380" s="3">
        <v>0</v>
      </c>
      <c r="R380" s="23" t="s">
        <v>6854</v>
      </c>
      <c r="S380" s="23" t="s">
        <v>6849</v>
      </c>
      <c r="T380" s="23" t="s">
        <v>4864</v>
      </c>
      <c r="U380" s="3">
        <v>35</v>
      </c>
      <c r="V380" s="3" t="s">
        <v>6936</v>
      </c>
      <c r="W380" s="45" t="str">
        <f>HYPERLINK("http://ictvonline.org/taxonomy/p/taxonomy-history?taxnode_id=201908444","ICTVonline=201908444")</f>
        <v>ICTVonline=201908444</v>
      </c>
      <c r="Y380" s="1" t="s">
        <v>7456</v>
      </c>
      <c r="AA380" s="1">
        <v>201900000</v>
      </c>
      <c r="AB380" s="1">
        <v>35</v>
      </c>
    </row>
    <row r="381" spans="1:28" x14ac:dyDescent="0.2">
      <c r="A381" s="1">
        <v>968</v>
      </c>
      <c r="B381" s="1" t="s">
        <v>6850</v>
      </c>
      <c r="D381" s="1" t="s">
        <v>6851</v>
      </c>
      <c r="F381" s="1" t="s">
        <v>6914</v>
      </c>
      <c r="H381" s="1" t="s">
        <v>6915</v>
      </c>
      <c r="J381" s="1" t="s">
        <v>1324</v>
      </c>
      <c r="L381" s="1" t="s">
        <v>6932</v>
      </c>
      <c r="M381" s="1" t="s">
        <v>7248</v>
      </c>
      <c r="N381" s="1" t="s">
        <v>6255</v>
      </c>
      <c r="P381" s="1" t="s">
        <v>7457</v>
      </c>
      <c r="Q381" s="3">
        <v>0</v>
      </c>
      <c r="R381" s="23" t="s">
        <v>6854</v>
      </c>
      <c r="S381" s="23" t="s">
        <v>6849</v>
      </c>
      <c r="T381" s="23" t="s">
        <v>4864</v>
      </c>
      <c r="U381" s="3">
        <v>35</v>
      </c>
      <c r="V381" s="3" t="s">
        <v>6936</v>
      </c>
      <c r="W381" s="45" t="str">
        <f>HYPERLINK("http://ictvonline.org/taxonomy/p/taxonomy-history?taxnode_id=201908446","ICTVonline=201908446")</f>
        <v>ICTVonline=201908446</v>
      </c>
      <c r="Y381" s="1" t="s">
        <v>7458</v>
      </c>
      <c r="AA381" s="1">
        <v>201900000</v>
      </c>
      <c r="AB381" s="1">
        <v>35</v>
      </c>
    </row>
    <row r="382" spans="1:28" x14ac:dyDescent="0.2">
      <c r="A382" s="1">
        <v>970</v>
      </c>
      <c r="B382" s="1" t="s">
        <v>6850</v>
      </c>
      <c r="D382" s="1" t="s">
        <v>6851</v>
      </c>
      <c r="F382" s="1" t="s">
        <v>6914</v>
      </c>
      <c r="H382" s="1" t="s">
        <v>6915</v>
      </c>
      <c r="J382" s="1" t="s">
        <v>1324</v>
      </c>
      <c r="L382" s="1" t="s">
        <v>6932</v>
      </c>
      <c r="M382" s="1" t="s">
        <v>7248</v>
      </c>
      <c r="N382" s="1" t="s">
        <v>6255</v>
      </c>
      <c r="P382" s="1" t="s">
        <v>4215</v>
      </c>
      <c r="Q382" s="3">
        <v>0</v>
      </c>
      <c r="R382" s="23" t="s">
        <v>6854</v>
      </c>
      <c r="S382" s="23" t="s">
        <v>6845</v>
      </c>
      <c r="T382" s="23" t="s">
        <v>4866</v>
      </c>
      <c r="U382" s="3">
        <v>35</v>
      </c>
      <c r="W382" s="45" t="str">
        <f>HYPERLINK("http://ictvonline.org/taxonomy/p/taxonomy-history?taxnode_id=201900556","ICTVonline=201900556")</f>
        <v>ICTVonline=201900556</v>
      </c>
      <c r="Y382" s="1" t="s">
        <v>7459</v>
      </c>
      <c r="Z382" s="1" t="s">
        <v>7460</v>
      </c>
      <c r="AA382" s="1">
        <v>201900000</v>
      </c>
      <c r="AB382" s="1">
        <v>35</v>
      </c>
    </row>
    <row r="383" spans="1:28" x14ac:dyDescent="0.2">
      <c r="A383" s="1">
        <v>972</v>
      </c>
      <c r="B383" s="1" t="s">
        <v>6850</v>
      </c>
      <c r="D383" s="1" t="s">
        <v>6851</v>
      </c>
      <c r="F383" s="1" t="s">
        <v>6914</v>
      </c>
      <c r="H383" s="1" t="s">
        <v>6915</v>
      </c>
      <c r="J383" s="1" t="s">
        <v>1324</v>
      </c>
      <c r="L383" s="1" t="s">
        <v>6932</v>
      </c>
      <c r="M383" s="1" t="s">
        <v>7248</v>
      </c>
      <c r="N383" s="1" t="s">
        <v>6255</v>
      </c>
      <c r="P383" s="1" t="s">
        <v>7461</v>
      </c>
      <c r="Q383" s="3">
        <v>0</v>
      </c>
      <c r="R383" s="23" t="s">
        <v>6854</v>
      </c>
      <c r="S383" s="23" t="s">
        <v>6849</v>
      </c>
      <c r="T383" s="23" t="s">
        <v>4864</v>
      </c>
      <c r="U383" s="3">
        <v>35</v>
      </c>
      <c r="V383" s="3" t="s">
        <v>6936</v>
      </c>
      <c r="W383" s="45" t="str">
        <f>HYPERLINK("http://ictvonline.org/taxonomy/p/taxonomy-history?taxnode_id=201908431","ICTVonline=201908431")</f>
        <v>ICTVonline=201908431</v>
      </c>
      <c r="Y383" s="1" t="s">
        <v>7462</v>
      </c>
      <c r="AA383" s="1">
        <v>201900000</v>
      </c>
      <c r="AB383" s="1">
        <v>35</v>
      </c>
    </row>
    <row r="384" spans="1:28" x14ac:dyDescent="0.2">
      <c r="A384" s="1">
        <v>974</v>
      </c>
      <c r="B384" s="1" t="s">
        <v>6850</v>
      </c>
      <c r="D384" s="1" t="s">
        <v>6851</v>
      </c>
      <c r="F384" s="1" t="s">
        <v>6914</v>
      </c>
      <c r="H384" s="1" t="s">
        <v>6915</v>
      </c>
      <c r="J384" s="1" t="s">
        <v>1324</v>
      </c>
      <c r="L384" s="1" t="s">
        <v>6932</v>
      </c>
      <c r="M384" s="1" t="s">
        <v>7248</v>
      </c>
      <c r="N384" s="1" t="s">
        <v>6255</v>
      </c>
      <c r="P384" s="1" t="s">
        <v>7463</v>
      </c>
      <c r="Q384" s="3">
        <v>0</v>
      </c>
      <c r="R384" s="23" t="s">
        <v>6854</v>
      </c>
      <c r="S384" s="23" t="s">
        <v>6849</v>
      </c>
      <c r="T384" s="23" t="s">
        <v>4864</v>
      </c>
      <c r="U384" s="3">
        <v>35</v>
      </c>
      <c r="V384" s="3" t="s">
        <v>6936</v>
      </c>
      <c r="W384" s="45" t="str">
        <f>HYPERLINK("http://ictvonline.org/taxonomy/p/taxonomy-history?taxnode_id=201908433","ICTVonline=201908433")</f>
        <v>ICTVonline=201908433</v>
      </c>
      <c r="Y384" s="1" t="s">
        <v>7464</v>
      </c>
      <c r="AA384" s="1">
        <v>201900000</v>
      </c>
      <c r="AB384" s="1">
        <v>35</v>
      </c>
    </row>
    <row r="385" spans="1:28" x14ac:dyDescent="0.2">
      <c r="A385" s="1">
        <v>976</v>
      </c>
      <c r="B385" s="1" t="s">
        <v>6850</v>
      </c>
      <c r="D385" s="1" t="s">
        <v>6851</v>
      </c>
      <c r="F385" s="1" t="s">
        <v>6914</v>
      </c>
      <c r="H385" s="1" t="s">
        <v>6915</v>
      </c>
      <c r="J385" s="1" t="s">
        <v>1324</v>
      </c>
      <c r="L385" s="1" t="s">
        <v>6932</v>
      </c>
      <c r="M385" s="1" t="s">
        <v>7248</v>
      </c>
      <c r="N385" s="1" t="s">
        <v>6255</v>
      </c>
      <c r="P385" s="1" t="s">
        <v>7465</v>
      </c>
      <c r="Q385" s="3">
        <v>0</v>
      </c>
      <c r="R385" s="23" t="s">
        <v>6854</v>
      </c>
      <c r="S385" s="23" t="s">
        <v>6849</v>
      </c>
      <c r="T385" s="23" t="s">
        <v>4864</v>
      </c>
      <c r="U385" s="3">
        <v>35</v>
      </c>
      <c r="V385" s="3" t="s">
        <v>6936</v>
      </c>
      <c r="W385" s="45" t="str">
        <f>HYPERLINK("http://ictvonline.org/taxonomy/p/taxonomy-history?taxnode_id=201908432","ICTVonline=201908432")</f>
        <v>ICTVonline=201908432</v>
      </c>
      <c r="Y385" s="1" t="s">
        <v>7466</v>
      </c>
      <c r="AA385" s="1">
        <v>201900000</v>
      </c>
      <c r="AB385" s="1">
        <v>35</v>
      </c>
    </row>
    <row r="386" spans="1:28" x14ac:dyDescent="0.2">
      <c r="A386" s="1">
        <v>978</v>
      </c>
      <c r="B386" s="1" t="s">
        <v>6850</v>
      </c>
      <c r="D386" s="1" t="s">
        <v>6851</v>
      </c>
      <c r="F386" s="1" t="s">
        <v>6914</v>
      </c>
      <c r="H386" s="1" t="s">
        <v>6915</v>
      </c>
      <c r="J386" s="1" t="s">
        <v>1324</v>
      </c>
      <c r="L386" s="1" t="s">
        <v>6932</v>
      </c>
      <c r="M386" s="1" t="s">
        <v>7248</v>
      </c>
      <c r="N386" s="1" t="s">
        <v>6255</v>
      </c>
      <c r="P386" s="1" t="s">
        <v>7467</v>
      </c>
      <c r="Q386" s="3">
        <v>0</v>
      </c>
      <c r="R386" s="23" t="s">
        <v>6854</v>
      </c>
      <c r="S386" s="23" t="s">
        <v>6849</v>
      </c>
      <c r="T386" s="23" t="s">
        <v>4864</v>
      </c>
      <c r="U386" s="3">
        <v>35</v>
      </c>
      <c r="V386" s="3" t="s">
        <v>6936</v>
      </c>
      <c r="W386" s="45" t="str">
        <f>HYPERLINK("http://ictvonline.org/taxonomy/p/taxonomy-history?taxnode_id=201908448","ICTVonline=201908448")</f>
        <v>ICTVonline=201908448</v>
      </c>
      <c r="Y386" s="1" t="s">
        <v>7468</v>
      </c>
      <c r="AA386" s="1">
        <v>201900000</v>
      </c>
      <c r="AB386" s="1">
        <v>35</v>
      </c>
    </row>
    <row r="387" spans="1:28" x14ac:dyDescent="0.2">
      <c r="A387" s="1">
        <v>980</v>
      </c>
      <c r="B387" s="1" t="s">
        <v>6850</v>
      </c>
      <c r="D387" s="1" t="s">
        <v>6851</v>
      </c>
      <c r="F387" s="1" t="s">
        <v>6914</v>
      </c>
      <c r="H387" s="1" t="s">
        <v>6915</v>
      </c>
      <c r="J387" s="1" t="s">
        <v>1324</v>
      </c>
      <c r="L387" s="1" t="s">
        <v>6932</v>
      </c>
      <c r="M387" s="1" t="s">
        <v>7248</v>
      </c>
      <c r="N387" s="1" t="s">
        <v>6255</v>
      </c>
      <c r="P387" s="1" t="s">
        <v>7469</v>
      </c>
      <c r="Q387" s="3">
        <v>0</v>
      </c>
      <c r="R387" s="23" t="s">
        <v>6854</v>
      </c>
      <c r="S387" s="23" t="s">
        <v>6849</v>
      </c>
      <c r="T387" s="23" t="s">
        <v>4864</v>
      </c>
      <c r="U387" s="3">
        <v>35</v>
      </c>
      <c r="V387" s="3" t="s">
        <v>6936</v>
      </c>
      <c r="W387" s="45" t="str">
        <f>HYPERLINK("http://ictvonline.org/taxonomy/p/taxonomy-history?taxnode_id=201908436","ICTVonline=201908436")</f>
        <v>ICTVonline=201908436</v>
      </c>
      <c r="Y387" s="1" t="s">
        <v>7470</v>
      </c>
      <c r="AA387" s="1">
        <v>201900000</v>
      </c>
      <c r="AB387" s="1">
        <v>35</v>
      </c>
    </row>
    <row r="388" spans="1:28" x14ac:dyDescent="0.2">
      <c r="A388" s="1">
        <v>982</v>
      </c>
      <c r="B388" s="1" t="s">
        <v>6850</v>
      </c>
      <c r="D388" s="1" t="s">
        <v>6851</v>
      </c>
      <c r="F388" s="1" t="s">
        <v>6914</v>
      </c>
      <c r="H388" s="1" t="s">
        <v>6915</v>
      </c>
      <c r="J388" s="1" t="s">
        <v>1324</v>
      </c>
      <c r="L388" s="1" t="s">
        <v>6932</v>
      </c>
      <c r="M388" s="1" t="s">
        <v>7248</v>
      </c>
      <c r="N388" s="1" t="s">
        <v>6255</v>
      </c>
      <c r="P388" s="1" t="s">
        <v>7471</v>
      </c>
      <c r="Q388" s="3">
        <v>0</v>
      </c>
      <c r="R388" s="23" t="s">
        <v>6854</v>
      </c>
      <c r="S388" s="23" t="s">
        <v>6849</v>
      </c>
      <c r="T388" s="23" t="s">
        <v>4864</v>
      </c>
      <c r="U388" s="3">
        <v>35</v>
      </c>
      <c r="V388" s="3" t="s">
        <v>6936</v>
      </c>
      <c r="W388" s="45" t="str">
        <f>HYPERLINK("http://ictvonline.org/taxonomy/p/taxonomy-history?taxnode_id=201908449","ICTVonline=201908449")</f>
        <v>ICTVonline=201908449</v>
      </c>
      <c r="Y388" s="1" t="s">
        <v>7472</v>
      </c>
      <c r="AA388" s="1">
        <v>201900000</v>
      </c>
      <c r="AB388" s="1">
        <v>35</v>
      </c>
    </row>
    <row r="389" spans="1:28" x14ac:dyDescent="0.2">
      <c r="A389" s="1">
        <v>984</v>
      </c>
      <c r="B389" s="1" t="s">
        <v>6850</v>
      </c>
      <c r="D389" s="1" t="s">
        <v>6851</v>
      </c>
      <c r="F389" s="1" t="s">
        <v>6914</v>
      </c>
      <c r="H389" s="1" t="s">
        <v>6915</v>
      </c>
      <c r="J389" s="1" t="s">
        <v>1324</v>
      </c>
      <c r="L389" s="1" t="s">
        <v>6932</v>
      </c>
      <c r="M389" s="1" t="s">
        <v>7248</v>
      </c>
      <c r="N389" s="1" t="s">
        <v>6255</v>
      </c>
      <c r="P389" s="1" t="s">
        <v>7473</v>
      </c>
      <c r="Q389" s="3">
        <v>0</v>
      </c>
      <c r="R389" s="23" t="s">
        <v>6854</v>
      </c>
      <c r="S389" s="23" t="s">
        <v>6849</v>
      </c>
      <c r="T389" s="23" t="s">
        <v>4864</v>
      </c>
      <c r="U389" s="3">
        <v>35</v>
      </c>
      <c r="V389" s="3" t="s">
        <v>6936</v>
      </c>
      <c r="W389" s="45" t="str">
        <f>HYPERLINK("http://ictvonline.org/taxonomy/p/taxonomy-history?taxnode_id=201908440","ICTVonline=201908440")</f>
        <v>ICTVonline=201908440</v>
      </c>
      <c r="Y389" s="1" t="s">
        <v>7474</v>
      </c>
      <c r="AA389" s="1">
        <v>201900000</v>
      </c>
      <c r="AB389" s="1">
        <v>35</v>
      </c>
    </row>
    <row r="390" spans="1:28" x14ac:dyDescent="0.2">
      <c r="A390" s="1">
        <v>988</v>
      </c>
      <c r="B390" s="1" t="s">
        <v>6850</v>
      </c>
      <c r="D390" s="1" t="s">
        <v>6851</v>
      </c>
      <c r="F390" s="1" t="s">
        <v>6914</v>
      </c>
      <c r="H390" s="1" t="s">
        <v>6915</v>
      </c>
      <c r="J390" s="1" t="s">
        <v>1324</v>
      </c>
      <c r="L390" s="1" t="s">
        <v>6932</v>
      </c>
      <c r="M390" s="1" t="s">
        <v>7248</v>
      </c>
      <c r="N390" s="1" t="s">
        <v>7475</v>
      </c>
      <c r="P390" s="1" t="s">
        <v>7476</v>
      </c>
      <c r="Q390" s="3">
        <v>0</v>
      </c>
      <c r="R390" s="23" t="s">
        <v>6854</v>
      </c>
      <c r="S390" s="23" t="s">
        <v>6849</v>
      </c>
      <c r="T390" s="23" t="s">
        <v>4864</v>
      </c>
      <c r="U390" s="3">
        <v>35</v>
      </c>
      <c r="V390" s="3" t="s">
        <v>6936</v>
      </c>
      <c r="W390" s="45" t="str">
        <f>HYPERLINK("http://ictvonline.org/taxonomy/p/taxonomy-history?taxnode_id=201908466","ICTVonline=201908466")</f>
        <v>ICTVonline=201908466</v>
      </c>
      <c r="Y390" s="1" t="s">
        <v>7477</v>
      </c>
      <c r="AA390" s="1">
        <v>201900000</v>
      </c>
      <c r="AB390" s="1">
        <v>35</v>
      </c>
    </row>
    <row r="391" spans="1:28" x14ac:dyDescent="0.2">
      <c r="A391" s="1">
        <v>990</v>
      </c>
      <c r="B391" s="1" t="s">
        <v>6850</v>
      </c>
      <c r="D391" s="1" t="s">
        <v>6851</v>
      </c>
      <c r="F391" s="1" t="s">
        <v>6914</v>
      </c>
      <c r="H391" s="1" t="s">
        <v>6915</v>
      </c>
      <c r="J391" s="1" t="s">
        <v>1324</v>
      </c>
      <c r="L391" s="1" t="s">
        <v>6932</v>
      </c>
      <c r="M391" s="1" t="s">
        <v>7248</v>
      </c>
      <c r="N391" s="1" t="s">
        <v>7475</v>
      </c>
      <c r="P391" s="1" t="s">
        <v>7478</v>
      </c>
      <c r="Q391" s="3">
        <v>0</v>
      </c>
      <c r="R391" s="23" t="s">
        <v>6854</v>
      </c>
      <c r="S391" s="23" t="s">
        <v>6849</v>
      </c>
      <c r="T391" s="23" t="s">
        <v>4864</v>
      </c>
      <c r="U391" s="3">
        <v>35</v>
      </c>
      <c r="V391" s="3" t="s">
        <v>6936</v>
      </c>
      <c r="W391" s="45" t="str">
        <f>HYPERLINK("http://ictvonline.org/taxonomy/p/taxonomy-history?taxnode_id=201908470","ICTVonline=201908470")</f>
        <v>ICTVonline=201908470</v>
      </c>
      <c r="Y391" s="1" t="s">
        <v>7479</v>
      </c>
      <c r="AA391" s="1">
        <v>201900000</v>
      </c>
      <c r="AB391" s="1">
        <v>35</v>
      </c>
    </row>
    <row r="392" spans="1:28" x14ac:dyDescent="0.2">
      <c r="A392" s="1">
        <v>992</v>
      </c>
      <c r="B392" s="1" t="s">
        <v>6850</v>
      </c>
      <c r="D392" s="1" t="s">
        <v>6851</v>
      </c>
      <c r="F392" s="1" t="s">
        <v>6914</v>
      </c>
      <c r="H392" s="1" t="s">
        <v>6915</v>
      </c>
      <c r="J392" s="1" t="s">
        <v>1324</v>
      </c>
      <c r="L392" s="1" t="s">
        <v>6932</v>
      </c>
      <c r="M392" s="1" t="s">
        <v>7248</v>
      </c>
      <c r="N392" s="1" t="s">
        <v>7475</v>
      </c>
      <c r="P392" s="1" t="s">
        <v>7480</v>
      </c>
      <c r="Q392" s="3">
        <v>0</v>
      </c>
      <c r="R392" s="23" t="s">
        <v>6854</v>
      </c>
      <c r="S392" s="23" t="s">
        <v>6849</v>
      </c>
      <c r="T392" s="23" t="s">
        <v>4864</v>
      </c>
      <c r="U392" s="3">
        <v>35</v>
      </c>
      <c r="V392" s="3" t="s">
        <v>6936</v>
      </c>
      <c r="W392" s="45" t="str">
        <f>HYPERLINK("http://ictvonline.org/taxonomy/p/taxonomy-history?taxnode_id=201908471","ICTVonline=201908471")</f>
        <v>ICTVonline=201908471</v>
      </c>
      <c r="Y392" s="1" t="s">
        <v>7481</v>
      </c>
      <c r="AA392" s="1">
        <v>201900000</v>
      </c>
      <c r="AB392" s="1">
        <v>35</v>
      </c>
    </row>
    <row r="393" spans="1:28" x14ac:dyDescent="0.2">
      <c r="A393" s="1">
        <v>994</v>
      </c>
      <c r="B393" s="1" t="s">
        <v>6850</v>
      </c>
      <c r="D393" s="1" t="s">
        <v>6851</v>
      </c>
      <c r="F393" s="1" t="s">
        <v>6914</v>
      </c>
      <c r="H393" s="1" t="s">
        <v>6915</v>
      </c>
      <c r="J393" s="1" t="s">
        <v>1324</v>
      </c>
      <c r="L393" s="1" t="s">
        <v>6932</v>
      </c>
      <c r="M393" s="1" t="s">
        <v>7248</v>
      </c>
      <c r="N393" s="1" t="s">
        <v>7475</v>
      </c>
      <c r="P393" s="1" t="s">
        <v>7482</v>
      </c>
      <c r="Q393" s="3">
        <v>0</v>
      </c>
      <c r="R393" s="23" t="s">
        <v>6854</v>
      </c>
      <c r="S393" s="23" t="s">
        <v>6849</v>
      </c>
      <c r="T393" s="23" t="s">
        <v>4864</v>
      </c>
      <c r="U393" s="3">
        <v>35</v>
      </c>
      <c r="V393" s="3" t="s">
        <v>6936</v>
      </c>
      <c r="W393" s="45" t="str">
        <f>HYPERLINK("http://ictvonline.org/taxonomy/p/taxonomy-history?taxnode_id=201908467","ICTVonline=201908467")</f>
        <v>ICTVonline=201908467</v>
      </c>
      <c r="Y393" s="1" t="s">
        <v>7483</v>
      </c>
      <c r="AA393" s="1">
        <v>201900000</v>
      </c>
      <c r="AB393" s="1">
        <v>35</v>
      </c>
    </row>
    <row r="394" spans="1:28" x14ac:dyDescent="0.2">
      <c r="A394" s="1">
        <v>996</v>
      </c>
      <c r="B394" s="1" t="s">
        <v>6850</v>
      </c>
      <c r="D394" s="1" t="s">
        <v>6851</v>
      </c>
      <c r="F394" s="1" t="s">
        <v>6914</v>
      </c>
      <c r="H394" s="1" t="s">
        <v>6915</v>
      </c>
      <c r="J394" s="1" t="s">
        <v>1324</v>
      </c>
      <c r="L394" s="1" t="s">
        <v>6932</v>
      </c>
      <c r="M394" s="1" t="s">
        <v>7248</v>
      </c>
      <c r="N394" s="1" t="s">
        <v>7475</v>
      </c>
      <c r="P394" s="1" t="s">
        <v>7484</v>
      </c>
      <c r="Q394" s="3">
        <v>0</v>
      </c>
      <c r="R394" s="23" t="s">
        <v>6854</v>
      </c>
      <c r="S394" s="23" t="s">
        <v>6849</v>
      </c>
      <c r="T394" s="23" t="s">
        <v>4864</v>
      </c>
      <c r="U394" s="3">
        <v>35</v>
      </c>
      <c r="V394" s="3" t="s">
        <v>6936</v>
      </c>
      <c r="W394" s="45" t="str">
        <f>HYPERLINK("http://ictvonline.org/taxonomy/p/taxonomy-history?taxnode_id=201908468","ICTVonline=201908468")</f>
        <v>ICTVonline=201908468</v>
      </c>
      <c r="Y394" s="1" t="s">
        <v>7485</v>
      </c>
      <c r="AA394" s="1">
        <v>201900000</v>
      </c>
      <c r="AB394" s="1">
        <v>35</v>
      </c>
    </row>
    <row r="395" spans="1:28" x14ac:dyDescent="0.2">
      <c r="A395" s="1">
        <v>998</v>
      </c>
      <c r="B395" s="1" t="s">
        <v>6850</v>
      </c>
      <c r="D395" s="1" t="s">
        <v>6851</v>
      </c>
      <c r="F395" s="1" t="s">
        <v>6914</v>
      </c>
      <c r="H395" s="1" t="s">
        <v>6915</v>
      </c>
      <c r="J395" s="1" t="s">
        <v>1324</v>
      </c>
      <c r="L395" s="1" t="s">
        <v>6932</v>
      </c>
      <c r="M395" s="1" t="s">
        <v>7248</v>
      </c>
      <c r="N395" s="1" t="s">
        <v>7475</v>
      </c>
      <c r="P395" s="1" t="s">
        <v>7486</v>
      </c>
      <c r="Q395" s="3">
        <v>0</v>
      </c>
      <c r="R395" s="23" t="s">
        <v>6854</v>
      </c>
      <c r="S395" s="23" t="s">
        <v>6849</v>
      </c>
      <c r="T395" s="23" t="s">
        <v>4864</v>
      </c>
      <c r="U395" s="3">
        <v>35</v>
      </c>
      <c r="V395" s="3" t="s">
        <v>6936</v>
      </c>
      <c r="W395" s="45" t="str">
        <f>HYPERLINK("http://ictvonline.org/taxonomy/p/taxonomy-history?taxnode_id=201908477","ICTVonline=201908477")</f>
        <v>ICTVonline=201908477</v>
      </c>
      <c r="Y395" s="1" t="s">
        <v>7487</v>
      </c>
      <c r="AA395" s="1">
        <v>201900000</v>
      </c>
      <c r="AB395" s="1">
        <v>35</v>
      </c>
    </row>
    <row r="396" spans="1:28" x14ac:dyDescent="0.2">
      <c r="A396" s="1">
        <v>1000</v>
      </c>
      <c r="B396" s="1" t="s">
        <v>6850</v>
      </c>
      <c r="D396" s="1" t="s">
        <v>6851</v>
      </c>
      <c r="F396" s="1" t="s">
        <v>6914</v>
      </c>
      <c r="H396" s="1" t="s">
        <v>6915</v>
      </c>
      <c r="J396" s="1" t="s">
        <v>1324</v>
      </c>
      <c r="L396" s="1" t="s">
        <v>6932</v>
      </c>
      <c r="M396" s="1" t="s">
        <v>7248</v>
      </c>
      <c r="N396" s="1" t="s">
        <v>7475</v>
      </c>
      <c r="P396" s="1" t="s">
        <v>7488</v>
      </c>
      <c r="Q396" s="3">
        <v>0</v>
      </c>
      <c r="R396" s="23" t="s">
        <v>6854</v>
      </c>
      <c r="S396" s="23" t="s">
        <v>6849</v>
      </c>
      <c r="T396" s="23" t="s">
        <v>4864</v>
      </c>
      <c r="U396" s="3">
        <v>35</v>
      </c>
      <c r="V396" s="3" t="s">
        <v>6936</v>
      </c>
      <c r="W396" s="45" t="str">
        <f>HYPERLINK("http://ictvonline.org/taxonomy/p/taxonomy-history?taxnode_id=201908464","ICTVonline=201908464")</f>
        <v>ICTVonline=201908464</v>
      </c>
      <c r="Y396" s="1" t="s">
        <v>7489</v>
      </c>
      <c r="AA396" s="1">
        <v>201900000</v>
      </c>
      <c r="AB396" s="1">
        <v>35</v>
      </c>
    </row>
    <row r="397" spans="1:28" x14ac:dyDescent="0.2">
      <c r="A397" s="1">
        <v>1002</v>
      </c>
      <c r="B397" s="1" t="s">
        <v>6850</v>
      </c>
      <c r="D397" s="1" t="s">
        <v>6851</v>
      </c>
      <c r="F397" s="1" t="s">
        <v>6914</v>
      </c>
      <c r="H397" s="1" t="s">
        <v>6915</v>
      </c>
      <c r="J397" s="1" t="s">
        <v>1324</v>
      </c>
      <c r="L397" s="1" t="s">
        <v>6932</v>
      </c>
      <c r="M397" s="1" t="s">
        <v>7248</v>
      </c>
      <c r="N397" s="1" t="s">
        <v>7475</v>
      </c>
      <c r="P397" s="1" t="s">
        <v>7490</v>
      </c>
      <c r="Q397" s="3">
        <v>0</v>
      </c>
      <c r="R397" s="23" t="s">
        <v>6854</v>
      </c>
      <c r="S397" s="23" t="s">
        <v>6849</v>
      </c>
      <c r="T397" s="23" t="s">
        <v>4864</v>
      </c>
      <c r="U397" s="3">
        <v>35</v>
      </c>
      <c r="V397" s="3" t="s">
        <v>6936</v>
      </c>
      <c r="W397" s="45" t="str">
        <f>HYPERLINK("http://ictvonline.org/taxonomy/p/taxonomy-history?taxnode_id=201908472","ICTVonline=201908472")</f>
        <v>ICTVonline=201908472</v>
      </c>
      <c r="Y397" s="1" t="s">
        <v>7491</v>
      </c>
      <c r="AA397" s="1">
        <v>201900000</v>
      </c>
      <c r="AB397" s="1">
        <v>35</v>
      </c>
    </row>
    <row r="398" spans="1:28" x14ac:dyDescent="0.2">
      <c r="A398" s="1">
        <v>1004</v>
      </c>
      <c r="B398" s="1" t="s">
        <v>6850</v>
      </c>
      <c r="D398" s="1" t="s">
        <v>6851</v>
      </c>
      <c r="F398" s="1" t="s">
        <v>6914</v>
      </c>
      <c r="H398" s="1" t="s">
        <v>6915</v>
      </c>
      <c r="J398" s="1" t="s">
        <v>1324</v>
      </c>
      <c r="L398" s="1" t="s">
        <v>6932</v>
      </c>
      <c r="M398" s="1" t="s">
        <v>7248</v>
      </c>
      <c r="N398" s="1" t="s">
        <v>7475</v>
      </c>
      <c r="P398" s="1" t="s">
        <v>7492</v>
      </c>
      <c r="Q398" s="3">
        <v>0</v>
      </c>
      <c r="R398" s="23" t="s">
        <v>6854</v>
      </c>
      <c r="S398" s="23" t="s">
        <v>6849</v>
      </c>
      <c r="T398" s="23" t="s">
        <v>4864</v>
      </c>
      <c r="U398" s="3">
        <v>35</v>
      </c>
      <c r="V398" s="3" t="s">
        <v>6936</v>
      </c>
      <c r="W398" s="45" t="str">
        <f>HYPERLINK("http://ictvonline.org/taxonomy/p/taxonomy-history?taxnode_id=201908476","ICTVonline=201908476")</f>
        <v>ICTVonline=201908476</v>
      </c>
      <c r="Y398" s="1" t="s">
        <v>7493</v>
      </c>
      <c r="AA398" s="1">
        <v>201900000</v>
      </c>
      <c r="AB398" s="1">
        <v>35</v>
      </c>
    </row>
    <row r="399" spans="1:28" x14ac:dyDescent="0.2">
      <c r="A399" s="1">
        <v>1006</v>
      </c>
      <c r="B399" s="1" t="s">
        <v>6850</v>
      </c>
      <c r="D399" s="1" t="s">
        <v>6851</v>
      </c>
      <c r="F399" s="1" t="s">
        <v>6914</v>
      </c>
      <c r="H399" s="1" t="s">
        <v>6915</v>
      </c>
      <c r="J399" s="1" t="s">
        <v>1324</v>
      </c>
      <c r="L399" s="1" t="s">
        <v>6932</v>
      </c>
      <c r="M399" s="1" t="s">
        <v>7248</v>
      </c>
      <c r="N399" s="1" t="s">
        <v>7475</v>
      </c>
      <c r="P399" s="1" t="s">
        <v>7494</v>
      </c>
      <c r="Q399" s="3">
        <v>1</v>
      </c>
      <c r="R399" s="23" t="s">
        <v>6854</v>
      </c>
      <c r="S399" s="23" t="s">
        <v>6849</v>
      </c>
      <c r="T399" s="23" t="s">
        <v>4864</v>
      </c>
      <c r="U399" s="3">
        <v>35</v>
      </c>
      <c r="V399" s="3" t="s">
        <v>6936</v>
      </c>
      <c r="W399" s="45" t="str">
        <f>HYPERLINK("http://ictvonline.org/taxonomy/p/taxonomy-history?taxnode_id=201908460","ICTVonline=201908460")</f>
        <v>ICTVonline=201908460</v>
      </c>
      <c r="Y399" s="1" t="s">
        <v>7495</v>
      </c>
      <c r="AA399" s="1">
        <v>201900000</v>
      </c>
      <c r="AB399" s="1">
        <v>35</v>
      </c>
    </row>
    <row r="400" spans="1:28" x14ac:dyDescent="0.2">
      <c r="A400" s="1">
        <v>1008</v>
      </c>
      <c r="B400" s="1" t="s">
        <v>6850</v>
      </c>
      <c r="D400" s="1" t="s">
        <v>6851</v>
      </c>
      <c r="F400" s="1" t="s">
        <v>6914</v>
      </c>
      <c r="H400" s="1" t="s">
        <v>6915</v>
      </c>
      <c r="J400" s="1" t="s">
        <v>1324</v>
      </c>
      <c r="L400" s="1" t="s">
        <v>6932</v>
      </c>
      <c r="M400" s="1" t="s">
        <v>7248</v>
      </c>
      <c r="N400" s="1" t="s">
        <v>7475</v>
      </c>
      <c r="P400" s="1" t="s">
        <v>7496</v>
      </c>
      <c r="Q400" s="3">
        <v>0</v>
      </c>
      <c r="R400" s="23" t="s">
        <v>6854</v>
      </c>
      <c r="S400" s="23" t="s">
        <v>6849</v>
      </c>
      <c r="T400" s="23" t="s">
        <v>4864</v>
      </c>
      <c r="U400" s="3">
        <v>35</v>
      </c>
      <c r="V400" s="3" t="s">
        <v>6936</v>
      </c>
      <c r="W400" s="45" t="str">
        <f>HYPERLINK("http://ictvonline.org/taxonomy/p/taxonomy-history?taxnode_id=201908462","ICTVonline=201908462")</f>
        <v>ICTVonline=201908462</v>
      </c>
      <c r="Y400" s="1" t="s">
        <v>7497</v>
      </c>
      <c r="AA400" s="1">
        <v>201900000</v>
      </c>
      <c r="AB400" s="1">
        <v>35</v>
      </c>
    </row>
    <row r="401" spans="1:28" x14ac:dyDescent="0.2">
      <c r="A401" s="1">
        <v>1010</v>
      </c>
      <c r="B401" s="1" t="s">
        <v>6850</v>
      </c>
      <c r="D401" s="1" t="s">
        <v>6851</v>
      </c>
      <c r="F401" s="1" t="s">
        <v>6914</v>
      </c>
      <c r="H401" s="1" t="s">
        <v>6915</v>
      </c>
      <c r="J401" s="1" t="s">
        <v>1324</v>
      </c>
      <c r="L401" s="1" t="s">
        <v>6932</v>
      </c>
      <c r="M401" s="1" t="s">
        <v>7248</v>
      </c>
      <c r="N401" s="1" t="s">
        <v>7475</v>
      </c>
      <c r="P401" s="1" t="s">
        <v>7498</v>
      </c>
      <c r="Q401" s="3">
        <v>0</v>
      </c>
      <c r="R401" s="23" t="s">
        <v>6854</v>
      </c>
      <c r="S401" s="23" t="s">
        <v>6849</v>
      </c>
      <c r="T401" s="23" t="s">
        <v>4864</v>
      </c>
      <c r="U401" s="3">
        <v>35</v>
      </c>
      <c r="V401" s="3" t="s">
        <v>6936</v>
      </c>
      <c r="W401" s="45" t="str">
        <f>HYPERLINK("http://ictvonline.org/taxonomy/p/taxonomy-history?taxnode_id=201908474","ICTVonline=201908474")</f>
        <v>ICTVonline=201908474</v>
      </c>
      <c r="Y401" s="1" t="s">
        <v>7499</v>
      </c>
      <c r="AA401" s="1">
        <v>201900000</v>
      </c>
      <c r="AB401" s="1">
        <v>35</v>
      </c>
    </row>
    <row r="402" spans="1:28" x14ac:dyDescent="0.2">
      <c r="A402" s="1">
        <v>1012</v>
      </c>
      <c r="B402" s="1" t="s">
        <v>6850</v>
      </c>
      <c r="D402" s="1" t="s">
        <v>6851</v>
      </c>
      <c r="F402" s="1" t="s">
        <v>6914</v>
      </c>
      <c r="H402" s="1" t="s">
        <v>6915</v>
      </c>
      <c r="J402" s="1" t="s">
        <v>1324</v>
      </c>
      <c r="L402" s="1" t="s">
        <v>6932</v>
      </c>
      <c r="M402" s="1" t="s">
        <v>7248</v>
      </c>
      <c r="N402" s="1" t="s">
        <v>7475</v>
      </c>
      <c r="P402" s="1" t="s">
        <v>7500</v>
      </c>
      <c r="Q402" s="3">
        <v>0</v>
      </c>
      <c r="R402" s="23" t="s">
        <v>6854</v>
      </c>
      <c r="S402" s="23" t="s">
        <v>6849</v>
      </c>
      <c r="T402" s="23" t="s">
        <v>4864</v>
      </c>
      <c r="U402" s="3">
        <v>35</v>
      </c>
      <c r="V402" s="3" t="s">
        <v>6936</v>
      </c>
      <c r="W402" s="45" t="str">
        <f>HYPERLINK("http://ictvonline.org/taxonomy/p/taxonomy-history?taxnode_id=201908463","ICTVonline=201908463")</f>
        <v>ICTVonline=201908463</v>
      </c>
      <c r="Y402" s="1" t="s">
        <v>7501</v>
      </c>
      <c r="AA402" s="1">
        <v>201900000</v>
      </c>
      <c r="AB402" s="1">
        <v>35</v>
      </c>
    </row>
    <row r="403" spans="1:28" x14ac:dyDescent="0.2">
      <c r="A403" s="1">
        <v>1014</v>
      </c>
      <c r="B403" s="1" t="s">
        <v>6850</v>
      </c>
      <c r="D403" s="1" t="s">
        <v>6851</v>
      </c>
      <c r="F403" s="1" t="s">
        <v>6914</v>
      </c>
      <c r="H403" s="1" t="s">
        <v>6915</v>
      </c>
      <c r="J403" s="1" t="s">
        <v>1324</v>
      </c>
      <c r="L403" s="1" t="s">
        <v>6932</v>
      </c>
      <c r="M403" s="1" t="s">
        <v>7248</v>
      </c>
      <c r="N403" s="1" t="s">
        <v>7475</v>
      </c>
      <c r="P403" s="1" t="s">
        <v>7502</v>
      </c>
      <c r="Q403" s="3">
        <v>0</v>
      </c>
      <c r="R403" s="23" t="s">
        <v>6854</v>
      </c>
      <c r="S403" s="23" t="s">
        <v>6849</v>
      </c>
      <c r="T403" s="23" t="s">
        <v>4864</v>
      </c>
      <c r="U403" s="3">
        <v>35</v>
      </c>
      <c r="V403" s="3" t="s">
        <v>6936</v>
      </c>
      <c r="W403" s="45" t="str">
        <f>HYPERLINK("http://ictvonline.org/taxonomy/p/taxonomy-history?taxnode_id=201908475","ICTVonline=201908475")</f>
        <v>ICTVonline=201908475</v>
      </c>
      <c r="Y403" s="1" t="s">
        <v>7503</v>
      </c>
      <c r="AA403" s="1">
        <v>201900000</v>
      </c>
      <c r="AB403" s="1">
        <v>35</v>
      </c>
    </row>
    <row r="404" spans="1:28" x14ac:dyDescent="0.2">
      <c r="A404" s="1">
        <v>1016</v>
      </c>
      <c r="B404" s="1" t="s">
        <v>6850</v>
      </c>
      <c r="D404" s="1" t="s">
        <v>6851</v>
      </c>
      <c r="F404" s="1" t="s">
        <v>6914</v>
      </c>
      <c r="H404" s="1" t="s">
        <v>6915</v>
      </c>
      <c r="J404" s="1" t="s">
        <v>1324</v>
      </c>
      <c r="L404" s="1" t="s">
        <v>6932</v>
      </c>
      <c r="M404" s="1" t="s">
        <v>7248</v>
      </c>
      <c r="N404" s="1" t="s">
        <v>7475</v>
      </c>
      <c r="P404" s="1" t="s">
        <v>7504</v>
      </c>
      <c r="Q404" s="3">
        <v>0</v>
      </c>
      <c r="R404" s="23" t="s">
        <v>6854</v>
      </c>
      <c r="S404" s="23" t="s">
        <v>6849</v>
      </c>
      <c r="T404" s="23" t="s">
        <v>4864</v>
      </c>
      <c r="U404" s="3">
        <v>35</v>
      </c>
      <c r="V404" s="3" t="s">
        <v>6936</v>
      </c>
      <c r="W404" s="45" t="str">
        <f>HYPERLINK("http://ictvonline.org/taxonomy/p/taxonomy-history?taxnode_id=201908473","ICTVonline=201908473")</f>
        <v>ICTVonline=201908473</v>
      </c>
      <c r="Y404" s="1" t="s">
        <v>7505</v>
      </c>
      <c r="AA404" s="1">
        <v>201900000</v>
      </c>
      <c r="AB404" s="1">
        <v>35</v>
      </c>
    </row>
    <row r="405" spans="1:28" x14ac:dyDescent="0.2">
      <c r="A405" s="1">
        <v>1018</v>
      </c>
      <c r="B405" s="1" t="s">
        <v>6850</v>
      </c>
      <c r="D405" s="1" t="s">
        <v>6851</v>
      </c>
      <c r="F405" s="1" t="s">
        <v>6914</v>
      </c>
      <c r="H405" s="1" t="s">
        <v>6915</v>
      </c>
      <c r="J405" s="1" t="s">
        <v>1324</v>
      </c>
      <c r="L405" s="1" t="s">
        <v>6932</v>
      </c>
      <c r="M405" s="1" t="s">
        <v>7248</v>
      </c>
      <c r="N405" s="1" t="s">
        <v>7475</v>
      </c>
      <c r="P405" s="1" t="s">
        <v>7506</v>
      </c>
      <c r="Q405" s="3">
        <v>0</v>
      </c>
      <c r="R405" s="23" t="s">
        <v>6854</v>
      </c>
      <c r="S405" s="23" t="s">
        <v>6849</v>
      </c>
      <c r="T405" s="23" t="s">
        <v>4864</v>
      </c>
      <c r="U405" s="3">
        <v>35</v>
      </c>
      <c r="V405" s="3" t="s">
        <v>6936</v>
      </c>
      <c r="W405" s="45" t="str">
        <f>HYPERLINK("http://ictvonline.org/taxonomy/p/taxonomy-history?taxnode_id=201908465","ICTVonline=201908465")</f>
        <v>ICTVonline=201908465</v>
      </c>
      <c r="Y405" s="1" t="s">
        <v>7507</v>
      </c>
      <c r="AA405" s="1">
        <v>201900000</v>
      </c>
      <c r="AB405" s="1">
        <v>35</v>
      </c>
    </row>
    <row r="406" spans="1:28" x14ac:dyDescent="0.2">
      <c r="A406" s="1">
        <v>1020</v>
      </c>
      <c r="B406" s="1" t="s">
        <v>6850</v>
      </c>
      <c r="D406" s="1" t="s">
        <v>6851</v>
      </c>
      <c r="F406" s="1" t="s">
        <v>6914</v>
      </c>
      <c r="H406" s="1" t="s">
        <v>6915</v>
      </c>
      <c r="J406" s="1" t="s">
        <v>1324</v>
      </c>
      <c r="L406" s="1" t="s">
        <v>6932</v>
      </c>
      <c r="M406" s="1" t="s">
        <v>7248</v>
      </c>
      <c r="N406" s="1" t="s">
        <v>7475</v>
      </c>
      <c r="P406" s="1" t="s">
        <v>7508</v>
      </c>
      <c r="Q406" s="3">
        <v>0</v>
      </c>
      <c r="R406" s="23" t="s">
        <v>6854</v>
      </c>
      <c r="S406" s="23" t="s">
        <v>6849</v>
      </c>
      <c r="T406" s="23" t="s">
        <v>4864</v>
      </c>
      <c r="U406" s="3">
        <v>35</v>
      </c>
      <c r="V406" s="3" t="s">
        <v>6936</v>
      </c>
      <c r="W406" s="45" t="str">
        <f>HYPERLINK("http://ictvonline.org/taxonomy/p/taxonomy-history?taxnode_id=201908469","ICTVonline=201908469")</f>
        <v>ICTVonline=201908469</v>
      </c>
      <c r="Y406" s="1" t="s">
        <v>7509</v>
      </c>
      <c r="AA406" s="1">
        <v>201900000</v>
      </c>
      <c r="AB406" s="1">
        <v>35</v>
      </c>
    </row>
    <row r="407" spans="1:28" x14ac:dyDescent="0.2">
      <c r="A407" s="1">
        <v>1022</v>
      </c>
      <c r="B407" s="1" t="s">
        <v>6850</v>
      </c>
      <c r="D407" s="1" t="s">
        <v>6851</v>
      </c>
      <c r="F407" s="1" t="s">
        <v>6914</v>
      </c>
      <c r="H407" s="1" t="s">
        <v>6915</v>
      </c>
      <c r="J407" s="1" t="s">
        <v>1324</v>
      </c>
      <c r="L407" s="1" t="s">
        <v>6932</v>
      </c>
      <c r="M407" s="1" t="s">
        <v>7248</v>
      </c>
      <c r="N407" s="1" t="s">
        <v>7475</v>
      </c>
      <c r="P407" s="1" t="s">
        <v>7510</v>
      </c>
      <c r="Q407" s="3">
        <v>0</v>
      </c>
      <c r="R407" s="23" t="s">
        <v>6854</v>
      </c>
      <c r="S407" s="23" t="s">
        <v>6849</v>
      </c>
      <c r="T407" s="23" t="s">
        <v>4864</v>
      </c>
      <c r="U407" s="3">
        <v>35</v>
      </c>
      <c r="V407" s="3" t="s">
        <v>6936</v>
      </c>
      <c r="W407" s="45" t="str">
        <f>HYPERLINK("http://ictvonline.org/taxonomy/p/taxonomy-history?taxnode_id=201908461","ICTVonline=201908461")</f>
        <v>ICTVonline=201908461</v>
      </c>
      <c r="Y407" s="1" t="s">
        <v>7511</v>
      </c>
      <c r="AA407" s="1">
        <v>201900000</v>
      </c>
      <c r="AB407" s="1">
        <v>35</v>
      </c>
    </row>
    <row r="408" spans="1:28" x14ac:dyDescent="0.2">
      <c r="A408" s="1">
        <v>1026</v>
      </c>
      <c r="B408" s="1" t="s">
        <v>6850</v>
      </c>
      <c r="D408" s="1" t="s">
        <v>6851</v>
      </c>
      <c r="F408" s="1" t="s">
        <v>6914</v>
      </c>
      <c r="H408" s="1" t="s">
        <v>6915</v>
      </c>
      <c r="J408" s="1" t="s">
        <v>1324</v>
      </c>
      <c r="L408" s="1" t="s">
        <v>6932</v>
      </c>
      <c r="M408" s="1" t="s">
        <v>7248</v>
      </c>
      <c r="N408" s="1" t="s">
        <v>6256</v>
      </c>
      <c r="P408" s="1" t="s">
        <v>7512</v>
      </c>
      <c r="Q408" s="3">
        <v>0</v>
      </c>
      <c r="R408" s="23" t="s">
        <v>6854</v>
      </c>
      <c r="S408" s="23" t="s">
        <v>6849</v>
      </c>
      <c r="T408" s="23" t="s">
        <v>4864</v>
      </c>
      <c r="U408" s="3">
        <v>35</v>
      </c>
      <c r="V408" s="3" t="s">
        <v>6936</v>
      </c>
      <c r="W408" s="45" t="str">
        <f>HYPERLINK("http://ictvonline.org/taxonomy/p/taxonomy-history?taxnode_id=201908491","ICTVonline=201908491")</f>
        <v>ICTVonline=201908491</v>
      </c>
      <c r="Y408" s="1" t="s">
        <v>7513</v>
      </c>
      <c r="AA408" s="1">
        <v>201900000</v>
      </c>
      <c r="AB408" s="1">
        <v>35</v>
      </c>
    </row>
    <row r="409" spans="1:28" x14ac:dyDescent="0.2">
      <c r="A409" s="1">
        <v>1028</v>
      </c>
      <c r="B409" s="1" t="s">
        <v>6850</v>
      </c>
      <c r="D409" s="1" t="s">
        <v>6851</v>
      </c>
      <c r="F409" s="1" t="s">
        <v>6914</v>
      </c>
      <c r="H409" s="1" t="s">
        <v>6915</v>
      </c>
      <c r="J409" s="1" t="s">
        <v>1324</v>
      </c>
      <c r="L409" s="1" t="s">
        <v>6932</v>
      </c>
      <c r="M409" s="1" t="s">
        <v>7248</v>
      </c>
      <c r="N409" s="1" t="s">
        <v>6256</v>
      </c>
      <c r="P409" s="1" t="s">
        <v>7514</v>
      </c>
      <c r="Q409" s="3">
        <v>0</v>
      </c>
      <c r="R409" s="23" t="s">
        <v>6854</v>
      </c>
      <c r="S409" s="23" t="s">
        <v>6849</v>
      </c>
      <c r="T409" s="23" t="s">
        <v>4864</v>
      </c>
      <c r="U409" s="3">
        <v>35</v>
      </c>
      <c r="V409" s="3" t="s">
        <v>6936</v>
      </c>
      <c r="W409" s="45" t="str">
        <f>HYPERLINK("http://ictvonline.org/taxonomy/p/taxonomy-history?taxnode_id=201908478","ICTVonline=201908478")</f>
        <v>ICTVonline=201908478</v>
      </c>
      <c r="Y409" s="1" t="s">
        <v>7515</v>
      </c>
      <c r="AA409" s="1">
        <v>201900000</v>
      </c>
      <c r="AB409" s="1">
        <v>35</v>
      </c>
    </row>
    <row r="410" spans="1:28" x14ac:dyDescent="0.2">
      <c r="A410" s="1">
        <v>1030</v>
      </c>
      <c r="B410" s="1" t="s">
        <v>6850</v>
      </c>
      <c r="D410" s="1" t="s">
        <v>6851</v>
      </c>
      <c r="F410" s="1" t="s">
        <v>6914</v>
      </c>
      <c r="H410" s="1" t="s">
        <v>6915</v>
      </c>
      <c r="J410" s="1" t="s">
        <v>1324</v>
      </c>
      <c r="L410" s="1" t="s">
        <v>6932</v>
      </c>
      <c r="M410" s="1" t="s">
        <v>7248</v>
      </c>
      <c r="N410" s="1" t="s">
        <v>6256</v>
      </c>
      <c r="P410" s="1" t="s">
        <v>7516</v>
      </c>
      <c r="Q410" s="3">
        <v>0</v>
      </c>
      <c r="R410" s="23" t="s">
        <v>6854</v>
      </c>
      <c r="S410" s="23" t="s">
        <v>6849</v>
      </c>
      <c r="T410" s="23" t="s">
        <v>4864</v>
      </c>
      <c r="U410" s="3">
        <v>35</v>
      </c>
      <c r="V410" s="3" t="s">
        <v>6936</v>
      </c>
      <c r="W410" s="45" t="str">
        <f>HYPERLINK("http://ictvonline.org/taxonomy/p/taxonomy-history?taxnode_id=201908484","ICTVonline=201908484")</f>
        <v>ICTVonline=201908484</v>
      </c>
      <c r="Y410" s="1" t="s">
        <v>7517</v>
      </c>
      <c r="AA410" s="1">
        <v>201900000</v>
      </c>
      <c r="AB410" s="1">
        <v>35</v>
      </c>
    </row>
    <row r="411" spans="1:28" x14ac:dyDescent="0.2">
      <c r="A411" s="1">
        <v>1032</v>
      </c>
      <c r="B411" s="1" t="s">
        <v>6850</v>
      </c>
      <c r="D411" s="1" t="s">
        <v>6851</v>
      </c>
      <c r="F411" s="1" t="s">
        <v>6914</v>
      </c>
      <c r="H411" s="1" t="s">
        <v>6915</v>
      </c>
      <c r="J411" s="1" t="s">
        <v>1324</v>
      </c>
      <c r="L411" s="1" t="s">
        <v>6932</v>
      </c>
      <c r="M411" s="1" t="s">
        <v>7248</v>
      </c>
      <c r="N411" s="1" t="s">
        <v>6256</v>
      </c>
      <c r="P411" s="1" t="s">
        <v>7518</v>
      </c>
      <c r="Q411" s="3">
        <v>0</v>
      </c>
      <c r="R411" s="23" t="s">
        <v>6854</v>
      </c>
      <c r="S411" s="23" t="s">
        <v>6849</v>
      </c>
      <c r="T411" s="23" t="s">
        <v>4864</v>
      </c>
      <c r="U411" s="3">
        <v>35</v>
      </c>
      <c r="V411" s="3" t="s">
        <v>6936</v>
      </c>
      <c r="W411" s="45" t="str">
        <f>HYPERLINK("http://ictvonline.org/taxonomy/p/taxonomy-history?taxnode_id=201908490","ICTVonline=201908490")</f>
        <v>ICTVonline=201908490</v>
      </c>
      <c r="Y411" s="1" t="s">
        <v>7519</v>
      </c>
      <c r="AA411" s="1">
        <v>201900000</v>
      </c>
      <c r="AB411" s="1">
        <v>35</v>
      </c>
    </row>
    <row r="412" spans="1:28" x14ac:dyDescent="0.2">
      <c r="A412" s="1">
        <v>1034</v>
      </c>
      <c r="B412" s="1" t="s">
        <v>6850</v>
      </c>
      <c r="D412" s="1" t="s">
        <v>6851</v>
      </c>
      <c r="F412" s="1" t="s">
        <v>6914</v>
      </c>
      <c r="H412" s="1" t="s">
        <v>6915</v>
      </c>
      <c r="J412" s="1" t="s">
        <v>1324</v>
      </c>
      <c r="L412" s="1" t="s">
        <v>6932</v>
      </c>
      <c r="M412" s="1" t="s">
        <v>7248</v>
      </c>
      <c r="N412" s="1" t="s">
        <v>6256</v>
      </c>
      <c r="P412" s="1" t="s">
        <v>7520</v>
      </c>
      <c r="Q412" s="3">
        <v>0</v>
      </c>
      <c r="R412" s="23" t="s">
        <v>6854</v>
      </c>
      <c r="S412" s="23" t="s">
        <v>6849</v>
      </c>
      <c r="T412" s="23" t="s">
        <v>4864</v>
      </c>
      <c r="U412" s="3">
        <v>35</v>
      </c>
      <c r="V412" s="3" t="s">
        <v>6936</v>
      </c>
      <c r="W412" s="45" t="str">
        <f>HYPERLINK("http://ictvonline.org/taxonomy/p/taxonomy-history?taxnode_id=201908483","ICTVonline=201908483")</f>
        <v>ICTVonline=201908483</v>
      </c>
      <c r="Y412" s="1" t="s">
        <v>7521</v>
      </c>
      <c r="AA412" s="1">
        <v>201900000</v>
      </c>
      <c r="AB412" s="1">
        <v>35</v>
      </c>
    </row>
    <row r="413" spans="1:28" x14ac:dyDescent="0.2">
      <c r="A413" s="1">
        <v>1036</v>
      </c>
      <c r="B413" s="1" t="s">
        <v>6850</v>
      </c>
      <c r="D413" s="1" t="s">
        <v>6851</v>
      </c>
      <c r="F413" s="1" t="s">
        <v>6914</v>
      </c>
      <c r="H413" s="1" t="s">
        <v>6915</v>
      </c>
      <c r="J413" s="1" t="s">
        <v>1324</v>
      </c>
      <c r="L413" s="1" t="s">
        <v>6932</v>
      </c>
      <c r="M413" s="1" t="s">
        <v>7248</v>
      </c>
      <c r="N413" s="1" t="s">
        <v>6256</v>
      </c>
      <c r="P413" s="1" t="s">
        <v>7522</v>
      </c>
      <c r="Q413" s="3">
        <v>0</v>
      </c>
      <c r="R413" s="23" t="s">
        <v>6854</v>
      </c>
      <c r="S413" s="23" t="s">
        <v>6849</v>
      </c>
      <c r="T413" s="23" t="s">
        <v>4864</v>
      </c>
      <c r="U413" s="3">
        <v>35</v>
      </c>
      <c r="V413" s="3" t="s">
        <v>6936</v>
      </c>
      <c r="W413" s="45" t="str">
        <f>HYPERLINK("http://ictvonline.org/taxonomy/p/taxonomy-history?taxnode_id=201908487","ICTVonline=201908487")</f>
        <v>ICTVonline=201908487</v>
      </c>
      <c r="Y413" s="1" t="s">
        <v>7523</v>
      </c>
      <c r="AA413" s="1">
        <v>201900000</v>
      </c>
      <c r="AB413" s="1">
        <v>35</v>
      </c>
    </row>
    <row r="414" spans="1:28" x14ac:dyDescent="0.2">
      <c r="A414" s="1">
        <v>1038</v>
      </c>
      <c r="B414" s="1" t="s">
        <v>6850</v>
      </c>
      <c r="D414" s="1" t="s">
        <v>6851</v>
      </c>
      <c r="F414" s="1" t="s">
        <v>6914</v>
      </c>
      <c r="H414" s="1" t="s">
        <v>6915</v>
      </c>
      <c r="J414" s="1" t="s">
        <v>1324</v>
      </c>
      <c r="L414" s="1" t="s">
        <v>6932</v>
      </c>
      <c r="M414" s="1" t="s">
        <v>7248</v>
      </c>
      <c r="N414" s="1" t="s">
        <v>6256</v>
      </c>
      <c r="P414" s="1" t="s">
        <v>7524</v>
      </c>
      <c r="Q414" s="3">
        <v>0</v>
      </c>
      <c r="R414" s="23" t="s">
        <v>6854</v>
      </c>
      <c r="S414" s="23" t="s">
        <v>6849</v>
      </c>
      <c r="T414" s="23" t="s">
        <v>4864</v>
      </c>
      <c r="U414" s="3">
        <v>35</v>
      </c>
      <c r="V414" s="3" t="s">
        <v>6936</v>
      </c>
      <c r="W414" s="45" t="str">
        <f>HYPERLINK("http://ictvonline.org/taxonomy/p/taxonomy-history?taxnode_id=201908485","ICTVonline=201908485")</f>
        <v>ICTVonline=201908485</v>
      </c>
      <c r="Y414" s="1" t="s">
        <v>7525</v>
      </c>
      <c r="AA414" s="1">
        <v>201900000</v>
      </c>
      <c r="AB414" s="1">
        <v>35</v>
      </c>
    </row>
    <row r="415" spans="1:28" x14ac:dyDescent="0.2">
      <c r="A415" s="1">
        <v>1040</v>
      </c>
      <c r="B415" s="1" t="s">
        <v>6850</v>
      </c>
      <c r="D415" s="1" t="s">
        <v>6851</v>
      </c>
      <c r="F415" s="1" t="s">
        <v>6914</v>
      </c>
      <c r="H415" s="1" t="s">
        <v>6915</v>
      </c>
      <c r="J415" s="1" t="s">
        <v>1324</v>
      </c>
      <c r="L415" s="1" t="s">
        <v>6932</v>
      </c>
      <c r="M415" s="1" t="s">
        <v>7248</v>
      </c>
      <c r="N415" s="1" t="s">
        <v>6256</v>
      </c>
      <c r="P415" s="1" t="s">
        <v>7526</v>
      </c>
      <c r="Q415" s="3">
        <v>0</v>
      </c>
      <c r="R415" s="23" t="s">
        <v>6854</v>
      </c>
      <c r="S415" s="23" t="s">
        <v>6849</v>
      </c>
      <c r="T415" s="23" t="s">
        <v>4864</v>
      </c>
      <c r="U415" s="3">
        <v>35</v>
      </c>
      <c r="V415" s="3" t="s">
        <v>6936</v>
      </c>
      <c r="W415" s="45" t="str">
        <f>HYPERLINK("http://ictvonline.org/taxonomy/p/taxonomy-history?taxnode_id=201908486","ICTVonline=201908486")</f>
        <v>ICTVonline=201908486</v>
      </c>
      <c r="Y415" s="1" t="s">
        <v>7527</v>
      </c>
      <c r="AA415" s="1">
        <v>201900000</v>
      </c>
      <c r="AB415" s="1">
        <v>35</v>
      </c>
    </row>
    <row r="416" spans="1:28" x14ac:dyDescent="0.2">
      <c r="A416" s="1">
        <v>1042</v>
      </c>
      <c r="B416" s="1" t="s">
        <v>6850</v>
      </c>
      <c r="D416" s="1" t="s">
        <v>6851</v>
      </c>
      <c r="F416" s="1" t="s">
        <v>6914</v>
      </c>
      <c r="H416" s="1" t="s">
        <v>6915</v>
      </c>
      <c r="J416" s="1" t="s">
        <v>1324</v>
      </c>
      <c r="L416" s="1" t="s">
        <v>6932</v>
      </c>
      <c r="M416" s="1" t="s">
        <v>7248</v>
      </c>
      <c r="N416" s="1" t="s">
        <v>6256</v>
      </c>
      <c r="P416" s="1" t="s">
        <v>7528</v>
      </c>
      <c r="Q416" s="3">
        <v>0</v>
      </c>
      <c r="R416" s="23" t="s">
        <v>6854</v>
      </c>
      <c r="S416" s="23" t="s">
        <v>6849</v>
      </c>
      <c r="T416" s="23" t="s">
        <v>4864</v>
      </c>
      <c r="U416" s="3">
        <v>35</v>
      </c>
      <c r="V416" s="3" t="s">
        <v>6936</v>
      </c>
      <c r="W416" s="45" t="str">
        <f>HYPERLINK("http://ictvonline.org/taxonomy/p/taxonomy-history?taxnode_id=201908492","ICTVonline=201908492")</f>
        <v>ICTVonline=201908492</v>
      </c>
      <c r="Y416" s="1" t="s">
        <v>7529</v>
      </c>
      <c r="AA416" s="1">
        <v>201900000</v>
      </c>
      <c r="AB416" s="1">
        <v>35</v>
      </c>
    </row>
    <row r="417" spans="1:28" x14ac:dyDescent="0.2">
      <c r="A417" s="1">
        <v>1044</v>
      </c>
      <c r="B417" s="1" t="s">
        <v>6850</v>
      </c>
      <c r="D417" s="1" t="s">
        <v>6851</v>
      </c>
      <c r="F417" s="1" t="s">
        <v>6914</v>
      </c>
      <c r="H417" s="1" t="s">
        <v>6915</v>
      </c>
      <c r="J417" s="1" t="s">
        <v>1324</v>
      </c>
      <c r="L417" s="1" t="s">
        <v>6932</v>
      </c>
      <c r="M417" s="1" t="s">
        <v>7248</v>
      </c>
      <c r="N417" s="1" t="s">
        <v>6256</v>
      </c>
      <c r="P417" s="1" t="s">
        <v>7530</v>
      </c>
      <c r="Q417" s="3">
        <v>0</v>
      </c>
      <c r="R417" s="23" t="s">
        <v>6854</v>
      </c>
      <c r="S417" s="23" t="s">
        <v>6849</v>
      </c>
      <c r="T417" s="23" t="s">
        <v>4864</v>
      </c>
      <c r="U417" s="3">
        <v>35</v>
      </c>
      <c r="V417" s="3" t="s">
        <v>6936</v>
      </c>
      <c r="W417" s="45" t="str">
        <f>HYPERLINK("http://ictvonline.org/taxonomy/p/taxonomy-history?taxnode_id=201908489","ICTVonline=201908489")</f>
        <v>ICTVonline=201908489</v>
      </c>
      <c r="Y417" s="1" t="s">
        <v>7531</v>
      </c>
      <c r="AA417" s="1">
        <v>201900000</v>
      </c>
      <c r="AB417" s="1">
        <v>35</v>
      </c>
    </row>
    <row r="418" spans="1:28" x14ac:dyDescent="0.2">
      <c r="A418" s="1">
        <v>1046</v>
      </c>
      <c r="B418" s="1" t="s">
        <v>6850</v>
      </c>
      <c r="D418" s="1" t="s">
        <v>6851</v>
      </c>
      <c r="F418" s="1" t="s">
        <v>6914</v>
      </c>
      <c r="H418" s="1" t="s">
        <v>6915</v>
      </c>
      <c r="J418" s="1" t="s">
        <v>1324</v>
      </c>
      <c r="L418" s="1" t="s">
        <v>6932</v>
      </c>
      <c r="M418" s="1" t="s">
        <v>7248</v>
      </c>
      <c r="N418" s="1" t="s">
        <v>6256</v>
      </c>
      <c r="P418" s="1" t="s">
        <v>7532</v>
      </c>
      <c r="Q418" s="3">
        <v>0</v>
      </c>
      <c r="R418" s="23" t="s">
        <v>6854</v>
      </c>
      <c r="S418" s="23" t="s">
        <v>6849</v>
      </c>
      <c r="T418" s="23" t="s">
        <v>4864</v>
      </c>
      <c r="U418" s="3">
        <v>35</v>
      </c>
      <c r="V418" s="3" t="s">
        <v>6936</v>
      </c>
      <c r="W418" s="45" t="str">
        <f>HYPERLINK("http://ictvonline.org/taxonomy/p/taxonomy-history?taxnode_id=201908493","ICTVonline=201908493")</f>
        <v>ICTVonline=201908493</v>
      </c>
      <c r="Y418" s="1" t="s">
        <v>7533</v>
      </c>
      <c r="AA418" s="1">
        <v>201900000</v>
      </c>
      <c r="AB418" s="1">
        <v>35</v>
      </c>
    </row>
    <row r="419" spans="1:28" x14ac:dyDescent="0.2">
      <c r="A419" s="1">
        <v>1048</v>
      </c>
      <c r="B419" s="1" t="s">
        <v>6850</v>
      </c>
      <c r="D419" s="1" t="s">
        <v>6851</v>
      </c>
      <c r="F419" s="1" t="s">
        <v>6914</v>
      </c>
      <c r="H419" s="1" t="s">
        <v>6915</v>
      </c>
      <c r="J419" s="1" t="s">
        <v>1324</v>
      </c>
      <c r="L419" s="1" t="s">
        <v>6932</v>
      </c>
      <c r="M419" s="1" t="s">
        <v>7248</v>
      </c>
      <c r="N419" s="1" t="s">
        <v>6256</v>
      </c>
      <c r="P419" s="1" t="s">
        <v>2951</v>
      </c>
      <c r="Q419" s="3">
        <v>1</v>
      </c>
      <c r="R419" s="23" t="s">
        <v>6854</v>
      </c>
      <c r="S419" s="23" t="s">
        <v>6845</v>
      </c>
      <c r="T419" s="23" t="s">
        <v>4866</v>
      </c>
      <c r="U419" s="3">
        <v>35</v>
      </c>
      <c r="W419" s="45" t="str">
        <f>HYPERLINK("http://ictvonline.org/taxonomy/p/taxonomy-history?taxnode_id=201900583","ICTVonline=201900583")</f>
        <v>ICTVonline=201900583</v>
      </c>
      <c r="AA419" s="1">
        <v>201900000</v>
      </c>
      <c r="AB419" s="1">
        <v>35</v>
      </c>
    </row>
    <row r="420" spans="1:28" x14ac:dyDescent="0.2">
      <c r="A420" s="1">
        <v>1050</v>
      </c>
      <c r="B420" s="1" t="s">
        <v>6850</v>
      </c>
      <c r="D420" s="1" t="s">
        <v>6851</v>
      </c>
      <c r="F420" s="1" t="s">
        <v>6914</v>
      </c>
      <c r="H420" s="1" t="s">
        <v>6915</v>
      </c>
      <c r="J420" s="1" t="s">
        <v>1324</v>
      </c>
      <c r="L420" s="1" t="s">
        <v>6932</v>
      </c>
      <c r="M420" s="1" t="s">
        <v>7248</v>
      </c>
      <c r="N420" s="1" t="s">
        <v>6256</v>
      </c>
      <c r="P420" s="1" t="s">
        <v>7534</v>
      </c>
      <c r="Q420" s="3">
        <v>0</v>
      </c>
      <c r="R420" s="23" t="s">
        <v>6854</v>
      </c>
      <c r="S420" s="23" t="s">
        <v>6849</v>
      </c>
      <c r="T420" s="23" t="s">
        <v>4864</v>
      </c>
      <c r="U420" s="3">
        <v>35</v>
      </c>
      <c r="V420" s="3" t="s">
        <v>6936</v>
      </c>
      <c r="W420" s="45" t="str">
        <f>HYPERLINK("http://ictvonline.org/taxonomy/p/taxonomy-history?taxnode_id=201908488","ICTVonline=201908488")</f>
        <v>ICTVonline=201908488</v>
      </c>
      <c r="Y420" s="1" t="s">
        <v>7535</v>
      </c>
      <c r="AA420" s="1">
        <v>201900000</v>
      </c>
      <c r="AB420" s="1">
        <v>35</v>
      </c>
    </row>
    <row r="421" spans="1:28" x14ac:dyDescent="0.2">
      <c r="A421" s="1">
        <v>1052</v>
      </c>
      <c r="B421" s="1" t="s">
        <v>6850</v>
      </c>
      <c r="D421" s="1" t="s">
        <v>6851</v>
      </c>
      <c r="F421" s="1" t="s">
        <v>6914</v>
      </c>
      <c r="H421" s="1" t="s">
        <v>6915</v>
      </c>
      <c r="J421" s="1" t="s">
        <v>1324</v>
      </c>
      <c r="L421" s="1" t="s">
        <v>6932</v>
      </c>
      <c r="M421" s="1" t="s">
        <v>7248</v>
      </c>
      <c r="N421" s="1" t="s">
        <v>6256</v>
      </c>
      <c r="P421" s="1" t="s">
        <v>7536</v>
      </c>
      <c r="Q421" s="3">
        <v>0</v>
      </c>
      <c r="R421" s="23" t="s">
        <v>6854</v>
      </c>
      <c r="S421" s="23" t="s">
        <v>6849</v>
      </c>
      <c r="T421" s="23" t="s">
        <v>4864</v>
      </c>
      <c r="U421" s="3">
        <v>35</v>
      </c>
      <c r="V421" s="3" t="s">
        <v>6936</v>
      </c>
      <c r="W421" s="45" t="str">
        <f>HYPERLINK("http://ictvonline.org/taxonomy/p/taxonomy-history?taxnode_id=201908479","ICTVonline=201908479")</f>
        <v>ICTVonline=201908479</v>
      </c>
      <c r="Y421" s="1" t="s">
        <v>7537</v>
      </c>
      <c r="AA421" s="1">
        <v>201900000</v>
      </c>
      <c r="AB421" s="1">
        <v>35</v>
      </c>
    </row>
    <row r="422" spans="1:28" x14ac:dyDescent="0.2">
      <c r="A422" s="1">
        <v>1054</v>
      </c>
      <c r="B422" s="1" t="s">
        <v>6850</v>
      </c>
      <c r="D422" s="1" t="s">
        <v>6851</v>
      </c>
      <c r="F422" s="1" t="s">
        <v>6914</v>
      </c>
      <c r="H422" s="1" t="s">
        <v>6915</v>
      </c>
      <c r="J422" s="1" t="s">
        <v>1324</v>
      </c>
      <c r="L422" s="1" t="s">
        <v>6932</v>
      </c>
      <c r="M422" s="1" t="s">
        <v>7248</v>
      </c>
      <c r="N422" s="1" t="s">
        <v>6256</v>
      </c>
      <c r="P422" s="1" t="s">
        <v>7538</v>
      </c>
      <c r="Q422" s="3">
        <v>0</v>
      </c>
      <c r="R422" s="23" t="s">
        <v>6854</v>
      </c>
      <c r="S422" s="23" t="s">
        <v>6849</v>
      </c>
      <c r="T422" s="23" t="s">
        <v>4864</v>
      </c>
      <c r="U422" s="3">
        <v>35</v>
      </c>
      <c r="V422" s="3" t="s">
        <v>6936</v>
      </c>
      <c r="W422" s="45" t="str">
        <f>HYPERLINK("http://ictvonline.org/taxonomy/p/taxonomy-history?taxnode_id=201908482","ICTVonline=201908482")</f>
        <v>ICTVonline=201908482</v>
      </c>
      <c r="Y422" s="1" t="s">
        <v>7539</v>
      </c>
      <c r="AA422" s="1">
        <v>201900000</v>
      </c>
      <c r="AB422" s="1">
        <v>35</v>
      </c>
    </row>
    <row r="423" spans="1:28" x14ac:dyDescent="0.2">
      <c r="A423" s="1">
        <v>1056</v>
      </c>
      <c r="B423" s="1" t="s">
        <v>6850</v>
      </c>
      <c r="D423" s="1" t="s">
        <v>6851</v>
      </c>
      <c r="F423" s="1" t="s">
        <v>6914</v>
      </c>
      <c r="H423" s="1" t="s">
        <v>6915</v>
      </c>
      <c r="J423" s="1" t="s">
        <v>1324</v>
      </c>
      <c r="L423" s="1" t="s">
        <v>6932</v>
      </c>
      <c r="M423" s="1" t="s">
        <v>7248</v>
      </c>
      <c r="N423" s="1" t="s">
        <v>6256</v>
      </c>
      <c r="P423" s="1" t="s">
        <v>7540</v>
      </c>
      <c r="Q423" s="3">
        <v>0</v>
      </c>
      <c r="R423" s="23" t="s">
        <v>6854</v>
      </c>
      <c r="S423" s="23" t="s">
        <v>6849</v>
      </c>
      <c r="T423" s="23" t="s">
        <v>4864</v>
      </c>
      <c r="U423" s="3">
        <v>35</v>
      </c>
      <c r="V423" s="3" t="s">
        <v>6936</v>
      </c>
      <c r="W423" s="45" t="str">
        <f>HYPERLINK("http://ictvonline.org/taxonomy/p/taxonomy-history?taxnode_id=201908480","ICTVonline=201908480")</f>
        <v>ICTVonline=201908480</v>
      </c>
      <c r="Y423" s="1" t="s">
        <v>7541</v>
      </c>
      <c r="AA423" s="1">
        <v>201900000</v>
      </c>
      <c r="AB423" s="1">
        <v>35</v>
      </c>
    </row>
    <row r="424" spans="1:28" x14ac:dyDescent="0.2">
      <c r="A424" s="1">
        <v>1058</v>
      </c>
      <c r="B424" s="1" t="s">
        <v>6850</v>
      </c>
      <c r="D424" s="1" t="s">
        <v>6851</v>
      </c>
      <c r="F424" s="1" t="s">
        <v>6914</v>
      </c>
      <c r="H424" s="1" t="s">
        <v>6915</v>
      </c>
      <c r="J424" s="1" t="s">
        <v>1324</v>
      </c>
      <c r="L424" s="1" t="s">
        <v>6932</v>
      </c>
      <c r="M424" s="1" t="s">
        <v>7248</v>
      </c>
      <c r="N424" s="1" t="s">
        <v>6256</v>
      </c>
      <c r="P424" s="1" t="s">
        <v>7542</v>
      </c>
      <c r="Q424" s="3">
        <v>0</v>
      </c>
      <c r="R424" s="23" t="s">
        <v>6854</v>
      </c>
      <c r="S424" s="23" t="s">
        <v>6849</v>
      </c>
      <c r="T424" s="23" t="s">
        <v>4864</v>
      </c>
      <c r="U424" s="3">
        <v>35</v>
      </c>
      <c r="V424" s="3" t="s">
        <v>6936</v>
      </c>
      <c r="W424" s="45" t="str">
        <f>HYPERLINK("http://ictvonline.org/taxonomy/p/taxonomy-history?taxnode_id=201908481","ICTVonline=201908481")</f>
        <v>ICTVonline=201908481</v>
      </c>
      <c r="Y424" s="1" t="s">
        <v>7543</v>
      </c>
      <c r="AA424" s="1">
        <v>201900000</v>
      </c>
      <c r="AB424" s="1">
        <v>35</v>
      </c>
    </row>
    <row r="425" spans="1:28" x14ac:dyDescent="0.2">
      <c r="A425" s="1">
        <v>1062</v>
      </c>
      <c r="B425" s="1" t="s">
        <v>6850</v>
      </c>
      <c r="D425" s="1" t="s">
        <v>6851</v>
      </c>
      <c r="F425" s="1" t="s">
        <v>6914</v>
      </c>
      <c r="H425" s="1" t="s">
        <v>6915</v>
      </c>
      <c r="J425" s="1" t="s">
        <v>1324</v>
      </c>
      <c r="L425" s="1" t="s">
        <v>6932</v>
      </c>
      <c r="M425" s="1" t="s">
        <v>7248</v>
      </c>
      <c r="N425" s="1" t="s">
        <v>7544</v>
      </c>
      <c r="P425" s="1" t="s">
        <v>7545</v>
      </c>
      <c r="Q425" s="3">
        <v>1</v>
      </c>
      <c r="R425" s="23" t="s">
        <v>6854</v>
      </c>
      <c r="S425" s="23" t="s">
        <v>6849</v>
      </c>
      <c r="T425" s="23" t="s">
        <v>4864</v>
      </c>
      <c r="U425" s="3">
        <v>35</v>
      </c>
      <c r="V425" s="3" t="s">
        <v>6936</v>
      </c>
      <c r="W425" s="45" t="str">
        <f>HYPERLINK("http://ictvonline.org/taxonomy/p/taxonomy-history?taxnode_id=201908359","ICTVonline=201908359")</f>
        <v>ICTVonline=201908359</v>
      </c>
      <c r="Y425" s="1" t="s">
        <v>7546</v>
      </c>
      <c r="AA425" s="1">
        <v>201900000</v>
      </c>
      <c r="AB425" s="1">
        <v>35</v>
      </c>
    </row>
    <row r="426" spans="1:28" x14ac:dyDescent="0.2">
      <c r="A426" s="1">
        <v>1066</v>
      </c>
      <c r="B426" s="1" t="s">
        <v>6850</v>
      </c>
      <c r="D426" s="1" t="s">
        <v>6851</v>
      </c>
      <c r="F426" s="1" t="s">
        <v>6914</v>
      </c>
      <c r="H426" s="1" t="s">
        <v>6915</v>
      </c>
      <c r="J426" s="1" t="s">
        <v>1324</v>
      </c>
      <c r="L426" s="1" t="s">
        <v>6932</v>
      </c>
      <c r="M426" s="1" t="s">
        <v>7248</v>
      </c>
      <c r="N426" s="1" t="s">
        <v>7547</v>
      </c>
      <c r="P426" s="1" t="s">
        <v>7548</v>
      </c>
      <c r="Q426" s="3">
        <v>1</v>
      </c>
      <c r="R426" s="23" t="s">
        <v>6854</v>
      </c>
      <c r="S426" s="23" t="s">
        <v>6849</v>
      </c>
      <c r="T426" s="23" t="s">
        <v>4864</v>
      </c>
      <c r="U426" s="3">
        <v>35</v>
      </c>
      <c r="V426" s="3" t="s">
        <v>6936</v>
      </c>
      <c r="W426" s="45" t="str">
        <f>HYPERLINK("http://ictvonline.org/taxonomy/p/taxonomy-history?taxnode_id=201908456","ICTVonline=201908456")</f>
        <v>ICTVonline=201908456</v>
      </c>
      <c r="Y426" s="1" t="s">
        <v>7549</v>
      </c>
      <c r="AA426" s="1">
        <v>201900000</v>
      </c>
      <c r="AB426" s="1">
        <v>35</v>
      </c>
    </row>
    <row r="427" spans="1:28" x14ac:dyDescent="0.2">
      <c r="A427" s="1">
        <v>1071</v>
      </c>
      <c r="B427" s="1" t="s">
        <v>6850</v>
      </c>
      <c r="D427" s="1" t="s">
        <v>6851</v>
      </c>
      <c r="F427" s="1" t="s">
        <v>6914</v>
      </c>
      <c r="H427" s="1" t="s">
        <v>6915</v>
      </c>
      <c r="J427" s="1" t="s">
        <v>1324</v>
      </c>
      <c r="L427" s="1" t="s">
        <v>6932</v>
      </c>
      <c r="N427" s="1" t="s">
        <v>7550</v>
      </c>
      <c r="P427" s="1" t="s">
        <v>7551</v>
      </c>
      <c r="Q427" s="3">
        <v>1</v>
      </c>
      <c r="R427" s="23" t="s">
        <v>6854</v>
      </c>
      <c r="S427" s="23" t="s">
        <v>6849</v>
      </c>
      <c r="T427" s="23" t="s">
        <v>4864</v>
      </c>
      <c r="U427" s="3">
        <v>35</v>
      </c>
      <c r="V427" s="3" t="s">
        <v>6936</v>
      </c>
      <c r="W427" s="45" t="str">
        <f>HYPERLINK("http://ictvonline.org/taxonomy/p/taxonomy-history?taxnode_id=201908235","ICTVonline=201908235")</f>
        <v>ICTVonline=201908235</v>
      </c>
      <c r="Y427" s="1" t="s">
        <v>7552</v>
      </c>
      <c r="AA427" s="1">
        <v>201900000</v>
      </c>
      <c r="AB427" s="1">
        <v>35</v>
      </c>
    </row>
    <row r="428" spans="1:28" x14ac:dyDescent="0.2">
      <c r="A428" s="1">
        <v>1075</v>
      </c>
      <c r="B428" s="1" t="s">
        <v>6850</v>
      </c>
      <c r="D428" s="1" t="s">
        <v>6851</v>
      </c>
      <c r="F428" s="1" t="s">
        <v>6914</v>
      </c>
      <c r="H428" s="1" t="s">
        <v>6915</v>
      </c>
      <c r="J428" s="1" t="s">
        <v>1324</v>
      </c>
      <c r="L428" s="1" t="s">
        <v>6932</v>
      </c>
      <c r="N428" s="1" t="s">
        <v>6266</v>
      </c>
      <c r="P428" s="1" t="s">
        <v>6267</v>
      </c>
      <c r="Q428" s="3">
        <v>1</v>
      </c>
      <c r="R428" s="23" t="s">
        <v>6854</v>
      </c>
      <c r="S428" s="23" t="s">
        <v>6845</v>
      </c>
      <c r="T428" s="23" t="s">
        <v>4866</v>
      </c>
      <c r="U428" s="3">
        <v>35</v>
      </c>
      <c r="W428" s="45" t="str">
        <f>HYPERLINK("http://ictvonline.org/taxonomy/p/taxonomy-history?taxnode_id=201906761","ICTVonline=201906761")</f>
        <v>ICTVonline=201906761</v>
      </c>
      <c r="Y428" s="1" t="s">
        <v>7553</v>
      </c>
      <c r="Z428" s="1" t="s">
        <v>7554</v>
      </c>
      <c r="AA428" s="1">
        <v>201900000</v>
      </c>
      <c r="AB428" s="1">
        <v>35</v>
      </c>
    </row>
    <row r="429" spans="1:28" x14ac:dyDescent="0.2">
      <c r="A429" s="1">
        <v>1079</v>
      </c>
      <c r="B429" s="1" t="s">
        <v>6850</v>
      </c>
      <c r="D429" s="1" t="s">
        <v>6851</v>
      </c>
      <c r="F429" s="1" t="s">
        <v>6914</v>
      </c>
      <c r="H429" s="1" t="s">
        <v>6915</v>
      </c>
      <c r="J429" s="1" t="s">
        <v>1324</v>
      </c>
      <c r="L429" s="1" t="s">
        <v>6932</v>
      </c>
      <c r="N429" s="1" t="s">
        <v>7555</v>
      </c>
      <c r="P429" s="1" t="s">
        <v>7556</v>
      </c>
      <c r="Q429" s="3">
        <v>1</v>
      </c>
      <c r="R429" s="23" t="s">
        <v>6854</v>
      </c>
      <c r="S429" s="23" t="s">
        <v>6849</v>
      </c>
      <c r="T429" s="23" t="s">
        <v>4864</v>
      </c>
      <c r="U429" s="3">
        <v>35</v>
      </c>
      <c r="V429" s="3" t="s">
        <v>6936</v>
      </c>
      <c r="W429" s="45" t="str">
        <f>HYPERLINK("http://ictvonline.org/taxonomy/p/taxonomy-history?taxnode_id=201908245","ICTVonline=201908245")</f>
        <v>ICTVonline=201908245</v>
      </c>
      <c r="Y429" s="1" t="s">
        <v>7557</v>
      </c>
      <c r="AA429" s="1">
        <v>201900000</v>
      </c>
      <c r="AB429" s="1">
        <v>35</v>
      </c>
    </row>
    <row r="430" spans="1:28" x14ac:dyDescent="0.2">
      <c r="A430" s="1">
        <v>1083</v>
      </c>
      <c r="B430" s="1" t="s">
        <v>6850</v>
      </c>
      <c r="D430" s="1" t="s">
        <v>6851</v>
      </c>
      <c r="F430" s="1" t="s">
        <v>6914</v>
      </c>
      <c r="H430" s="1" t="s">
        <v>6915</v>
      </c>
      <c r="J430" s="1" t="s">
        <v>1324</v>
      </c>
      <c r="L430" s="1" t="s">
        <v>6932</v>
      </c>
      <c r="N430" s="1" t="s">
        <v>7558</v>
      </c>
      <c r="P430" s="1" t="s">
        <v>7559</v>
      </c>
      <c r="Q430" s="3">
        <v>1</v>
      </c>
      <c r="R430" s="23" t="s">
        <v>6854</v>
      </c>
      <c r="S430" s="23" t="s">
        <v>6849</v>
      </c>
      <c r="T430" s="23" t="s">
        <v>4864</v>
      </c>
      <c r="U430" s="3">
        <v>35</v>
      </c>
      <c r="V430" s="3" t="s">
        <v>6936</v>
      </c>
      <c r="W430" s="45" t="str">
        <f>HYPERLINK("http://ictvonline.org/taxonomy/p/taxonomy-history?taxnode_id=201908213","ICTVonline=201908213")</f>
        <v>ICTVonline=201908213</v>
      </c>
      <c r="Y430" s="1" t="s">
        <v>7560</v>
      </c>
      <c r="AA430" s="1">
        <v>201900000</v>
      </c>
      <c r="AB430" s="1">
        <v>35</v>
      </c>
    </row>
    <row r="431" spans="1:28" x14ac:dyDescent="0.2">
      <c r="A431" s="1">
        <v>1085</v>
      </c>
      <c r="B431" s="1" t="s">
        <v>6850</v>
      </c>
      <c r="D431" s="1" t="s">
        <v>6851</v>
      </c>
      <c r="F431" s="1" t="s">
        <v>6914</v>
      </c>
      <c r="H431" s="1" t="s">
        <v>6915</v>
      </c>
      <c r="J431" s="1" t="s">
        <v>1324</v>
      </c>
      <c r="L431" s="1" t="s">
        <v>6932</v>
      </c>
      <c r="N431" s="1" t="s">
        <v>7558</v>
      </c>
      <c r="P431" s="1" t="s">
        <v>7561</v>
      </c>
      <c r="Q431" s="3">
        <v>0</v>
      </c>
      <c r="R431" s="23" t="s">
        <v>6854</v>
      </c>
      <c r="S431" s="23" t="s">
        <v>6849</v>
      </c>
      <c r="T431" s="23" t="s">
        <v>4864</v>
      </c>
      <c r="U431" s="3">
        <v>35</v>
      </c>
      <c r="V431" s="3" t="s">
        <v>6936</v>
      </c>
      <c r="W431" s="45" t="str">
        <f>HYPERLINK("http://ictvonline.org/taxonomy/p/taxonomy-history?taxnode_id=201908214","ICTVonline=201908214")</f>
        <v>ICTVonline=201908214</v>
      </c>
      <c r="Y431" s="1" t="s">
        <v>7562</v>
      </c>
      <c r="AA431" s="1">
        <v>201900000</v>
      </c>
      <c r="AB431" s="1">
        <v>35</v>
      </c>
    </row>
    <row r="432" spans="1:28" x14ac:dyDescent="0.2">
      <c r="A432" s="1">
        <v>1089</v>
      </c>
      <c r="B432" s="1" t="s">
        <v>6850</v>
      </c>
      <c r="D432" s="1" t="s">
        <v>6851</v>
      </c>
      <c r="F432" s="1" t="s">
        <v>6914</v>
      </c>
      <c r="H432" s="1" t="s">
        <v>6915</v>
      </c>
      <c r="J432" s="1" t="s">
        <v>1324</v>
      </c>
      <c r="L432" s="1" t="s">
        <v>6932</v>
      </c>
      <c r="N432" s="1" t="s">
        <v>7563</v>
      </c>
      <c r="P432" s="1" t="s">
        <v>7564</v>
      </c>
      <c r="Q432" s="3">
        <v>1</v>
      </c>
      <c r="R432" s="23" t="s">
        <v>6854</v>
      </c>
      <c r="S432" s="23" t="s">
        <v>6849</v>
      </c>
      <c r="T432" s="23" t="s">
        <v>4864</v>
      </c>
      <c r="U432" s="3">
        <v>35</v>
      </c>
      <c r="V432" s="3" t="s">
        <v>6936</v>
      </c>
      <c r="W432" s="45" t="str">
        <f>HYPERLINK("http://ictvonline.org/taxonomy/p/taxonomy-history?taxnode_id=201908249","ICTVonline=201908249")</f>
        <v>ICTVonline=201908249</v>
      </c>
      <c r="Y432" s="1" t="s">
        <v>7565</v>
      </c>
      <c r="AA432" s="1">
        <v>201900000</v>
      </c>
      <c r="AB432" s="1">
        <v>35</v>
      </c>
    </row>
    <row r="433" spans="1:28" x14ac:dyDescent="0.2">
      <c r="A433" s="1">
        <v>1093</v>
      </c>
      <c r="B433" s="1" t="s">
        <v>6850</v>
      </c>
      <c r="D433" s="1" t="s">
        <v>6851</v>
      </c>
      <c r="F433" s="1" t="s">
        <v>6914</v>
      </c>
      <c r="H433" s="1" t="s">
        <v>6915</v>
      </c>
      <c r="J433" s="1" t="s">
        <v>1324</v>
      </c>
      <c r="L433" s="1" t="s">
        <v>6932</v>
      </c>
      <c r="N433" s="1" t="s">
        <v>7566</v>
      </c>
      <c r="P433" s="1" t="s">
        <v>7567</v>
      </c>
      <c r="Q433" s="3">
        <v>1</v>
      </c>
      <c r="R433" s="23" t="s">
        <v>6854</v>
      </c>
      <c r="S433" s="23" t="s">
        <v>6849</v>
      </c>
      <c r="T433" s="23" t="s">
        <v>4864</v>
      </c>
      <c r="U433" s="3">
        <v>35</v>
      </c>
      <c r="V433" s="3" t="s">
        <v>6936</v>
      </c>
      <c r="W433" s="45" t="str">
        <f>HYPERLINK("http://ictvonline.org/taxonomy/p/taxonomy-history?taxnode_id=201908284","ICTVonline=201908284")</f>
        <v>ICTVonline=201908284</v>
      </c>
      <c r="Y433" s="1" t="s">
        <v>7568</v>
      </c>
      <c r="AA433" s="1">
        <v>201900000</v>
      </c>
      <c r="AB433" s="1">
        <v>35</v>
      </c>
    </row>
    <row r="434" spans="1:28" x14ac:dyDescent="0.2">
      <c r="A434" s="1">
        <v>1097</v>
      </c>
      <c r="B434" s="1" t="s">
        <v>6850</v>
      </c>
      <c r="D434" s="1" t="s">
        <v>6851</v>
      </c>
      <c r="F434" s="1" t="s">
        <v>6914</v>
      </c>
      <c r="H434" s="1" t="s">
        <v>6915</v>
      </c>
      <c r="J434" s="1" t="s">
        <v>1324</v>
      </c>
      <c r="L434" s="1" t="s">
        <v>6932</v>
      </c>
      <c r="N434" s="1" t="s">
        <v>7569</v>
      </c>
      <c r="P434" s="1" t="s">
        <v>7570</v>
      </c>
      <c r="Q434" s="3">
        <v>1</v>
      </c>
      <c r="R434" s="23" t="s">
        <v>6854</v>
      </c>
      <c r="S434" s="23" t="s">
        <v>6849</v>
      </c>
      <c r="T434" s="23" t="s">
        <v>4864</v>
      </c>
      <c r="U434" s="3">
        <v>35</v>
      </c>
      <c r="V434" s="3" t="s">
        <v>6936</v>
      </c>
      <c r="W434" s="45" t="str">
        <f>HYPERLINK("http://ictvonline.org/taxonomy/p/taxonomy-history?taxnode_id=201908274","ICTVonline=201908274")</f>
        <v>ICTVonline=201908274</v>
      </c>
      <c r="Y434" s="1" t="s">
        <v>7571</v>
      </c>
      <c r="AA434" s="1">
        <v>201900000</v>
      </c>
      <c r="AB434" s="1">
        <v>35</v>
      </c>
    </row>
    <row r="435" spans="1:28" x14ac:dyDescent="0.2">
      <c r="A435" s="1">
        <v>1101</v>
      </c>
      <c r="B435" s="1" t="s">
        <v>6850</v>
      </c>
      <c r="D435" s="1" t="s">
        <v>6851</v>
      </c>
      <c r="F435" s="1" t="s">
        <v>6914</v>
      </c>
      <c r="H435" s="1" t="s">
        <v>6915</v>
      </c>
      <c r="J435" s="1" t="s">
        <v>1324</v>
      </c>
      <c r="L435" s="1" t="s">
        <v>6932</v>
      </c>
      <c r="N435" s="1" t="s">
        <v>6269</v>
      </c>
      <c r="P435" s="1" t="s">
        <v>6270</v>
      </c>
      <c r="Q435" s="3">
        <v>0</v>
      </c>
      <c r="R435" s="23" t="s">
        <v>6854</v>
      </c>
      <c r="S435" s="23" t="s">
        <v>6845</v>
      </c>
      <c r="T435" s="23" t="s">
        <v>4866</v>
      </c>
      <c r="U435" s="3">
        <v>35</v>
      </c>
      <c r="W435" s="45" t="str">
        <f>HYPERLINK("http://ictvonline.org/taxonomy/p/taxonomy-history?taxnode_id=201906804","ICTVonline=201906804")</f>
        <v>ICTVonline=201906804</v>
      </c>
      <c r="Y435" s="1" t="s">
        <v>7572</v>
      </c>
      <c r="Z435" s="1" t="s">
        <v>7573</v>
      </c>
      <c r="AA435" s="1">
        <v>201900000</v>
      </c>
      <c r="AB435" s="1">
        <v>35</v>
      </c>
    </row>
    <row r="436" spans="1:28" x14ac:dyDescent="0.2">
      <c r="A436" s="1">
        <v>1103</v>
      </c>
      <c r="B436" s="1" t="s">
        <v>6850</v>
      </c>
      <c r="D436" s="1" t="s">
        <v>6851</v>
      </c>
      <c r="F436" s="1" t="s">
        <v>6914</v>
      </c>
      <c r="H436" s="1" t="s">
        <v>6915</v>
      </c>
      <c r="J436" s="1" t="s">
        <v>1324</v>
      </c>
      <c r="L436" s="1" t="s">
        <v>6932</v>
      </c>
      <c r="N436" s="1" t="s">
        <v>6269</v>
      </c>
      <c r="P436" s="1" t="s">
        <v>6271</v>
      </c>
      <c r="Q436" s="3">
        <v>1</v>
      </c>
      <c r="R436" s="23" t="s">
        <v>6854</v>
      </c>
      <c r="S436" s="23" t="s">
        <v>6845</v>
      </c>
      <c r="T436" s="23" t="s">
        <v>4866</v>
      </c>
      <c r="U436" s="3">
        <v>35</v>
      </c>
      <c r="W436" s="45" t="str">
        <f>HYPERLINK("http://ictvonline.org/taxonomy/p/taxonomy-history?taxnode_id=201906803","ICTVonline=201906803")</f>
        <v>ICTVonline=201906803</v>
      </c>
      <c r="Y436" s="1" t="s">
        <v>7574</v>
      </c>
      <c r="Z436" s="1" t="s">
        <v>7575</v>
      </c>
      <c r="AA436" s="1">
        <v>201900000</v>
      </c>
      <c r="AB436" s="1">
        <v>35</v>
      </c>
    </row>
    <row r="437" spans="1:28" x14ac:dyDescent="0.2">
      <c r="A437" s="1">
        <v>1107</v>
      </c>
      <c r="B437" s="1" t="s">
        <v>6850</v>
      </c>
      <c r="D437" s="1" t="s">
        <v>6851</v>
      </c>
      <c r="F437" s="1" t="s">
        <v>6914</v>
      </c>
      <c r="H437" s="1" t="s">
        <v>6915</v>
      </c>
      <c r="J437" s="1" t="s">
        <v>1324</v>
      </c>
      <c r="L437" s="1" t="s">
        <v>6932</v>
      </c>
      <c r="N437" s="1" t="s">
        <v>7576</v>
      </c>
      <c r="P437" s="1" t="s">
        <v>7577</v>
      </c>
      <c r="Q437" s="3">
        <v>1</v>
      </c>
      <c r="R437" s="23" t="s">
        <v>6854</v>
      </c>
      <c r="S437" s="23" t="s">
        <v>6849</v>
      </c>
      <c r="T437" s="23" t="s">
        <v>4864</v>
      </c>
      <c r="U437" s="3">
        <v>35</v>
      </c>
      <c r="V437" s="3" t="s">
        <v>6936</v>
      </c>
      <c r="W437" s="45" t="str">
        <f>HYPERLINK("http://ictvonline.org/taxonomy/p/taxonomy-history?taxnode_id=201908229","ICTVonline=201908229")</f>
        <v>ICTVonline=201908229</v>
      </c>
      <c r="Y437" s="1" t="s">
        <v>7578</v>
      </c>
      <c r="AA437" s="1">
        <v>201900000</v>
      </c>
      <c r="AB437" s="1">
        <v>35</v>
      </c>
    </row>
    <row r="438" spans="1:28" x14ac:dyDescent="0.2">
      <c r="A438" s="1">
        <v>1109</v>
      </c>
      <c r="B438" s="1" t="s">
        <v>6850</v>
      </c>
      <c r="D438" s="1" t="s">
        <v>6851</v>
      </c>
      <c r="F438" s="1" t="s">
        <v>6914</v>
      </c>
      <c r="H438" s="1" t="s">
        <v>6915</v>
      </c>
      <c r="J438" s="1" t="s">
        <v>1324</v>
      </c>
      <c r="L438" s="1" t="s">
        <v>6932</v>
      </c>
      <c r="N438" s="1" t="s">
        <v>7576</v>
      </c>
      <c r="P438" s="1" t="s">
        <v>7579</v>
      </c>
      <c r="Q438" s="3">
        <v>0</v>
      </c>
      <c r="R438" s="23" t="s">
        <v>6854</v>
      </c>
      <c r="S438" s="23" t="s">
        <v>6849</v>
      </c>
      <c r="T438" s="23" t="s">
        <v>4864</v>
      </c>
      <c r="U438" s="3">
        <v>35</v>
      </c>
      <c r="V438" s="3" t="s">
        <v>6936</v>
      </c>
      <c r="W438" s="45" t="str">
        <f>HYPERLINK("http://ictvonline.org/taxonomy/p/taxonomy-history?taxnode_id=201908230","ICTVonline=201908230")</f>
        <v>ICTVonline=201908230</v>
      </c>
      <c r="Y438" s="1" t="s">
        <v>7580</v>
      </c>
      <c r="AA438" s="1">
        <v>201900000</v>
      </c>
      <c r="AB438" s="1">
        <v>35</v>
      </c>
    </row>
    <row r="439" spans="1:28" x14ac:dyDescent="0.2">
      <c r="A439" s="1">
        <v>1113</v>
      </c>
      <c r="B439" s="1" t="s">
        <v>6850</v>
      </c>
      <c r="D439" s="1" t="s">
        <v>6851</v>
      </c>
      <c r="F439" s="1" t="s">
        <v>6914</v>
      </c>
      <c r="H439" s="1" t="s">
        <v>6915</v>
      </c>
      <c r="J439" s="1" t="s">
        <v>1324</v>
      </c>
      <c r="L439" s="1" t="s">
        <v>6932</v>
      </c>
      <c r="N439" s="1" t="s">
        <v>7581</v>
      </c>
      <c r="P439" s="1" t="s">
        <v>7582</v>
      </c>
      <c r="Q439" s="3">
        <v>1</v>
      </c>
      <c r="R439" s="23" t="s">
        <v>6854</v>
      </c>
      <c r="S439" s="23" t="s">
        <v>6849</v>
      </c>
      <c r="T439" s="23" t="s">
        <v>4864</v>
      </c>
      <c r="U439" s="3">
        <v>35</v>
      </c>
      <c r="V439" s="3" t="s">
        <v>6936</v>
      </c>
      <c r="W439" s="45" t="str">
        <f>HYPERLINK("http://ictvonline.org/taxonomy/p/taxonomy-history?taxnode_id=201908316","ICTVonline=201908316")</f>
        <v>ICTVonline=201908316</v>
      </c>
      <c r="Y439" s="1" t="s">
        <v>7583</v>
      </c>
      <c r="AA439" s="1">
        <v>201900000</v>
      </c>
      <c r="AB439" s="1">
        <v>35</v>
      </c>
    </row>
    <row r="440" spans="1:28" x14ac:dyDescent="0.2">
      <c r="A440" s="1">
        <v>1117</v>
      </c>
      <c r="B440" s="1" t="s">
        <v>6850</v>
      </c>
      <c r="D440" s="1" t="s">
        <v>6851</v>
      </c>
      <c r="F440" s="1" t="s">
        <v>6914</v>
      </c>
      <c r="H440" s="1" t="s">
        <v>6915</v>
      </c>
      <c r="J440" s="1" t="s">
        <v>1324</v>
      </c>
      <c r="L440" s="1" t="s">
        <v>6932</v>
      </c>
      <c r="N440" s="1" t="s">
        <v>7584</v>
      </c>
      <c r="P440" s="1" t="s">
        <v>7585</v>
      </c>
      <c r="Q440" s="3">
        <v>1</v>
      </c>
      <c r="R440" s="23" t="s">
        <v>6854</v>
      </c>
      <c r="S440" s="23" t="s">
        <v>6849</v>
      </c>
      <c r="T440" s="23" t="s">
        <v>4864</v>
      </c>
      <c r="U440" s="3">
        <v>35</v>
      </c>
      <c r="V440" s="3" t="s">
        <v>6936</v>
      </c>
      <c r="W440" s="45" t="str">
        <f>HYPERLINK("http://ictvonline.org/taxonomy/p/taxonomy-history?taxnode_id=201908314","ICTVonline=201908314")</f>
        <v>ICTVonline=201908314</v>
      </c>
      <c r="Y440" s="1" t="s">
        <v>7586</v>
      </c>
      <c r="AA440" s="1">
        <v>201900000</v>
      </c>
      <c r="AB440" s="1">
        <v>35</v>
      </c>
    </row>
    <row r="441" spans="1:28" x14ac:dyDescent="0.2">
      <c r="A441" s="1">
        <v>1121</v>
      </c>
      <c r="B441" s="1" t="s">
        <v>6850</v>
      </c>
      <c r="D441" s="1" t="s">
        <v>6851</v>
      </c>
      <c r="F441" s="1" t="s">
        <v>6914</v>
      </c>
      <c r="H441" s="1" t="s">
        <v>6915</v>
      </c>
      <c r="J441" s="1" t="s">
        <v>1324</v>
      </c>
      <c r="L441" s="1" t="s">
        <v>6932</v>
      </c>
      <c r="N441" s="1" t="s">
        <v>7587</v>
      </c>
      <c r="P441" s="1" t="s">
        <v>7588</v>
      </c>
      <c r="Q441" s="3">
        <v>1</v>
      </c>
      <c r="R441" s="23" t="s">
        <v>6854</v>
      </c>
      <c r="S441" s="23" t="s">
        <v>6849</v>
      </c>
      <c r="T441" s="23" t="s">
        <v>4864</v>
      </c>
      <c r="U441" s="3">
        <v>35</v>
      </c>
      <c r="V441" s="3" t="s">
        <v>6936</v>
      </c>
      <c r="W441" s="45" t="str">
        <f>HYPERLINK("http://ictvonline.org/taxonomy/p/taxonomy-history?taxnode_id=201908225","ICTVonline=201908225")</f>
        <v>ICTVonline=201908225</v>
      </c>
      <c r="Y441" s="1" t="s">
        <v>7589</v>
      </c>
      <c r="AA441" s="1">
        <v>201900000</v>
      </c>
      <c r="AB441" s="1">
        <v>35</v>
      </c>
    </row>
    <row r="442" spans="1:28" x14ac:dyDescent="0.2">
      <c r="A442" s="1">
        <v>1123</v>
      </c>
      <c r="B442" s="1" t="s">
        <v>6850</v>
      </c>
      <c r="D442" s="1" t="s">
        <v>6851</v>
      </c>
      <c r="F442" s="1" t="s">
        <v>6914</v>
      </c>
      <c r="H442" s="1" t="s">
        <v>6915</v>
      </c>
      <c r="J442" s="1" t="s">
        <v>1324</v>
      </c>
      <c r="L442" s="1" t="s">
        <v>6932</v>
      </c>
      <c r="N442" s="1" t="s">
        <v>7587</v>
      </c>
      <c r="P442" s="1" t="s">
        <v>7590</v>
      </c>
      <c r="Q442" s="3">
        <v>0</v>
      </c>
      <c r="R442" s="23" t="s">
        <v>6854</v>
      </c>
      <c r="S442" s="23" t="s">
        <v>6849</v>
      </c>
      <c r="T442" s="23" t="s">
        <v>4864</v>
      </c>
      <c r="U442" s="3">
        <v>35</v>
      </c>
      <c r="V442" s="3" t="s">
        <v>6936</v>
      </c>
      <c r="W442" s="45" t="str">
        <f>HYPERLINK("http://ictvonline.org/taxonomy/p/taxonomy-history?taxnode_id=201908226","ICTVonline=201908226")</f>
        <v>ICTVonline=201908226</v>
      </c>
      <c r="Y442" s="1" t="s">
        <v>7591</v>
      </c>
      <c r="AA442" s="1">
        <v>201900000</v>
      </c>
      <c r="AB442" s="1">
        <v>35</v>
      </c>
    </row>
    <row r="443" spans="1:28" x14ac:dyDescent="0.2">
      <c r="A443" s="1">
        <v>1125</v>
      </c>
      <c r="B443" s="1" t="s">
        <v>6850</v>
      </c>
      <c r="D443" s="1" t="s">
        <v>6851</v>
      </c>
      <c r="F443" s="1" t="s">
        <v>6914</v>
      </c>
      <c r="H443" s="1" t="s">
        <v>6915</v>
      </c>
      <c r="J443" s="1" t="s">
        <v>1324</v>
      </c>
      <c r="L443" s="1" t="s">
        <v>6932</v>
      </c>
      <c r="N443" s="1" t="s">
        <v>7587</v>
      </c>
      <c r="P443" s="1" t="s">
        <v>7592</v>
      </c>
      <c r="Q443" s="3">
        <v>0</v>
      </c>
      <c r="R443" s="23" t="s">
        <v>6854</v>
      </c>
      <c r="S443" s="23" t="s">
        <v>6849</v>
      </c>
      <c r="T443" s="23" t="s">
        <v>4864</v>
      </c>
      <c r="U443" s="3">
        <v>35</v>
      </c>
      <c r="V443" s="3" t="s">
        <v>6936</v>
      </c>
      <c r="W443" s="45" t="str">
        <f>HYPERLINK("http://ictvonline.org/taxonomy/p/taxonomy-history?taxnode_id=201908227","ICTVonline=201908227")</f>
        <v>ICTVonline=201908227</v>
      </c>
      <c r="Y443" s="1" t="s">
        <v>7593</v>
      </c>
      <c r="AA443" s="1">
        <v>201900000</v>
      </c>
      <c r="AB443" s="1">
        <v>35</v>
      </c>
    </row>
    <row r="444" spans="1:28" x14ac:dyDescent="0.2">
      <c r="A444" s="1">
        <v>1129</v>
      </c>
      <c r="B444" s="1" t="s">
        <v>6850</v>
      </c>
      <c r="D444" s="1" t="s">
        <v>6851</v>
      </c>
      <c r="F444" s="1" t="s">
        <v>6914</v>
      </c>
      <c r="H444" s="1" t="s">
        <v>6915</v>
      </c>
      <c r="J444" s="1" t="s">
        <v>1324</v>
      </c>
      <c r="L444" s="1" t="s">
        <v>6932</v>
      </c>
      <c r="N444" s="1" t="s">
        <v>7594</v>
      </c>
      <c r="P444" s="1" t="s">
        <v>7595</v>
      </c>
      <c r="Q444" s="3">
        <v>1</v>
      </c>
      <c r="R444" s="23" t="s">
        <v>6854</v>
      </c>
      <c r="S444" s="23" t="s">
        <v>6849</v>
      </c>
      <c r="T444" s="23" t="s">
        <v>4864</v>
      </c>
      <c r="U444" s="3">
        <v>35</v>
      </c>
      <c r="V444" s="3" t="s">
        <v>6936</v>
      </c>
      <c r="W444" s="45" t="str">
        <f>HYPERLINK("http://ictvonline.org/taxonomy/p/taxonomy-history?taxnode_id=201908310","ICTVonline=201908310")</f>
        <v>ICTVonline=201908310</v>
      </c>
      <c r="Y444" s="1" t="s">
        <v>7596</v>
      </c>
      <c r="AA444" s="1">
        <v>201900000</v>
      </c>
      <c r="AB444" s="1">
        <v>35</v>
      </c>
    </row>
    <row r="445" spans="1:28" x14ac:dyDescent="0.2">
      <c r="A445" s="1">
        <v>1133</v>
      </c>
      <c r="B445" s="1" t="s">
        <v>6850</v>
      </c>
      <c r="D445" s="1" t="s">
        <v>6851</v>
      </c>
      <c r="F445" s="1" t="s">
        <v>6914</v>
      </c>
      <c r="H445" s="1" t="s">
        <v>6915</v>
      </c>
      <c r="J445" s="1" t="s">
        <v>1324</v>
      </c>
      <c r="L445" s="1" t="s">
        <v>6932</v>
      </c>
      <c r="N445" s="1" t="s">
        <v>7597</v>
      </c>
      <c r="P445" s="1" t="s">
        <v>7598</v>
      </c>
      <c r="Q445" s="3">
        <v>0</v>
      </c>
      <c r="R445" s="23" t="s">
        <v>6854</v>
      </c>
      <c r="S445" s="23" t="s">
        <v>6849</v>
      </c>
      <c r="T445" s="23" t="s">
        <v>4864</v>
      </c>
      <c r="U445" s="3">
        <v>35</v>
      </c>
      <c r="V445" s="3" t="s">
        <v>6936</v>
      </c>
      <c r="W445" s="45" t="str">
        <f>HYPERLINK("http://ictvonline.org/taxonomy/p/taxonomy-history?taxnode_id=201908211","ICTVonline=201908211")</f>
        <v>ICTVonline=201908211</v>
      </c>
      <c r="Y445" s="1" t="s">
        <v>7599</v>
      </c>
      <c r="AA445" s="1">
        <v>201900000</v>
      </c>
      <c r="AB445" s="1">
        <v>35</v>
      </c>
    </row>
    <row r="446" spans="1:28" x14ac:dyDescent="0.2">
      <c r="A446" s="1">
        <v>1135</v>
      </c>
      <c r="B446" s="1" t="s">
        <v>6850</v>
      </c>
      <c r="D446" s="1" t="s">
        <v>6851</v>
      </c>
      <c r="F446" s="1" t="s">
        <v>6914</v>
      </c>
      <c r="H446" s="1" t="s">
        <v>6915</v>
      </c>
      <c r="J446" s="1" t="s">
        <v>1324</v>
      </c>
      <c r="L446" s="1" t="s">
        <v>6932</v>
      </c>
      <c r="N446" s="1" t="s">
        <v>7597</v>
      </c>
      <c r="P446" s="1" t="s">
        <v>7600</v>
      </c>
      <c r="Q446" s="3">
        <v>1</v>
      </c>
      <c r="R446" s="23" t="s">
        <v>6854</v>
      </c>
      <c r="S446" s="23" t="s">
        <v>6849</v>
      </c>
      <c r="T446" s="23" t="s">
        <v>4864</v>
      </c>
      <c r="U446" s="3">
        <v>35</v>
      </c>
      <c r="V446" s="3" t="s">
        <v>6936</v>
      </c>
      <c r="W446" s="45" t="str">
        <f>HYPERLINK("http://ictvonline.org/taxonomy/p/taxonomy-history?taxnode_id=201908210","ICTVonline=201908210")</f>
        <v>ICTVonline=201908210</v>
      </c>
      <c r="Y446" s="1" t="s">
        <v>7601</v>
      </c>
      <c r="AA446" s="1">
        <v>201900000</v>
      </c>
      <c r="AB446" s="1">
        <v>35</v>
      </c>
    </row>
    <row r="447" spans="1:28" x14ac:dyDescent="0.2">
      <c r="A447" s="1">
        <v>1139</v>
      </c>
      <c r="B447" s="1" t="s">
        <v>6850</v>
      </c>
      <c r="D447" s="1" t="s">
        <v>6851</v>
      </c>
      <c r="F447" s="1" t="s">
        <v>6914</v>
      </c>
      <c r="H447" s="1" t="s">
        <v>6915</v>
      </c>
      <c r="J447" s="1" t="s">
        <v>1324</v>
      </c>
      <c r="L447" s="1" t="s">
        <v>6932</v>
      </c>
      <c r="N447" s="1" t="s">
        <v>7602</v>
      </c>
      <c r="P447" s="1" t="s">
        <v>7603</v>
      </c>
      <c r="Q447" s="3">
        <v>1</v>
      </c>
      <c r="R447" s="23" t="s">
        <v>6854</v>
      </c>
      <c r="S447" s="23" t="s">
        <v>6849</v>
      </c>
      <c r="T447" s="23" t="s">
        <v>4864</v>
      </c>
      <c r="U447" s="3">
        <v>35</v>
      </c>
      <c r="V447" s="3" t="s">
        <v>6936</v>
      </c>
      <c r="W447" s="45" t="str">
        <f>HYPERLINK("http://ictvonline.org/taxonomy/p/taxonomy-history?taxnode_id=201908308","ICTVonline=201908308")</f>
        <v>ICTVonline=201908308</v>
      </c>
      <c r="Y447" s="1" t="s">
        <v>7604</v>
      </c>
      <c r="AA447" s="1">
        <v>201900000</v>
      </c>
      <c r="AB447" s="1">
        <v>35</v>
      </c>
    </row>
    <row r="448" spans="1:28" x14ac:dyDescent="0.2">
      <c r="A448" s="1">
        <v>1143</v>
      </c>
      <c r="B448" s="1" t="s">
        <v>6850</v>
      </c>
      <c r="D448" s="1" t="s">
        <v>6851</v>
      </c>
      <c r="F448" s="1" t="s">
        <v>6914</v>
      </c>
      <c r="H448" s="1" t="s">
        <v>6915</v>
      </c>
      <c r="J448" s="1" t="s">
        <v>1324</v>
      </c>
      <c r="L448" s="1" t="s">
        <v>6932</v>
      </c>
      <c r="N448" s="1" t="s">
        <v>7605</v>
      </c>
      <c r="P448" s="1" t="s">
        <v>7606</v>
      </c>
      <c r="Q448" s="3">
        <v>1</v>
      </c>
      <c r="R448" s="23" t="s">
        <v>6854</v>
      </c>
      <c r="S448" s="23" t="s">
        <v>6849</v>
      </c>
      <c r="T448" s="23" t="s">
        <v>4864</v>
      </c>
      <c r="U448" s="3">
        <v>35</v>
      </c>
      <c r="V448" s="3" t="s">
        <v>6936</v>
      </c>
      <c r="W448" s="45" t="str">
        <f>HYPERLINK("http://ictvonline.org/taxonomy/p/taxonomy-history?taxnode_id=201908326","ICTVonline=201908326")</f>
        <v>ICTVonline=201908326</v>
      </c>
      <c r="Y448" s="1" t="s">
        <v>7607</v>
      </c>
      <c r="AA448" s="1">
        <v>201900000</v>
      </c>
      <c r="AB448" s="1">
        <v>35</v>
      </c>
    </row>
    <row r="449" spans="1:28" x14ac:dyDescent="0.2">
      <c r="A449" s="1">
        <v>1147</v>
      </c>
      <c r="B449" s="1" t="s">
        <v>6850</v>
      </c>
      <c r="D449" s="1" t="s">
        <v>6851</v>
      </c>
      <c r="F449" s="1" t="s">
        <v>6914</v>
      </c>
      <c r="H449" s="1" t="s">
        <v>6915</v>
      </c>
      <c r="J449" s="1" t="s">
        <v>1324</v>
      </c>
      <c r="L449" s="1" t="s">
        <v>6932</v>
      </c>
      <c r="N449" s="1" t="s">
        <v>7608</v>
      </c>
      <c r="P449" s="1" t="s">
        <v>7609</v>
      </c>
      <c r="Q449" s="3">
        <v>1</v>
      </c>
      <c r="R449" s="23" t="s">
        <v>6854</v>
      </c>
      <c r="S449" s="23" t="s">
        <v>6849</v>
      </c>
      <c r="T449" s="23" t="s">
        <v>4864</v>
      </c>
      <c r="U449" s="3">
        <v>35</v>
      </c>
      <c r="V449" s="3" t="s">
        <v>6936</v>
      </c>
      <c r="W449" s="45" t="str">
        <f>HYPERLINK("http://ictvonline.org/taxonomy/p/taxonomy-history?taxnode_id=201908253","ICTVonline=201908253")</f>
        <v>ICTVonline=201908253</v>
      </c>
      <c r="Y449" s="1" t="s">
        <v>7610</v>
      </c>
      <c r="AA449" s="1">
        <v>201900000</v>
      </c>
      <c r="AB449" s="1">
        <v>35</v>
      </c>
    </row>
    <row r="450" spans="1:28" x14ac:dyDescent="0.2">
      <c r="A450" s="1">
        <v>1151</v>
      </c>
      <c r="B450" s="1" t="s">
        <v>6850</v>
      </c>
      <c r="D450" s="1" t="s">
        <v>6851</v>
      </c>
      <c r="F450" s="1" t="s">
        <v>6914</v>
      </c>
      <c r="H450" s="1" t="s">
        <v>6915</v>
      </c>
      <c r="J450" s="1" t="s">
        <v>1324</v>
      </c>
      <c r="L450" s="1" t="s">
        <v>6932</v>
      </c>
      <c r="N450" s="1" t="s">
        <v>7611</v>
      </c>
      <c r="P450" s="1" t="s">
        <v>7612</v>
      </c>
      <c r="Q450" s="3">
        <v>1</v>
      </c>
      <c r="R450" s="23" t="s">
        <v>6854</v>
      </c>
      <c r="S450" s="23" t="s">
        <v>6849</v>
      </c>
      <c r="T450" s="23" t="s">
        <v>4864</v>
      </c>
      <c r="U450" s="3">
        <v>35</v>
      </c>
      <c r="V450" s="3" t="s">
        <v>6936</v>
      </c>
      <c r="W450" s="45" t="str">
        <f>HYPERLINK("http://ictvonline.org/taxonomy/p/taxonomy-history?taxnode_id=201908207","ICTVonline=201908207")</f>
        <v>ICTVonline=201908207</v>
      </c>
      <c r="Y450" s="1" t="s">
        <v>7613</v>
      </c>
      <c r="AA450" s="1">
        <v>201900000</v>
      </c>
      <c r="AB450" s="1">
        <v>35</v>
      </c>
    </row>
    <row r="451" spans="1:28" x14ac:dyDescent="0.2">
      <c r="A451" s="1">
        <v>1153</v>
      </c>
      <c r="B451" s="1" t="s">
        <v>6850</v>
      </c>
      <c r="D451" s="1" t="s">
        <v>6851</v>
      </c>
      <c r="F451" s="1" t="s">
        <v>6914</v>
      </c>
      <c r="H451" s="1" t="s">
        <v>6915</v>
      </c>
      <c r="J451" s="1" t="s">
        <v>1324</v>
      </c>
      <c r="L451" s="1" t="s">
        <v>6932</v>
      </c>
      <c r="N451" s="1" t="s">
        <v>7611</v>
      </c>
      <c r="P451" s="1" t="s">
        <v>7614</v>
      </c>
      <c r="Q451" s="3">
        <v>0</v>
      </c>
      <c r="R451" s="23" t="s">
        <v>6854</v>
      </c>
      <c r="S451" s="23" t="s">
        <v>6849</v>
      </c>
      <c r="T451" s="23" t="s">
        <v>4864</v>
      </c>
      <c r="U451" s="3">
        <v>35</v>
      </c>
      <c r="V451" s="3" t="s">
        <v>6936</v>
      </c>
      <c r="W451" s="45" t="str">
        <f>HYPERLINK("http://ictvonline.org/taxonomy/p/taxonomy-history?taxnode_id=201908208","ICTVonline=201908208")</f>
        <v>ICTVonline=201908208</v>
      </c>
      <c r="Y451" s="1" t="s">
        <v>7615</v>
      </c>
      <c r="AA451" s="1">
        <v>201900000</v>
      </c>
      <c r="AB451" s="1">
        <v>35</v>
      </c>
    </row>
    <row r="452" spans="1:28" x14ac:dyDescent="0.2">
      <c r="A452" s="1">
        <v>1157</v>
      </c>
      <c r="B452" s="1" t="s">
        <v>6850</v>
      </c>
      <c r="D452" s="1" t="s">
        <v>6851</v>
      </c>
      <c r="F452" s="1" t="s">
        <v>6914</v>
      </c>
      <c r="H452" s="1" t="s">
        <v>6915</v>
      </c>
      <c r="J452" s="1" t="s">
        <v>1324</v>
      </c>
      <c r="L452" s="1" t="s">
        <v>6932</v>
      </c>
      <c r="N452" s="1" t="s">
        <v>7616</v>
      </c>
      <c r="P452" s="1" t="s">
        <v>7617</v>
      </c>
      <c r="Q452" s="3">
        <v>1</v>
      </c>
      <c r="R452" s="23" t="s">
        <v>6854</v>
      </c>
      <c r="S452" s="23" t="s">
        <v>6849</v>
      </c>
      <c r="T452" s="23" t="s">
        <v>4864</v>
      </c>
      <c r="U452" s="3">
        <v>35</v>
      </c>
      <c r="V452" s="3" t="s">
        <v>6936</v>
      </c>
      <c r="W452" s="45" t="str">
        <f>HYPERLINK("http://ictvonline.org/taxonomy/p/taxonomy-history?taxnode_id=201908216","ICTVonline=201908216")</f>
        <v>ICTVonline=201908216</v>
      </c>
      <c r="Y452" s="1" t="s">
        <v>7618</v>
      </c>
      <c r="AA452" s="1">
        <v>201900000</v>
      </c>
      <c r="AB452" s="1">
        <v>35</v>
      </c>
    </row>
    <row r="453" spans="1:28" x14ac:dyDescent="0.2">
      <c r="A453" s="1">
        <v>1159</v>
      </c>
      <c r="B453" s="1" t="s">
        <v>6850</v>
      </c>
      <c r="D453" s="1" t="s">
        <v>6851</v>
      </c>
      <c r="F453" s="1" t="s">
        <v>6914</v>
      </c>
      <c r="H453" s="1" t="s">
        <v>6915</v>
      </c>
      <c r="J453" s="1" t="s">
        <v>1324</v>
      </c>
      <c r="L453" s="1" t="s">
        <v>6932</v>
      </c>
      <c r="N453" s="1" t="s">
        <v>7616</v>
      </c>
      <c r="P453" s="1" t="s">
        <v>7619</v>
      </c>
      <c r="Q453" s="3">
        <v>0</v>
      </c>
      <c r="R453" s="23" t="s">
        <v>6854</v>
      </c>
      <c r="S453" s="23" t="s">
        <v>6849</v>
      </c>
      <c r="T453" s="23" t="s">
        <v>4864</v>
      </c>
      <c r="U453" s="3">
        <v>35</v>
      </c>
      <c r="V453" s="3" t="s">
        <v>6936</v>
      </c>
      <c r="W453" s="45" t="str">
        <f>HYPERLINK("http://ictvonline.org/taxonomy/p/taxonomy-history?taxnode_id=201908217","ICTVonline=201908217")</f>
        <v>ICTVonline=201908217</v>
      </c>
      <c r="Y453" s="1" t="s">
        <v>7620</v>
      </c>
      <c r="AA453" s="1">
        <v>201900000</v>
      </c>
      <c r="AB453" s="1">
        <v>35</v>
      </c>
    </row>
    <row r="454" spans="1:28" x14ac:dyDescent="0.2">
      <c r="A454" s="1">
        <v>1163</v>
      </c>
      <c r="B454" s="1" t="s">
        <v>6850</v>
      </c>
      <c r="D454" s="1" t="s">
        <v>6851</v>
      </c>
      <c r="F454" s="1" t="s">
        <v>6914</v>
      </c>
      <c r="H454" s="1" t="s">
        <v>6915</v>
      </c>
      <c r="J454" s="1" t="s">
        <v>1324</v>
      </c>
      <c r="L454" s="1" t="s">
        <v>6932</v>
      </c>
      <c r="N454" s="1" t="s">
        <v>7621</v>
      </c>
      <c r="P454" s="1" t="s">
        <v>7622</v>
      </c>
      <c r="Q454" s="3">
        <v>1</v>
      </c>
      <c r="R454" s="23" t="s">
        <v>6854</v>
      </c>
      <c r="S454" s="23" t="s">
        <v>6849</v>
      </c>
      <c r="T454" s="23" t="s">
        <v>4864</v>
      </c>
      <c r="U454" s="3">
        <v>35</v>
      </c>
      <c r="V454" s="3" t="s">
        <v>6936</v>
      </c>
      <c r="W454" s="45" t="str">
        <f>HYPERLINK("http://ictvonline.org/taxonomy/p/taxonomy-history?taxnode_id=201908278","ICTVonline=201908278")</f>
        <v>ICTVonline=201908278</v>
      </c>
      <c r="Y454" s="1" t="s">
        <v>7623</v>
      </c>
      <c r="AA454" s="1">
        <v>201900000</v>
      </c>
      <c r="AB454" s="1">
        <v>35</v>
      </c>
    </row>
    <row r="455" spans="1:28" x14ac:dyDescent="0.2">
      <c r="A455" s="1">
        <v>1167</v>
      </c>
      <c r="B455" s="1" t="s">
        <v>6850</v>
      </c>
      <c r="D455" s="1" t="s">
        <v>6851</v>
      </c>
      <c r="F455" s="1" t="s">
        <v>6914</v>
      </c>
      <c r="H455" s="1" t="s">
        <v>6915</v>
      </c>
      <c r="J455" s="1" t="s">
        <v>1324</v>
      </c>
      <c r="L455" s="1" t="s">
        <v>6932</v>
      </c>
      <c r="N455" s="1" t="s">
        <v>7624</v>
      </c>
      <c r="P455" s="1" t="s">
        <v>7625</v>
      </c>
      <c r="Q455" s="3">
        <v>1</v>
      </c>
      <c r="R455" s="23" t="s">
        <v>6854</v>
      </c>
      <c r="S455" s="23" t="s">
        <v>6849</v>
      </c>
      <c r="T455" s="23" t="s">
        <v>4864</v>
      </c>
      <c r="U455" s="3">
        <v>35</v>
      </c>
      <c r="V455" s="3" t="s">
        <v>6936</v>
      </c>
      <c r="W455" s="45" t="str">
        <f>HYPERLINK("http://ictvonline.org/taxonomy/p/taxonomy-history?taxnode_id=201908296","ICTVonline=201908296")</f>
        <v>ICTVonline=201908296</v>
      </c>
      <c r="Y455" s="1" t="s">
        <v>7626</v>
      </c>
      <c r="AA455" s="1">
        <v>201900000</v>
      </c>
      <c r="AB455" s="1">
        <v>35</v>
      </c>
    </row>
    <row r="456" spans="1:28" x14ac:dyDescent="0.2">
      <c r="A456" s="1">
        <v>1171</v>
      </c>
      <c r="B456" s="1" t="s">
        <v>6850</v>
      </c>
      <c r="D456" s="1" t="s">
        <v>6851</v>
      </c>
      <c r="F456" s="1" t="s">
        <v>6914</v>
      </c>
      <c r="H456" s="1" t="s">
        <v>6915</v>
      </c>
      <c r="J456" s="1" t="s">
        <v>1324</v>
      </c>
      <c r="L456" s="1" t="s">
        <v>6932</v>
      </c>
      <c r="N456" s="1" t="s">
        <v>7627</v>
      </c>
      <c r="P456" s="1" t="s">
        <v>7628</v>
      </c>
      <c r="Q456" s="3">
        <v>1</v>
      </c>
      <c r="R456" s="23" t="s">
        <v>6854</v>
      </c>
      <c r="S456" s="23" t="s">
        <v>6849</v>
      </c>
      <c r="T456" s="23" t="s">
        <v>4864</v>
      </c>
      <c r="U456" s="3">
        <v>35</v>
      </c>
      <c r="V456" s="3" t="s">
        <v>6936</v>
      </c>
      <c r="W456" s="45" t="str">
        <f>HYPERLINK("http://ictvonline.org/taxonomy/p/taxonomy-history?taxnode_id=201908247","ICTVonline=201908247")</f>
        <v>ICTVonline=201908247</v>
      </c>
      <c r="Y456" s="1" t="s">
        <v>7629</v>
      </c>
      <c r="AA456" s="1">
        <v>201900000</v>
      </c>
      <c r="AB456" s="1">
        <v>35</v>
      </c>
    </row>
    <row r="457" spans="1:28" x14ac:dyDescent="0.2">
      <c r="A457" s="1">
        <v>1175</v>
      </c>
      <c r="B457" s="1" t="s">
        <v>6850</v>
      </c>
      <c r="D457" s="1" t="s">
        <v>6851</v>
      </c>
      <c r="F457" s="1" t="s">
        <v>6914</v>
      </c>
      <c r="H457" s="1" t="s">
        <v>6915</v>
      </c>
      <c r="J457" s="1" t="s">
        <v>1324</v>
      </c>
      <c r="L457" s="1" t="s">
        <v>6932</v>
      </c>
      <c r="N457" s="1" t="s">
        <v>7630</v>
      </c>
      <c r="P457" s="1" t="s">
        <v>7631</v>
      </c>
      <c r="Q457" s="3">
        <v>1</v>
      </c>
      <c r="R457" s="23" t="s">
        <v>6854</v>
      </c>
      <c r="S457" s="23" t="s">
        <v>6849</v>
      </c>
      <c r="T457" s="23" t="s">
        <v>4864</v>
      </c>
      <c r="U457" s="3">
        <v>35</v>
      </c>
      <c r="V457" s="3" t="s">
        <v>6936</v>
      </c>
      <c r="W457" s="45" t="str">
        <f>HYPERLINK("http://ictvonline.org/taxonomy/p/taxonomy-history?taxnode_id=201908304","ICTVonline=201908304")</f>
        <v>ICTVonline=201908304</v>
      </c>
      <c r="Y457" s="1" t="s">
        <v>7632</v>
      </c>
      <c r="AA457" s="1">
        <v>201900000</v>
      </c>
      <c r="AB457" s="1">
        <v>35</v>
      </c>
    </row>
    <row r="458" spans="1:28" x14ac:dyDescent="0.2">
      <c r="A458" s="1">
        <v>1179</v>
      </c>
      <c r="B458" s="1" t="s">
        <v>6850</v>
      </c>
      <c r="D458" s="1" t="s">
        <v>6851</v>
      </c>
      <c r="F458" s="1" t="s">
        <v>6914</v>
      </c>
      <c r="H458" s="1" t="s">
        <v>6915</v>
      </c>
      <c r="J458" s="1" t="s">
        <v>1324</v>
      </c>
      <c r="L458" s="1" t="s">
        <v>6932</v>
      </c>
      <c r="N458" s="1" t="s">
        <v>7633</v>
      </c>
      <c r="P458" s="1" t="s">
        <v>7634</v>
      </c>
      <c r="Q458" s="3">
        <v>1</v>
      </c>
      <c r="R458" s="23" t="s">
        <v>6854</v>
      </c>
      <c r="S458" s="23" t="s">
        <v>6849</v>
      </c>
      <c r="T458" s="23" t="s">
        <v>4864</v>
      </c>
      <c r="U458" s="3">
        <v>35</v>
      </c>
      <c r="V458" s="3" t="s">
        <v>6936</v>
      </c>
      <c r="W458" s="45" t="str">
        <f>HYPERLINK("http://ictvonline.org/taxonomy/p/taxonomy-history?taxnode_id=201908322","ICTVonline=201908322")</f>
        <v>ICTVonline=201908322</v>
      </c>
      <c r="Y458" s="1" t="s">
        <v>7635</v>
      </c>
      <c r="AA458" s="1">
        <v>201900000</v>
      </c>
      <c r="AB458" s="1">
        <v>35</v>
      </c>
    </row>
    <row r="459" spans="1:28" x14ac:dyDescent="0.2">
      <c r="A459" s="1">
        <v>1183</v>
      </c>
      <c r="B459" s="1" t="s">
        <v>6850</v>
      </c>
      <c r="D459" s="1" t="s">
        <v>6851</v>
      </c>
      <c r="F459" s="1" t="s">
        <v>6914</v>
      </c>
      <c r="H459" s="1" t="s">
        <v>6915</v>
      </c>
      <c r="J459" s="1" t="s">
        <v>1324</v>
      </c>
      <c r="L459" s="1" t="s">
        <v>6932</v>
      </c>
      <c r="N459" s="1" t="s">
        <v>7636</v>
      </c>
      <c r="P459" s="1" t="s">
        <v>7637</v>
      </c>
      <c r="Q459" s="3">
        <v>1</v>
      </c>
      <c r="R459" s="23" t="s">
        <v>6854</v>
      </c>
      <c r="S459" s="23" t="s">
        <v>6849</v>
      </c>
      <c r="T459" s="23" t="s">
        <v>4864</v>
      </c>
      <c r="U459" s="3">
        <v>35</v>
      </c>
      <c r="V459" s="3" t="s">
        <v>6936</v>
      </c>
      <c r="W459" s="45" t="str">
        <f>HYPERLINK("http://ictvonline.org/taxonomy/p/taxonomy-history?taxnode_id=201908312","ICTVonline=201908312")</f>
        <v>ICTVonline=201908312</v>
      </c>
      <c r="Y459" s="1" t="s">
        <v>7638</v>
      </c>
      <c r="AA459" s="1">
        <v>201900000</v>
      </c>
      <c r="AB459" s="1">
        <v>35</v>
      </c>
    </row>
    <row r="460" spans="1:28" x14ac:dyDescent="0.2">
      <c r="A460" s="1">
        <v>1187</v>
      </c>
      <c r="B460" s="1" t="s">
        <v>6850</v>
      </c>
      <c r="D460" s="1" t="s">
        <v>6851</v>
      </c>
      <c r="F460" s="1" t="s">
        <v>6914</v>
      </c>
      <c r="H460" s="1" t="s">
        <v>6915</v>
      </c>
      <c r="J460" s="1" t="s">
        <v>1324</v>
      </c>
      <c r="L460" s="1" t="s">
        <v>6932</v>
      </c>
      <c r="N460" s="1" t="s">
        <v>7639</v>
      </c>
      <c r="P460" s="1" t="s">
        <v>7640</v>
      </c>
      <c r="Q460" s="3">
        <v>1</v>
      </c>
      <c r="R460" s="23" t="s">
        <v>6854</v>
      </c>
      <c r="S460" s="23" t="s">
        <v>6849</v>
      </c>
      <c r="T460" s="23" t="s">
        <v>4864</v>
      </c>
      <c r="U460" s="3">
        <v>35</v>
      </c>
      <c r="V460" s="3" t="s">
        <v>6936</v>
      </c>
      <c r="W460" s="45" t="str">
        <f>HYPERLINK("http://ictvonline.org/taxonomy/p/taxonomy-history?taxnode_id=201908265","ICTVonline=201908265")</f>
        <v>ICTVonline=201908265</v>
      </c>
      <c r="Y460" s="1" t="s">
        <v>7641</v>
      </c>
      <c r="AA460" s="1">
        <v>201900000</v>
      </c>
      <c r="AB460" s="1">
        <v>35</v>
      </c>
    </row>
    <row r="461" spans="1:28" x14ac:dyDescent="0.2">
      <c r="A461" s="1">
        <v>1191</v>
      </c>
      <c r="B461" s="1" t="s">
        <v>6850</v>
      </c>
      <c r="D461" s="1" t="s">
        <v>6851</v>
      </c>
      <c r="F461" s="1" t="s">
        <v>6914</v>
      </c>
      <c r="H461" s="1" t="s">
        <v>6915</v>
      </c>
      <c r="J461" s="1" t="s">
        <v>1324</v>
      </c>
      <c r="L461" s="1" t="s">
        <v>6932</v>
      </c>
      <c r="N461" s="1" t="s">
        <v>7642</v>
      </c>
      <c r="P461" s="1" t="s">
        <v>7643</v>
      </c>
      <c r="Q461" s="3">
        <v>1</v>
      </c>
      <c r="R461" s="23" t="s">
        <v>6854</v>
      </c>
      <c r="S461" s="23" t="s">
        <v>6849</v>
      </c>
      <c r="T461" s="23" t="s">
        <v>4864</v>
      </c>
      <c r="U461" s="3">
        <v>35</v>
      </c>
      <c r="V461" s="3" t="s">
        <v>6936</v>
      </c>
      <c r="W461" s="45" t="str">
        <f>HYPERLINK("http://ictvonline.org/taxonomy/p/taxonomy-history?taxnode_id=201908501","ICTVonline=201908501")</f>
        <v>ICTVonline=201908501</v>
      </c>
      <c r="Y461" s="1" t="s">
        <v>7644</v>
      </c>
      <c r="AA461" s="1">
        <v>201900000</v>
      </c>
      <c r="AB461" s="1">
        <v>35</v>
      </c>
    </row>
    <row r="462" spans="1:28" x14ac:dyDescent="0.2">
      <c r="A462" s="1">
        <v>1195</v>
      </c>
      <c r="B462" s="1" t="s">
        <v>6850</v>
      </c>
      <c r="D462" s="1" t="s">
        <v>6851</v>
      </c>
      <c r="F462" s="1" t="s">
        <v>6914</v>
      </c>
      <c r="H462" s="1" t="s">
        <v>6915</v>
      </c>
      <c r="J462" s="1" t="s">
        <v>1324</v>
      </c>
      <c r="L462" s="1" t="s">
        <v>6932</v>
      </c>
      <c r="N462" s="1" t="s">
        <v>7645</v>
      </c>
      <c r="P462" s="1" t="s">
        <v>7646</v>
      </c>
      <c r="Q462" s="3">
        <v>1</v>
      </c>
      <c r="R462" s="23" t="s">
        <v>6854</v>
      </c>
      <c r="S462" s="23" t="s">
        <v>6849</v>
      </c>
      <c r="T462" s="23" t="s">
        <v>4864</v>
      </c>
      <c r="U462" s="3">
        <v>35</v>
      </c>
      <c r="V462" s="3" t="s">
        <v>6936</v>
      </c>
      <c r="W462" s="45" t="str">
        <f>HYPERLINK("http://ictvonline.org/taxonomy/p/taxonomy-history?taxnode_id=201908276","ICTVonline=201908276")</f>
        <v>ICTVonline=201908276</v>
      </c>
      <c r="Y462" s="1" t="s">
        <v>7647</v>
      </c>
      <c r="AA462" s="1">
        <v>201900000</v>
      </c>
      <c r="AB462" s="1">
        <v>35</v>
      </c>
    </row>
    <row r="463" spans="1:28" x14ac:dyDescent="0.2">
      <c r="A463" s="1">
        <v>1199</v>
      </c>
      <c r="B463" s="1" t="s">
        <v>6850</v>
      </c>
      <c r="D463" s="1" t="s">
        <v>6851</v>
      </c>
      <c r="F463" s="1" t="s">
        <v>6914</v>
      </c>
      <c r="H463" s="1" t="s">
        <v>6915</v>
      </c>
      <c r="J463" s="1" t="s">
        <v>1324</v>
      </c>
      <c r="L463" s="1" t="s">
        <v>6932</v>
      </c>
      <c r="N463" s="1" t="s">
        <v>7648</v>
      </c>
      <c r="P463" s="1" t="s">
        <v>7649</v>
      </c>
      <c r="Q463" s="3">
        <v>1</v>
      </c>
      <c r="R463" s="23" t="s">
        <v>6854</v>
      </c>
      <c r="S463" s="23" t="s">
        <v>6849</v>
      </c>
      <c r="T463" s="23" t="s">
        <v>4864</v>
      </c>
      <c r="U463" s="3">
        <v>35</v>
      </c>
      <c r="V463" s="3" t="s">
        <v>6936</v>
      </c>
      <c r="W463" s="45" t="str">
        <f>HYPERLINK("http://ictvonline.org/taxonomy/p/taxonomy-history?taxnode_id=201908292","ICTVonline=201908292")</f>
        <v>ICTVonline=201908292</v>
      </c>
      <c r="Y463" s="1" t="s">
        <v>7650</v>
      </c>
      <c r="AA463" s="1">
        <v>201900000</v>
      </c>
      <c r="AB463" s="1">
        <v>35</v>
      </c>
    </row>
    <row r="464" spans="1:28" x14ac:dyDescent="0.2">
      <c r="A464" s="1">
        <v>1203</v>
      </c>
      <c r="B464" s="1" t="s">
        <v>6850</v>
      </c>
      <c r="D464" s="1" t="s">
        <v>6851</v>
      </c>
      <c r="F464" s="1" t="s">
        <v>6914</v>
      </c>
      <c r="H464" s="1" t="s">
        <v>6915</v>
      </c>
      <c r="J464" s="1" t="s">
        <v>1324</v>
      </c>
      <c r="L464" s="1" t="s">
        <v>6932</v>
      </c>
      <c r="N464" s="1" t="s">
        <v>7651</v>
      </c>
      <c r="P464" s="1" t="s">
        <v>7652</v>
      </c>
      <c r="Q464" s="3">
        <v>1</v>
      </c>
      <c r="R464" s="23" t="s">
        <v>6854</v>
      </c>
      <c r="S464" s="23" t="s">
        <v>6849</v>
      </c>
      <c r="T464" s="23" t="s">
        <v>4864</v>
      </c>
      <c r="U464" s="3">
        <v>35</v>
      </c>
      <c r="V464" s="3" t="s">
        <v>6936</v>
      </c>
      <c r="W464" s="45" t="str">
        <f>HYPERLINK("http://ictvonline.org/taxonomy/p/taxonomy-history?taxnode_id=201908238","ICTVonline=201908238")</f>
        <v>ICTVonline=201908238</v>
      </c>
      <c r="Y464" s="1" t="s">
        <v>7653</v>
      </c>
      <c r="AA464" s="1">
        <v>201900000</v>
      </c>
      <c r="AB464" s="1">
        <v>35</v>
      </c>
    </row>
    <row r="465" spans="1:28" x14ac:dyDescent="0.2">
      <c r="A465" s="1">
        <v>1207</v>
      </c>
      <c r="B465" s="1" t="s">
        <v>6850</v>
      </c>
      <c r="D465" s="1" t="s">
        <v>6851</v>
      </c>
      <c r="F465" s="1" t="s">
        <v>6914</v>
      </c>
      <c r="H465" s="1" t="s">
        <v>6915</v>
      </c>
      <c r="J465" s="1" t="s">
        <v>1324</v>
      </c>
      <c r="L465" s="1" t="s">
        <v>6932</v>
      </c>
      <c r="N465" s="1" t="s">
        <v>7654</v>
      </c>
      <c r="P465" s="1" t="s">
        <v>7655</v>
      </c>
      <c r="Q465" s="3">
        <v>0</v>
      </c>
      <c r="R465" s="23" t="s">
        <v>6854</v>
      </c>
      <c r="S465" s="23" t="s">
        <v>6849</v>
      </c>
      <c r="T465" s="23" t="s">
        <v>4866</v>
      </c>
      <c r="U465" s="3">
        <v>35</v>
      </c>
      <c r="V465" s="3" t="s">
        <v>6936</v>
      </c>
      <c r="W465" s="45" t="str">
        <f>HYPERLINK("http://ictvonline.org/taxonomy/p/taxonomy-history?taxnode_id=201900568","ICTVonline=201900568")</f>
        <v>ICTVonline=201900568</v>
      </c>
      <c r="Y465" s="1" t="s">
        <v>7656</v>
      </c>
      <c r="AA465" s="1">
        <v>201900000</v>
      </c>
      <c r="AB465" s="1">
        <v>35</v>
      </c>
    </row>
    <row r="466" spans="1:28" x14ac:dyDescent="0.2">
      <c r="A466" s="1">
        <v>1211</v>
      </c>
      <c r="B466" s="1" t="s">
        <v>6850</v>
      </c>
      <c r="D466" s="1" t="s">
        <v>6851</v>
      </c>
      <c r="F466" s="1" t="s">
        <v>6914</v>
      </c>
      <c r="H466" s="1" t="s">
        <v>6915</v>
      </c>
      <c r="J466" s="1" t="s">
        <v>1324</v>
      </c>
      <c r="L466" s="1" t="s">
        <v>6932</v>
      </c>
      <c r="N466" s="1" t="s">
        <v>7657</v>
      </c>
      <c r="P466" s="1" t="s">
        <v>7658</v>
      </c>
      <c r="Q466" s="3">
        <v>1</v>
      </c>
      <c r="R466" s="23" t="s">
        <v>6854</v>
      </c>
      <c r="S466" s="23" t="s">
        <v>6849</v>
      </c>
      <c r="T466" s="23" t="s">
        <v>4864</v>
      </c>
      <c r="U466" s="3">
        <v>35</v>
      </c>
      <c r="V466" s="3" t="s">
        <v>6936</v>
      </c>
      <c r="W466" s="45" t="str">
        <f>HYPERLINK("http://ictvonline.org/taxonomy/p/taxonomy-history?taxnode_id=201908318","ICTVonline=201908318")</f>
        <v>ICTVonline=201908318</v>
      </c>
      <c r="Y466" s="1" t="s">
        <v>7659</v>
      </c>
      <c r="AA466" s="1">
        <v>201900000</v>
      </c>
      <c r="AB466" s="1">
        <v>35</v>
      </c>
    </row>
    <row r="467" spans="1:28" x14ac:dyDescent="0.2">
      <c r="A467" s="1">
        <v>1215</v>
      </c>
      <c r="B467" s="1" t="s">
        <v>6850</v>
      </c>
      <c r="D467" s="1" t="s">
        <v>6851</v>
      </c>
      <c r="F467" s="1" t="s">
        <v>6914</v>
      </c>
      <c r="H467" s="1" t="s">
        <v>6915</v>
      </c>
      <c r="J467" s="1" t="s">
        <v>1324</v>
      </c>
      <c r="L467" s="1" t="s">
        <v>6932</v>
      </c>
      <c r="N467" s="1" t="s">
        <v>7660</v>
      </c>
      <c r="P467" s="1" t="s">
        <v>7661</v>
      </c>
      <c r="Q467" s="3">
        <v>1</v>
      </c>
      <c r="R467" s="23" t="s">
        <v>6854</v>
      </c>
      <c r="S467" s="23" t="s">
        <v>6849</v>
      </c>
      <c r="T467" s="23" t="s">
        <v>4864</v>
      </c>
      <c r="U467" s="3">
        <v>35</v>
      </c>
      <c r="V467" s="3" t="s">
        <v>6936</v>
      </c>
      <c r="W467" s="45" t="str">
        <f>HYPERLINK("http://ictvonline.org/taxonomy/p/taxonomy-history?taxnode_id=201908320","ICTVonline=201908320")</f>
        <v>ICTVonline=201908320</v>
      </c>
      <c r="Y467" s="1" t="s">
        <v>7662</v>
      </c>
      <c r="AA467" s="1">
        <v>201900000</v>
      </c>
      <c r="AB467" s="1">
        <v>35</v>
      </c>
    </row>
    <row r="468" spans="1:28" x14ac:dyDescent="0.2">
      <c r="A468" s="1">
        <v>1219</v>
      </c>
      <c r="B468" s="1" t="s">
        <v>6850</v>
      </c>
      <c r="D468" s="1" t="s">
        <v>6851</v>
      </c>
      <c r="F468" s="1" t="s">
        <v>6914</v>
      </c>
      <c r="H468" s="1" t="s">
        <v>6915</v>
      </c>
      <c r="J468" s="1" t="s">
        <v>1324</v>
      </c>
      <c r="L468" s="1" t="s">
        <v>6932</v>
      </c>
      <c r="N468" s="1" t="s">
        <v>7663</v>
      </c>
      <c r="P468" s="1" t="s">
        <v>7664</v>
      </c>
      <c r="Q468" s="3">
        <v>1</v>
      </c>
      <c r="R468" s="23" t="s">
        <v>6854</v>
      </c>
      <c r="S468" s="23" t="s">
        <v>6849</v>
      </c>
      <c r="T468" s="23" t="s">
        <v>4864</v>
      </c>
      <c r="U468" s="3">
        <v>35</v>
      </c>
      <c r="V468" s="3" t="s">
        <v>6936</v>
      </c>
      <c r="W468" s="45" t="str">
        <f>HYPERLINK("http://ictvonline.org/taxonomy/p/taxonomy-history?taxnode_id=201908267","ICTVonline=201908267")</f>
        <v>ICTVonline=201908267</v>
      </c>
      <c r="Y468" s="1" t="s">
        <v>7665</v>
      </c>
      <c r="AA468" s="1">
        <v>201900000</v>
      </c>
      <c r="AB468" s="1">
        <v>35</v>
      </c>
    </row>
    <row r="469" spans="1:28" x14ac:dyDescent="0.2">
      <c r="A469" s="1">
        <v>1223</v>
      </c>
      <c r="B469" s="1" t="s">
        <v>6850</v>
      </c>
      <c r="D469" s="1" t="s">
        <v>6851</v>
      </c>
      <c r="F469" s="1" t="s">
        <v>6914</v>
      </c>
      <c r="H469" s="1" t="s">
        <v>6915</v>
      </c>
      <c r="J469" s="1" t="s">
        <v>1324</v>
      </c>
      <c r="L469" s="1" t="s">
        <v>6932</v>
      </c>
      <c r="N469" s="1" t="s">
        <v>7666</v>
      </c>
      <c r="P469" s="1" t="s">
        <v>7667</v>
      </c>
      <c r="Q469" s="3">
        <v>0</v>
      </c>
      <c r="R469" s="23" t="s">
        <v>6854</v>
      </c>
      <c r="S469" s="23" t="s">
        <v>6849</v>
      </c>
      <c r="T469" s="23" t="s">
        <v>4864</v>
      </c>
      <c r="U469" s="3">
        <v>35</v>
      </c>
      <c r="V469" s="3" t="s">
        <v>6936</v>
      </c>
      <c r="W469" s="45" t="str">
        <f>HYPERLINK("http://ictvonline.org/taxonomy/p/taxonomy-history?taxnode_id=201908198","ICTVonline=201908198")</f>
        <v>ICTVonline=201908198</v>
      </c>
      <c r="Y469" s="1" t="s">
        <v>7668</v>
      </c>
      <c r="AA469" s="1">
        <v>201900000</v>
      </c>
      <c r="AB469" s="1">
        <v>35</v>
      </c>
    </row>
    <row r="470" spans="1:28" x14ac:dyDescent="0.2">
      <c r="A470" s="1">
        <v>1225</v>
      </c>
      <c r="B470" s="1" t="s">
        <v>6850</v>
      </c>
      <c r="D470" s="1" t="s">
        <v>6851</v>
      </c>
      <c r="F470" s="1" t="s">
        <v>6914</v>
      </c>
      <c r="H470" s="1" t="s">
        <v>6915</v>
      </c>
      <c r="J470" s="1" t="s">
        <v>1324</v>
      </c>
      <c r="L470" s="1" t="s">
        <v>6932</v>
      </c>
      <c r="N470" s="1" t="s">
        <v>7666</v>
      </c>
      <c r="P470" s="1" t="s">
        <v>7669</v>
      </c>
      <c r="Q470" s="3">
        <v>0</v>
      </c>
      <c r="R470" s="23" t="s">
        <v>6854</v>
      </c>
      <c r="S470" s="23" t="s">
        <v>6849</v>
      </c>
      <c r="T470" s="23" t="s">
        <v>4864</v>
      </c>
      <c r="U470" s="3">
        <v>35</v>
      </c>
      <c r="V470" s="3" t="s">
        <v>6936</v>
      </c>
      <c r="W470" s="45" t="str">
        <f>HYPERLINK("http://ictvonline.org/taxonomy/p/taxonomy-history?taxnode_id=201908199","ICTVonline=201908199")</f>
        <v>ICTVonline=201908199</v>
      </c>
      <c r="Y470" s="1" t="s">
        <v>7670</v>
      </c>
      <c r="AA470" s="1">
        <v>201900000</v>
      </c>
      <c r="AB470" s="1">
        <v>35</v>
      </c>
    </row>
    <row r="471" spans="1:28" x14ac:dyDescent="0.2">
      <c r="A471" s="1">
        <v>1227</v>
      </c>
      <c r="B471" s="1" t="s">
        <v>6850</v>
      </c>
      <c r="D471" s="1" t="s">
        <v>6851</v>
      </c>
      <c r="F471" s="1" t="s">
        <v>6914</v>
      </c>
      <c r="H471" s="1" t="s">
        <v>6915</v>
      </c>
      <c r="J471" s="1" t="s">
        <v>1324</v>
      </c>
      <c r="L471" s="1" t="s">
        <v>6932</v>
      </c>
      <c r="N471" s="1" t="s">
        <v>7666</v>
      </c>
      <c r="P471" s="1" t="s">
        <v>7671</v>
      </c>
      <c r="Q471" s="3">
        <v>0</v>
      </c>
      <c r="R471" s="23" t="s">
        <v>6854</v>
      </c>
      <c r="S471" s="23" t="s">
        <v>6849</v>
      </c>
      <c r="T471" s="23" t="s">
        <v>4864</v>
      </c>
      <c r="U471" s="3">
        <v>35</v>
      </c>
      <c r="V471" s="3" t="s">
        <v>6936</v>
      </c>
      <c r="W471" s="45" t="str">
        <f>HYPERLINK("http://ictvonline.org/taxonomy/p/taxonomy-history?taxnode_id=201908200","ICTVonline=201908200")</f>
        <v>ICTVonline=201908200</v>
      </c>
      <c r="Y471" s="1" t="s">
        <v>7672</v>
      </c>
      <c r="AA471" s="1">
        <v>201900000</v>
      </c>
      <c r="AB471" s="1">
        <v>35</v>
      </c>
    </row>
    <row r="472" spans="1:28" x14ac:dyDescent="0.2">
      <c r="A472" s="1">
        <v>1229</v>
      </c>
      <c r="B472" s="1" t="s">
        <v>6850</v>
      </c>
      <c r="D472" s="1" t="s">
        <v>6851</v>
      </c>
      <c r="F472" s="1" t="s">
        <v>6914</v>
      </c>
      <c r="H472" s="1" t="s">
        <v>6915</v>
      </c>
      <c r="J472" s="1" t="s">
        <v>1324</v>
      </c>
      <c r="L472" s="1" t="s">
        <v>6932</v>
      </c>
      <c r="N472" s="1" t="s">
        <v>7666</v>
      </c>
      <c r="P472" s="1" t="s">
        <v>7673</v>
      </c>
      <c r="Q472" s="3">
        <v>1</v>
      </c>
      <c r="R472" s="23" t="s">
        <v>6854</v>
      </c>
      <c r="S472" s="23" t="s">
        <v>6849</v>
      </c>
      <c r="T472" s="23" t="s">
        <v>4864</v>
      </c>
      <c r="U472" s="3">
        <v>35</v>
      </c>
      <c r="V472" s="3" t="s">
        <v>6936</v>
      </c>
      <c r="W472" s="45" t="str">
        <f>HYPERLINK("http://ictvonline.org/taxonomy/p/taxonomy-history?taxnode_id=201908197","ICTVonline=201908197")</f>
        <v>ICTVonline=201908197</v>
      </c>
      <c r="Y472" s="1" t="s">
        <v>7674</v>
      </c>
      <c r="AA472" s="1">
        <v>201900000</v>
      </c>
      <c r="AB472" s="1">
        <v>35</v>
      </c>
    </row>
    <row r="473" spans="1:28" x14ac:dyDescent="0.2">
      <c r="A473" s="1">
        <v>1233</v>
      </c>
      <c r="B473" s="1" t="s">
        <v>6850</v>
      </c>
      <c r="D473" s="1" t="s">
        <v>6851</v>
      </c>
      <c r="F473" s="1" t="s">
        <v>6914</v>
      </c>
      <c r="H473" s="1" t="s">
        <v>6915</v>
      </c>
      <c r="J473" s="1" t="s">
        <v>1324</v>
      </c>
      <c r="L473" s="1" t="s">
        <v>6932</v>
      </c>
      <c r="N473" s="1" t="s">
        <v>6246</v>
      </c>
      <c r="P473" s="1" t="s">
        <v>6247</v>
      </c>
      <c r="Q473" s="3">
        <v>1</v>
      </c>
      <c r="R473" s="23" t="s">
        <v>6854</v>
      </c>
      <c r="S473" s="23" t="s">
        <v>6845</v>
      </c>
      <c r="T473" s="23" t="s">
        <v>4866</v>
      </c>
      <c r="U473" s="3">
        <v>35</v>
      </c>
      <c r="W473" s="45" t="str">
        <f>HYPERLINK("http://ictvonline.org/taxonomy/p/taxonomy-history?taxnode_id=201906881","ICTVonline=201906881")</f>
        <v>ICTVonline=201906881</v>
      </c>
      <c r="Y473" s="1" t="s">
        <v>7675</v>
      </c>
      <c r="Z473" s="1" t="s">
        <v>7676</v>
      </c>
      <c r="AA473" s="1">
        <v>201900000</v>
      </c>
      <c r="AB473" s="1">
        <v>35</v>
      </c>
    </row>
    <row r="474" spans="1:28" x14ac:dyDescent="0.2">
      <c r="A474" s="1">
        <v>1237</v>
      </c>
      <c r="B474" s="1" t="s">
        <v>6850</v>
      </c>
      <c r="D474" s="1" t="s">
        <v>6851</v>
      </c>
      <c r="F474" s="1" t="s">
        <v>6914</v>
      </c>
      <c r="H474" s="1" t="s">
        <v>6915</v>
      </c>
      <c r="J474" s="1" t="s">
        <v>1324</v>
      </c>
      <c r="L474" s="1" t="s">
        <v>6932</v>
      </c>
      <c r="N474" s="1" t="s">
        <v>7677</v>
      </c>
      <c r="P474" s="1" t="s">
        <v>7678</v>
      </c>
      <c r="Q474" s="3">
        <v>1</v>
      </c>
      <c r="R474" s="23" t="s">
        <v>6854</v>
      </c>
      <c r="S474" s="23" t="s">
        <v>6849</v>
      </c>
      <c r="T474" s="23" t="s">
        <v>4864</v>
      </c>
      <c r="U474" s="3">
        <v>35</v>
      </c>
      <c r="V474" s="3" t="s">
        <v>6936</v>
      </c>
      <c r="W474" s="45" t="str">
        <f>HYPERLINK("http://ictvonline.org/taxonomy/p/taxonomy-history?taxnode_id=201908288","ICTVonline=201908288")</f>
        <v>ICTVonline=201908288</v>
      </c>
      <c r="Y474" s="1" t="s">
        <v>7679</v>
      </c>
      <c r="AA474" s="1">
        <v>201900000</v>
      </c>
      <c r="AB474" s="1">
        <v>35</v>
      </c>
    </row>
    <row r="475" spans="1:28" x14ac:dyDescent="0.2">
      <c r="A475" s="1">
        <v>1241</v>
      </c>
      <c r="B475" s="1" t="s">
        <v>6850</v>
      </c>
      <c r="D475" s="1" t="s">
        <v>6851</v>
      </c>
      <c r="F475" s="1" t="s">
        <v>6914</v>
      </c>
      <c r="H475" s="1" t="s">
        <v>6915</v>
      </c>
      <c r="J475" s="1" t="s">
        <v>1324</v>
      </c>
      <c r="L475" s="1" t="s">
        <v>6932</v>
      </c>
      <c r="N475" s="1" t="s">
        <v>7680</v>
      </c>
      <c r="P475" s="1" t="s">
        <v>7681</v>
      </c>
      <c r="Q475" s="3">
        <v>1</v>
      </c>
      <c r="R475" s="23" t="s">
        <v>6854</v>
      </c>
      <c r="S475" s="23" t="s">
        <v>6849</v>
      </c>
      <c r="T475" s="23" t="s">
        <v>4864</v>
      </c>
      <c r="U475" s="3">
        <v>35</v>
      </c>
      <c r="V475" s="3" t="s">
        <v>6936</v>
      </c>
      <c r="W475" s="45" t="str">
        <f>HYPERLINK("http://ictvonline.org/taxonomy/p/taxonomy-history?taxnode_id=201908286","ICTVonline=201908286")</f>
        <v>ICTVonline=201908286</v>
      </c>
      <c r="Y475" s="1" t="s">
        <v>7682</v>
      </c>
      <c r="AA475" s="1">
        <v>201900000</v>
      </c>
      <c r="AB475" s="1">
        <v>35</v>
      </c>
    </row>
    <row r="476" spans="1:28" x14ac:dyDescent="0.2">
      <c r="A476" s="1">
        <v>1245</v>
      </c>
      <c r="B476" s="1" t="s">
        <v>6850</v>
      </c>
      <c r="D476" s="1" t="s">
        <v>6851</v>
      </c>
      <c r="F476" s="1" t="s">
        <v>6914</v>
      </c>
      <c r="H476" s="1" t="s">
        <v>6915</v>
      </c>
      <c r="J476" s="1" t="s">
        <v>1324</v>
      </c>
      <c r="L476" s="1" t="s">
        <v>6932</v>
      </c>
      <c r="N476" s="1" t="s">
        <v>7683</v>
      </c>
      <c r="P476" s="1" t="s">
        <v>7684</v>
      </c>
      <c r="Q476" s="3">
        <v>1</v>
      </c>
      <c r="R476" s="23" t="s">
        <v>6854</v>
      </c>
      <c r="S476" s="23" t="s">
        <v>6849</v>
      </c>
      <c r="T476" s="23" t="s">
        <v>4864</v>
      </c>
      <c r="U476" s="3">
        <v>35</v>
      </c>
      <c r="V476" s="3" t="s">
        <v>6936</v>
      </c>
      <c r="W476" s="45" t="str">
        <f>HYPERLINK("http://ictvonline.org/taxonomy/p/taxonomy-history?taxnode_id=201908257","ICTVonline=201908257")</f>
        <v>ICTVonline=201908257</v>
      </c>
      <c r="Y476" s="1" t="s">
        <v>7685</v>
      </c>
      <c r="AA476" s="1">
        <v>201900000</v>
      </c>
      <c r="AB476" s="1">
        <v>35</v>
      </c>
    </row>
    <row r="477" spans="1:28" x14ac:dyDescent="0.2">
      <c r="A477" s="1">
        <v>1249</v>
      </c>
      <c r="B477" s="1" t="s">
        <v>6850</v>
      </c>
      <c r="D477" s="1" t="s">
        <v>6851</v>
      </c>
      <c r="F477" s="1" t="s">
        <v>6914</v>
      </c>
      <c r="H477" s="1" t="s">
        <v>6915</v>
      </c>
      <c r="J477" s="1" t="s">
        <v>1324</v>
      </c>
      <c r="L477" s="1" t="s">
        <v>6932</v>
      </c>
      <c r="N477" s="1" t="s">
        <v>7686</v>
      </c>
      <c r="P477" s="1" t="s">
        <v>7687</v>
      </c>
      <c r="Q477" s="3">
        <v>1</v>
      </c>
      <c r="R477" s="23" t="s">
        <v>6854</v>
      </c>
      <c r="S477" s="23" t="s">
        <v>6849</v>
      </c>
      <c r="T477" s="23" t="s">
        <v>4864</v>
      </c>
      <c r="U477" s="3">
        <v>35</v>
      </c>
      <c r="V477" s="3" t="s">
        <v>6936</v>
      </c>
      <c r="W477" s="45" t="str">
        <f>HYPERLINK("http://ictvonline.org/taxonomy/p/taxonomy-history?taxnode_id=201908302","ICTVonline=201908302")</f>
        <v>ICTVonline=201908302</v>
      </c>
      <c r="Y477" s="1" t="s">
        <v>7688</v>
      </c>
      <c r="AA477" s="1">
        <v>201900000</v>
      </c>
      <c r="AB477" s="1">
        <v>35</v>
      </c>
    </row>
    <row r="478" spans="1:28" x14ac:dyDescent="0.2">
      <c r="A478" s="1">
        <v>1253</v>
      </c>
      <c r="B478" s="1" t="s">
        <v>6850</v>
      </c>
      <c r="D478" s="1" t="s">
        <v>6851</v>
      </c>
      <c r="F478" s="1" t="s">
        <v>6914</v>
      </c>
      <c r="H478" s="1" t="s">
        <v>6915</v>
      </c>
      <c r="J478" s="1" t="s">
        <v>1324</v>
      </c>
      <c r="L478" s="1" t="s">
        <v>6932</v>
      </c>
      <c r="N478" s="1" t="s">
        <v>7689</v>
      </c>
      <c r="P478" s="1" t="s">
        <v>7690</v>
      </c>
      <c r="Q478" s="3">
        <v>1</v>
      </c>
      <c r="R478" s="23" t="s">
        <v>6854</v>
      </c>
      <c r="S478" s="23" t="s">
        <v>6849</v>
      </c>
      <c r="T478" s="23" t="s">
        <v>4864</v>
      </c>
      <c r="U478" s="3">
        <v>35</v>
      </c>
      <c r="V478" s="3" t="s">
        <v>6936</v>
      </c>
      <c r="W478" s="45" t="str">
        <f>HYPERLINK("http://ictvonline.org/taxonomy/p/taxonomy-history?taxnode_id=201908259","ICTVonline=201908259")</f>
        <v>ICTVonline=201908259</v>
      </c>
      <c r="Y478" s="1" t="s">
        <v>7691</v>
      </c>
      <c r="AA478" s="1">
        <v>201900000</v>
      </c>
      <c r="AB478" s="1">
        <v>35</v>
      </c>
    </row>
    <row r="479" spans="1:28" x14ac:dyDescent="0.2">
      <c r="A479" s="1">
        <v>1257</v>
      </c>
      <c r="B479" s="1" t="s">
        <v>6850</v>
      </c>
      <c r="D479" s="1" t="s">
        <v>6851</v>
      </c>
      <c r="F479" s="1" t="s">
        <v>6914</v>
      </c>
      <c r="H479" s="1" t="s">
        <v>6915</v>
      </c>
      <c r="J479" s="1" t="s">
        <v>1324</v>
      </c>
      <c r="L479" s="1" t="s">
        <v>6932</v>
      </c>
      <c r="N479" s="1" t="s">
        <v>7692</v>
      </c>
      <c r="P479" s="1" t="s">
        <v>7693</v>
      </c>
      <c r="Q479" s="3">
        <v>1</v>
      </c>
      <c r="R479" s="23" t="s">
        <v>6854</v>
      </c>
      <c r="S479" s="23" t="s">
        <v>6849</v>
      </c>
      <c r="T479" s="23" t="s">
        <v>4864</v>
      </c>
      <c r="U479" s="3">
        <v>35</v>
      </c>
      <c r="V479" s="3" t="s">
        <v>6936</v>
      </c>
      <c r="W479" s="45" t="str">
        <f>HYPERLINK("http://ictvonline.org/taxonomy/p/taxonomy-history?taxnode_id=201908324","ICTVonline=201908324")</f>
        <v>ICTVonline=201908324</v>
      </c>
      <c r="Y479" s="1" t="s">
        <v>7694</v>
      </c>
      <c r="AA479" s="1">
        <v>201900000</v>
      </c>
      <c r="AB479" s="1">
        <v>35</v>
      </c>
    </row>
    <row r="480" spans="1:28" x14ac:dyDescent="0.2">
      <c r="A480" s="1">
        <v>1261</v>
      </c>
      <c r="B480" s="1" t="s">
        <v>6850</v>
      </c>
      <c r="D480" s="1" t="s">
        <v>6851</v>
      </c>
      <c r="F480" s="1" t="s">
        <v>6914</v>
      </c>
      <c r="H480" s="1" t="s">
        <v>6915</v>
      </c>
      <c r="J480" s="1" t="s">
        <v>1324</v>
      </c>
      <c r="L480" s="1" t="s">
        <v>6932</v>
      </c>
      <c r="N480" s="1" t="s">
        <v>7695</v>
      </c>
      <c r="P480" s="1" t="s">
        <v>7696</v>
      </c>
      <c r="Q480" s="3">
        <v>1</v>
      </c>
      <c r="R480" s="23" t="s">
        <v>6854</v>
      </c>
      <c r="S480" s="23" t="s">
        <v>6849</v>
      </c>
      <c r="T480" s="23" t="s">
        <v>4864</v>
      </c>
      <c r="U480" s="3">
        <v>35</v>
      </c>
      <c r="V480" s="3" t="s">
        <v>6936</v>
      </c>
      <c r="W480" s="45" t="str">
        <f>HYPERLINK("http://ictvonline.org/taxonomy/p/taxonomy-history?taxnode_id=201908298","ICTVonline=201908298")</f>
        <v>ICTVonline=201908298</v>
      </c>
      <c r="Y480" s="1" t="s">
        <v>7697</v>
      </c>
      <c r="AA480" s="1">
        <v>201900000</v>
      </c>
      <c r="AB480" s="1">
        <v>35</v>
      </c>
    </row>
    <row r="481" spans="1:28" x14ac:dyDescent="0.2">
      <c r="A481" s="1">
        <v>1265</v>
      </c>
      <c r="B481" s="1" t="s">
        <v>6850</v>
      </c>
      <c r="D481" s="1" t="s">
        <v>6851</v>
      </c>
      <c r="F481" s="1" t="s">
        <v>6914</v>
      </c>
      <c r="H481" s="1" t="s">
        <v>6915</v>
      </c>
      <c r="J481" s="1" t="s">
        <v>1324</v>
      </c>
      <c r="L481" s="1" t="s">
        <v>6932</v>
      </c>
      <c r="N481" s="1" t="s">
        <v>7698</v>
      </c>
      <c r="P481" s="1" t="s">
        <v>7699</v>
      </c>
      <c r="Q481" s="3">
        <v>1</v>
      </c>
      <c r="R481" s="23" t="s">
        <v>6854</v>
      </c>
      <c r="S481" s="23" t="s">
        <v>6849</v>
      </c>
      <c r="T481" s="23" t="s">
        <v>4864</v>
      </c>
      <c r="U481" s="3">
        <v>35</v>
      </c>
      <c r="V481" s="3" t="s">
        <v>6936</v>
      </c>
      <c r="W481" s="45" t="str">
        <f>HYPERLINK("http://ictvonline.org/taxonomy/p/taxonomy-history?taxnode_id=201908232","ICTVonline=201908232")</f>
        <v>ICTVonline=201908232</v>
      </c>
      <c r="Y481" s="1" t="s">
        <v>7700</v>
      </c>
      <c r="AA481" s="1">
        <v>201900000</v>
      </c>
      <c r="AB481" s="1">
        <v>35</v>
      </c>
    </row>
    <row r="482" spans="1:28" x14ac:dyDescent="0.2">
      <c r="A482" s="1">
        <v>1267</v>
      </c>
      <c r="B482" s="1" t="s">
        <v>6850</v>
      </c>
      <c r="D482" s="1" t="s">
        <v>6851</v>
      </c>
      <c r="F482" s="1" t="s">
        <v>6914</v>
      </c>
      <c r="H482" s="1" t="s">
        <v>6915</v>
      </c>
      <c r="J482" s="1" t="s">
        <v>1324</v>
      </c>
      <c r="L482" s="1" t="s">
        <v>6932</v>
      </c>
      <c r="N482" s="1" t="s">
        <v>7698</v>
      </c>
      <c r="P482" s="1" t="s">
        <v>7701</v>
      </c>
      <c r="Q482" s="3">
        <v>0</v>
      </c>
      <c r="R482" s="23" t="s">
        <v>6854</v>
      </c>
      <c r="S482" s="23" t="s">
        <v>6849</v>
      </c>
      <c r="T482" s="23" t="s">
        <v>4864</v>
      </c>
      <c r="U482" s="3">
        <v>35</v>
      </c>
      <c r="V482" s="3" t="s">
        <v>6936</v>
      </c>
      <c r="W482" s="45" t="str">
        <f>HYPERLINK("http://ictvonline.org/taxonomy/p/taxonomy-history?taxnode_id=201908233","ICTVonline=201908233")</f>
        <v>ICTVonline=201908233</v>
      </c>
      <c r="Y482" s="1" t="s">
        <v>7702</v>
      </c>
      <c r="AA482" s="1">
        <v>201900000</v>
      </c>
      <c r="AB482" s="1">
        <v>35</v>
      </c>
    </row>
    <row r="483" spans="1:28" x14ac:dyDescent="0.2">
      <c r="A483" s="1">
        <v>1271</v>
      </c>
      <c r="B483" s="1" t="s">
        <v>6850</v>
      </c>
      <c r="D483" s="1" t="s">
        <v>6851</v>
      </c>
      <c r="F483" s="1" t="s">
        <v>6914</v>
      </c>
      <c r="H483" s="1" t="s">
        <v>6915</v>
      </c>
      <c r="J483" s="1" t="s">
        <v>1324</v>
      </c>
      <c r="L483" s="1" t="s">
        <v>6932</v>
      </c>
      <c r="N483" s="1" t="s">
        <v>7703</v>
      </c>
      <c r="P483" s="1" t="s">
        <v>7704</v>
      </c>
      <c r="Q483" s="3">
        <v>1</v>
      </c>
      <c r="R483" s="23" t="s">
        <v>6854</v>
      </c>
      <c r="S483" s="23" t="s">
        <v>6849</v>
      </c>
      <c r="T483" s="23" t="s">
        <v>4864</v>
      </c>
      <c r="U483" s="3">
        <v>35</v>
      </c>
      <c r="V483" s="3" t="s">
        <v>6936</v>
      </c>
      <c r="W483" s="45" t="str">
        <f>HYPERLINK("http://ictvonline.org/taxonomy/p/taxonomy-history?taxnode_id=201908263","ICTVonline=201908263")</f>
        <v>ICTVonline=201908263</v>
      </c>
      <c r="Y483" s="1" t="s">
        <v>7705</v>
      </c>
      <c r="AA483" s="1">
        <v>201900000</v>
      </c>
      <c r="AB483" s="1">
        <v>35</v>
      </c>
    </row>
    <row r="484" spans="1:28" x14ac:dyDescent="0.2">
      <c r="A484" s="1">
        <v>1275</v>
      </c>
      <c r="B484" s="1" t="s">
        <v>6850</v>
      </c>
      <c r="D484" s="1" t="s">
        <v>6851</v>
      </c>
      <c r="F484" s="1" t="s">
        <v>6914</v>
      </c>
      <c r="H484" s="1" t="s">
        <v>6915</v>
      </c>
      <c r="J484" s="1" t="s">
        <v>1324</v>
      </c>
      <c r="L484" s="1" t="s">
        <v>6932</v>
      </c>
      <c r="N484" s="1" t="s">
        <v>7706</v>
      </c>
      <c r="P484" s="1" t="s">
        <v>7707</v>
      </c>
      <c r="Q484" s="3">
        <v>1</v>
      </c>
      <c r="R484" s="23" t="s">
        <v>6854</v>
      </c>
      <c r="S484" s="23" t="s">
        <v>6849</v>
      </c>
      <c r="T484" s="23" t="s">
        <v>4864</v>
      </c>
      <c r="U484" s="3">
        <v>35</v>
      </c>
      <c r="V484" s="3" t="s">
        <v>6936</v>
      </c>
      <c r="W484" s="45" t="str">
        <f>HYPERLINK("http://ictvonline.org/taxonomy/p/taxonomy-history?taxnode_id=201908261","ICTVonline=201908261")</f>
        <v>ICTVonline=201908261</v>
      </c>
      <c r="Y484" s="1" t="s">
        <v>7708</v>
      </c>
      <c r="AA484" s="1">
        <v>201900000</v>
      </c>
      <c r="AB484" s="1">
        <v>35</v>
      </c>
    </row>
    <row r="485" spans="1:28" x14ac:dyDescent="0.2">
      <c r="A485" s="1">
        <v>1279</v>
      </c>
      <c r="B485" s="1" t="s">
        <v>6850</v>
      </c>
      <c r="D485" s="1" t="s">
        <v>6851</v>
      </c>
      <c r="F485" s="1" t="s">
        <v>6914</v>
      </c>
      <c r="H485" s="1" t="s">
        <v>6915</v>
      </c>
      <c r="J485" s="1" t="s">
        <v>1324</v>
      </c>
      <c r="L485" s="1" t="s">
        <v>6932</v>
      </c>
      <c r="N485" s="1" t="s">
        <v>7709</v>
      </c>
      <c r="P485" s="1" t="s">
        <v>7710</v>
      </c>
      <c r="Q485" s="3">
        <v>1</v>
      </c>
      <c r="R485" s="23" t="s">
        <v>6854</v>
      </c>
      <c r="S485" s="23" t="s">
        <v>6849</v>
      </c>
      <c r="T485" s="23" t="s">
        <v>4864</v>
      </c>
      <c r="U485" s="3">
        <v>35</v>
      </c>
      <c r="V485" s="3" t="s">
        <v>6936</v>
      </c>
      <c r="W485" s="45" t="str">
        <f>HYPERLINK("http://ictvonline.org/taxonomy/p/taxonomy-history?taxnode_id=201908300","ICTVonline=201908300")</f>
        <v>ICTVonline=201908300</v>
      </c>
      <c r="Y485" s="1" t="s">
        <v>7711</v>
      </c>
      <c r="AA485" s="1">
        <v>201900000</v>
      </c>
      <c r="AB485" s="1">
        <v>35</v>
      </c>
    </row>
    <row r="486" spans="1:28" x14ac:dyDescent="0.2">
      <c r="A486" s="1">
        <v>1283</v>
      </c>
      <c r="B486" s="1" t="s">
        <v>6850</v>
      </c>
      <c r="D486" s="1" t="s">
        <v>6851</v>
      </c>
      <c r="F486" s="1" t="s">
        <v>6914</v>
      </c>
      <c r="H486" s="1" t="s">
        <v>6915</v>
      </c>
      <c r="J486" s="1" t="s">
        <v>1324</v>
      </c>
      <c r="L486" s="1" t="s">
        <v>6932</v>
      </c>
      <c r="N486" s="1" t="s">
        <v>6253</v>
      </c>
      <c r="P486" s="1" t="s">
        <v>6254</v>
      </c>
      <c r="Q486" s="3">
        <v>1</v>
      </c>
      <c r="R486" s="23" t="s">
        <v>6854</v>
      </c>
      <c r="S486" s="23" t="s">
        <v>6845</v>
      </c>
      <c r="T486" s="23" t="s">
        <v>4866</v>
      </c>
      <c r="U486" s="3">
        <v>35</v>
      </c>
      <c r="W486" s="45" t="str">
        <f>HYPERLINK("http://ictvonline.org/taxonomy/p/taxonomy-history?taxnode_id=201906861","ICTVonline=201906861")</f>
        <v>ICTVonline=201906861</v>
      </c>
      <c r="Y486" s="1" t="s">
        <v>7712</v>
      </c>
      <c r="Z486" s="1" t="s">
        <v>7713</v>
      </c>
      <c r="AA486" s="1">
        <v>201900000</v>
      </c>
      <c r="AB486" s="1">
        <v>35</v>
      </c>
    </row>
    <row r="487" spans="1:28" x14ac:dyDescent="0.2">
      <c r="A487" s="1">
        <v>1287</v>
      </c>
      <c r="B487" s="1" t="s">
        <v>6850</v>
      </c>
      <c r="D487" s="1" t="s">
        <v>6851</v>
      </c>
      <c r="F487" s="1" t="s">
        <v>6914</v>
      </c>
      <c r="H487" s="1" t="s">
        <v>6915</v>
      </c>
      <c r="J487" s="1" t="s">
        <v>1324</v>
      </c>
      <c r="L487" s="1" t="s">
        <v>6932</v>
      </c>
      <c r="N487" s="1" t="s">
        <v>7714</v>
      </c>
      <c r="P487" s="1" t="s">
        <v>7715</v>
      </c>
      <c r="Q487" s="3">
        <v>1</v>
      </c>
      <c r="R487" s="23" t="s">
        <v>6854</v>
      </c>
      <c r="S487" s="23" t="s">
        <v>6849</v>
      </c>
      <c r="T487" s="23" t="s">
        <v>4864</v>
      </c>
      <c r="U487" s="3">
        <v>35</v>
      </c>
      <c r="V487" s="3" t="s">
        <v>6936</v>
      </c>
      <c r="W487" s="45" t="str">
        <f>HYPERLINK("http://ictvonline.org/taxonomy/p/taxonomy-history?taxnode_id=201908202","ICTVonline=201908202")</f>
        <v>ICTVonline=201908202</v>
      </c>
      <c r="Y487" s="1" t="s">
        <v>7716</v>
      </c>
      <c r="AA487" s="1">
        <v>201900000</v>
      </c>
      <c r="AB487" s="1">
        <v>35</v>
      </c>
    </row>
    <row r="488" spans="1:28" x14ac:dyDescent="0.2">
      <c r="A488" s="1">
        <v>1291</v>
      </c>
      <c r="B488" s="1" t="s">
        <v>6850</v>
      </c>
      <c r="D488" s="1" t="s">
        <v>6851</v>
      </c>
      <c r="F488" s="1" t="s">
        <v>6914</v>
      </c>
      <c r="H488" s="1" t="s">
        <v>6915</v>
      </c>
      <c r="J488" s="1" t="s">
        <v>1324</v>
      </c>
      <c r="L488" s="1" t="s">
        <v>6932</v>
      </c>
      <c r="N488" s="1" t="s">
        <v>7717</v>
      </c>
      <c r="P488" s="1" t="s">
        <v>7718</v>
      </c>
      <c r="Q488" s="3">
        <v>1</v>
      </c>
      <c r="R488" s="23" t="s">
        <v>6854</v>
      </c>
      <c r="S488" s="23" t="s">
        <v>6849</v>
      </c>
      <c r="T488" s="23" t="s">
        <v>4864</v>
      </c>
      <c r="U488" s="3">
        <v>35</v>
      </c>
      <c r="V488" s="3" t="s">
        <v>6936</v>
      </c>
      <c r="W488" s="45" t="str">
        <f>HYPERLINK("http://ictvonline.org/taxonomy/p/taxonomy-history?taxnode_id=201908272","ICTVonline=201908272")</f>
        <v>ICTVonline=201908272</v>
      </c>
      <c r="Y488" s="1" t="s">
        <v>7719</v>
      </c>
      <c r="AA488" s="1">
        <v>201900000</v>
      </c>
      <c r="AB488" s="1">
        <v>35</v>
      </c>
    </row>
    <row r="489" spans="1:28" x14ac:dyDescent="0.2">
      <c r="A489" s="1">
        <v>1295</v>
      </c>
      <c r="B489" s="1" t="s">
        <v>6850</v>
      </c>
      <c r="D489" s="1" t="s">
        <v>6851</v>
      </c>
      <c r="F489" s="1" t="s">
        <v>6914</v>
      </c>
      <c r="H489" s="1" t="s">
        <v>6915</v>
      </c>
      <c r="J489" s="1" t="s">
        <v>1324</v>
      </c>
      <c r="L489" s="1" t="s">
        <v>6932</v>
      </c>
      <c r="N489" s="1" t="s">
        <v>4220</v>
      </c>
      <c r="P489" s="1" t="s">
        <v>4221</v>
      </c>
      <c r="Q489" s="3">
        <v>0</v>
      </c>
      <c r="R489" s="23" t="s">
        <v>6854</v>
      </c>
      <c r="S489" s="23" t="s">
        <v>6845</v>
      </c>
      <c r="T489" s="23" t="s">
        <v>4866</v>
      </c>
      <c r="U489" s="3">
        <v>35</v>
      </c>
      <c r="W489" s="45" t="str">
        <f>HYPERLINK("http://ictvonline.org/taxonomy/p/taxonomy-history?taxnode_id=201900573","ICTVonline=201900573")</f>
        <v>ICTVonline=201900573</v>
      </c>
      <c r="Y489" s="1" t="s">
        <v>7720</v>
      </c>
      <c r="Z489" s="1" t="s">
        <v>7721</v>
      </c>
      <c r="AA489" s="1">
        <v>201900000</v>
      </c>
      <c r="AB489" s="1">
        <v>35</v>
      </c>
    </row>
    <row r="490" spans="1:28" x14ac:dyDescent="0.2">
      <c r="A490" s="1">
        <v>1297</v>
      </c>
      <c r="B490" s="1" t="s">
        <v>6850</v>
      </c>
      <c r="D490" s="1" t="s">
        <v>6851</v>
      </c>
      <c r="F490" s="1" t="s">
        <v>6914</v>
      </c>
      <c r="H490" s="1" t="s">
        <v>6915</v>
      </c>
      <c r="J490" s="1" t="s">
        <v>1324</v>
      </c>
      <c r="L490" s="1" t="s">
        <v>6932</v>
      </c>
      <c r="N490" s="1" t="s">
        <v>4220</v>
      </c>
      <c r="P490" s="1" t="s">
        <v>4222</v>
      </c>
      <c r="Q490" s="3">
        <v>0</v>
      </c>
      <c r="R490" s="23" t="s">
        <v>6854</v>
      </c>
      <c r="S490" s="23" t="s">
        <v>6845</v>
      </c>
      <c r="T490" s="23" t="s">
        <v>4866</v>
      </c>
      <c r="U490" s="3">
        <v>35</v>
      </c>
      <c r="W490" s="45" t="str">
        <f>HYPERLINK("http://ictvonline.org/taxonomy/p/taxonomy-history?taxnode_id=201900574","ICTVonline=201900574")</f>
        <v>ICTVonline=201900574</v>
      </c>
      <c r="Y490" s="1" t="s">
        <v>7722</v>
      </c>
      <c r="Z490" s="1" t="s">
        <v>7723</v>
      </c>
      <c r="AA490" s="1">
        <v>201900000</v>
      </c>
      <c r="AB490" s="1">
        <v>35</v>
      </c>
    </row>
    <row r="491" spans="1:28" x14ac:dyDescent="0.2">
      <c r="A491" s="1">
        <v>1299</v>
      </c>
      <c r="B491" s="1" t="s">
        <v>6850</v>
      </c>
      <c r="D491" s="1" t="s">
        <v>6851</v>
      </c>
      <c r="F491" s="1" t="s">
        <v>6914</v>
      </c>
      <c r="H491" s="1" t="s">
        <v>6915</v>
      </c>
      <c r="J491" s="1" t="s">
        <v>1324</v>
      </c>
      <c r="L491" s="1" t="s">
        <v>6932</v>
      </c>
      <c r="N491" s="1" t="s">
        <v>4220</v>
      </c>
      <c r="P491" s="1" t="s">
        <v>7724</v>
      </c>
      <c r="Q491" s="3">
        <v>0</v>
      </c>
      <c r="R491" s="23" t="s">
        <v>6854</v>
      </c>
      <c r="S491" s="23" t="s">
        <v>6849</v>
      </c>
      <c r="T491" s="23" t="s">
        <v>4864</v>
      </c>
      <c r="U491" s="3">
        <v>35</v>
      </c>
      <c r="V491" s="3" t="s">
        <v>6936</v>
      </c>
      <c r="W491" s="45" t="str">
        <f>HYPERLINK("http://ictvonline.org/taxonomy/p/taxonomy-history?taxnode_id=201908242","ICTVonline=201908242")</f>
        <v>ICTVonline=201908242</v>
      </c>
      <c r="Y491" s="1" t="s">
        <v>7725</v>
      </c>
      <c r="AA491" s="1">
        <v>201900000</v>
      </c>
      <c r="AB491" s="1">
        <v>35</v>
      </c>
    </row>
    <row r="492" spans="1:28" x14ac:dyDescent="0.2">
      <c r="A492" s="1">
        <v>1301</v>
      </c>
      <c r="B492" s="1" t="s">
        <v>6850</v>
      </c>
      <c r="D492" s="1" t="s">
        <v>6851</v>
      </c>
      <c r="F492" s="1" t="s">
        <v>6914</v>
      </c>
      <c r="H492" s="1" t="s">
        <v>6915</v>
      </c>
      <c r="J492" s="1" t="s">
        <v>1324</v>
      </c>
      <c r="L492" s="1" t="s">
        <v>6932</v>
      </c>
      <c r="N492" s="1" t="s">
        <v>4220</v>
      </c>
      <c r="P492" s="1" t="s">
        <v>7726</v>
      </c>
      <c r="Q492" s="3">
        <v>0</v>
      </c>
      <c r="R492" s="23" t="s">
        <v>6854</v>
      </c>
      <c r="S492" s="23" t="s">
        <v>6849</v>
      </c>
      <c r="T492" s="23" t="s">
        <v>4864</v>
      </c>
      <c r="U492" s="3">
        <v>35</v>
      </c>
      <c r="V492" s="3" t="s">
        <v>6936</v>
      </c>
      <c r="W492" s="45" t="str">
        <f>HYPERLINK("http://ictvonline.org/taxonomy/p/taxonomy-history?taxnode_id=201908243","ICTVonline=201908243")</f>
        <v>ICTVonline=201908243</v>
      </c>
      <c r="Y492" s="1" t="s">
        <v>7727</v>
      </c>
      <c r="AA492" s="1">
        <v>201900000</v>
      </c>
      <c r="AB492" s="1">
        <v>35</v>
      </c>
    </row>
    <row r="493" spans="1:28" x14ac:dyDescent="0.2">
      <c r="A493" s="1">
        <v>1303</v>
      </c>
      <c r="B493" s="1" t="s">
        <v>6850</v>
      </c>
      <c r="D493" s="1" t="s">
        <v>6851</v>
      </c>
      <c r="F493" s="1" t="s">
        <v>6914</v>
      </c>
      <c r="H493" s="1" t="s">
        <v>6915</v>
      </c>
      <c r="J493" s="1" t="s">
        <v>1324</v>
      </c>
      <c r="L493" s="1" t="s">
        <v>6932</v>
      </c>
      <c r="N493" s="1" t="s">
        <v>4220</v>
      </c>
      <c r="P493" s="1" t="s">
        <v>4223</v>
      </c>
      <c r="Q493" s="3">
        <v>1</v>
      </c>
      <c r="R493" s="23" t="s">
        <v>6854</v>
      </c>
      <c r="S493" s="23" t="s">
        <v>6845</v>
      </c>
      <c r="T493" s="23" t="s">
        <v>4866</v>
      </c>
      <c r="U493" s="3">
        <v>35</v>
      </c>
      <c r="W493" s="45" t="str">
        <f>HYPERLINK("http://ictvonline.org/taxonomy/p/taxonomy-history?taxnode_id=201900575","ICTVonline=201900575")</f>
        <v>ICTVonline=201900575</v>
      </c>
      <c r="Y493" s="1" t="s">
        <v>7728</v>
      </c>
      <c r="Z493" s="1" t="s">
        <v>7729</v>
      </c>
      <c r="AA493" s="1">
        <v>201900000</v>
      </c>
      <c r="AB493" s="1">
        <v>35</v>
      </c>
    </row>
    <row r="494" spans="1:28" x14ac:dyDescent="0.2">
      <c r="A494" s="1">
        <v>1307</v>
      </c>
      <c r="B494" s="1" t="s">
        <v>6850</v>
      </c>
      <c r="D494" s="1" t="s">
        <v>6851</v>
      </c>
      <c r="F494" s="1" t="s">
        <v>6914</v>
      </c>
      <c r="H494" s="1" t="s">
        <v>6915</v>
      </c>
      <c r="J494" s="1" t="s">
        <v>1324</v>
      </c>
      <c r="L494" s="1" t="s">
        <v>6932</v>
      </c>
      <c r="N494" s="1" t="s">
        <v>7730</v>
      </c>
      <c r="P494" s="1" t="s">
        <v>7731</v>
      </c>
      <c r="Q494" s="3">
        <v>1</v>
      </c>
      <c r="R494" s="23" t="s">
        <v>6854</v>
      </c>
      <c r="S494" s="23" t="s">
        <v>6849</v>
      </c>
      <c r="T494" s="23" t="s">
        <v>4864</v>
      </c>
      <c r="U494" s="3">
        <v>35</v>
      </c>
      <c r="V494" s="3" t="s">
        <v>6936</v>
      </c>
      <c r="W494" s="45" t="str">
        <f>HYPERLINK("http://ictvonline.org/taxonomy/p/taxonomy-history?taxnode_id=201908280","ICTVonline=201908280")</f>
        <v>ICTVonline=201908280</v>
      </c>
      <c r="Y494" s="1" t="s">
        <v>7732</v>
      </c>
      <c r="AA494" s="1">
        <v>201900000</v>
      </c>
      <c r="AB494" s="1">
        <v>35</v>
      </c>
    </row>
    <row r="495" spans="1:28" x14ac:dyDescent="0.2">
      <c r="A495" s="1">
        <v>1311</v>
      </c>
      <c r="B495" s="1" t="s">
        <v>6850</v>
      </c>
      <c r="D495" s="1" t="s">
        <v>6851</v>
      </c>
      <c r="F495" s="1" t="s">
        <v>6914</v>
      </c>
      <c r="H495" s="1" t="s">
        <v>6915</v>
      </c>
      <c r="J495" s="1" t="s">
        <v>1324</v>
      </c>
      <c r="L495" s="1" t="s">
        <v>6932</v>
      </c>
      <c r="N495" s="1" t="s">
        <v>7733</v>
      </c>
      <c r="P495" s="1" t="s">
        <v>7734</v>
      </c>
      <c r="Q495" s="3">
        <v>1</v>
      </c>
      <c r="R495" s="23" t="s">
        <v>6854</v>
      </c>
      <c r="S495" s="23" t="s">
        <v>6849</v>
      </c>
      <c r="T495" s="23" t="s">
        <v>4864</v>
      </c>
      <c r="U495" s="3">
        <v>35</v>
      </c>
      <c r="V495" s="3" t="s">
        <v>6936</v>
      </c>
      <c r="W495" s="45" t="str">
        <f>HYPERLINK("http://ictvonline.org/taxonomy/p/taxonomy-history?taxnode_id=201908269","ICTVonline=201908269")</f>
        <v>ICTVonline=201908269</v>
      </c>
      <c r="Y495" s="1" t="s">
        <v>7735</v>
      </c>
      <c r="AA495" s="1">
        <v>201900000</v>
      </c>
      <c r="AB495" s="1">
        <v>35</v>
      </c>
    </row>
    <row r="496" spans="1:28" x14ac:dyDescent="0.2">
      <c r="A496" s="1">
        <v>1315</v>
      </c>
      <c r="B496" s="1" t="s">
        <v>6850</v>
      </c>
      <c r="D496" s="1" t="s">
        <v>6851</v>
      </c>
      <c r="F496" s="1" t="s">
        <v>6914</v>
      </c>
      <c r="H496" s="1" t="s">
        <v>6915</v>
      </c>
      <c r="J496" s="1" t="s">
        <v>1324</v>
      </c>
      <c r="L496" s="1" t="s">
        <v>6932</v>
      </c>
      <c r="N496" s="1" t="s">
        <v>7736</v>
      </c>
      <c r="P496" s="1" t="s">
        <v>7737</v>
      </c>
      <c r="Q496" s="3">
        <v>1</v>
      </c>
      <c r="R496" s="23" t="s">
        <v>6854</v>
      </c>
      <c r="S496" s="23" t="s">
        <v>6849</v>
      </c>
      <c r="T496" s="23" t="s">
        <v>4864</v>
      </c>
      <c r="U496" s="3">
        <v>35</v>
      </c>
      <c r="V496" s="3" t="s">
        <v>6936</v>
      </c>
      <c r="W496" s="45" t="str">
        <f>HYPERLINK("http://ictvonline.org/taxonomy/p/taxonomy-history?taxnode_id=201908219","ICTVonline=201908219")</f>
        <v>ICTVonline=201908219</v>
      </c>
      <c r="Y496" s="1" t="s">
        <v>7738</v>
      </c>
      <c r="AA496" s="1">
        <v>201900000</v>
      </c>
      <c r="AB496" s="1">
        <v>35</v>
      </c>
    </row>
    <row r="497" spans="1:28" x14ac:dyDescent="0.2">
      <c r="A497" s="1">
        <v>1319</v>
      </c>
      <c r="B497" s="1" t="s">
        <v>6850</v>
      </c>
      <c r="D497" s="1" t="s">
        <v>6851</v>
      </c>
      <c r="F497" s="1" t="s">
        <v>6914</v>
      </c>
      <c r="H497" s="1" t="s">
        <v>6915</v>
      </c>
      <c r="J497" s="1" t="s">
        <v>1324</v>
      </c>
      <c r="L497" s="1" t="s">
        <v>6932</v>
      </c>
      <c r="N497" s="1" t="s">
        <v>7739</v>
      </c>
      <c r="P497" s="1" t="s">
        <v>7740</v>
      </c>
      <c r="Q497" s="3">
        <v>1</v>
      </c>
      <c r="R497" s="23" t="s">
        <v>6854</v>
      </c>
      <c r="S497" s="23" t="s">
        <v>6849</v>
      </c>
      <c r="T497" s="23" t="s">
        <v>4864</v>
      </c>
      <c r="U497" s="3">
        <v>35</v>
      </c>
      <c r="V497" s="3" t="s">
        <v>6936</v>
      </c>
      <c r="W497" s="45" t="str">
        <f>HYPERLINK("http://ictvonline.org/taxonomy/p/taxonomy-history?taxnode_id=201908499","ICTVonline=201908499")</f>
        <v>ICTVonline=201908499</v>
      </c>
      <c r="Y497" s="1" t="s">
        <v>7741</v>
      </c>
      <c r="AA497" s="1">
        <v>201900000</v>
      </c>
      <c r="AB497" s="1">
        <v>35</v>
      </c>
    </row>
    <row r="498" spans="1:28" x14ac:dyDescent="0.2">
      <c r="A498" s="1">
        <v>1323</v>
      </c>
      <c r="B498" s="1" t="s">
        <v>6850</v>
      </c>
      <c r="D498" s="1" t="s">
        <v>6851</v>
      </c>
      <c r="F498" s="1" t="s">
        <v>6914</v>
      </c>
      <c r="H498" s="1" t="s">
        <v>6915</v>
      </c>
      <c r="J498" s="1" t="s">
        <v>1324</v>
      </c>
      <c r="L498" s="1" t="s">
        <v>6932</v>
      </c>
      <c r="N498" s="1" t="s">
        <v>7742</v>
      </c>
      <c r="P498" s="1" t="s">
        <v>7743</v>
      </c>
      <c r="Q498" s="3">
        <v>1</v>
      </c>
      <c r="R498" s="23" t="s">
        <v>6854</v>
      </c>
      <c r="S498" s="23" t="s">
        <v>6849</v>
      </c>
      <c r="T498" s="23" t="s">
        <v>4864</v>
      </c>
      <c r="U498" s="3">
        <v>35</v>
      </c>
      <c r="V498" s="3" t="s">
        <v>6936</v>
      </c>
      <c r="W498" s="45" t="str">
        <f>HYPERLINK("http://ictvonline.org/taxonomy/p/taxonomy-history?taxnode_id=201908328","ICTVonline=201908328")</f>
        <v>ICTVonline=201908328</v>
      </c>
      <c r="Y498" s="1" t="s">
        <v>7744</v>
      </c>
      <c r="AA498" s="1">
        <v>201900000</v>
      </c>
      <c r="AB498" s="1">
        <v>35</v>
      </c>
    </row>
    <row r="499" spans="1:28" x14ac:dyDescent="0.2">
      <c r="A499" s="1">
        <v>1327</v>
      </c>
      <c r="B499" s="1" t="s">
        <v>6850</v>
      </c>
      <c r="D499" s="1" t="s">
        <v>6851</v>
      </c>
      <c r="F499" s="1" t="s">
        <v>6914</v>
      </c>
      <c r="H499" s="1" t="s">
        <v>6915</v>
      </c>
      <c r="J499" s="1" t="s">
        <v>1324</v>
      </c>
      <c r="L499" s="1" t="s">
        <v>6932</v>
      </c>
      <c r="N499" s="1" t="s">
        <v>7745</v>
      </c>
      <c r="P499" s="1" t="s">
        <v>7746</v>
      </c>
      <c r="Q499" s="3">
        <v>1</v>
      </c>
      <c r="R499" s="23" t="s">
        <v>6854</v>
      </c>
      <c r="S499" s="23" t="s">
        <v>6849</v>
      </c>
      <c r="T499" s="23" t="s">
        <v>4864</v>
      </c>
      <c r="U499" s="3">
        <v>35</v>
      </c>
      <c r="V499" s="3" t="s">
        <v>6936</v>
      </c>
      <c r="W499" s="45" t="str">
        <f>HYPERLINK("http://ictvonline.org/taxonomy/p/taxonomy-history?taxnode_id=201908503","ICTVonline=201908503")</f>
        <v>ICTVonline=201908503</v>
      </c>
      <c r="Y499" s="1" t="s">
        <v>7747</v>
      </c>
      <c r="AA499" s="1">
        <v>201900000</v>
      </c>
      <c r="AB499" s="1">
        <v>35</v>
      </c>
    </row>
    <row r="500" spans="1:28" x14ac:dyDescent="0.2">
      <c r="A500" s="1">
        <v>1331</v>
      </c>
      <c r="B500" s="1" t="s">
        <v>6850</v>
      </c>
      <c r="D500" s="1" t="s">
        <v>6851</v>
      </c>
      <c r="F500" s="1" t="s">
        <v>6914</v>
      </c>
      <c r="H500" s="1" t="s">
        <v>6915</v>
      </c>
      <c r="J500" s="1" t="s">
        <v>1324</v>
      </c>
      <c r="L500" s="1" t="s">
        <v>6932</v>
      </c>
      <c r="N500" s="1" t="s">
        <v>7748</v>
      </c>
      <c r="P500" s="1" t="s">
        <v>7749</v>
      </c>
      <c r="Q500" s="3">
        <v>1</v>
      </c>
      <c r="R500" s="23" t="s">
        <v>6854</v>
      </c>
      <c r="S500" s="23" t="s">
        <v>6849</v>
      </c>
      <c r="T500" s="23" t="s">
        <v>4864</v>
      </c>
      <c r="U500" s="3">
        <v>35</v>
      </c>
      <c r="V500" s="3" t="s">
        <v>6936</v>
      </c>
      <c r="W500" s="45" t="str">
        <f>HYPERLINK("http://ictvonline.org/taxonomy/p/taxonomy-history?taxnode_id=201908290","ICTVonline=201908290")</f>
        <v>ICTVonline=201908290</v>
      </c>
      <c r="Y500" s="1" t="s">
        <v>7750</v>
      </c>
      <c r="AA500" s="1">
        <v>201900000</v>
      </c>
      <c r="AB500" s="1">
        <v>35</v>
      </c>
    </row>
    <row r="501" spans="1:28" x14ac:dyDescent="0.2">
      <c r="A501" s="1">
        <v>1335</v>
      </c>
      <c r="B501" s="1" t="s">
        <v>6850</v>
      </c>
      <c r="D501" s="1" t="s">
        <v>6851</v>
      </c>
      <c r="F501" s="1" t="s">
        <v>6914</v>
      </c>
      <c r="H501" s="1" t="s">
        <v>6915</v>
      </c>
      <c r="J501" s="1" t="s">
        <v>1324</v>
      </c>
      <c r="L501" s="1" t="s">
        <v>6932</v>
      </c>
      <c r="N501" s="1" t="s">
        <v>7751</v>
      </c>
      <c r="P501" s="1" t="s">
        <v>7752</v>
      </c>
      <c r="Q501" s="3">
        <v>1</v>
      </c>
      <c r="R501" s="23" t="s">
        <v>6854</v>
      </c>
      <c r="S501" s="23" t="s">
        <v>6849</v>
      </c>
      <c r="T501" s="23" t="s">
        <v>4864</v>
      </c>
      <c r="U501" s="3">
        <v>35</v>
      </c>
      <c r="V501" s="3" t="s">
        <v>6936</v>
      </c>
      <c r="W501" s="45" t="str">
        <f>HYPERLINK("http://ictvonline.org/taxonomy/p/taxonomy-history?taxnode_id=201908251","ICTVonline=201908251")</f>
        <v>ICTVonline=201908251</v>
      </c>
      <c r="Y501" s="1" t="s">
        <v>7753</v>
      </c>
      <c r="AA501" s="1">
        <v>201900000</v>
      </c>
      <c r="AB501" s="1">
        <v>35</v>
      </c>
    </row>
    <row r="502" spans="1:28" x14ac:dyDescent="0.2">
      <c r="A502" s="1">
        <v>1339</v>
      </c>
      <c r="B502" s="1" t="s">
        <v>6850</v>
      </c>
      <c r="D502" s="1" t="s">
        <v>6851</v>
      </c>
      <c r="F502" s="1" t="s">
        <v>6914</v>
      </c>
      <c r="H502" s="1" t="s">
        <v>6915</v>
      </c>
      <c r="J502" s="1" t="s">
        <v>1324</v>
      </c>
      <c r="L502" s="1" t="s">
        <v>6932</v>
      </c>
      <c r="N502" s="1" t="s">
        <v>7754</v>
      </c>
      <c r="P502" s="1" t="s">
        <v>7755</v>
      </c>
      <c r="Q502" s="3">
        <v>1</v>
      </c>
      <c r="R502" s="23" t="s">
        <v>6854</v>
      </c>
      <c r="S502" s="23" t="s">
        <v>6849</v>
      </c>
      <c r="T502" s="23" t="s">
        <v>4864</v>
      </c>
      <c r="U502" s="3">
        <v>35</v>
      </c>
      <c r="V502" s="3" t="s">
        <v>6936</v>
      </c>
      <c r="W502" s="45" t="str">
        <f>HYPERLINK("http://ictvonline.org/taxonomy/p/taxonomy-history?taxnode_id=201908255","ICTVonline=201908255")</f>
        <v>ICTVonline=201908255</v>
      </c>
      <c r="Y502" s="1" t="s">
        <v>7756</v>
      </c>
      <c r="AA502" s="1">
        <v>201900000</v>
      </c>
      <c r="AB502" s="1">
        <v>35</v>
      </c>
    </row>
    <row r="503" spans="1:28" x14ac:dyDescent="0.2">
      <c r="A503" s="1">
        <v>1343</v>
      </c>
      <c r="B503" s="1" t="s">
        <v>6850</v>
      </c>
      <c r="D503" s="1" t="s">
        <v>6851</v>
      </c>
      <c r="F503" s="1" t="s">
        <v>6914</v>
      </c>
      <c r="H503" s="1" t="s">
        <v>6915</v>
      </c>
      <c r="J503" s="1" t="s">
        <v>1324</v>
      </c>
      <c r="L503" s="1" t="s">
        <v>6932</v>
      </c>
      <c r="N503" s="1" t="s">
        <v>7757</v>
      </c>
      <c r="P503" s="1" t="s">
        <v>7758</v>
      </c>
      <c r="Q503" s="3">
        <v>1</v>
      </c>
      <c r="R503" s="23" t="s">
        <v>6854</v>
      </c>
      <c r="S503" s="23" t="s">
        <v>6849</v>
      </c>
      <c r="T503" s="23" t="s">
        <v>4864</v>
      </c>
      <c r="U503" s="3">
        <v>35</v>
      </c>
      <c r="V503" s="3" t="s">
        <v>6936</v>
      </c>
      <c r="W503" s="45" t="str">
        <f>HYPERLINK("http://ictvonline.org/taxonomy/p/taxonomy-history?taxnode_id=201908223","ICTVonline=201908223")</f>
        <v>ICTVonline=201908223</v>
      </c>
      <c r="Y503" s="1" t="s">
        <v>7759</v>
      </c>
      <c r="AA503" s="1">
        <v>201900000</v>
      </c>
      <c r="AB503" s="1">
        <v>35</v>
      </c>
    </row>
    <row r="504" spans="1:28" x14ac:dyDescent="0.2">
      <c r="A504" s="1">
        <v>1345</v>
      </c>
      <c r="B504" s="1" t="s">
        <v>6850</v>
      </c>
      <c r="D504" s="1" t="s">
        <v>6851</v>
      </c>
      <c r="F504" s="1" t="s">
        <v>6914</v>
      </c>
      <c r="H504" s="1" t="s">
        <v>6915</v>
      </c>
      <c r="J504" s="1" t="s">
        <v>1324</v>
      </c>
      <c r="L504" s="1" t="s">
        <v>6932</v>
      </c>
      <c r="N504" s="1" t="s">
        <v>7757</v>
      </c>
      <c r="P504" s="1" t="s">
        <v>7760</v>
      </c>
      <c r="Q504" s="3">
        <v>0</v>
      </c>
      <c r="R504" s="23" t="s">
        <v>6854</v>
      </c>
      <c r="S504" s="23" t="s">
        <v>6849</v>
      </c>
      <c r="T504" s="23" t="s">
        <v>4864</v>
      </c>
      <c r="U504" s="3">
        <v>35</v>
      </c>
      <c r="V504" s="3" t="s">
        <v>6936</v>
      </c>
      <c r="W504" s="45" t="str">
        <f>HYPERLINK("http://ictvonline.org/taxonomy/p/taxonomy-history?taxnode_id=201908221","ICTVonline=201908221")</f>
        <v>ICTVonline=201908221</v>
      </c>
      <c r="Y504" s="1" t="s">
        <v>7761</v>
      </c>
      <c r="AA504" s="1">
        <v>201900000</v>
      </c>
      <c r="AB504" s="1">
        <v>35</v>
      </c>
    </row>
    <row r="505" spans="1:28" x14ac:dyDescent="0.2">
      <c r="A505" s="1">
        <v>1347</v>
      </c>
      <c r="B505" s="1" t="s">
        <v>6850</v>
      </c>
      <c r="D505" s="1" t="s">
        <v>6851</v>
      </c>
      <c r="F505" s="1" t="s">
        <v>6914</v>
      </c>
      <c r="H505" s="1" t="s">
        <v>6915</v>
      </c>
      <c r="J505" s="1" t="s">
        <v>1324</v>
      </c>
      <c r="L505" s="1" t="s">
        <v>6932</v>
      </c>
      <c r="N505" s="1" t="s">
        <v>7757</v>
      </c>
      <c r="P505" s="1" t="s">
        <v>7762</v>
      </c>
      <c r="Q505" s="3">
        <v>0</v>
      </c>
      <c r="R505" s="23" t="s">
        <v>6854</v>
      </c>
      <c r="S505" s="23" t="s">
        <v>6849</v>
      </c>
      <c r="T505" s="23" t="s">
        <v>4864</v>
      </c>
      <c r="U505" s="3">
        <v>35</v>
      </c>
      <c r="V505" s="3" t="s">
        <v>6936</v>
      </c>
      <c r="W505" s="45" t="str">
        <f>HYPERLINK("http://ictvonline.org/taxonomy/p/taxonomy-history?taxnode_id=201908222","ICTVonline=201908222")</f>
        <v>ICTVonline=201908222</v>
      </c>
      <c r="Y505" s="1" t="s">
        <v>7763</v>
      </c>
      <c r="AA505" s="1">
        <v>201900000</v>
      </c>
      <c r="AB505" s="1">
        <v>35</v>
      </c>
    </row>
    <row r="506" spans="1:28" x14ac:dyDescent="0.2">
      <c r="A506" s="1">
        <v>1351</v>
      </c>
      <c r="B506" s="1" t="s">
        <v>6850</v>
      </c>
      <c r="D506" s="1" t="s">
        <v>6851</v>
      </c>
      <c r="F506" s="1" t="s">
        <v>6914</v>
      </c>
      <c r="H506" s="1" t="s">
        <v>6915</v>
      </c>
      <c r="J506" s="1" t="s">
        <v>1324</v>
      </c>
      <c r="L506" s="1" t="s">
        <v>6932</v>
      </c>
      <c r="N506" s="1" t="s">
        <v>7764</v>
      </c>
      <c r="P506" s="1" t="s">
        <v>7765</v>
      </c>
      <c r="Q506" s="3">
        <v>1</v>
      </c>
      <c r="R506" s="23" t="s">
        <v>6854</v>
      </c>
      <c r="S506" s="23" t="s">
        <v>6849</v>
      </c>
      <c r="T506" s="23" t="s">
        <v>4864</v>
      </c>
      <c r="U506" s="3">
        <v>35</v>
      </c>
      <c r="V506" s="3" t="s">
        <v>6936</v>
      </c>
      <c r="W506" s="45" t="str">
        <f>HYPERLINK("http://ictvonline.org/taxonomy/p/taxonomy-history?taxnode_id=201908306","ICTVonline=201908306")</f>
        <v>ICTVonline=201908306</v>
      </c>
      <c r="Y506" s="1" t="s">
        <v>7766</v>
      </c>
      <c r="AA506" s="1">
        <v>201900000</v>
      </c>
      <c r="AB506" s="1">
        <v>35</v>
      </c>
    </row>
    <row r="507" spans="1:28" x14ac:dyDescent="0.2">
      <c r="A507" s="1">
        <v>1355</v>
      </c>
      <c r="B507" s="1" t="s">
        <v>6850</v>
      </c>
      <c r="D507" s="1" t="s">
        <v>6851</v>
      </c>
      <c r="F507" s="1" t="s">
        <v>6914</v>
      </c>
      <c r="H507" s="1" t="s">
        <v>6915</v>
      </c>
      <c r="J507" s="1" t="s">
        <v>1324</v>
      </c>
      <c r="L507" s="1" t="s">
        <v>6932</v>
      </c>
      <c r="N507" s="1" t="s">
        <v>7767</v>
      </c>
      <c r="P507" s="1" t="s">
        <v>2954</v>
      </c>
      <c r="Q507" s="3">
        <v>1</v>
      </c>
      <c r="R507" s="23" t="s">
        <v>6854</v>
      </c>
      <c r="S507" s="23" t="s">
        <v>6849</v>
      </c>
      <c r="T507" s="23" t="s">
        <v>6395</v>
      </c>
      <c r="U507" s="3">
        <v>35</v>
      </c>
      <c r="V507" s="3" t="s">
        <v>6936</v>
      </c>
      <c r="W507" s="45" t="str">
        <f>HYPERLINK("http://ictvonline.org/taxonomy/p/taxonomy-history?taxnode_id=201900587","ICTVonline=201900587")</f>
        <v>ICTVonline=201900587</v>
      </c>
      <c r="Y507" s="1" t="s">
        <v>7768</v>
      </c>
      <c r="AA507" s="1">
        <v>201900000</v>
      </c>
      <c r="AB507" s="1">
        <v>35</v>
      </c>
    </row>
    <row r="508" spans="1:28" x14ac:dyDescent="0.2">
      <c r="A508" s="1">
        <v>1359</v>
      </c>
      <c r="B508" s="1" t="s">
        <v>6850</v>
      </c>
      <c r="D508" s="1" t="s">
        <v>6851</v>
      </c>
      <c r="F508" s="1" t="s">
        <v>6914</v>
      </c>
      <c r="H508" s="1" t="s">
        <v>6915</v>
      </c>
      <c r="J508" s="1" t="s">
        <v>1324</v>
      </c>
      <c r="L508" s="1" t="s">
        <v>6932</v>
      </c>
      <c r="N508" s="1" t="s">
        <v>7769</v>
      </c>
      <c r="P508" s="1" t="s">
        <v>2955</v>
      </c>
      <c r="Q508" s="3">
        <v>0</v>
      </c>
      <c r="R508" s="23" t="s">
        <v>6854</v>
      </c>
      <c r="S508" s="23" t="s">
        <v>6849</v>
      </c>
      <c r="T508" s="23" t="s">
        <v>4866</v>
      </c>
      <c r="U508" s="3">
        <v>35</v>
      </c>
      <c r="V508" s="3" t="s">
        <v>6936</v>
      </c>
      <c r="W508" s="45" t="str">
        <f>HYPERLINK("http://ictvonline.org/taxonomy/p/taxonomy-history?taxnode_id=201900588","ICTVonline=201900588")</f>
        <v>ICTVonline=201900588</v>
      </c>
      <c r="Y508" s="1" t="s">
        <v>7770</v>
      </c>
      <c r="AA508" s="1">
        <v>201900000</v>
      </c>
      <c r="AB508" s="1">
        <v>35</v>
      </c>
    </row>
    <row r="509" spans="1:28" x14ac:dyDescent="0.2">
      <c r="A509" s="1">
        <v>1363</v>
      </c>
      <c r="B509" s="1" t="s">
        <v>6850</v>
      </c>
      <c r="D509" s="1" t="s">
        <v>6851</v>
      </c>
      <c r="F509" s="1" t="s">
        <v>6914</v>
      </c>
      <c r="H509" s="1" t="s">
        <v>6915</v>
      </c>
      <c r="J509" s="1" t="s">
        <v>1324</v>
      </c>
      <c r="L509" s="1" t="s">
        <v>6932</v>
      </c>
      <c r="N509" s="1" t="s">
        <v>7771</v>
      </c>
      <c r="P509" s="1" t="s">
        <v>7772</v>
      </c>
      <c r="Q509" s="3">
        <v>0</v>
      </c>
      <c r="R509" s="23" t="s">
        <v>6854</v>
      </c>
      <c r="S509" s="23" t="s">
        <v>6849</v>
      </c>
      <c r="T509" s="23" t="s">
        <v>4864</v>
      </c>
      <c r="U509" s="3">
        <v>35</v>
      </c>
      <c r="V509" s="3" t="s">
        <v>6936</v>
      </c>
      <c r="W509" s="45" t="str">
        <f>HYPERLINK("http://ictvonline.org/taxonomy/p/taxonomy-history?taxnode_id=201908204","ICTVonline=201908204")</f>
        <v>ICTVonline=201908204</v>
      </c>
      <c r="Y509" s="1" t="s">
        <v>7773</v>
      </c>
      <c r="AA509" s="1">
        <v>201900000</v>
      </c>
      <c r="AB509" s="1">
        <v>35</v>
      </c>
    </row>
    <row r="510" spans="1:28" x14ac:dyDescent="0.2">
      <c r="A510" s="1">
        <v>1365</v>
      </c>
      <c r="B510" s="1" t="s">
        <v>6850</v>
      </c>
      <c r="D510" s="1" t="s">
        <v>6851</v>
      </c>
      <c r="F510" s="1" t="s">
        <v>6914</v>
      </c>
      <c r="H510" s="1" t="s">
        <v>6915</v>
      </c>
      <c r="J510" s="1" t="s">
        <v>1324</v>
      </c>
      <c r="L510" s="1" t="s">
        <v>6932</v>
      </c>
      <c r="N510" s="1" t="s">
        <v>7771</v>
      </c>
      <c r="P510" s="1" t="s">
        <v>7774</v>
      </c>
      <c r="Q510" s="3">
        <v>1</v>
      </c>
      <c r="R510" s="23" t="s">
        <v>6854</v>
      </c>
      <c r="S510" s="23" t="s">
        <v>6849</v>
      </c>
      <c r="T510" s="23" t="s">
        <v>4864</v>
      </c>
      <c r="U510" s="3">
        <v>35</v>
      </c>
      <c r="V510" s="3" t="s">
        <v>6936</v>
      </c>
      <c r="W510" s="45" t="str">
        <f>HYPERLINK("http://ictvonline.org/taxonomy/p/taxonomy-history?taxnode_id=201908205","ICTVonline=201908205")</f>
        <v>ICTVonline=201908205</v>
      </c>
      <c r="Y510" s="1" t="s">
        <v>7775</v>
      </c>
      <c r="AA510" s="1">
        <v>201900000</v>
      </c>
      <c r="AB510" s="1">
        <v>35</v>
      </c>
    </row>
    <row r="511" spans="1:28" x14ac:dyDescent="0.2">
      <c r="A511" s="1">
        <v>1369</v>
      </c>
      <c r="B511" s="1" t="s">
        <v>6850</v>
      </c>
      <c r="D511" s="1" t="s">
        <v>6851</v>
      </c>
      <c r="F511" s="1" t="s">
        <v>6914</v>
      </c>
      <c r="H511" s="1" t="s">
        <v>6915</v>
      </c>
      <c r="J511" s="1" t="s">
        <v>1324</v>
      </c>
      <c r="L511" s="1" t="s">
        <v>6932</v>
      </c>
      <c r="N511" s="1" t="s">
        <v>7776</v>
      </c>
      <c r="P511" s="1" t="s">
        <v>7777</v>
      </c>
      <c r="Q511" s="3">
        <v>0</v>
      </c>
      <c r="R511" s="23" t="s">
        <v>6854</v>
      </c>
      <c r="S511" s="23" t="s">
        <v>6849</v>
      </c>
      <c r="T511" s="23" t="s">
        <v>4864</v>
      </c>
      <c r="U511" s="3">
        <v>35</v>
      </c>
      <c r="V511" s="3" t="s">
        <v>6936</v>
      </c>
      <c r="W511" s="45" t="str">
        <f>HYPERLINK("http://ictvonline.org/taxonomy/p/taxonomy-history?taxnode_id=201908241","ICTVonline=201908241")</f>
        <v>ICTVonline=201908241</v>
      </c>
      <c r="Y511" s="1" t="s">
        <v>7778</v>
      </c>
      <c r="AA511" s="1">
        <v>201900000</v>
      </c>
      <c r="AB511" s="1">
        <v>35</v>
      </c>
    </row>
    <row r="512" spans="1:28" x14ac:dyDescent="0.2">
      <c r="A512" s="1">
        <v>1373</v>
      </c>
      <c r="B512" s="1" t="s">
        <v>6850</v>
      </c>
      <c r="D512" s="1" t="s">
        <v>6851</v>
      </c>
      <c r="F512" s="1" t="s">
        <v>6914</v>
      </c>
      <c r="H512" s="1" t="s">
        <v>6915</v>
      </c>
      <c r="J512" s="1" t="s">
        <v>1324</v>
      </c>
      <c r="L512" s="1" t="s">
        <v>6932</v>
      </c>
      <c r="N512" s="1" t="s">
        <v>7779</v>
      </c>
      <c r="P512" s="1" t="s">
        <v>2956</v>
      </c>
      <c r="Q512" s="3">
        <v>1</v>
      </c>
      <c r="R512" s="23" t="s">
        <v>6854</v>
      </c>
      <c r="S512" s="23" t="s">
        <v>6849</v>
      </c>
      <c r="T512" s="23" t="s">
        <v>6395</v>
      </c>
      <c r="U512" s="3">
        <v>35</v>
      </c>
      <c r="V512" s="3" t="s">
        <v>6936</v>
      </c>
      <c r="W512" s="45" t="str">
        <f>HYPERLINK("http://ictvonline.org/taxonomy/p/taxonomy-history?taxnode_id=201900589","ICTVonline=201900589")</f>
        <v>ICTVonline=201900589</v>
      </c>
      <c r="Y512" s="1" t="s">
        <v>7780</v>
      </c>
      <c r="AA512" s="1">
        <v>201900000</v>
      </c>
      <c r="AB512" s="1">
        <v>35</v>
      </c>
    </row>
    <row r="513" spans="1:28" x14ac:dyDescent="0.2">
      <c r="A513" s="1">
        <v>1377</v>
      </c>
      <c r="B513" s="1" t="s">
        <v>6850</v>
      </c>
      <c r="D513" s="1" t="s">
        <v>6851</v>
      </c>
      <c r="F513" s="1" t="s">
        <v>6914</v>
      </c>
      <c r="H513" s="1" t="s">
        <v>6915</v>
      </c>
      <c r="J513" s="1" t="s">
        <v>1324</v>
      </c>
      <c r="L513" s="1" t="s">
        <v>6932</v>
      </c>
      <c r="N513" s="1" t="s">
        <v>7781</v>
      </c>
      <c r="P513" s="1" t="s">
        <v>7782</v>
      </c>
      <c r="Q513" s="3">
        <v>1</v>
      </c>
      <c r="R513" s="23" t="s">
        <v>6854</v>
      </c>
      <c r="S513" s="23" t="s">
        <v>6849</v>
      </c>
      <c r="T513" s="23" t="s">
        <v>4864</v>
      </c>
      <c r="U513" s="3">
        <v>35</v>
      </c>
      <c r="V513" s="3" t="s">
        <v>6936</v>
      </c>
      <c r="W513" s="45" t="str">
        <f>HYPERLINK("http://ictvonline.org/taxonomy/p/taxonomy-history?taxnode_id=201908282","ICTVonline=201908282")</f>
        <v>ICTVonline=201908282</v>
      </c>
      <c r="Y513" s="1" t="s">
        <v>7783</v>
      </c>
      <c r="AA513" s="1">
        <v>201900000</v>
      </c>
      <c r="AB513" s="1">
        <v>35</v>
      </c>
    </row>
    <row r="514" spans="1:28" x14ac:dyDescent="0.2">
      <c r="A514" s="1">
        <v>1381</v>
      </c>
      <c r="B514" s="1" t="s">
        <v>6850</v>
      </c>
      <c r="D514" s="1" t="s">
        <v>6851</v>
      </c>
      <c r="F514" s="1" t="s">
        <v>6914</v>
      </c>
      <c r="H514" s="1" t="s">
        <v>6915</v>
      </c>
      <c r="J514" s="1" t="s">
        <v>1324</v>
      </c>
      <c r="L514" s="1" t="s">
        <v>6932</v>
      </c>
      <c r="N514" s="1" t="s">
        <v>7784</v>
      </c>
      <c r="P514" s="1" t="s">
        <v>7785</v>
      </c>
      <c r="Q514" s="3">
        <v>0</v>
      </c>
      <c r="R514" s="23" t="s">
        <v>6854</v>
      </c>
      <c r="S514" s="23" t="s">
        <v>6849</v>
      </c>
      <c r="T514" s="23" t="s">
        <v>4866</v>
      </c>
      <c r="U514" s="3">
        <v>35</v>
      </c>
      <c r="V514" s="3" t="s">
        <v>6936</v>
      </c>
      <c r="W514" s="45" t="str">
        <f>HYPERLINK("http://ictvonline.org/taxonomy/p/taxonomy-history?taxnode_id=201900569","ICTVonline=201900569")</f>
        <v>ICTVonline=201900569</v>
      </c>
      <c r="Y514" s="1" t="s">
        <v>7786</v>
      </c>
      <c r="AA514" s="1">
        <v>201900000</v>
      </c>
      <c r="AB514" s="1">
        <v>35</v>
      </c>
    </row>
    <row r="515" spans="1:28" x14ac:dyDescent="0.2">
      <c r="A515" s="1">
        <v>1385</v>
      </c>
      <c r="B515" s="1" t="s">
        <v>6850</v>
      </c>
      <c r="D515" s="1" t="s">
        <v>6851</v>
      </c>
      <c r="F515" s="1" t="s">
        <v>6914</v>
      </c>
      <c r="H515" s="1" t="s">
        <v>6915</v>
      </c>
      <c r="J515" s="1" t="s">
        <v>1324</v>
      </c>
      <c r="L515" s="1" t="s">
        <v>6932</v>
      </c>
      <c r="N515" s="1" t="s">
        <v>7787</v>
      </c>
      <c r="P515" s="1" t="s">
        <v>7788</v>
      </c>
      <c r="Q515" s="3">
        <v>0</v>
      </c>
      <c r="R515" s="23" t="s">
        <v>6854</v>
      </c>
      <c r="S515" s="23" t="s">
        <v>6849</v>
      </c>
      <c r="T515" s="23" t="s">
        <v>4864</v>
      </c>
      <c r="U515" s="3">
        <v>35</v>
      </c>
      <c r="V515" s="3" t="s">
        <v>6936</v>
      </c>
      <c r="W515" s="45" t="str">
        <f>HYPERLINK("http://ictvonline.org/taxonomy/p/taxonomy-history?taxnode_id=201908195","ICTVonline=201908195")</f>
        <v>ICTVonline=201908195</v>
      </c>
      <c r="Y515" s="1" t="s">
        <v>7789</v>
      </c>
      <c r="AA515" s="1">
        <v>201900000</v>
      </c>
      <c r="AB515" s="1">
        <v>35</v>
      </c>
    </row>
    <row r="516" spans="1:28" x14ac:dyDescent="0.2">
      <c r="A516" s="1">
        <v>1387</v>
      </c>
      <c r="B516" s="1" t="s">
        <v>6850</v>
      </c>
      <c r="D516" s="1" t="s">
        <v>6851</v>
      </c>
      <c r="F516" s="1" t="s">
        <v>6914</v>
      </c>
      <c r="H516" s="1" t="s">
        <v>6915</v>
      </c>
      <c r="J516" s="1" t="s">
        <v>1324</v>
      </c>
      <c r="L516" s="1" t="s">
        <v>6932</v>
      </c>
      <c r="N516" s="1" t="s">
        <v>7787</v>
      </c>
      <c r="P516" s="1" t="s">
        <v>7790</v>
      </c>
      <c r="Q516" s="3">
        <v>1</v>
      </c>
      <c r="R516" s="23" t="s">
        <v>6854</v>
      </c>
      <c r="S516" s="23" t="s">
        <v>6849</v>
      </c>
      <c r="T516" s="23" t="s">
        <v>4864</v>
      </c>
      <c r="U516" s="3">
        <v>35</v>
      </c>
      <c r="V516" s="3" t="s">
        <v>6936</v>
      </c>
      <c r="W516" s="45" t="str">
        <f>HYPERLINK("http://ictvonline.org/taxonomy/p/taxonomy-history?taxnode_id=201908194","ICTVonline=201908194")</f>
        <v>ICTVonline=201908194</v>
      </c>
      <c r="Y516" s="1" t="s">
        <v>7791</v>
      </c>
      <c r="AA516" s="1">
        <v>201900000</v>
      </c>
      <c r="AB516" s="1">
        <v>35</v>
      </c>
    </row>
    <row r="517" spans="1:28" x14ac:dyDescent="0.2">
      <c r="A517" s="1">
        <v>1393</v>
      </c>
      <c r="B517" s="1" t="s">
        <v>6850</v>
      </c>
      <c r="D517" s="1" t="s">
        <v>6851</v>
      </c>
      <c r="F517" s="1" t="s">
        <v>6914</v>
      </c>
      <c r="H517" s="1" t="s">
        <v>6915</v>
      </c>
      <c r="J517" s="1" t="s">
        <v>1324</v>
      </c>
      <c r="L517" s="1" t="s">
        <v>7792</v>
      </c>
      <c r="N517" s="1" t="s">
        <v>7793</v>
      </c>
      <c r="P517" s="1" t="s">
        <v>7794</v>
      </c>
      <c r="Q517" s="3">
        <v>1</v>
      </c>
      <c r="R517" s="23" t="s">
        <v>6854</v>
      </c>
      <c r="S517" s="23" t="s">
        <v>6849</v>
      </c>
      <c r="T517" s="23" t="s">
        <v>4864</v>
      </c>
      <c r="U517" s="3">
        <v>35</v>
      </c>
      <c r="V517" s="3" t="s">
        <v>7795</v>
      </c>
      <c r="W517" s="45" t="str">
        <f>HYPERLINK("http://ictvonline.org/taxonomy/p/taxonomy-history?taxnode_id=201907739","ICTVonline=201907739")</f>
        <v>ICTVonline=201907739</v>
      </c>
      <c r="Y517" s="1" t="s">
        <v>7796</v>
      </c>
      <c r="AA517" s="1">
        <v>201900000</v>
      </c>
      <c r="AB517" s="1">
        <v>35</v>
      </c>
    </row>
    <row r="518" spans="1:28" x14ac:dyDescent="0.2">
      <c r="A518" s="1">
        <v>1395</v>
      </c>
      <c r="B518" s="1" t="s">
        <v>6850</v>
      </c>
      <c r="D518" s="1" t="s">
        <v>6851</v>
      </c>
      <c r="F518" s="1" t="s">
        <v>6914</v>
      </c>
      <c r="H518" s="1" t="s">
        <v>6915</v>
      </c>
      <c r="J518" s="1" t="s">
        <v>1324</v>
      </c>
      <c r="L518" s="1" t="s">
        <v>7792</v>
      </c>
      <c r="N518" s="1" t="s">
        <v>7793</v>
      </c>
      <c r="P518" s="1" t="s">
        <v>7797</v>
      </c>
      <c r="Q518" s="3">
        <v>0</v>
      </c>
      <c r="R518" s="23" t="s">
        <v>6854</v>
      </c>
      <c r="S518" s="23" t="s">
        <v>6849</v>
      </c>
      <c r="T518" s="23" t="s">
        <v>4864</v>
      </c>
      <c r="U518" s="3">
        <v>35</v>
      </c>
      <c r="V518" s="3" t="s">
        <v>7795</v>
      </c>
      <c r="W518" s="45" t="str">
        <f>HYPERLINK("http://ictvonline.org/taxonomy/p/taxonomy-history?taxnode_id=201907740","ICTVonline=201907740")</f>
        <v>ICTVonline=201907740</v>
      </c>
      <c r="Y518" s="1" t="s">
        <v>7798</v>
      </c>
      <c r="AA518" s="1">
        <v>201900000</v>
      </c>
      <c r="AB518" s="1">
        <v>35</v>
      </c>
    </row>
    <row r="519" spans="1:28" x14ac:dyDescent="0.2">
      <c r="A519" s="1">
        <v>1399</v>
      </c>
      <c r="B519" s="1" t="s">
        <v>6850</v>
      </c>
      <c r="D519" s="1" t="s">
        <v>6851</v>
      </c>
      <c r="F519" s="1" t="s">
        <v>6914</v>
      </c>
      <c r="H519" s="1" t="s">
        <v>6915</v>
      </c>
      <c r="J519" s="1" t="s">
        <v>1324</v>
      </c>
      <c r="L519" s="1" t="s">
        <v>7792</v>
      </c>
      <c r="N519" s="1" t="s">
        <v>7799</v>
      </c>
      <c r="P519" s="1" t="s">
        <v>7800</v>
      </c>
      <c r="Q519" s="3">
        <v>1</v>
      </c>
      <c r="R519" s="23" t="s">
        <v>6854</v>
      </c>
      <c r="S519" s="23" t="s">
        <v>6849</v>
      </c>
      <c r="T519" s="23" t="s">
        <v>4864</v>
      </c>
      <c r="U519" s="3">
        <v>35</v>
      </c>
      <c r="V519" s="3" t="s">
        <v>7795</v>
      </c>
      <c r="W519" s="45" t="str">
        <f>HYPERLINK("http://ictvonline.org/taxonomy/p/taxonomy-history?taxnode_id=201907742","ICTVonline=201907742")</f>
        <v>ICTVonline=201907742</v>
      </c>
      <c r="Y519" s="1" t="s">
        <v>7801</v>
      </c>
      <c r="AA519" s="1">
        <v>201900000</v>
      </c>
      <c r="AB519" s="1">
        <v>35</v>
      </c>
    </row>
    <row r="520" spans="1:28" x14ac:dyDescent="0.2">
      <c r="A520" s="1">
        <v>1403</v>
      </c>
      <c r="B520" s="1" t="s">
        <v>6850</v>
      </c>
      <c r="D520" s="1" t="s">
        <v>6851</v>
      </c>
      <c r="F520" s="1" t="s">
        <v>6914</v>
      </c>
      <c r="H520" s="1" t="s">
        <v>6915</v>
      </c>
      <c r="J520" s="1" t="s">
        <v>1324</v>
      </c>
      <c r="L520" s="1" t="s">
        <v>7792</v>
      </c>
      <c r="N520" s="1" t="s">
        <v>7802</v>
      </c>
      <c r="P520" s="1" t="s">
        <v>7803</v>
      </c>
      <c r="Q520" s="3">
        <v>1</v>
      </c>
      <c r="R520" s="23" t="s">
        <v>6854</v>
      </c>
      <c r="S520" s="23" t="s">
        <v>6849</v>
      </c>
      <c r="T520" s="23" t="s">
        <v>4864</v>
      </c>
      <c r="U520" s="3">
        <v>35</v>
      </c>
      <c r="V520" s="3" t="s">
        <v>7795</v>
      </c>
      <c r="W520" s="45" t="str">
        <f>HYPERLINK("http://ictvonline.org/taxonomy/p/taxonomy-history?taxnode_id=201907752","ICTVonline=201907752")</f>
        <v>ICTVonline=201907752</v>
      </c>
      <c r="Y520" s="1" t="s">
        <v>7804</v>
      </c>
      <c r="AA520" s="1">
        <v>201900000</v>
      </c>
      <c r="AB520" s="1">
        <v>35</v>
      </c>
    </row>
    <row r="521" spans="1:28" x14ac:dyDescent="0.2">
      <c r="A521" s="1">
        <v>1407</v>
      </c>
      <c r="B521" s="1" t="s">
        <v>6850</v>
      </c>
      <c r="D521" s="1" t="s">
        <v>6851</v>
      </c>
      <c r="F521" s="1" t="s">
        <v>6914</v>
      </c>
      <c r="H521" s="1" t="s">
        <v>6915</v>
      </c>
      <c r="J521" s="1" t="s">
        <v>1324</v>
      </c>
      <c r="L521" s="1" t="s">
        <v>7792</v>
      </c>
      <c r="N521" s="1" t="s">
        <v>7805</v>
      </c>
      <c r="P521" s="1" t="s">
        <v>7806</v>
      </c>
      <c r="Q521" s="3">
        <v>1</v>
      </c>
      <c r="R521" s="23" t="s">
        <v>6854</v>
      </c>
      <c r="S521" s="23" t="s">
        <v>6849</v>
      </c>
      <c r="T521" s="23" t="s">
        <v>4864</v>
      </c>
      <c r="U521" s="3">
        <v>35</v>
      </c>
      <c r="V521" s="3" t="s">
        <v>7795</v>
      </c>
      <c r="W521" s="45" t="str">
        <f>HYPERLINK("http://ictvonline.org/taxonomy/p/taxonomy-history?taxnode_id=201907750","ICTVonline=201907750")</f>
        <v>ICTVonline=201907750</v>
      </c>
      <c r="Y521" s="1" t="s">
        <v>7807</v>
      </c>
      <c r="AA521" s="1">
        <v>201900000</v>
      </c>
      <c r="AB521" s="1">
        <v>35</v>
      </c>
    </row>
    <row r="522" spans="1:28" x14ac:dyDescent="0.2">
      <c r="A522" s="1">
        <v>1411</v>
      </c>
      <c r="B522" s="1" t="s">
        <v>6850</v>
      </c>
      <c r="D522" s="1" t="s">
        <v>6851</v>
      </c>
      <c r="F522" s="1" t="s">
        <v>6914</v>
      </c>
      <c r="H522" s="1" t="s">
        <v>6915</v>
      </c>
      <c r="J522" s="1" t="s">
        <v>1324</v>
      </c>
      <c r="L522" s="1" t="s">
        <v>7792</v>
      </c>
      <c r="N522" s="1" t="s">
        <v>7808</v>
      </c>
      <c r="P522" s="1" t="s">
        <v>7809</v>
      </c>
      <c r="Q522" s="3">
        <v>1</v>
      </c>
      <c r="R522" s="23" t="s">
        <v>6854</v>
      </c>
      <c r="S522" s="23" t="s">
        <v>6849</v>
      </c>
      <c r="T522" s="23" t="s">
        <v>4864</v>
      </c>
      <c r="U522" s="3">
        <v>35</v>
      </c>
      <c r="V522" s="3" t="s">
        <v>7795</v>
      </c>
      <c r="W522" s="45" t="str">
        <f>HYPERLINK("http://ictvonline.org/taxonomy/p/taxonomy-history?taxnode_id=201907744","ICTVonline=201907744")</f>
        <v>ICTVonline=201907744</v>
      </c>
      <c r="Y522" s="1" t="s">
        <v>7810</v>
      </c>
      <c r="AA522" s="1">
        <v>201900000</v>
      </c>
      <c r="AB522" s="1">
        <v>35</v>
      </c>
    </row>
    <row r="523" spans="1:28" x14ac:dyDescent="0.2">
      <c r="A523" s="1">
        <v>1413</v>
      </c>
      <c r="B523" s="1" t="s">
        <v>6850</v>
      </c>
      <c r="D523" s="1" t="s">
        <v>6851</v>
      </c>
      <c r="F523" s="1" t="s">
        <v>6914</v>
      </c>
      <c r="H523" s="1" t="s">
        <v>6915</v>
      </c>
      <c r="J523" s="1" t="s">
        <v>1324</v>
      </c>
      <c r="L523" s="1" t="s">
        <v>7792</v>
      </c>
      <c r="N523" s="1" t="s">
        <v>7808</v>
      </c>
      <c r="P523" s="1" t="s">
        <v>7811</v>
      </c>
      <c r="Q523" s="3">
        <v>0</v>
      </c>
      <c r="R523" s="23" t="s">
        <v>6854</v>
      </c>
      <c r="S523" s="23" t="s">
        <v>6849</v>
      </c>
      <c r="T523" s="23" t="s">
        <v>4864</v>
      </c>
      <c r="U523" s="3">
        <v>35</v>
      </c>
      <c r="V523" s="3" t="s">
        <v>7795</v>
      </c>
      <c r="W523" s="45" t="str">
        <f>HYPERLINK("http://ictvonline.org/taxonomy/p/taxonomy-history?taxnode_id=201907745","ICTVonline=201907745")</f>
        <v>ICTVonline=201907745</v>
      </c>
      <c r="Y523" s="1" t="s">
        <v>7812</v>
      </c>
      <c r="AA523" s="1">
        <v>201900000</v>
      </c>
      <c r="AB523" s="1">
        <v>35</v>
      </c>
    </row>
    <row r="524" spans="1:28" x14ac:dyDescent="0.2">
      <c r="A524" s="1">
        <v>1417</v>
      </c>
      <c r="B524" s="1" t="s">
        <v>6850</v>
      </c>
      <c r="D524" s="1" t="s">
        <v>6851</v>
      </c>
      <c r="F524" s="1" t="s">
        <v>6914</v>
      </c>
      <c r="H524" s="1" t="s">
        <v>6915</v>
      </c>
      <c r="J524" s="1" t="s">
        <v>1324</v>
      </c>
      <c r="L524" s="1" t="s">
        <v>7792</v>
      </c>
      <c r="N524" s="1" t="s">
        <v>7813</v>
      </c>
      <c r="P524" s="1" t="s">
        <v>7814</v>
      </c>
      <c r="Q524" s="3">
        <v>1</v>
      </c>
      <c r="R524" s="23" t="s">
        <v>6854</v>
      </c>
      <c r="S524" s="23" t="s">
        <v>6849</v>
      </c>
      <c r="T524" s="23" t="s">
        <v>4864</v>
      </c>
      <c r="U524" s="3">
        <v>35</v>
      </c>
      <c r="V524" s="3" t="s">
        <v>7795</v>
      </c>
      <c r="W524" s="45" t="str">
        <f>HYPERLINK("http://ictvonline.org/taxonomy/p/taxonomy-history?taxnode_id=201907747","ICTVonline=201907747")</f>
        <v>ICTVonline=201907747</v>
      </c>
      <c r="Y524" s="1" t="s">
        <v>7815</v>
      </c>
      <c r="AA524" s="1">
        <v>201900000</v>
      </c>
      <c r="AB524" s="1">
        <v>35</v>
      </c>
    </row>
    <row r="525" spans="1:28" x14ac:dyDescent="0.2">
      <c r="A525" s="1">
        <v>1419</v>
      </c>
      <c r="B525" s="1" t="s">
        <v>6850</v>
      </c>
      <c r="D525" s="1" t="s">
        <v>6851</v>
      </c>
      <c r="F525" s="1" t="s">
        <v>6914</v>
      </c>
      <c r="H525" s="1" t="s">
        <v>6915</v>
      </c>
      <c r="J525" s="1" t="s">
        <v>1324</v>
      </c>
      <c r="L525" s="1" t="s">
        <v>7792</v>
      </c>
      <c r="N525" s="1" t="s">
        <v>7813</v>
      </c>
      <c r="P525" s="1" t="s">
        <v>7816</v>
      </c>
      <c r="Q525" s="3">
        <v>0</v>
      </c>
      <c r="R525" s="23" t="s">
        <v>6854</v>
      </c>
      <c r="S525" s="23" t="s">
        <v>6849</v>
      </c>
      <c r="T525" s="23" t="s">
        <v>4864</v>
      </c>
      <c r="U525" s="3">
        <v>35</v>
      </c>
      <c r="V525" s="3" t="s">
        <v>7795</v>
      </c>
      <c r="W525" s="45" t="str">
        <f>HYPERLINK("http://ictvonline.org/taxonomy/p/taxonomy-history?taxnode_id=201907748","ICTVonline=201907748")</f>
        <v>ICTVonline=201907748</v>
      </c>
      <c r="Y525" s="1" t="s">
        <v>7817</v>
      </c>
      <c r="AA525" s="1">
        <v>201900000</v>
      </c>
      <c r="AB525" s="1">
        <v>35</v>
      </c>
    </row>
    <row r="526" spans="1:28" x14ac:dyDescent="0.2">
      <c r="A526" s="1">
        <v>1426</v>
      </c>
      <c r="B526" s="1" t="s">
        <v>6850</v>
      </c>
      <c r="D526" s="1" t="s">
        <v>6851</v>
      </c>
      <c r="F526" s="1" t="s">
        <v>6914</v>
      </c>
      <c r="H526" s="1" t="s">
        <v>6915</v>
      </c>
      <c r="J526" s="1" t="s">
        <v>1324</v>
      </c>
      <c r="L526" s="1" t="s">
        <v>7818</v>
      </c>
      <c r="M526" s="1" t="s">
        <v>7819</v>
      </c>
      <c r="N526" s="1" t="s">
        <v>6359</v>
      </c>
      <c r="P526" s="1" t="s">
        <v>6360</v>
      </c>
      <c r="Q526" s="3">
        <v>1</v>
      </c>
      <c r="R526" s="23" t="s">
        <v>6854</v>
      </c>
      <c r="S526" s="23" t="s">
        <v>6845</v>
      </c>
      <c r="T526" s="23" t="s">
        <v>4866</v>
      </c>
      <c r="U526" s="3">
        <v>35</v>
      </c>
      <c r="W526" s="45" t="str">
        <f>HYPERLINK("http://ictvonline.org/taxonomy/p/taxonomy-history?taxnode_id=201907086","ICTVonline=201907086")</f>
        <v>ICTVonline=201907086</v>
      </c>
      <c r="Y526" s="1" t="s">
        <v>7820</v>
      </c>
      <c r="Z526" s="1" t="s">
        <v>7821</v>
      </c>
      <c r="AA526" s="1">
        <v>201900000</v>
      </c>
      <c r="AB526" s="1">
        <v>35</v>
      </c>
    </row>
    <row r="527" spans="1:28" x14ac:dyDescent="0.2">
      <c r="A527" s="1">
        <v>1428</v>
      </c>
      <c r="B527" s="1" t="s">
        <v>6850</v>
      </c>
      <c r="D527" s="1" t="s">
        <v>6851</v>
      </c>
      <c r="F527" s="1" t="s">
        <v>6914</v>
      </c>
      <c r="H527" s="1" t="s">
        <v>6915</v>
      </c>
      <c r="J527" s="1" t="s">
        <v>1324</v>
      </c>
      <c r="L527" s="1" t="s">
        <v>7818</v>
      </c>
      <c r="M527" s="1" t="s">
        <v>7819</v>
      </c>
      <c r="N527" s="1" t="s">
        <v>6359</v>
      </c>
      <c r="P527" s="1" t="s">
        <v>6362</v>
      </c>
      <c r="Q527" s="3">
        <v>0</v>
      </c>
      <c r="R527" s="23" t="s">
        <v>6854</v>
      </c>
      <c r="S527" s="23" t="s">
        <v>6845</v>
      </c>
      <c r="T527" s="23" t="s">
        <v>4866</v>
      </c>
      <c r="U527" s="3">
        <v>35</v>
      </c>
      <c r="W527" s="45" t="str">
        <f>HYPERLINK("http://ictvonline.org/taxonomy/p/taxonomy-history?taxnode_id=201907087","ICTVonline=201907087")</f>
        <v>ICTVonline=201907087</v>
      </c>
      <c r="Y527" s="1" t="s">
        <v>7822</v>
      </c>
      <c r="Z527" s="1" t="s">
        <v>7823</v>
      </c>
      <c r="AA527" s="1">
        <v>201900000</v>
      </c>
      <c r="AB527" s="1">
        <v>35</v>
      </c>
    </row>
    <row r="528" spans="1:28" x14ac:dyDescent="0.2">
      <c r="A528" s="1">
        <v>1432</v>
      </c>
      <c r="B528" s="1" t="s">
        <v>6850</v>
      </c>
      <c r="D528" s="1" t="s">
        <v>6851</v>
      </c>
      <c r="F528" s="1" t="s">
        <v>6914</v>
      </c>
      <c r="H528" s="1" t="s">
        <v>6915</v>
      </c>
      <c r="J528" s="1" t="s">
        <v>1324</v>
      </c>
      <c r="L528" s="1" t="s">
        <v>7818</v>
      </c>
      <c r="M528" s="1" t="s">
        <v>7819</v>
      </c>
      <c r="N528" s="1" t="s">
        <v>6446</v>
      </c>
      <c r="P528" s="1" t="s">
        <v>6447</v>
      </c>
      <c r="Q528" s="3">
        <v>1</v>
      </c>
      <c r="R528" s="23" t="s">
        <v>6854</v>
      </c>
      <c r="S528" s="23" t="s">
        <v>6845</v>
      </c>
      <c r="T528" s="23" t="s">
        <v>4866</v>
      </c>
      <c r="U528" s="3">
        <v>35</v>
      </c>
      <c r="W528" s="45" t="str">
        <f>HYPERLINK("http://ictvonline.org/taxonomy/p/taxonomy-history?taxnode_id=201906955","ICTVonline=201906955")</f>
        <v>ICTVonline=201906955</v>
      </c>
      <c r="Y528" s="1" t="s">
        <v>7824</v>
      </c>
      <c r="Z528" s="1" t="s">
        <v>7825</v>
      </c>
      <c r="AA528" s="1">
        <v>201900000</v>
      </c>
      <c r="AB528" s="1">
        <v>35</v>
      </c>
    </row>
    <row r="529" spans="1:28" x14ac:dyDescent="0.2">
      <c r="A529" s="1">
        <v>1434</v>
      </c>
      <c r="B529" s="1" t="s">
        <v>6850</v>
      </c>
      <c r="D529" s="1" t="s">
        <v>6851</v>
      </c>
      <c r="F529" s="1" t="s">
        <v>6914</v>
      </c>
      <c r="H529" s="1" t="s">
        <v>6915</v>
      </c>
      <c r="J529" s="1" t="s">
        <v>1324</v>
      </c>
      <c r="L529" s="1" t="s">
        <v>7818</v>
      </c>
      <c r="M529" s="1" t="s">
        <v>7819</v>
      </c>
      <c r="N529" s="1" t="s">
        <v>6446</v>
      </c>
      <c r="P529" s="1" t="s">
        <v>7826</v>
      </c>
      <c r="Q529" s="3">
        <v>0</v>
      </c>
      <c r="R529" s="23" t="s">
        <v>6854</v>
      </c>
      <c r="S529" s="23" t="s">
        <v>6849</v>
      </c>
      <c r="T529" s="23" t="s">
        <v>4864</v>
      </c>
      <c r="U529" s="3">
        <v>35</v>
      </c>
      <c r="V529" s="3" t="s">
        <v>7827</v>
      </c>
      <c r="W529" s="45" t="str">
        <f>HYPERLINK("http://ictvonline.org/taxonomy/p/taxonomy-history?taxnode_id=201908127","ICTVonline=201908127")</f>
        <v>ICTVonline=201908127</v>
      </c>
      <c r="Y529" s="1" t="s">
        <v>7828</v>
      </c>
      <c r="AA529" s="1">
        <v>201900000</v>
      </c>
      <c r="AB529" s="1">
        <v>35</v>
      </c>
    </row>
    <row r="530" spans="1:28" x14ac:dyDescent="0.2">
      <c r="A530" s="1">
        <v>1436</v>
      </c>
      <c r="B530" s="1" t="s">
        <v>6850</v>
      </c>
      <c r="D530" s="1" t="s">
        <v>6851</v>
      </c>
      <c r="F530" s="1" t="s">
        <v>6914</v>
      </c>
      <c r="H530" s="1" t="s">
        <v>6915</v>
      </c>
      <c r="J530" s="1" t="s">
        <v>1324</v>
      </c>
      <c r="L530" s="1" t="s">
        <v>7818</v>
      </c>
      <c r="M530" s="1" t="s">
        <v>7819</v>
      </c>
      <c r="N530" s="1" t="s">
        <v>6446</v>
      </c>
      <c r="P530" s="1" t="s">
        <v>6448</v>
      </c>
      <c r="Q530" s="3">
        <v>0</v>
      </c>
      <c r="R530" s="23" t="s">
        <v>6854</v>
      </c>
      <c r="S530" s="23" t="s">
        <v>6845</v>
      </c>
      <c r="T530" s="23" t="s">
        <v>4866</v>
      </c>
      <c r="U530" s="3">
        <v>35</v>
      </c>
      <c r="W530" s="45" t="str">
        <f>HYPERLINK("http://ictvonline.org/taxonomy/p/taxonomy-history?taxnode_id=201906956","ICTVonline=201906956")</f>
        <v>ICTVonline=201906956</v>
      </c>
      <c r="Y530" s="1" t="s">
        <v>7829</v>
      </c>
      <c r="Z530" s="1" t="s">
        <v>7830</v>
      </c>
      <c r="AA530" s="1">
        <v>201900000</v>
      </c>
      <c r="AB530" s="1">
        <v>35</v>
      </c>
    </row>
    <row r="531" spans="1:28" x14ac:dyDescent="0.2">
      <c r="A531" s="1">
        <v>1440</v>
      </c>
      <c r="B531" s="1" t="s">
        <v>6850</v>
      </c>
      <c r="D531" s="1" t="s">
        <v>6851</v>
      </c>
      <c r="F531" s="1" t="s">
        <v>6914</v>
      </c>
      <c r="H531" s="1" t="s">
        <v>6915</v>
      </c>
      <c r="J531" s="1" t="s">
        <v>1324</v>
      </c>
      <c r="L531" s="1" t="s">
        <v>7818</v>
      </c>
      <c r="M531" s="1" t="s">
        <v>7819</v>
      </c>
      <c r="N531" s="1" t="s">
        <v>7831</v>
      </c>
      <c r="P531" s="1" t="s">
        <v>6361</v>
      </c>
      <c r="Q531" s="3">
        <v>1</v>
      </c>
      <c r="R531" s="23" t="s">
        <v>6854</v>
      </c>
      <c r="S531" s="23" t="s">
        <v>6849</v>
      </c>
      <c r="T531" s="23" t="s">
        <v>6395</v>
      </c>
      <c r="U531" s="3">
        <v>35</v>
      </c>
      <c r="V531" s="3" t="s">
        <v>7827</v>
      </c>
      <c r="W531" s="45" t="str">
        <f>HYPERLINK("http://ictvonline.org/taxonomy/p/taxonomy-history?taxnode_id=201907088","ICTVonline=201907088")</f>
        <v>ICTVonline=201907088</v>
      </c>
      <c r="Y531" s="1" t="s">
        <v>7832</v>
      </c>
      <c r="AA531" s="1">
        <v>201900000</v>
      </c>
      <c r="AB531" s="1">
        <v>35</v>
      </c>
    </row>
    <row r="532" spans="1:28" x14ac:dyDescent="0.2">
      <c r="A532" s="1">
        <v>1446</v>
      </c>
      <c r="B532" s="1" t="s">
        <v>6850</v>
      </c>
      <c r="D532" s="1" t="s">
        <v>6851</v>
      </c>
      <c r="F532" s="1" t="s">
        <v>6914</v>
      </c>
      <c r="H532" s="1" t="s">
        <v>6915</v>
      </c>
      <c r="J532" s="1" t="s">
        <v>1324</v>
      </c>
      <c r="L532" s="1" t="s">
        <v>7818</v>
      </c>
      <c r="M532" s="1" t="s">
        <v>7833</v>
      </c>
      <c r="N532" s="1" t="s">
        <v>7834</v>
      </c>
      <c r="P532" s="1" t="s">
        <v>3382</v>
      </c>
      <c r="Q532" s="3">
        <v>1</v>
      </c>
      <c r="R532" s="23" t="s">
        <v>6854</v>
      </c>
      <c r="S532" s="23" t="s">
        <v>6849</v>
      </c>
      <c r="T532" s="23" t="s">
        <v>6395</v>
      </c>
      <c r="U532" s="3">
        <v>35</v>
      </c>
      <c r="V532" s="3" t="s">
        <v>7827</v>
      </c>
      <c r="W532" s="45" t="str">
        <f>HYPERLINK("http://ictvonline.org/taxonomy/p/taxonomy-history?taxnode_id=201901324","ICTVonline=201901324")</f>
        <v>ICTVonline=201901324</v>
      </c>
      <c r="Y532" s="1" t="s">
        <v>7835</v>
      </c>
      <c r="AA532" s="1">
        <v>201900000</v>
      </c>
      <c r="AB532" s="1">
        <v>35</v>
      </c>
    </row>
    <row r="533" spans="1:28" x14ac:dyDescent="0.2">
      <c r="A533" s="1">
        <v>1448</v>
      </c>
      <c r="B533" s="1" t="s">
        <v>6850</v>
      </c>
      <c r="D533" s="1" t="s">
        <v>6851</v>
      </c>
      <c r="F533" s="1" t="s">
        <v>6914</v>
      </c>
      <c r="H533" s="1" t="s">
        <v>6915</v>
      </c>
      <c r="J533" s="1" t="s">
        <v>1324</v>
      </c>
      <c r="L533" s="1" t="s">
        <v>7818</v>
      </c>
      <c r="M533" s="1" t="s">
        <v>7833</v>
      </c>
      <c r="N533" s="1" t="s">
        <v>7834</v>
      </c>
      <c r="P533" s="1" t="s">
        <v>7836</v>
      </c>
      <c r="Q533" s="3">
        <v>0</v>
      </c>
      <c r="R533" s="23" t="s">
        <v>6854</v>
      </c>
      <c r="S533" s="23" t="s">
        <v>6849</v>
      </c>
      <c r="T533" s="23" t="s">
        <v>4864</v>
      </c>
      <c r="U533" s="3">
        <v>35</v>
      </c>
      <c r="V533" s="3" t="s">
        <v>7827</v>
      </c>
      <c r="W533" s="45" t="str">
        <f>HYPERLINK("http://ictvonline.org/taxonomy/p/taxonomy-history?taxnode_id=201908097","ICTVonline=201908097")</f>
        <v>ICTVonline=201908097</v>
      </c>
      <c r="Y533" s="1" t="s">
        <v>7837</v>
      </c>
      <c r="AA533" s="1">
        <v>201900000</v>
      </c>
      <c r="AB533" s="1">
        <v>35</v>
      </c>
    </row>
    <row r="534" spans="1:28" x14ac:dyDescent="0.2">
      <c r="A534" s="1">
        <v>1450</v>
      </c>
      <c r="B534" s="1" t="s">
        <v>6850</v>
      </c>
      <c r="D534" s="1" t="s">
        <v>6851</v>
      </c>
      <c r="F534" s="1" t="s">
        <v>6914</v>
      </c>
      <c r="H534" s="1" t="s">
        <v>6915</v>
      </c>
      <c r="J534" s="1" t="s">
        <v>1324</v>
      </c>
      <c r="L534" s="1" t="s">
        <v>7818</v>
      </c>
      <c r="M534" s="1" t="s">
        <v>7833</v>
      </c>
      <c r="N534" s="1" t="s">
        <v>7834</v>
      </c>
      <c r="P534" s="1" t="s">
        <v>7838</v>
      </c>
      <c r="Q534" s="3">
        <v>0</v>
      </c>
      <c r="R534" s="23" t="s">
        <v>6854</v>
      </c>
      <c r="S534" s="23" t="s">
        <v>6849</v>
      </c>
      <c r="T534" s="23" t="s">
        <v>4864</v>
      </c>
      <c r="U534" s="3">
        <v>35</v>
      </c>
      <c r="V534" s="3" t="s">
        <v>7827</v>
      </c>
      <c r="W534" s="45" t="str">
        <f>HYPERLINK("http://ictvonline.org/taxonomy/p/taxonomy-history?taxnode_id=201908111","ICTVonline=201908111")</f>
        <v>ICTVonline=201908111</v>
      </c>
      <c r="Y534" s="1" t="s">
        <v>7839</v>
      </c>
      <c r="AA534" s="1">
        <v>201900000</v>
      </c>
      <c r="AB534" s="1">
        <v>35</v>
      </c>
    </row>
    <row r="535" spans="1:28" x14ac:dyDescent="0.2">
      <c r="A535" s="1">
        <v>1452</v>
      </c>
      <c r="B535" s="1" t="s">
        <v>6850</v>
      </c>
      <c r="D535" s="1" t="s">
        <v>6851</v>
      </c>
      <c r="F535" s="1" t="s">
        <v>6914</v>
      </c>
      <c r="H535" s="1" t="s">
        <v>6915</v>
      </c>
      <c r="J535" s="1" t="s">
        <v>1324</v>
      </c>
      <c r="L535" s="1" t="s">
        <v>7818</v>
      </c>
      <c r="M535" s="1" t="s">
        <v>7833</v>
      </c>
      <c r="N535" s="1" t="s">
        <v>7834</v>
      </c>
      <c r="P535" s="1" t="s">
        <v>7840</v>
      </c>
      <c r="Q535" s="3">
        <v>0</v>
      </c>
      <c r="R535" s="23" t="s">
        <v>6854</v>
      </c>
      <c r="S535" s="23" t="s">
        <v>6849</v>
      </c>
      <c r="T535" s="23" t="s">
        <v>4864</v>
      </c>
      <c r="U535" s="3">
        <v>35</v>
      </c>
      <c r="V535" s="3" t="s">
        <v>7827</v>
      </c>
      <c r="W535" s="45" t="str">
        <f>HYPERLINK("http://ictvonline.org/taxonomy/p/taxonomy-history?taxnode_id=201908098","ICTVonline=201908098")</f>
        <v>ICTVonline=201908098</v>
      </c>
      <c r="Y535" s="1" t="s">
        <v>7841</v>
      </c>
      <c r="AA535" s="1">
        <v>201900000</v>
      </c>
      <c r="AB535" s="1">
        <v>35</v>
      </c>
    </row>
    <row r="536" spans="1:28" x14ac:dyDescent="0.2">
      <c r="A536" s="1">
        <v>1454</v>
      </c>
      <c r="B536" s="1" t="s">
        <v>6850</v>
      </c>
      <c r="D536" s="1" t="s">
        <v>6851</v>
      </c>
      <c r="F536" s="1" t="s">
        <v>6914</v>
      </c>
      <c r="H536" s="1" t="s">
        <v>6915</v>
      </c>
      <c r="J536" s="1" t="s">
        <v>1324</v>
      </c>
      <c r="L536" s="1" t="s">
        <v>7818</v>
      </c>
      <c r="M536" s="1" t="s">
        <v>7833</v>
      </c>
      <c r="N536" s="1" t="s">
        <v>7834</v>
      </c>
      <c r="P536" s="1" t="s">
        <v>7842</v>
      </c>
      <c r="Q536" s="3">
        <v>0</v>
      </c>
      <c r="R536" s="23" t="s">
        <v>6854</v>
      </c>
      <c r="S536" s="23" t="s">
        <v>6849</v>
      </c>
      <c r="T536" s="23" t="s">
        <v>4864</v>
      </c>
      <c r="U536" s="3">
        <v>35</v>
      </c>
      <c r="V536" s="3" t="s">
        <v>7827</v>
      </c>
      <c r="W536" s="45" t="str">
        <f>HYPERLINK("http://ictvonline.org/taxonomy/p/taxonomy-history?taxnode_id=201908105","ICTVonline=201908105")</f>
        <v>ICTVonline=201908105</v>
      </c>
      <c r="Y536" s="1" t="s">
        <v>7843</v>
      </c>
      <c r="AA536" s="1">
        <v>201900000</v>
      </c>
      <c r="AB536" s="1">
        <v>35</v>
      </c>
    </row>
    <row r="537" spans="1:28" x14ac:dyDescent="0.2">
      <c r="A537" s="1">
        <v>1456</v>
      </c>
      <c r="B537" s="1" t="s">
        <v>6850</v>
      </c>
      <c r="D537" s="1" t="s">
        <v>6851</v>
      </c>
      <c r="F537" s="1" t="s">
        <v>6914</v>
      </c>
      <c r="H537" s="1" t="s">
        <v>6915</v>
      </c>
      <c r="J537" s="1" t="s">
        <v>1324</v>
      </c>
      <c r="L537" s="1" t="s">
        <v>7818</v>
      </c>
      <c r="M537" s="1" t="s">
        <v>7833</v>
      </c>
      <c r="N537" s="1" t="s">
        <v>7834</v>
      </c>
      <c r="P537" s="1" t="s">
        <v>4433</v>
      </c>
      <c r="Q537" s="3">
        <v>0</v>
      </c>
      <c r="R537" s="23" t="s">
        <v>6854</v>
      </c>
      <c r="S537" s="23" t="s">
        <v>6849</v>
      </c>
      <c r="T537" s="23" t="s">
        <v>4866</v>
      </c>
      <c r="U537" s="3">
        <v>35</v>
      </c>
      <c r="V537" s="3" t="s">
        <v>7827</v>
      </c>
      <c r="W537" s="45" t="str">
        <f>HYPERLINK("http://ictvonline.org/taxonomy/p/taxonomy-history?taxnode_id=201901329","ICTVonline=201901329")</f>
        <v>ICTVonline=201901329</v>
      </c>
      <c r="Y537" s="1" t="s">
        <v>7844</v>
      </c>
      <c r="AA537" s="1">
        <v>201900000</v>
      </c>
      <c r="AB537" s="1">
        <v>35</v>
      </c>
    </row>
    <row r="538" spans="1:28" x14ac:dyDescent="0.2">
      <c r="A538" s="1">
        <v>1458</v>
      </c>
      <c r="B538" s="1" t="s">
        <v>6850</v>
      </c>
      <c r="D538" s="1" t="s">
        <v>6851</v>
      </c>
      <c r="F538" s="1" t="s">
        <v>6914</v>
      </c>
      <c r="H538" s="1" t="s">
        <v>6915</v>
      </c>
      <c r="J538" s="1" t="s">
        <v>1324</v>
      </c>
      <c r="L538" s="1" t="s">
        <v>7818</v>
      </c>
      <c r="M538" s="1" t="s">
        <v>7833</v>
      </c>
      <c r="N538" s="1" t="s">
        <v>7834</v>
      </c>
      <c r="P538" s="1" t="s">
        <v>7845</v>
      </c>
      <c r="Q538" s="3">
        <v>0</v>
      </c>
      <c r="R538" s="23" t="s">
        <v>6854</v>
      </c>
      <c r="S538" s="23" t="s">
        <v>6849</v>
      </c>
      <c r="T538" s="23" t="s">
        <v>4864</v>
      </c>
      <c r="U538" s="3">
        <v>35</v>
      </c>
      <c r="V538" s="3" t="s">
        <v>7827</v>
      </c>
      <c r="W538" s="45" t="str">
        <f>HYPERLINK("http://ictvonline.org/taxonomy/p/taxonomy-history?taxnode_id=201908112","ICTVonline=201908112")</f>
        <v>ICTVonline=201908112</v>
      </c>
      <c r="Y538" s="1" t="s">
        <v>7846</v>
      </c>
      <c r="AA538" s="1">
        <v>201900000</v>
      </c>
      <c r="AB538" s="1">
        <v>35</v>
      </c>
    </row>
    <row r="539" spans="1:28" x14ac:dyDescent="0.2">
      <c r="A539" s="1">
        <v>1460</v>
      </c>
      <c r="B539" s="1" t="s">
        <v>6850</v>
      </c>
      <c r="D539" s="1" t="s">
        <v>6851</v>
      </c>
      <c r="F539" s="1" t="s">
        <v>6914</v>
      </c>
      <c r="H539" s="1" t="s">
        <v>6915</v>
      </c>
      <c r="J539" s="1" t="s">
        <v>1324</v>
      </c>
      <c r="L539" s="1" t="s">
        <v>7818</v>
      </c>
      <c r="M539" s="1" t="s">
        <v>7833</v>
      </c>
      <c r="N539" s="1" t="s">
        <v>7834</v>
      </c>
      <c r="P539" s="1" t="s">
        <v>7847</v>
      </c>
      <c r="Q539" s="3">
        <v>0</v>
      </c>
      <c r="R539" s="23" t="s">
        <v>6854</v>
      </c>
      <c r="S539" s="23" t="s">
        <v>6849</v>
      </c>
      <c r="T539" s="23" t="s">
        <v>4864</v>
      </c>
      <c r="U539" s="3">
        <v>35</v>
      </c>
      <c r="V539" s="3" t="s">
        <v>7827</v>
      </c>
      <c r="W539" s="45" t="str">
        <f>HYPERLINK("http://ictvonline.org/taxonomy/p/taxonomy-history?taxnode_id=201908100","ICTVonline=201908100")</f>
        <v>ICTVonline=201908100</v>
      </c>
      <c r="Y539" s="1" t="s">
        <v>7848</v>
      </c>
      <c r="AA539" s="1">
        <v>201900000</v>
      </c>
      <c r="AB539" s="1">
        <v>35</v>
      </c>
    </row>
    <row r="540" spans="1:28" x14ac:dyDescent="0.2">
      <c r="A540" s="1">
        <v>1462</v>
      </c>
      <c r="B540" s="1" t="s">
        <v>6850</v>
      </c>
      <c r="D540" s="1" t="s">
        <v>6851</v>
      </c>
      <c r="F540" s="1" t="s">
        <v>6914</v>
      </c>
      <c r="H540" s="1" t="s">
        <v>6915</v>
      </c>
      <c r="J540" s="1" t="s">
        <v>1324</v>
      </c>
      <c r="L540" s="1" t="s">
        <v>7818</v>
      </c>
      <c r="M540" s="1" t="s">
        <v>7833</v>
      </c>
      <c r="N540" s="1" t="s">
        <v>7834</v>
      </c>
      <c r="P540" s="1" t="s">
        <v>7849</v>
      </c>
      <c r="Q540" s="3">
        <v>0</v>
      </c>
      <c r="R540" s="23" t="s">
        <v>6854</v>
      </c>
      <c r="S540" s="23" t="s">
        <v>6849</v>
      </c>
      <c r="T540" s="23" t="s">
        <v>4864</v>
      </c>
      <c r="U540" s="3">
        <v>35</v>
      </c>
      <c r="V540" s="3" t="s">
        <v>7827</v>
      </c>
      <c r="W540" s="45" t="str">
        <f>HYPERLINK("http://ictvonline.org/taxonomy/p/taxonomy-history?taxnode_id=201908102","ICTVonline=201908102")</f>
        <v>ICTVonline=201908102</v>
      </c>
      <c r="Y540" s="1" t="s">
        <v>7850</v>
      </c>
      <c r="AA540" s="1">
        <v>201900000</v>
      </c>
      <c r="AB540" s="1">
        <v>35</v>
      </c>
    </row>
    <row r="541" spans="1:28" x14ac:dyDescent="0.2">
      <c r="A541" s="1">
        <v>1464</v>
      </c>
      <c r="B541" s="1" t="s">
        <v>6850</v>
      </c>
      <c r="D541" s="1" t="s">
        <v>6851</v>
      </c>
      <c r="F541" s="1" t="s">
        <v>6914</v>
      </c>
      <c r="H541" s="1" t="s">
        <v>6915</v>
      </c>
      <c r="J541" s="1" t="s">
        <v>1324</v>
      </c>
      <c r="L541" s="1" t="s">
        <v>7818</v>
      </c>
      <c r="M541" s="1" t="s">
        <v>7833</v>
      </c>
      <c r="N541" s="1" t="s">
        <v>7834</v>
      </c>
      <c r="P541" s="1" t="s">
        <v>7851</v>
      </c>
      <c r="Q541" s="3">
        <v>0</v>
      </c>
      <c r="R541" s="23" t="s">
        <v>6854</v>
      </c>
      <c r="S541" s="23" t="s">
        <v>6849</v>
      </c>
      <c r="T541" s="23" t="s">
        <v>4864</v>
      </c>
      <c r="U541" s="3">
        <v>35</v>
      </c>
      <c r="V541" s="3" t="s">
        <v>7827</v>
      </c>
      <c r="W541" s="45" t="str">
        <f>HYPERLINK("http://ictvonline.org/taxonomy/p/taxonomy-history?taxnode_id=201908106","ICTVonline=201908106")</f>
        <v>ICTVonline=201908106</v>
      </c>
      <c r="Y541" s="1" t="s">
        <v>7852</v>
      </c>
      <c r="AA541" s="1">
        <v>201900000</v>
      </c>
      <c r="AB541" s="1">
        <v>35</v>
      </c>
    </row>
    <row r="542" spans="1:28" x14ac:dyDescent="0.2">
      <c r="A542" s="1">
        <v>1466</v>
      </c>
      <c r="B542" s="1" t="s">
        <v>6850</v>
      </c>
      <c r="D542" s="1" t="s">
        <v>6851</v>
      </c>
      <c r="F542" s="1" t="s">
        <v>6914</v>
      </c>
      <c r="H542" s="1" t="s">
        <v>6915</v>
      </c>
      <c r="J542" s="1" t="s">
        <v>1324</v>
      </c>
      <c r="L542" s="1" t="s">
        <v>7818</v>
      </c>
      <c r="M542" s="1" t="s">
        <v>7833</v>
      </c>
      <c r="N542" s="1" t="s">
        <v>7834</v>
      </c>
      <c r="P542" s="1" t="s">
        <v>7853</v>
      </c>
      <c r="Q542" s="3">
        <v>0</v>
      </c>
      <c r="R542" s="23" t="s">
        <v>6854</v>
      </c>
      <c r="S542" s="23" t="s">
        <v>6849</v>
      </c>
      <c r="T542" s="23" t="s">
        <v>4864</v>
      </c>
      <c r="U542" s="3">
        <v>35</v>
      </c>
      <c r="V542" s="3" t="s">
        <v>7827</v>
      </c>
      <c r="W542" s="45" t="str">
        <f>HYPERLINK("http://ictvonline.org/taxonomy/p/taxonomy-history?taxnode_id=201908096","ICTVonline=201908096")</f>
        <v>ICTVonline=201908096</v>
      </c>
      <c r="Y542" s="1" t="s">
        <v>7854</v>
      </c>
      <c r="AA542" s="1">
        <v>201900000</v>
      </c>
      <c r="AB542" s="1">
        <v>35</v>
      </c>
    </row>
    <row r="543" spans="1:28" x14ac:dyDescent="0.2">
      <c r="A543" s="1">
        <v>1468</v>
      </c>
      <c r="B543" s="1" t="s">
        <v>6850</v>
      </c>
      <c r="D543" s="1" t="s">
        <v>6851</v>
      </c>
      <c r="F543" s="1" t="s">
        <v>6914</v>
      </c>
      <c r="H543" s="1" t="s">
        <v>6915</v>
      </c>
      <c r="J543" s="1" t="s">
        <v>1324</v>
      </c>
      <c r="L543" s="1" t="s">
        <v>7818</v>
      </c>
      <c r="M543" s="1" t="s">
        <v>7833</v>
      </c>
      <c r="N543" s="1" t="s">
        <v>7834</v>
      </c>
      <c r="P543" s="1" t="s">
        <v>7855</v>
      </c>
      <c r="Q543" s="3">
        <v>0</v>
      </c>
      <c r="R543" s="23" t="s">
        <v>6854</v>
      </c>
      <c r="S543" s="23" t="s">
        <v>6849</v>
      </c>
      <c r="T543" s="23" t="s">
        <v>4864</v>
      </c>
      <c r="U543" s="3">
        <v>35</v>
      </c>
      <c r="V543" s="3" t="s">
        <v>7827</v>
      </c>
      <c r="W543" s="45" t="str">
        <f>HYPERLINK("http://ictvonline.org/taxonomy/p/taxonomy-history?taxnode_id=201908099","ICTVonline=201908099")</f>
        <v>ICTVonline=201908099</v>
      </c>
      <c r="Y543" s="1" t="s">
        <v>7856</v>
      </c>
      <c r="AA543" s="1">
        <v>201900000</v>
      </c>
      <c r="AB543" s="1">
        <v>35</v>
      </c>
    </row>
    <row r="544" spans="1:28" x14ac:dyDescent="0.2">
      <c r="A544" s="1">
        <v>1470</v>
      </c>
      <c r="B544" s="1" t="s">
        <v>6850</v>
      </c>
      <c r="D544" s="1" t="s">
        <v>6851</v>
      </c>
      <c r="F544" s="1" t="s">
        <v>6914</v>
      </c>
      <c r="H544" s="1" t="s">
        <v>6915</v>
      </c>
      <c r="J544" s="1" t="s">
        <v>1324</v>
      </c>
      <c r="L544" s="1" t="s">
        <v>7818</v>
      </c>
      <c r="M544" s="1" t="s">
        <v>7833</v>
      </c>
      <c r="N544" s="1" t="s">
        <v>7834</v>
      </c>
      <c r="P544" s="1" t="s">
        <v>7857</v>
      </c>
      <c r="Q544" s="3">
        <v>0</v>
      </c>
      <c r="R544" s="23" t="s">
        <v>6854</v>
      </c>
      <c r="S544" s="23" t="s">
        <v>6849</v>
      </c>
      <c r="T544" s="23" t="s">
        <v>4864</v>
      </c>
      <c r="U544" s="3">
        <v>35</v>
      </c>
      <c r="V544" s="3" t="s">
        <v>7827</v>
      </c>
      <c r="W544" s="45" t="str">
        <f>HYPERLINK("http://ictvonline.org/taxonomy/p/taxonomy-history?taxnode_id=201908109","ICTVonline=201908109")</f>
        <v>ICTVonline=201908109</v>
      </c>
      <c r="Y544" s="1" t="s">
        <v>7858</v>
      </c>
      <c r="AA544" s="1">
        <v>201900000</v>
      </c>
      <c r="AB544" s="1">
        <v>35</v>
      </c>
    </row>
    <row r="545" spans="1:28" x14ac:dyDescent="0.2">
      <c r="A545" s="1">
        <v>1472</v>
      </c>
      <c r="B545" s="1" t="s">
        <v>6850</v>
      </c>
      <c r="D545" s="1" t="s">
        <v>6851</v>
      </c>
      <c r="F545" s="1" t="s">
        <v>6914</v>
      </c>
      <c r="H545" s="1" t="s">
        <v>6915</v>
      </c>
      <c r="J545" s="1" t="s">
        <v>1324</v>
      </c>
      <c r="L545" s="1" t="s">
        <v>7818</v>
      </c>
      <c r="M545" s="1" t="s">
        <v>7833</v>
      </c>
      <c r="N545" s="1" t="s">
        <v>7834</v>
      </c>
      <c r="P545" s="1" t="s">
        <v>7859</v>
      </c>
      <c r="Q545" s="3">
        <v>0</v>
      </c>
      <c r="R545" s="23" t="s">
        <v>6854</v>
      </c>
      <c r="S545" s="23" t="s">
        <v>6849</v>
      </c>
      <c r="T545" s="23" t="s">
        <v>4864</v>
      </c>
      <c r="U545" s="3">
        <v>35</v>
      </c>
      <c r="V545" s="3" t="s">
        <v>7827</v>
      </c>
      <c r="W545" s="45" t="str">
        <f>HYPERLINK("http://ictvonline.org/taxonomy/p/taxonomy-history?taxnode_id=201908103","ICTVonline=201908103")</f>
        <v>ICTVonline=201908103</v>
      </c>
      <c r="Y545" s="1" t="s">
        <v>7860</v>
      </c>
      <c r="AA545" s="1">
        <v>201900000</v>
      </c>
      <c r="AB545" s="1">
        <v>35</v>
      </c>
    </row>
    <row r="546" spans="1:28" x14ac:dyDescent="0.2">
      <c r="A546" s="1">
        <v>1474</v>
      </c>
      <c r="B546" s="1" t="s">
        <v>6850</v>
      </c>
      <c r="D546" s="1" t="s">
        <v>6851</v>
      </c>
      <c r="F546" s="1" t="s">
        <v>6914</v>
      </c>
      <c r="H546" s="1" t="s">
        <v>6915</v>
      </c>
      <c r="J546" s="1" t="s">
        <v>1324</v>
      </c>
      <c r="L546" s="1" t="s">
        <v>7818</v>
      </c>
      <c r="M546" s="1" t="s">
        <v>7833</v>
      </c>
      <c r="N546" s="1" t="s">
        <v>7834</v>
      </c>
      <c r="P546" s="1" t="s">
        <v>7861</v>
      </c>
      <c r="Q546" s="3">
        <v>0</v>
      </c>
      <c r="R546" s="23" t="s">
        <v>6854</v>
      </c>
      <c r="S546" s="23" t="s">
        <v>6849</v>
      </c>
      <c r="T546" s="23" t="s">
        <v>4864</v>
      </c>
      <c r="U546" s="3">
        <v>35</v>
      </c>
      <c r="V546" s="3" t="s">
        <v>7827</v>
      </c>
      <c r="W546" s="45" t="str">
        <f>HYPERLINK("http://ictvonline.org/taxonomy/p/taxonomy-history?taxnode_id=201908101","ICTVonline=201908101")</f>
        <v>ICTVonline=201908101</v>
      </c>
      <c r="Y546" s="1" t="s">
        <v>7862</v>
      </c>
      <c r="AA546" s="1">
        <v>201900000</v>
      </c>
      <c r="AB546" s="1">
        <v>35</v>
      </c>
    </row>
    <row r="547" spans="1:28" x14ac:dyDescent="0.2">
      <c r="A547" s="1">
        <v>1476</v>
      </c>
      <c r="B547" s="1" t="s">
        <v>6850</v>
      </c>
      <c r="D547" s="1" t="s">
        <v>6851</v>
      </c>
      <c r="F547" s="1" t="s">
        <v>6914</v>
      </c>
      <c r="H547" s="1" t="s">
        <v>6915</v>
      </c>
      <c r="J547" s="1" t="s">
        <v>1324</v>
      </c>
      <c r="L547" s="1" t="s">
        <v>7818</v>
      </c>
      <c r="M547" s="1" t="s">
        <v>7833</v>
      </c>
      <c r="N547" s="1" t="s">
        <v>7834</v>
      </c>
      <c r="P547" s="1" t="s">
        <v>7863</v>
      </c>
      <c r="Q547" s="3">
        <v>0</v>
      </c>
      <c r="R547" s="23" t="s">
        <v>6854</v>
      </c>
      <c r="S547" s="23" t="s">
        <v>6849</v>
      </c>
      <c r="T547" s="23" t="s">
        <v>4864</v>
      </c>
      <c r="U547" s="3">
        <v>35</v>
      </c>
      <c r="V547" s="3" t="s">
        <v>7827</v>
      </c>
      <c r="W547" s="45" t="str">
        <f>HYPERLINK("http://ictvonline.org/taxonomy/p/taxonomy-history?taxnode_id=201908104","ICTVonline=201908104")</f>
        <v>ICTVonline=201908104</v>
      </c>
      <c r="Y547" s="1" t="s">
        <v>7864</v>
      </c>
      <c r="AA547" s="1">
        <v>201900000</v>
      </c>
      <c r="AB547" s="1">
        <v>35</v>
      </c>
    </row>
    <row r="548" spans="1:28" x14ac:dyDescent="0.2">
      <c r="A548" s="1">
        <v>1478</v>
      </c>
      <c r="B548" s="1" t="s">
        <v>6850</v>
      </c>
      <c r="D548" s="1" t="s">
        <v>6851</v>
      </c>
      <c r="F548" s="1" t="s">
        <v>6914</v>
      </c>
      <c r="H548" s="1" t="s">
        <v>6915</v>
      </c>
      <c r="J548" s="1" t="s">
        <v>1324</v>
      </c>
      <c r="L548" s="1" t="s">
        <v>7818</v>
      </c>
      <c r="M548" s="1" t="s">
        <v>7833</v>
      </c>
      <c r="N548" s="1" t="s">
        <v>7834</v>
      </c>
      <c r="P548" s="1" t="s">
        <v>7865</v>
      </c>
      <c r="Q548" s="3">
        <v>0</v>
      </c>
      <c r="R548" s="23" t="s">
        <v>6854</v>
      </c>
      <c r="S548" s="23" t="s">
        <v>6849</v>
      </c>
      <c r="T548" s="23" t="s">
        <v>4864</v>
      </c>
      <c r="U548" s="3">
        <v>35</v>
      </c>
      <c r="V548" s="3" t="s">
        <v>7827</v>
      </c>
      <c r="W548" s="45" t="str">
        <f>HYPERLINK("http://ictvonline.org/taxonomy/p/taxonomy-history?taxnode_id=201908107","ICTVonline=201908107")</f>
        <v>ICTVonline=201908107</v>
      </c>
      <c r="Y548" s="1" t="s">
        <v>7866</v>
      </c>
      <c r="AA548" s="1">
        <v>201900000</v>
      </c>
      <c r="AB548" s="1">
        <v>35</v>
      </c>
    </row>
    <row r="549" spans="1:28" x14ac:dyDescent="0.2">
      <c r="A549" s="1">
        <v>1480</v>
      </c>
      <c r="B549" s="1" t="s">
        <v>6850</v>
      </c>
      <c r="D549" s="1" t="s">
        <v>6851</v>
      </c>
      <c r="F549" s="1" t="s">
        <v>6914</v>
      </c>
      <c r="H549" s="1" t="s">
        <v>6915</v>
      </c>
      <c r="J549" s="1" t="s">
        <v>1324</v>
      </c>
      <c r="L549" s="1" t="s">
        <v>7818</v>
      </c>
      <c r="M549" s="1" t="s">
        <v>7833</v>
      </c>
      <c r="N549" s="1" t="s">
        <v>7834</v>
      </c>
      <c r="P549" s="1" t="s">
        <v>7867</v>
      </c>
      <c r="Q549" s="3">
        <v>0</v>
      </c>
      <c r="R549" s="23" t="s">
        <v>6854</v>
      </c>
      <c r="S549" s="23" t="s">
        <v>6849</v>
      </c>
      <c r="T549" s="23" t="s">
        <v>4864</v>
      </c>
      <c r="U549" s="3">
        <v>35</v>
      </c>
      <c r="V549" s="3" t="s">
        <v>7827</v>
      </c>
      <c r="W549" s="45" t="str">
        <f>HYPERLINK("http://ictvonline.org/taxonomy/p/taxonomy-history?taxnode_id=201908110","ICTVonline=201908110")</f>
        <v>ICTVonline=201908110</v>
      </c>
      <c r="Y549" s="1" t="s">
        <v>7868</v>
      </c>
      <c r="AA549" s="1">
        <v>201900000</v>
      </c>
      <c r="AB549" s="1">
        <v>35</v>
      </c>
    </row>
    <row r="550" spans="1:28" x14ac:dyDescent="0.2">
      <c r="A550" s="1">
        <v>1482</v>
      </c>
      <c r="B550" s="1" t="s">
        <v>6850</v>
      </c>
      <c r="D550" s="1" t="s">
        <v>6851</v>
      </c>
      <c r="F550" s="1" t="s">
        <v>6914</v>
      </c>
      <c r="H550" s="1" t="s">
        <v>6915</v>
      </c>
      <c r="J550" s="1" t="s">
        <v>1324</v>
      </c>
      <c r="L550" s="1" t="s">
        <v>7818</v>
      </c>
      <c r="M550" s="1" t="s">
        <v>7833</v>
      </c>
      <c r="N550" s="1" t="s">
        <v>7834</v>
      </c>
      <c r="P550" s="1" t="s">
        <v>3388</v>
      </c>
      <c r="Q550" s="3">
        <v>0</v>
      </c>
      <c r="R550" s="23" t="s">
        <v>6854</v>
      </c>
      <c r="S550" s="23" t="s">
        <v>6849</v>
      </c>
      <c r="T550" s="23" t="s">
        <v>4866</v>
      </c>
      <c r="U550" s="3">
        <v>35</v>
      </c>
      <c r="V550" s="3" t="s">
        <v>7827</v>
      </c>
      <c r="W550" s="45" t="str">
        <f>HYPERLINK("http://ictvonline.org/taxonomy/p/taxonomy-history?taxnode_id=201901332","ICTVonline=201901332")</f>
        <v>ICTVonline=201901332</v>
      </c>
      <c r="Y550" s="1" t="s">
        <v>7869</v>
      </c>
      <c r="AA550" s="1">
        <v>201900000</v>
      </c>
      <c r="AB550" s="1">
        <v>35</v>
      </c>
    </row>
    <row r="551" spans="1:28" x14ac:dyDescent="0.2">
      <c r="A551" s="1">
        <v>1484</v>
      </c>
      <c r="B551" s="1" t="s">
        <v>6850</v>
      </c>
      <c r="D551" s="1" t="s">
        <v>6851</v>
      </c>
      <c r="F551" s="1" t="s">
        <v>6914</v>
      </c>
      <c r="H551" s="1" t="s">
        <v>6915</v>
      </c>
      <c r="J551" s="1" t="s">
        <v>1324</v>
      </c>
      <c r="L551" s="1" t="s">
        <v>7818</v>
      </c>
      <c r="M551" s="1" t="s">
        <v>7833</v>
      </c>
      <c r="N551" s="1" t="s">
        <v>7834</v>
      </c>
      <c r="P551" s="1" t="s">
        <v>7870</v>
      </c>
      <c r="Q551" s="3">
        <v>0</v>
      </c>
      <c r="R551" s="23" t="s">
        <v>6854</v>
      </c>
      <c r="S551" s="23" t="s">
        <v>6849</v>
      </c>
      <c r="T551" s="23" t="s">
        <v>4864</v>
      </c>
      <c r="U551" s="3">
        <v>35</v>
      </c>
      <c r="V551" s="3" t="s">
        <v>7827</v>
      </c>
      <c r="W551" s="45" t="str">
        <f>HYPERLINK("http://ictvonline.org/taxonomy/p/taxonomy-history?taxnode_id=201908108","ICTVonline=201908108")</f>
        <v>ICTVonline=201908108</v>
      </c>
      <c r="Y551" s="1" t="s">
        <v>7871</v>
      </c>
      <c r="AA551" s="1">
        <v>201900000</v>
      </c>
      <c r="AB551" s="1">
        <v>35</v>
      </c>
    </row>
    <row r="552" spans="1:28" x14ac:dyDescent="0.2">
      <c r="A552" s="1">
        <v>1488</v>
      </c>
      <c r="B552" s="1" t="s">
        <v>6850</v>
      </c>
      <c r="D552" s="1" t="s">
        <v>6851</v>
      </c>
      <c r="F552" s="1" t="s">
        <v>6914</v>
      </c>
      <c r="H552" s="1" t="s">
        <v>6915</v>
      </c>
      <c r="J552" s="1" t="s">
        <v>1324</v>
      </c>
      <c r="L552" s="1" t="s">
        <v>7818</v>
      </c>
      <c r="M552" s="1" t="s">
        <v>7833</v>
      </c>
      <c r="N552" s="1" t="s">
        <v>7872</v>
      </c>
      <c r="P552" s="1" t="s">
        <v>7873</v>
      </c>
      <c r="Q552" s="3">
        <v>1</v>
      </c>
      <c r="R552" s="23" t="s">
        <v>6854</v>
      </c>
      <c r="S552" s="23" t="s">
        <v>6849</v>
      </c>
      <c r="T552" s="23" t="s">
        <v>4864</v>
      </c>
      <c r="U552" s="3">
        <v>35</v>
      </c>
      <c r="V552" s="3" t="s">
        <v>7827</v>
      </c>
      <c r="W552" s="45" t="str">
        <f>HYPERLINK("http://ictvonline.org/taxonomy/p/taxonomy-history?taxnode_id=201908114","ICTVonline=201908114")</f>
        <v>ICTVonline=201908114</v>
      </c>
      <c r="Y552" s="1" t="s">
        <v>7874</v>
      </c>
      <c r="AA552" s="1">
        <v>201900000</v>
      </c>
      <c r="AB552" s="1">
        <v>35</v>
      </c>
    </row>
    <row r="553" spans="1:28" x14ac:dyDescent="0.2">
      <c r="A553" s="1">
        <v>1492</v>
      </c>
      <c r="B553" s="1" t="s">
        <v>6850</v>
      </c>
      <c r="D553" s="1" t="s">
        <v>6851</v>
      </c>
      <c r="F553" s="1" t="s">
        <v>6914</v>
      </c>
      <c r="H553" s="1" t="s">
        <v>6915</v>
      </c>
      <c r="J553" s="1" t="s">
        <v>1324</v>
      </c>
      <c r="L553" s="1" t="s">
        <v>7818</v>
      </c>
      <c r="M553" s="1" t="s">
        <v>7833</v>
      </c>
      <c r="N553" s="1" t="s">
        <v>6539</v>
      </c>
      <c r="P553" s="1" t="s">
        <v>3379</v>
      </c>
      <c r="Q553" s="3">
        <v>0</v>
      </c>
      <c r="R553" s="23" t="s">
        <v>6854</v>
      </c>
      <c r="S553" s="23" t="s">
        <v>6845</v>
      </c>
      <c r="T553" s="23" t="s">
        <v>4866</v>
      </c>
      <c r="U553" s="3">
        <v>35</v>
      </c>
      <c r="W553" s="45" t="str">
        <f>HYPERLINK("http://ictvonline.org/taxonomy/p/taxonomy-history?taxnode_id=201901321","ICTVonline=201901321")</f>
        <v>ICTVonline=201901321</v>
      </c>
      <c r="AA553" s="1">
        <v>201900000</v>
      </c>
      <c r="AB553" s="1">
        <v>35</v>
      </c>
    </row>
    <row r="554" spans="1:28" x14ac:dyDescent="0.2">
      <c r="A554" s="1">
        <v>1494</v>
      </c>
      <c r="B554" s="1" t="s">
        <v>6850</v>
      </c>
      <c r="D554" s="1" t="s">
        <v>6851</v>
      </c>
      <c r="F554" s="1" t="s">
        <v>6914</v>
      </c>
      <c r="H554" s="1" t="s">
        <v>6915</v>
      </c>
      <c r="J554" s="1" t="s">
        <v>1324</v>
      </c>
      <c r="L554" s="1" t="s">
        <v>7818</v>
      </c>
      <c r="M554" s="1" t="s">
        <v>7833</v>
      </c>
      <c r="N554" s="1" t="s">
        <v>6539</v>
      </c>
      <c r="P554" s="1" t="s">
        <v>3380</v>
      </c>
      <c r="Q554" s="3">
        <v>0</v>
      </c>
      <c r="R554" s="23" t="s">
        <v>6854</v>
      </c>
      <c r="S554" s="23" t="s">
        <v>6845</v>
      </c>
      <c r="T554" s="23" t="s">
        <v>4866</v>
      </c>
      <c r="U554" s="3">
        <v>35</v>
      </c>
      <c r="W554" s="45" t="str">
        <f>HYPERLINK("http://ictvonline.org/taxonomy/p/taxonomy-history?taxnode_id=201901322","ICTVonline=201901322")</f>
        <v>ICTVonline=201901322</v>
      </c>
      <c r="AA554" s="1">
        <v>201900000</v>
      </c>
      <c r="AB554" s="1">
        <v>35</v>
      </c>
    </row>
    <row r="555" spans="1:28" x14ac:dyDescent="0.2">
      <c r="A555" s="1">
        <v>1496</v>
      </c>
      <c r="B555" s="1" t="s">
        <v>6850</v>
      </c>
      <c r="D555" s="1" t="s">
        <v>6851</v>
      </c>
      <c r="F555" s="1" t="s">
        <v>6914</v>
      </c>
      <c r="H555" s="1" t="s">
        <v>6915</v>
      </c>
      <c r="J555" s="1" t="s">
        <v>1324</v>
      </c>
      <c r="L555" s="1" t="s">
        <v>7818</v>
      </c>
      <c r="M555" s="1" t="s">
        <v>7833</v>
      </c>
      <c r="N555" s="1" t="s">
        <v>6539</v>
      </c>
      <c r="P555" s="1" t="s">
        <v>7875</v>
      </c>
      <c r="Q555" s="3">
        <v>0</v>
      </c>
      <c r="R555" s="23" t="s">
        <v>6854</v>
      </c>
      <c r="S555" s="23" t="s">
        <v>6849</v>
      </c>
      <c r="T555" s="23" t="s">
        <v>4864</v>
      </c>
      <c r="U555" s="3">
        <v>35</v>
      </c>
      <c r="V555" s="3" t="s">
        <v>7827</v>
      </c>
      <c r="W555" s="45" t="str">
        <f>HYPERLINK("http://ictvonline.org/taxonomy/p/taxonomy-history?taxnode_id=201908093","ICTVonline=201908093")</f>
        <v>ICTVonline=201908093</v>
      </c>
      <c r="Y555" s="1" t="s">
        <v>7876</v>
      </c>
      <c r="AA555" s="1">
        <v>201900000</v>
      </c>
      <c r="AB555" s="1">
        <v>35</v>
      </c>
    </row>
    <row r="556" spans="1:28" x14ac:dyDescent="0.2">
      <c r="A556" s="1">
        <v>1498</v>
      </c>
      <c r="B556" s="1" t="s">
        <v>6850</v>
      </c>
      <c r="D556" s="1" t="s">
        <v>6851</v>
      </c>
      <c r="F556" s="1" t="s">
        <v>6914</v>
      </c>
      <c r="H556" s="1" t="s">
        <v>6915</v>
      </c>
      <c r="J556" s="1" t="s">
        <v>1324</v>
      </c>
      <c r="L556" s="1" t="s">
        <v>7818</v>
      </c>
      <c r="M556" s="1" t="s">
        <v>7833</v>
      </c>
      <c r="N556" s="1" t="s">
        <v>6539</v>
      </c>
      <c r="P556" s="1" t="s">
        <v>7877</v>
      </c>
      <c r="Q556" s="3">
        <v>0</v>
      </c>
      <c r="R556" s="23" t="s">
        <v>6854</v>
      </c>
      <c r="S556" s="23" t="s">
        <v>6849</v>
      </c>
      <c r="T556" s="23" t="s">
        <v>4864</v>
      </c>
      <c r="U556" s="3">
        <v>35</v>
      </c>
      <c r="V556" s="3" t="s">
        <v>7827</v>
      </c>
      <c r="W556" s="45" t="str">
        <f>HYPERLINK("http://ictvonline.org/taxonomy/p/taxonomy-history?taxnode_id=201908083","ICTVonline=201908083")</f>
        <v>ICTVonline=201908083</v>
      </c>
      <c r="Y556" s="1" t="s">
        <v>7878</v>
      </c>
      <c r="AA556" s="1">
        <v>201900000</v>
      </c>
      <c r="AB556" s="1">
        <v>35</v>
      </c>
    </row>
    <row r="557" spans="1:28" x14ac:dyDescent="0.2">
      <c r="A557" s="1">
        <v>1500</v>
      </c>
      <c r="B557" s="1" t="s">
        <v>6850</v>
      </c>
      <c r="D557" s="1" t="s">
        <v>6851</v>
      </c>
      <c r="F557" s="1" t="s">
        <v>6914</v>
      </c>
      <c r="H557" s="1" t="s">
        <v>6915</v>
      </c>
      <c r="J557" s="1" t="s">
        <v>1324</v>
      </c>
      <c r="L557" s="1" t="s">
        <v>7818</v>
      </c>
      <c r="M557" s="1" t="s">
        <v>7833</v>
      </c>
      <c r="N557" s="1" t="s">
        <v>6539</v>
      </c>
      <c r="P557" s="1" t="s">
        <v>3381</v>
      </c>
      <c r="Q557" s="3">
        <v>0</v>
      </c>
      <c r="R557" s="23" t="s">
        <v>6854</v>
      </c>
      <c r="S557" s="23" t="s">
        <v>6845</v>
      </c>
      <c r="T557" s="23" t="s">
        <v>4866</v>
      </c>
      <c r="U557" s="3">
        <v>35</v>
      </c>
      <c r="W557" s="45" t="str">
        <f>HYPERLINK("http://ictvonline.org/taxonomy/p/taxonomy-history?taxnode_id=201901323","ICTVonline=201901323")</f>
        <v>ICTVonline=201901323</v>
      </c>
      <c r="Y557" s="1" t="s">
        <v>7879</v>
      </c>
      <c r="Z557" s="1" t="s">
        <v>7880</v>
      </c>
      <c r="AA557" s="1">
        <v>201900000</v>
      </c>
      <c r="AB557" s="1">
        <v>35</v>
      </c>
    </row>
    <row r="558" spans="1:28" x14ac:dyDescent="0.2">
      <c r="A558" s="1">
        <v>1502</v>
      </c>
      <c r="B558" s="1" t="s">
        <v>6850</v>
      </c>
      <c r="D558" s="1" t="s">
        <v>6851</v>
      </c>
      <c r="F558" s="1" t="s">
        <v>6914</v>
      </c>
      <c r="H558" s="1" t="s">
        <v>6915</v>
      </c>
      <c r="J558" s="1" t="s">
        <v>1324</v>
      </c>
      <c r="L558" s="1" t="s">
        <v>7818</v>
      </c>
      <c r="M558" s="1" t="s">
        <v>7833</v>
      </c>
      <c r="N558" s="1" t="s">
        <v>6539</v>
      </c>
      <c r="P558" s="1" t="s">
        <v>3383</v>
      </c>
      <c r="Q558" s="3">
        <v>0</v>
      </c>
      <c r="R558" s="23" t="s">
        <v>6854</v>
      </c>
      <c r="S558" s="23" t="s">
        <v>6845</v>
      </c>
      <c r="T558" s="23" t="s">
        <v>4866</v>
      </c>
      <c r="U558" s="3">
        <v>35</v>
      </c>
      <c r="W558" s="45" t="str">
        <f>HYPERLINK("http://ictvonline.org/taxonomy/p/taxonomy-history?taxnode_id=201901325","ICTVonline=201901325")</f>
        <v>ICTVonline=201901325</v>
      </c>
      <c r="Y558" s="1" t="s">
        <v>7881</v>
      </c>
      <c r="Z558" s="1" t="s">
        <v>7882</v>
      </c>
      <c r="AA558" s="1">
        <v>201900000</v>
      </c>
      <c r="AB558" s="1">
        <v>35</v>
      </c>
    </row>
    <row r="559" spans="1:28" x14ac:dyDescent="0.2">
      <c r="A559" s="1">
        <v>1504</v>
      </c>
      <c r="B559" s="1" t="s">
        <v>6850</v>
      </c>
      <c r="D559" s="1" t="s">
        <v>6851</v>
      </c>
      <c r="F559" s="1" t="s">
        <v>6914</v>
      </c>
      <c r="H559" s="1" t="s">
        <v>6915</v>
      </c>
      <c r="J559" s="1" t="s">
        <v>1324</v>
      </c>
      <c r="L559" s="1" t="s">
        <v>7818</v>
      </c>
      <c r="M559" s="1" t="s">
        <v>7833</v>
      </c>
      <c r="N559" s="1" t="s">
        <v>6539</v>
      </c>
      <c r="P559" s="1" t="s">
        <v>7883</v>
      </c>
      <c r="Q559" s="3">
        <v>0</v>
      </c>
      <c r="R559" s="23" t="s">
        <v>6854</v>
      </c>
      <c r="S559" s="23" t="s">
        <v>6849</v>
      </c>
      <c r="T559" s="23" t="s">
        <v>4864</v>
      </c>
      <c r="U559" s="3">
        <v>35</v>
      </c>
      <c r="V559" s="3" t="s">
        <v>7827</v>
      </c>
      <c r="W559" s="45" t="str">
        <f>HYPERLINK("http://ictvonline.org/taxonomy/p/taxonomy-history?taxnode_id=201908082","ICTVonline=201908082")</f>
        <v>ICTVonline=201908082</v>
      </c>
      <c r="Y559" s="1" t="s">
        <v>7884</v>
      </c>
      <c r="AA559" s="1">
        <v>201900000</v>
      </c>
      <c r="AB559" s="1">
        <v>35</v>
      </c>
    </row>
    <row r="560" spans="1:28" x14ac:dyDescent="0.2">
      <c r="A560" s="1">
        <v>1506</v>
      </c>
      <c r="B560" s="1" t="s">
        <v>6850</v>
      </c>
      <c r="D560" s="1" t="s">
        <v>6851</v>
      </c>
      <c r="F560" s="1" t="s">
        <v>6914</v>
      </c>
      <c r="H560" s="1" t="s">
        <v>6915</v>
      </c>
      <c r="J560" s="1" t="s">
        <v>1324</v>
      </c>
      <c r="L560" s="1" t="s">
        <v>7818</v>
      </c>
      <c r="M560" s="1" t="s">
        <v>7833</v>
      </c>
      <c r="N560" s="1" t="s">
        <v>6539</v>
      </c>
      <c r="P560" s="1" t="s">
        <v>3384</v>
      </c>
      <c r="Q560" s="3">
        <v>0</v>
      </c>
      <c r="R560" s="23" t="s">
        <v>6854</v>
      </c>
      <c r="S560" s="23" t="s">
        <v>6845</v>
      </c>
      <c r="T560" s="23" t="s">
        <v>4866</v>
      </c>
      <c r="U560" s="3">
        <v>35</v>
      </c>
      <c r="W560" s="45" t="str">
        <f>HYPERLINK("http://ictvonline.org/taxonomy/p/taxonomy-history?taxnode_id=201901326","ICTVonline=201901326")</f>
        <v>ICTVonline=201901326</v>
      </c>
      <c r="AA560" s="1">
        <v>201900000</v>
      </c>
      <c r="AB560" s="1">
        <v>35</v>
      </c>
    </row>
    <row r="561" spans="1:28" x14ac:dyDescent="0.2">
      <c r="A561" s="1">
        <v>1508</v>
      </c>
      <c r="B561" s="1" t="s">
        <v>6850</v>
      </c>
      <c r="D561" s="1" t="s">
        <v>6851</v>
      </c>
      <c r="F561" s="1" t="s">
        <v>6914</v>
      </c>
      <c r="H561" s="1" t="s">
        <v>6915</v>
      </c>
      <c r="J561" s="1" t="s">
        <v>1324</v>
      </c>
      <c r="L561" s="1" t="s">
        <v>7818</v>
      </c>
      <c r="M561" s="1" t="s">
        <v>7833</v>
      </c>
      <c r="N561" s="1" t="s">
        <v>6539</v>
      </c>
      <c r="P561" s="1" t="s">
        <v>7885</v>
      </c>
      <c r="Q561" s="3">
        <v>0</v>
      </c>
      <c r="R561" s="23" t="s">
        <v>6854</v>
      </c>
      <c r="S561" s="23" t="s">
        <v>6849</v>
      </c>
      <c r="T561" s="23" t="s">
        <v>4864</v>
      </c>
      <c r="U561" s="3">
        <v>35</v>
      </c>
      <c r="V561" s="3" t="s">
        <v>7827</v>
      </c>
      <c r="W561" s="45" t="str">
        <f>HYPERLINK("http://ictvonline.org/taxonomy/p/taxonomy-history?taxnode_id=201908088","ICTVonline=201908088")</f>
        <v>ICTVonline=201908088</v>
      </c>
      <c r="Y561" s="1" t="s">
        <v>7886</v>
      </c>
      <c r="AA561" s="1">
        <v>201900000</v>
      </c>
      <c r="AB561" s="1">
        <v>35</v>
      </c>
    </row>
    <row r="562" spans="1:28" x14ac:dyDescent="0.2">
      <c r="A562" s="1">
        <v>1510</v>
      </c>
      <c r="B562" s="1" t="s">
        <v>6850</v>
      </c>
      <c r="D562" s="1" t="s">
        <v>6851</v>
      </c>
      <c r="F562" s="1" t="s">
        <v>6914</v>
      </c>
      <c r="H562" s="1" t="s">
        <v>6915</v>
      </c>
      <c r="J562" s="1" t="s">
        <v>1324</v>
      </c>
      <c r="L562" s="1" t="s">
        <v>7818</v>
      </c>
      <c r="M562" s="1" t="s">
        <v>7833</v>
      </c>
      <c r="N562" s="1" t="s">
        <v>6539</v>
      </c>
      <c r="P562" s="1" t="s">
        <v>7887</v>
      </c>
      <c r="Q562" s="3">
        <v>0</v>
      </c>
      <c r="R562" s="23" t="s">
        <v>6854</v>
      </c>
      <c r="S562" s="23" t="s">
        <v>6849</v>
      </c>
      <c r="T562" s="23" t="s">
        <v>4864</v>
      </c>
      <c r="U562" s="3">
        <v>35</v>
      </c>
      <c r="V562" s="3" t="s">
        <v>7827</v>
      </c>
      <c r="W562" s="45" t="str">
        <f>HYPERLINK("http://ictvonline.org/taxonomy/p/taxonomy-history?taxnode_id=201908091","ICTVonline=201908091")</f>
        <v>ICTVonline=201908091</v>
      </c>
      <c r="Y562" s="1" t="s">
        <v>7888</v>
      </c>
      <c r="AA562" s="1">
        <v>201900000</v>
      </c>
      <c r="AB562" s="1">
        <v>35</v>
      </c>
    </row>
    <row r="563" spans="1:28" x14ac:dyDescent="0.2">
      <c r="A563" s="1">
        <v>1512</v>
      </c>
      <c r="B563" s="1" t="s">
        <v>6850</v>
      </c>
      <c r="D563" s="1" t="s">
        <v>6851</v>
      </c>
      <c r="F563" s="1" t="s">
        <v>6914</v>
      </c>
      <c r="H563" s="1" t="s">
        <v>6915</v>
      </c>
      <c r="J563" s="1" t="s">
        <v>1324</v>
      </c>
      <c r="L563" s="1" t="s">
        <v>7818</v>
      </c>
      <c r="M563" s="1" t="s">
        <v>7833</v>
      </c>
      <c r="N563" s="1" t="s">
        <v>6539</v>
      </c>
      <c r="P563" s="1" t="s">
        <v>7889</v>
      </c>
      <c r="Q563" s="3">
        <v>0</v>
      </c>
      <c r="R563" s="23" t="s">
        <v>6854</v>
      </c>
      <c r="S563" s="23" t="s">
        <v>6849</v>
      </c>
      <c r="T563" s="23" t="s">
        <v>4864</v>
      </c>
      <c r="U563" s="3">
        <v>35</v>
      </c>
      <c r="V563" s="3" t="s">
        <v>7827</v>
      </c>
      <c r="W563" s="45" t="str">
        <f>HYPERLINK("http://ictvonline.org/taxonomy/p/taxonomy-history?taxnode_id=201908092","ICTVonline=201908092")</f>
        <v>ICTVonline=201908092</v>
      </c>
      <c r="Y563" s="1" t="s">
        <v>7890</v>
      </c>
      <c r="AA563" s="1">
        <v>201900000</v>
      </c>
      <c r="AB563" s="1">
        <v>35</v>
      </c>
    </row>
    <row r="564" spans="1:28" x14ac:dyDescent="0.2">
      <c r="A564" s="1">
        <v>1514</v>
      </c>
      <c r="B564" s="1" t="s">
        <v>6850</v>
      </c>
      <c r="D564" s="1" t="s">
        <v>6851</v>
      </c>
      <c r="F564" s="1" t="s">
        <v>6914</v>
      </c>
      <c r="H564" s="1" t="s">
        <v>6915</v>
      </c>
      <c r="J564" s="1" t="s">
        <v>1324</v>
      </c>
      <c r="L564" s="1" t="s">
        <v>7818</v>
      </c>
      <c r="M564" s="1" t="s">
        <v>7833</v>
      </c>
      <c r="N564" s="1" t="s">
        <v>6539</v>
      </c>
      <c r="P564" s="1" t="s">
        <v>7891</v>
      </c>
      <c r="Q564" s="3">
        <v>0</v>
      </c>
      <c r="R564" s="23" t="s">
        <v>6854</v>
      </c>
      <c r="S564" s="23" t="s">
        <v>6849</v>
      </c>
      <c r="T564" s="23" t="s">
        <v>4864</v>
      </c>
      <c r="U564" s="3">
        <v>35</v>
      </c>
      <c r="V564" s="3" t="s">
        <v>7827</v>
      </c>
      <c r="W564" s="45" t="str">
        <f>HYPERLINK("http://ictvonline.org/taxonomy/p/taxonomy-history?taxnode_id=201908089","ICTVonline=201908089")</f>
        <v>ICTVonline=201908089</v>
      </c>
      <c r="Y564" s="1" t="s">
        <v>7892</v>
      </c>
      <c r="AA564" s="1">
        <v>201900000</v>
      </c>
      <c r="AB564" s="1">
        <v>35</v>
      </c>
    </row>
    <row r="565" spans="1:28" x14ac:dyDescent="0.2">
      <c r="A565" s="1">
        <v>1516</v>
      </c>
      <c r="B565" s="1" t="s">
        <v>6850</v>
      </c>
      <c r="D565" s="1" t="s">
        <v>6851</v>
      </c>
      <c r="F565" s="1" t="s">
        <v>6914</v>
      </c>
      <c r="H565" s="1" t="s">
        <v>6915</v>
      </c>
      <c r="J565" s="1" t="s">
        <v>1324</v>
      </c>
      <c r="L565" s="1" t="s">
        <v>7818</v>
      </c>
      <c r="M565" s="1" t="s">
        <v>7833</v>
      </c>
      <c r="N565" s="1" t="s">
        <v>6539</v>
      </c>
      <c r="P565" s="1" t="s">
        <v>4432</v>
      </c>
      <c r="Q565" s="3">
        <v>0</v>
      </c>
      <c r="R565" s="23" t="s">
        <v>6854</v>
      </c>
      <c r="S565" s="23" t="s">
        <v>6845</v>
      </c>
      <c r="T565" s="23" t="s">
        <v>4866</v>
      </c>
      <c r="U565" s="3">
        <v>35</v>
      </c>
      <c r="W565" s="45" t="str">
        <f>HYPERLINK("http://ictvonline.org/taxonomy/p/taxonomy-history?taxnode_id=201901327","ICTVonline=201901327")</f>
        <v>ICTVonline=201901327</v>
      </c>
      <c r="Y565" s="1" t="s">
        <v>7893</v>
      </c>
      <c r="Z565" s="1" t="s">
        <v>7894</v>
      </c>
      <c r="AA565" s="1">
        <v>201900000</v>
      </c>
      <c r="AB565" s="1">
        <v>35</v>
      </c>
    </row>
    <row r="566" spans="1:28" x14ac:dyDescent="0.2">
      <c r="A566" s="1">
        <v>1518</v>
      </c>
      <c r="B566" s="1" t="s">
        <v>6850</v>
      </c>
      <c r="D566" s="1" t="s">
        <v>6851</v>
      </c>
      <c r="F566" s="1" t="s">
        <v>6914</v>
      </c>
      <c r="H566" s="1" t="s">
        <v>6915</v>
      </c>
      <c r="J566" s="1" t="s">
        <v>1324</v>
      </c>
      <c r="L566" s="1" t="s">
        <v>7818</v>
      </c>
      <c r="M566" s="1" t="s">
        <v>7833</v>
      </c>
      <c r="N566" s="1" t="s">
        <v>6539</v>
      </c>
      <c r="P566" s="1" t="s">
        <v>3385</v>
      </c>
      <c r="Q566" s="3">
        <v>1</v>
      </c>
      <c r="R566" s="23" t="s">
        <v>6854</v>
      </c>
      <c r="S566" s="23" t="s">
        <v>6845</v>
      </c>
      <c r="T566" s="23" t="s">
        <v>4866</v>
      </c>
      <c r="U566" s="3">
        <v>35</v>
      </c>
      <c r="W566" s="45" t="str">
        <f>HYPERLINK("http://ictvonline.org/taxonomy/p/taxonomy-history?taxnode_id=201901328","ICTVonline=201901328")</f>
        <v>ICTVonline=201901328</v>
      </c>
      <c r="AA566" s="1">
        <v>201900000</v>
      </c>
      <c r="AB566" s="1">
        <v>35</v>
      </c>
    </row>
    <row r="567" spans="1:28" x14ac:dyDescent="0.2">
      <c r="A567" s="1">
        <v>1520</v>
      </c>
      <c r="B567" s="1" t="s">
        <v>6850</v>
      </c>
      <c r="D567" s="1" t="s">
        <v>6851</v>
      </c>
      <c r="F567" s="1" t="s">
        <v>6914</v>
      </c>
      <c r="H567" s="1" t="s">
        <v>6915</v>
      </c>
      <c r="J567" s="1" t="s">
        <v>1324</v>
      </c>
      <c r="L567" s="1" t="s">
        <v>7818</v>
      </c>
      <c r="M567" s="1" t="s">
        <v>7833</v>
      </c>
      <c r="N567" s="1" t="s">
        <v>6539</v>
      </c>
      <c r="P567" s="1" t="s">
        <v>7895</v>
      </c>
      <c r="Q567" s="3">
        <v>0</v>
      </c>
      <c r="R567" s="23" t="s">
        <v>6854</v>
      </c>
      <c r="S567" s="23" t="s">
        <v>6849</v>
      </c>
      <c r="T567" s="23" t="s">
        <v>4864</v>
      </c>
      <c r="U567" s="3">
        <v>35</v>
      </c>
      <c r="V567" s="3" t="s">
        <v>7827</v>
      </c>
      <c r="W567" s="45" t="str">
        <f>HYPERLINK("http://ictvonline.org/taxonomy/p/taxonomy-history?taxnode_id=201908084","ICTVonline=201908084")</f>
        <v>ICTVonline=201908084</v>
      </c>
      <c r="Y567" s="1" t="s">
        <v>7896</v>
      </c>
      <c r="AA567" s="1">
        <v>201900000</v>
      </c>
      <c r="AB567" s="1">
        <v>35</v>
      </c>
    </row>
    <row r="568" spans="1:28" x14ac:dyDescent="0.2">
      <c r="A568" s="1">
        <v>1522</v>
      </c>
      <c r="B568" s="1" t="s">
        <v>6850</v>
      </c>
      <c r="D568" s="1" t="s">
        <v>6851</v>
      </c>
      <c r="F568" s="1" t="s">
        <v>6914</v>
      </c>
      <c r="H568" s="1" t="s">
        <v>6915</v>
      </c>
      <c r="J568" s="1" t="s">
        <v>1324</v>
      </c>
      <c r="L568" s="1" t="s">
        <v>7818</v>
      </c>
      <c r="M568" s="1" t="s">
        <v>7833</v>
      </c>
      <c r="N568" s="1" t="s">
        <v>6539</v>
      </c>
      <c r="P568" s="1" t="s">
        <v>7897</v>
      </c>
      <c r="Q568" s="3">
        <v>0</v>
      </c>
      <c r="R568" s="23" t="s">
        <v>6854</v>
      </c>
      <c r="S568" s="23" t="s">
        <v>6849</v>
      </c>
      <c r="T568" s="23" t="s">
        <v>4864</v>
      </c>
      <c r="U568" s="3">
        <v>35</v>
      </c>
      <c r="V568" s="3" t="s">
        <v>7827</v>
      </c>
      <c r="W568" s="45" t="str">
        <f>HYPERLINK("http://ictvonline.org/taxonomy/p/taxonomy-history?taxnode_id=201908090","ICTVonline=201908090")</f>
        <v>ICTVonline=201908090</v>
      </c>
      <c r="Y568" s="1" t="s">
        <v>7898</v>
      </c>
      <c r="AA568" s="1">
        <v>201900000</v>
      </c>
      <c r="AB568" s="1">
        <v>35</v>
      </c>
    </row>
    <row r="569" spans="1:28" x14ac:dyDescent="0.2">
      <c r="A569" s="1">
        <v>1524</v>
      </c>
      <c r="B569" s="1" t="s">
        <v>6850</v>
      </c>
      <c r="D569" s="1" t="s">
        <v>6851</v>
      </c>
      <c r="F569" s="1" t="s">
        <v>6914</v>
      </c>
      <c r="H569" s="1" t="s">
        <v>6915</v>
      </c>
      <c r="J569" s="1" t="s">
        <v>1324</v>
      </c>
      <c r="L569" s="1" t="s">
        <v>7818</v>
      </c>
      <c r="M569" s="1" t="s">
        <v>7833</v>
      </c>
      <c r="N569" s="1" t="s">
        <v>6539</v>
      </c>
      <c r="P569" s="1" t="s">
        <v>3386</v>
      </c>
      <c r="Q569" s="3">
        <v>0</v>
      </c>
      <c r="R569" s="23" t="s">
        <v>6854</v>
      </c>
      <c r="S569" s="23" t="s">
        <v>6845</v>
      </c>
      <c r="T569" s="23" t="s">
        <v>4866</v>
      </c>
      <c r="U569" s="3">
        <v>35</v>
      </c>
      <c r="W569" s="45" t="str">
        <f>HYPERLINK("http://ictvonline.org/taxonomy/p/taxonomy-history?taxnode_id=201901330","ICTVonline=201901330")</f>
        <v>ICTVonline=201901330</v>
      </c>
      <c r="Y569" s="1" t="s">
        <v>7899</v>
      </c>
      <c r="Z569" s="1" t="s">
        <v>7900</v>
      </c>
      <c r="AA569" s="1">
        <v>201900000</v>
      </c>
      <c r="AB569" s="1">
        <v>35</v>
      </c>
    </row>
    <row r="570" spans="1:28" x14ac:dyDescent="0.2">
      <c r="A570" s="1">
        <v>1526</v>
      </c>
      <c r="B570" s="1" t="s">
        <v>6850</v>
      </c>
      <c r="D570" s="1" t="s">
        <v>6851</v>
      </c>
      <c r="F570" s="1" t="s">
        <v>6914</v>
      </c>
      <c r="H570" s="1" t="s">
        <v>6915</v>
      </c>
      <c r="J570" s="1" t="s">
        <v>1324</v>
      </c>
      <c r="L570" s="1" t="s">
        <v>7818</v>
      </c>
      <c r="M570" s="1" t="s">
        <v>7833</v>
      </c>
      <c r="N570" s="1" t="s">
        <v>6539</v>
      </c>
      <c r="P570" s="1" t="s">
        <v>7901</v>
      </c>
      <c r="Q570" s="3">
        <v>0</v>
      </c>
      <c r="R570" s="23" t="s">
        <v>6854</v>
      </c>
      <c r="S570" s="23" t="s">
        <v>6849</v>
      </c>
      <c r="T570" s="23" t="s">
        <v>4864</v>
      </c>
      <c r="U570" s="3">
        <v>35</v>
      </c>
      <c r="V570" s="3" t="s">
        <v>7827</v>
      </c>
      <c r="W570" s="45" t="str">
        <f>HYPERLINK("http://ictvonline.org/taxonomy/p/taxonomy-history?taxnode_id=201908086","ICTVonline=201908086")</f>
        <v>ICTVonline=201908086</v>
      </c>
      <c r="Y570" s="1" t="s">
        <v>7902</v>
      </c>
      <c r="AA570" s="1">
        <v>201900000</v>
      </c>
      <c r="AB570" s="1">
        <v>35</v>
      </c>
    </row>
    <row r="571" spans="1:28" x14ac:dyDescent="0.2">
      <c r="A571" s="1">
        <v>1528</v>
      </c>
      <c r="B571" s="1" t="s">
        <v>6850</v>
      </c>
      <c r="D571" s="1" t="s">
        <v>6851</v>
      </c>
      <c r="F571" s="1" t="s">
        <v>6914</v>
      </c>
      <c r="H571" s="1" t="s">
        <v>6915</v>
      </c>
      <c r="J571" s="1" t="s">
        <v>1324</v>
      </c>
      <c r="L571" s="1" t="s">
        <v>7818</v>
      </c>
      <c r="M571" s="1" t="s">
        <v>7833</v>
      </c>
      <c r="N571" s="1" t="s">
        <v>6539</v>
      </c>
      <c r="P571" s="1" t="s">
        <v>7903</v>
      </c>
      <c r="Q571" s="3">
        <v>0</v>
      </c>
      <c r="R571" s="23" t="s">
        <v>6854</v>
      </c>
      <c r="S571" s="23" t="s">
        <v>6849</v>
      </c>
      <c r="T571" s="23" t="s">
        <v>4864</v>
      </c>
      <c r="U571" s="3">
        <v>35</v>
      </c>
      <c r="V571" s="3" t="s">
        <v>7827</v>
      </c>
      <c r="W571" s="45" t="str">
        <f>HYPERLINK("http://ictvonline.org/taxonomy/p/taxonomy-history?taxnode_id=201908085","ICTVonline=201908085")</f>
        <v>ICTVonline=201908085</v>
      </c>
      <c r="Y571" s="1" t="s">
        <v>7904</v>
      </c>
      <c r="AA571" s="1">
        <v>201900000</v>
      </c>
      <c r="AB571" s="1">
        <v>35</v>
      </c>
    </row>
    <row r="572" spans="1:28" x14ac:dyDescent="0.2">
      <c r="A572" s="1">
        <v>1530</v>
      </c>
      <c r="B572" s="1" t="s">
        <v>6850</v>
      </c>
      <c r="D572" s="1" t="s">
        <v>6851</v>
      </c>
      <c r="F572" s="1" t="s">
        <v>6914</v>
      </c>
      <c r="H572" s="1" t="s">
        <v>6915</v>
      </c>
      <c r="J572" s="1" t="s">
        <v>1324</v>
      </c>
      <c r="L572" s="1" t="s">
        <v>7818</v>
      </c>
      <c r="M572" s="1" t="s">
        <v>7833</v>
      </c>
      <c r="N572" s="1" t="s">
        <v>6539</v>
      </c>
      <c r="P572" s="1" t="s">
        <v>3387</v>
      </c>
      <c r="Q572" s="3">
        <v>0</v>
      </c>
      <c r="R572" s="23" t="s">
        <v>6854</v>
      </c>
      <c r="S572" s="23" t="s">
        <v>6845</v>
      </c>
      <c r="T572" s="23" t="s">
        <v>4866</v>
      </c>
      <c r="U572" s="3">
        <v>35</v>
      </c>
      <c r="W572" s="45" t="str">
        <f>HYPERLINK("http://ictvonline.org/taxonomy/p/taxonomy-history?taxnode_id=201901331","ICTVonline=201901331")</f>
        <v>ICTVonline=201901331</v>
      </c>
      <c r="AA572" s="1">
        <v>201900000</v>
      </c>
      <c r="AB572" s="1">
        <v>35</v>
      </c>
    </row>
    <row r="573" spans="1:28" x14ac:dyDescent="0.2">
      <c r="A573" s="1">
        <v>1532</v>
      </c>
      <c r="B573" s="1" t="s">
        <v>6850</v>
      </c>
      <c r="D573" s="1" t="s">
        <v>6851</v>
      </c>
      <c r="F573" s="1" t="s">
        <v>6914</v>
      </c>
      <c r="H573" s="1" t="s">
        <v>6915</v>
      </c>
      <c r="J573" s="1" t="s">
        <v>1324</v>
      </c>
      <c r="L573" s="1" t="s">
        <v>7818</v>
      </c>
      <c r="M573" s="1" t="s">
        <v>7833</v>
      </c>
      <c r="N573" s="1" t="s">
        <v>6539</v>
      </c>
      <c r="P573" s="1" t="s">
        <v>7905</v>
      </c>
      <c r="Q573" s="3">
        <v>0</v>
      </c>
      <c r="R573" s="23" t="s">
        <v>6854</v>
      </c>
      <c r="S573" s="23" t="s">
        <v>6849</v>
      </c>
      <c r="T573" s="23" t="s">
        <v>4864</v>
      </c>
      <c r="U573" s="3">
        <v>35</v>
      </c>
      <c r="V573" s="3" t="s">
        <v>7827</v>
      </c>
      <c r="W573" s="45" t="str">
        <f>HYPERLINK("http://ictvonline.org/taxonomy/p/taxonomy-history?taxnode_id=201908094","ICTVonline=201908094")</f>
        <v>ICTVonline=201908094</v>
      </c>
      <c r="Y573" s="1" t="s">
        <v>7906</v>
      </c>
      <c r="AA573" s="1">
        <v>201900000</v>
      </c>
      <c r="AB573" s="1">
        <v>35</v>
      </c>
    </row>
    <row r="574" spans="1:28" x14ac:dyDescent="0.2">
      <c r="A574" s="1">
        <v>1534</v>
      </c>
      <c r="B574" s="1" t="s">
        <v>6850</v>
      </c>
      <c r="D574" s="1" t="s">
        <v>6851</v>
      </c>
      <c r="F574" s="1" t="s">
        <v>6914</v>
      </c>
      <c r="H574" s="1" t="s">
        <v>6915</v>
      </c>
      <c r="J574" s="1" t="s">
        <v>1324</v>
      </c>
      <c r="L574" s="1" t="s">
        <v>7818</v>
      </c>
      <c r="M574" s="1" t="s">
        <v>7833</v>
      </c>
      <c r="N574" s="1" t="s">
        <v>6539</v>
      </c>
      <c r="P574" s="1" t="s">
        <v>7907</v>
      </c>
      <c r="Q574" s="3">
        <v>0</v>
      </c>
      <c r="R574" s="23" t="s">
        <v>6854</v>
      </c>
      <c r="S574" s="23" t="s">
        <v>6849</v>
      </c>
      <c r="T574" s="23" t="s">
        <v>4864</v>
      </c>
      <c r="U574" s="3">
        <v>35</v>
      </c>
      <c r="V574" s="3" t="s">
        <v>7827</v>
      </c>
      <c r="W574" s="45" t="str">
        <f>HYPERLINK("http://ictvonline.org/taxonomy/p/taxonomy-history?taxnode_id=201908087","ICTVonline=201908087")</f>
        <v>ICTVonline=201908087</v>
      </c>
      <c r="Y574" s="1" t="s">
        <v>7908</v>
      </c>
      <c r="AA574" s="1">
        <v>201900000</v>
      </c>
      <c r="AB574" s="1">
        <v>35</v>
      </c>
    </row>
    <row r="575" spans="1:28" x14ac:dyDescent="0.2">
      <c r="A575" s="1">
        <v>1540</v>
      </c>
      <c r="B575" s="1" t="s">
        <v>6850</v>
      </c>
      <c r="D575" s="1" t="s">
        <v>6851</v>
      </c>
      <c r="F575" s="1" t="s">
        <v>6914</v>
      </c>
      <c r="H575" s="1" t="s">
        <v>6915</v>
      </c>
      <c r="J575" s="1" t="s">
        <v>1324</v>
      </c>
      <c r="L575" s="1" t="s">
        <v>7818</v>
      </c>
      <c r="M575" s="1" t="s">
        <v>7909</v>
      </c>
      <c r="N575" s="1" t="s">
        <v>7910</v>
      </c>
      <c r="P575" s="1" t="s">
        <v>7911</v>
      </c>
      <c r="Q575" s="3">
        <v>1</v>
      </c>
      <c r="R575" s="23" t="s">
        <v>6854</v>
      </c>
      <c r="S575" s="23" t="s">
        <v>6849</v>
      </c>
      <c r="T575" s="23" t="s">
        <v>4864</v>
      </c>
      <c r="U575" s="3">
        <v>35</v>
      </c>
      <c r="V575" s="3" t="s">
        <v>7827</v>
      </c>
      <c r="W575" s="45" t="str">
        <f>HYPERLINK("http://ictvonline.org/taxonomy/p/taxonomy-history?taxnode_id=201908124","ICTVonline=201908124")</f>
        <v>ICTVonline=201908124</v>
      </c>
      <c r="Y575" s="1" t="s">
        <v>7912</v>
      </c>
      <c r="AA575" s="1">
        <v>201900000</v>
      </c>
      <c r="AB575" s="1">
        <v>35</v>
      </c>
    </row>
    <row r="576" spans="1:28" x14ac:dyDescent="0.2">
      <c r="A576" s="1">
        <v>1544</v>
      </c>
      <c r="B576" s="1" t="s">
        <v>6850</v>
      </c>
      <c r="D576" s="1" t="s">
        <v>6851</v>
      </c>
      <c r="F576" s="1" t="s">
        <v>6914</v>
      </c>
      <c r="H576" s="1" t="s">
        <v>6915</v>
      </c>
      <c r="J576" s="1" t="s">
        <v>1324</v>
      </c>
      <c r="L576" s="1" t="s">
        <v>7818</v>
      </c>
      <c r="M576" s="1" t="s">
        <v>7909</v>
      </c>
      <c r="N576" s="1" t="s">
        <v>6476</v>
      </c>
      <c r="P576" s="1" t="s">
        <v>6477</v>
      </c>
      <c r="Q576" s="3">
        <v>1</v>
      </c>
      <c r="R576" s="23" t="s">
        <v>6854</v>
      </c>
      <c r="S576" s="23" t="s">
        <v>6845</v>
      </c>
      <c r="T576" s="23" t="s">
        <v>4866</v>
      </c>
      <c r="U576" s="3">
        <v>35</v>
      </c>
      <c r="W576" s="45" t="str">
        <f>HYPERLINK("http://ictvonline.org/taxonomy/p/taxonomy-history?taxnode_id=201907058","ICTVonline=201907058")</f>
        <v>ICTVonline=201907058</v>
      </c>
      <c r="Y576" s="1" t="s">
        <v>7913</v>
      </c>
      <c r="Z576" s="1" t="s">
        <v>7914</v>
      </c>
      <c r="AA576" s="1">
        <v>201900000</v>
      </c>
      <c r="AB576" s="1">
        <v>35</v>
      </c>
    </row>
    <row r="577" spans="1:28" x14ac:dyDescent="0.2">
      <c r="A577" s="1">
        <v>1549</v>
      </c>
      <c r="B577" s="1" t="s">
        <v>6850</v>
      </c>
      <c r="D577" s="1" t="s">
        <v>6851</v>
      </c>
      <c r="F577" s="1" t="s">
        <v>6914</v>
      </c>
      <c r="H577" s="1" t="s">
        <v>6915</v>
      </c>
      <c r="J577" s="1" t="s">
        <v>1324</v>
      </c>
      <c r="L577" s="1" t="s">
        <v>7818</v>
      </c>
      <c r="N577" s="1" t="s">
        <v>6484</v>
      </c>
      <c r="P577" s="1" t="s">
        <v>6485</v>
      </c>
      <c r="Q577" s="3">
        <v>1</v>
      </c>
      <c r="R577" s="23" t="s">
        <v>6854</v>
      </c>
      <c r="S577" s="23" t="s">
        <v>6845</v>
      </c>
      <c r="T577" s="23" t="s">
        <v>4866</v>
      </c>
      <c r="U577" s="3">
        <v>35</v>
      </c>
      <c r="W577" s="45" t="str">
        <f>HYPERLINK("http://ictvonline.org/taxonomy/p/taxonomy-history?taxnode_id=201907060","ICTVonline=201907060")</f>
        <v>ICTVonline=201907060</v>
      </c>
      <c r="Y577" s="1" t="s">
        <v>7915</v>
      </c>
      <c r="Z577" s="1" t="s">
        <v>7916</v>
      </c>
      <c r="AA577" s="1">
        <v>201900000</v>
      </c>
      <c r="AB577" s="1">
        <v>35</v>
      </c>
    </row>
    <row r="578" spans="1:28" x14ac:dyDescent="0.2">
      <c r="A578" s="1">
        <v>1551</v>
      </c>
      <c r="B578" s="1" t="s">
        <v>6850</v>
      </c>
      <c r="D578" s="1" t="s">
        <v>6851</v>
      </c>
      <c r="F578" s="1" t="s">
        <v>6914</v>
      </c>
      <c r="H578" s="1" t="s">
        <v>6915</v>
      </c>
      <c r="J578" s="1" t="s">
        <v>1324</v>
      </c>
      <c r="L578" s="1" t="s">
        <v>7818</v>
      </c>
      <c r="N578" s="1" t="s">
        <v>6484</v>
      </c>
      <c r="P578" s="1" t="s">
        <v>7917</v>
      </c>
      <c r="Q578" s="3">
        <v>1</v>
      </c>
      <c r="R578" s="23" t="s">
        <v>6854</v>
      </c>
      <c r="S578" s="23" t="s">
        <v>6849</v>
      </c>
      <c r="T578" s="23" t="s">
        <v>4864</v>
      </c>
      <c r="U578" s="3">
        <v>35</v>
      </c>
      <c r="V578" s="3" t="s">
        <v>7827</v>
      </c>
      <c r="W578" s="45" t="str">
        <f>HYPERLINK("http://ictvonline.org/taxonomy/p/taxonomy-history?taxnode_id=201908118","ICTVonline=201908118")</f>
        <v>ICTVonline=201908118</v>
      </c>
      <c r="Y578" s="1" t="s">
        <v>7918</v>
      </c>
      <c r="AA578" s="1">
        <v>201900000</v>
      </c>
      <c r="AB578" s="1">
        <v>35</v>
      </c>
    </row>
    <row r="579" spans="1:28" x14ac:dyDescent="0.2">
      <c r="A579" s="1">
        <v>1555</v>
      </c>
      <c r="B579" s="1" t="s">
        <v>6850</v>
      </c>
      <c r="D579" s="1" t="s">
        <v>6851</v>
      </c>
      <c r="F579" s="1" t="s">
        <v>6914</v>
      </c>
      <c r="H579" s="1" t="s">
        <v>6915</v>
      </c>
      <c r="J579" s="1" t="s">
        <v>1324</v>
      </c>
      <c r="L579" s="1" t="s">
        <v>7818</v>
      </c>
      <c r="N579" s="1" t="s">
        <v>7919</v>
      </c>
      <c r="P579" s="1" t="s">
        <v>7920</v>
      </c>
      <c r="Q579" s="3">
        <v>1</v>
      </c>
      <c r="R579" s="23" t="s">
        <v>6854</v>
      </c>
      <c r="S579" s="23" t="s">
        <v>6849</v>
      </c>
      <c r="T579" s="23" t="s">
        <v>4864</v>
      </c>
      <c r="U579" s="3">
        <v>35</v>
      </c>
      <c r="V579" s="3" t="s">
        <v>7827</v>
      </c>
      <c r="W579" s="45" t="str">
        <f>HYPERLINK("http://ictvonline.org/taxonomy/p/taxonomy-history?taxnode_id=201908120","ICTVonline=201908120")</f>
        <v>ICTVonline=201908120</v>
      </c>
      <c r="Y579" s="1" t="s">
        <v>7921</v>
      </c>
      <c r="AA579" s="1">
        <v>201900000</v>
      </c>
      <c r="AB579" s="1">
        <v>35</v>
      </c>
    </row>
    <row r="580" spans="1:28" x14ac:dyDescent="0.2">
      <c r="A580" s="1">
        <v>1557</v>
      </c>
      <c r="B580" s="1" t="s">
        <v>6850</v>
      </c>
      <c r="D580" s="1" t="s">
        <v>6851</v>
      </c>
      <c r="F580" s="1" t="s">
        <v>6914</v>
      </c>
      <c r="H580" s="1" t="s">
        <v>6915</v>
      </c>
      <c r="J580" s="1" t="s">
        <v>1324</v>
      </c>
      <c r="L580" s="1" t="s">
        <v>7818</v>
      </c>
      <c r="N580" s="1" t="s">
        <v>7919</v>
      </c>
      <c r="P580" s="1" t="s">
        <v>7922</v>
      </c>
      <c r="Q580" s="3">
        <v>0</v>
      </c>
      <c r="R580" s="23" t="s">
        <v>6854</v>
      </c>
      <c r="S580" s="23" t="s">
        <v>6849</v>
      </c>
      <c r="T580" s="23" t="s">
        <v>4864</v>
      </c>
      <c r="U580" s="3">
        <v>35</v>
      </c>
      <c r="V580" s="3" t="s">
        <v>7827</v>
      </c>
      <c r="W580" s="45" t="str">
        <f>HYPERLINK("http://ictvonline.org/taxonomy/p/taxonomy-history?taxnode_id=201908121","ICTVonline=201908121")</f>
        <v>ICTVonline=201908121</v>
      </c>
      <c r="Y580" s="1" t="s">
        <v>7923</v>
      </c>
      <c r="AA580" s="1">
        <v>201900000</v>
      </c>
      <c r="AB580" s="1">
        <v>35</v>
      </c>
    </row>
    <row r="581" spans="1:28" x14ac:dyDescent="0.2">
      <c r="A581" s="1">
        <v>1561</v>
      </c>
      <c r="B581" s="1" t="s">
        <v>6850</v>
      </c>
      <c r="D581" s="1" t="s">
        <v>6851</v>
      </c>
      <c r="F581" s="1" t="s">
        <v>6914</v>
      </c>
      <c r="H581" s="1" t="s">
        <v>6915</v>
      </c>
      <c r="J581" s="1" t="s">
        <v>1324</v>
      </c>
      <c r="L581" s="1" t="s">
        <v>7818</v>
      </c>
      <c r="N581" s="1" t="s">
        <v>7924</v>
      </c>
      <c r="P581" s="1" t="s">
        <v>7925</v>
      </c>
      <c r="Q581" s="3">
        <v>0</v>
      </c>
      <c r="R581" s="23" t="s">
        <v>6854</v>
      </c>
      <c r="S581" s="23" t="s">
        <v>6849</v>
      </c>
      <c r="T581" s="23" t="s">
        <v>4864</v>
      </c>
      <c r="U581" s="3">
        <v>35</v>
      </c>
      <c r="V581" s="3" t="s">
        <v>7827</v>
      </c>
      <c r="W581" s="45" t="str">
        <f>HYPERLINK("http://ictvonline.org/taxonomy/p/taxonomy-history?taxnode_id=201908117","ICTVonline=201908117")</f>
        <v>ICTVonline=201908117</v>
      </c>
      <c r="Y581" s="1" t="s">
        <v>7926</v>
      </c>
      <c r="AA581" s="1">
        <v>201900000</v>
      </c>
      <c r="AB581" s="1">
        <v>35</v>
      </c>
    </row>
    <row r="582" spans="1:28" x14ac:dyDescent="0.2">
      <c r="A582" s="1">
        <v>1563</v>
      </c>
      <c r="B582" s="1" t="s">
        <v>6850</v>
      </c>
      <c r="D582" s="1" t="s">
        <v>6851</v>
      </c>
      <c r="F582" s="1" t="s">
        <v>6914</v>
      </c>
      <c r="H582" s="1" t="s">
        <v>6915</v>
      </c>
      <c r="J582" s="1" t="s">
        <v>1324</v>
      </c>
      <c r="L582" s="1" t="s">
        <v>7818</v>
      </c>
      <c r="N582" s="1" t="s">
        <v>7924</v>
      </c>
      <c r="P582" s="1" t="s">
        <v>7927</v>
      </c>
      <c r="Q582" s="3">
        <v>1</v>
      </c>
      <c r="R582" s="23" t="s">
        <v>6854</v>
      </c>
      <c r="S582" s="23" t="s">
        <v>6849</v>
      </c>
      <c r="T582" s="23" t="s">
        <v>4864</v>
      </c>
      <c r="U582" s="3">
        <v>35</v>
      </c>
      <c r="V582" s="3" t="s">
        <v>7827</v>
      </c>
      <c r="W582" s="45" t="str">
        <f>HYPERLINK("http://ictvonline.org/taxonomy/p/taxonomy-history?taxnode_id=201908116","ICTVonline=201908116")</f>
        <v>ICTVonline=201908116</v>
      </c>
      <c r="Y582" s="1" t="s">
        <v>7928</v>
      </c>
      <c r="AA582" s="1">
        <v>201900000</v>
      </c>
      <c r="AB582" s="1">
        <v>35</v>
      </c>
    </row>
    <row r="583" spans="1:28" x14ac:dyDescent="0.2">
      <c r="A583" s="1">
        <v>1567</v>
      </c>
      <c r="B583" s="1" t="s">
        <v>6850</v>
      </c>
      <c r="D583" s="1" t="s">
        <v>6851</v>
      </c>
      <c r="F583" s="1" t="s">
        <v>6914</v>
      </c>
      <c r="H583" s="1" t="s">
        <v>6915</v>
      </c>
      <c r="J583" s="1" t="s">
        <v>1324</v>
      </c>
      <c r="L583" s="1" t="s">
        <v>7818</v>
      </c>
      <c r="N583" s="1" t="s">
        <v>6536</v>
      </c>
      <c r="P583" s="1" t="s">
        <v>6537</v>
      </c>
      <c r="Q583" s="3">
        <v>0</v>
      </c>
      <c r="R583" s="23" t="s">
        <v>6854</v>
      </c>
      <c r="S583" s="23" t="s">
        <v>6845</v>
      </c>
      <c r="T583" s="23" t="s">
        <v>4866</v>
      </c>
      <c r="U583" s="3">
        <v>35</v>
      </c>
      <c r="W583" s="45" t="str">
        <f>HYPERLINK("http://ictvonline.org/taxonomy/p/taxonomy-history?taxnode_id=201907065","ICTVonline=201907065")</f>
        <v>ICTVonline=201907065</v>
      </c>
      <c r="Y583" s="1" t="s">
        <v>7929</v>
      </c>
      <c r="Z583" s="1" t="s">
        <v>7930</v>
      </c>
      <c r="AA583" s="1">
        <v>201900000</v>
      </c>
      <c r="AB583" s="1">
        <v>35</v>
      </c>
    </row>
    <row r="584" spans="1:28" x14ac:dyDescent="0.2">
      <c r="A584" s="1">
        <v>1569</v>
      </c>
      <c r="B584" s="1" t="s">
        <v>6850</v>
      </c>
      <c r="D584" s="1" t="s">
        <v>6851</v>
      </c>
      <c r="F584" s="1" t="s">
        <v>6914</v>
      </c>
      <c r="H584" s="1" t="s">
        <v>6915</v>
      </c>
      <c r="J584" s="1" t="s">
        <v>1324</v>
      </c>
      <c r="L584" s="1" t="s">
        <v>7818</v>
      </c>
      <c r="N584" s="1" t="s">
        <v>6536</v>
      </c>
      <c r="P584" s="1" t="s">
        <v>6538</v>
      </c>
      <c r="Q584" s="3">
        <v>1</v>
      </c>
      <c r="R584" s="23" t="s">
        <v>6854</v>
      </c>
      <c r="S584" s="23" t="s">
        <v>6845</v>
      </c>
      <c r="T584" s="23" t="s">
        <v>4866</v>
      </c>
      <c r="U584" s="3">
        <v>35</v>
      </c>
      <c r="W584" s="45" t="str">
        <f>HYPERLINK("http://ictvonline.org/taxonomy/p/taxonomy-history?taxnode_id=201907064","ICTVonline=201907064")</f>
        <v>ICTVonline=201907064</v>
      </c>
      <c r="Y584" s="1" t="s">
        <v>7931</v>
      </c>
      <c r="Z584" s="1" t="s">
        <v>7932</v>
      </c>
      <c r="AA584" s="1">
        <v>201900000</v>
      </c>
      <c r="AB584" s="1">
        <v>35</v>
      </c>
    </row>
    <row r="585" spans="1:28" x14ac:dyDescent="0.2">
      <c r="A585" s="1">
        <v>1576</v>
      </c>
      <c r="B585" s="1" t="s">
        <v>6850</v>
      </c>
      <c r="D585" s="1" t="s">
        <v>6851</v>
      </c>
      <c r="F585" s="1" t="s">
        <v>6914</v>
      </c>
      <c r="H585" s="1" t="s">
        <v>6915</v>
      </c>
      <c r="J585" s="1" t="s">
        <v>1324</v>
      </c>
      <c r="L585" s="1" t="s">
        <v>7933</v>
      </c>
      <c r="M585" s="1" t="s">
        <v>7934</v>
      </c>
      <c r="N585" s="1" t="s">
        <v>7935</v>
      </c>
      <c r="P585" s="1" t="s">
        <v>7936</v>
      </c>
      <c r="Q585" s="3">
        <v>1</v>
      </c>
      <c r="R585" s="23" t="s">
        <v>6854</v>
      </c>
      <c r="S585" s="23" t="s">
        <v>6849</v>
      </c>
      <c r="T585" s="23" t="s">
        <v>4864</v>
      </c>
      <c r="U585" s="3">
        <v>35</v>
      </c>
      <c r="V585" s="3" t="s">
        <v>7937</v>
      </c>
      <c r="W585" s="45" t="str">
        <f>HYPERLINK("http://ictvonline.org/taxonomy/p/taxonomy-history?taxnode_id=201908146","ICTVonline=201908146")</f>
        <v>ICTVonline=201908146</v>
      </c>
      <c r="Y585" s="1" t="s">
        <v>7938</v>
      </c>
      <c r="AA585" s="1">
        <v>201900000</v>
      </c>
      <c r="AB585" s="1">
        <v>35</v>
      </c>
    </row>
    <row r="586" spans="1:28" x14ac:dyDescent="0.2">
      <c r="A586" s="1">
        <v>1580</v>
      </c>
      <c r="B586" s="1" t="s">
        <v>6850</v>
      </c>
      <c r="D586" s="1" t="s">
        <v>6851</v>
      </c>
      <c r="F586" s="1" t="s">
        <v>6914</v>
      </c>
      <c r="H586" s="1" t="s">
        <v>6915</v>
      </c>
      <c r="J586" s="1" t="s">
        <v>1324</v>
      </c>
      <c r="L586" s="1" t="s">
        <v>7933</v>
      </c>
      <c r="M586" s="1" t="s">
        <v>7934</v>
      </c>
      <c r="N586" s="1" t="s">
        <v>7939</v>
      </c>
      <c r="P586" s="1" t="s">
        <v>3056</v>
      </c>
      <c r="Q586" s="3">
        <v>1</v>
      </c>
      <c r="R586" s="23" t="s">
        <v>6854</v>
      </c>
      <c r="S586" s="23" t="s">
        <v>6849</v>
      </c>
      <c r="T586" s="23" t="s">
        <v>6395</v>
      </c>
      <c r="U586" s="3">
        <v>35</v>
      </c>
      <c r="V586" s="3" t="s">
        <v>7937</v>
      </c>
      <c r="W586" s="45" t="str">
        <f>HYPERLINK("http://ictvonline.org/taxonomy/p/taxonomy-history?taxnode_id=201900822","ICTVonline=201900822")</f>
        <v>ICTVonline=201900822</v>
      </c>
      <c r="Y586" s="1" t="s">
        <v>7940</v>
      </c>
      <c r="AA586" s="1">
        <v>201900000</v>
      </c>
      <c r="AB586" s="1">
        <v>35</v>
      </c>
    </row>
    <row r="587" spans="1:28" x14ac:dyDescent="0.2">
      <c r="A587" s="1">
        <v>1582</v>
      </c>
      <c r="B587" s="1" t="s">
        <v>6850</v>
      </c>
      <c r="D587" s="1" t="s">
        <v>6851</v>
      </c>
      <c r="F587" s="1" t="s">
        <v>6914</v>
      </c>
      <c r="H587" s="1" t="s">
        <v>6915</v>
      </c>
      <c r="J587" s="1" t="s">
        <v>1324</v>
      </c>
      <c r="L587" s="1" t="s">
        <v>7933</v>
      </c>
      <c r="M587" s="1" t="s">
        <v>7934</v>
      </c>
      <c r="N587" s="1" t="s">
        <v>7939</v>
      </c>
      <c r="P587" s="1" t="s">
        <v>7941</v>
      </c>
      <c r="Q587" s="3">
        <v>0</v>
      </c>
      <c r="R587" s="23" t="s">
        <v>6854</v>
      </c>
      <c r="S587" s="23" t="s">
        <v>6849</v>
      </c>
      <c r="T587" s="23" t="s">
        <v>4864</v>
      </c>
      <c r="U587" s="3">
        <v>35</v>
      </c>
      <c r="V587" s="3" t="s">
        <v>7937</v>
      </c>
      <c r="W587" s="45" t="str">
        <f>HYPERLINK("http://ictvonline.org/taxonomy/p/taxonomy-history?taxnode_id=201908150","ICTVonline=201908150")</f>
        <v>ICTVonline=201908150</v>
      </c>
      <c r="Y587" s="1" t="s">
        <v>7942</v>
      </c>
      <c r="AA587" s="1">
        <v>201900000</v>
      </c>
      <c r="AB587" s="1">
        <v>35</v>
      </c>
    </row>
    <row r="588" spans="1:28" x14ac:dyDescent="0.2">
      <c r="A588" s="1">
        <v>1586</v>
      </c>
      <c r="B588" s="1" t="s">
        <v>6850</v>
      </c>
      <c r="D588" s="1" t="s">
        <v>6851</v>
      </c>
      <c r="F588" s="1" t="s">
        <v>6914</v>
      </c>
      <c r="H588" s="1" t="s">
        <v>6915</v>
      </c>
      <c r="J588" s="1" t="s">
        <v>1324</v>
      </c>
      <c r="L588" s="1" t="s">
        <v>7933</v>
      </c>
      <c r="M588" s="1" t="s">
        <v>7934</v>
      </c>
      <c r="N588" s="1" t="s">
        <v>7943</v>
      </c>
      <c r="P588" s="1" t="s">
        <v>7944</v>
      </c>
      <c r="Q588" s="3">
        <v>1</v>
      </c>
      <c r="R588" s="23" t="s">
        <v>6854</v>
      </c>
      <c r="S588" s="23" t="s">
        <v>6849</v>
      </c>
      <c r="T588" s="23" t="s">
        <v>4864</v>
      </c>
      <c r="U588" s="3">
        <v>35</v>
      </c>
      <c r="V588" s="3" t="s">
        <v>7937</v>
      </c>
      <c r="W588" s="45" t="str">
        <f>HYPERLINK("http://ictvonline.org/taxonomy/p/taxonomy-history?taxnode_id=201908148","ICTVonline=201908148")</f>
        <v>ICTVonline=201908148</v>
      </c>
      <c r="Y588" s="1" t="s">
        <v>7945</v>
      </c>
      <c r="AA588" s="1">
        <v>201900000</v>
      </c>
      <c r="AB588" s="1">
        <v>35</v>
      </c>
    </row>
    <row r="589" spans="1:28" x14ac:dyDescent="0.2">
      <c r="A589" s="1">
        <v>1590</v>
      </c>
      <c r="B589" s="1" t="s">
        <v>6850</v>
      </c>
      <c r="D589" s="1" t="s">
        <v>6851</v>
      </c>
      <c r="F589" s="1" t="s">
        <v>6914</v>
      </c>
      <c r="H589" s="1" t="s">
        <v>6915</v>
      </c>
      <c r="J589" s="1" t="s">
        <v>1324</v>
      </c>
      <c r="L589" s="1" t="s">
        <v>7933</v>
      </c>
      <c r="M589" s="1" t="s">
        <v>7934</v>
      </c>
      <c r="N589" s="1" t="s">
        <v>3055</v>
      </c>
      <c r="P589" s="1" t="s">
        <v>7946</v>
      </c>
      <c r="Q589" s="3">
        <v>0</v>
      </c>
      <c r="R589" s="23" t="s">
        <v>6854</v>
      </c>
      <c r="S589" s="23" t="s">
        <v>6849</v>
      </c>
      <c r="T589" s="23" t="s">
        <v>4864</v>
      </c>
      <c r="U589" s="3">
        <v>35</v>
      </c>
      <c r="V589" s="3" t="s">
        <v>7937</v>
      </c>
      <c r="W589" s="45" t="str">
        <f>HYPERLINK("http://ictvonline.org/taxonomy/p/taxonomy-history?taxnode_id=201908144","ICTVonline=201908144")</f>
        <v>ICTVonline=201908144</v>
      </c>
      <c r="Y589" s="1" t="s">
        <v>7938</v>
      </c>
      <c r="AA589" s="1">
        <v>201900000</v>
      </c>
      <c r="AB589" s="1">
        <v>35</v>
      </c>
    </row>
    <row r="590" spans="1:28" x14ac:dyDescent="0.2">
      <c r="A590" s="1">
        <v>1592</v>
      </c>
      <c r="B590" s="1" t="s">
        <v>6850</v>
      </c>
      <c r="D590" s="1" t="s">
        <v>6851</v>
      </c>
      <c r="F590" s="1" t="s">
        <v>6914</v>
      </c>
      <c r="H590" s="1" t="s">
        <v>6915</v>
      </c>
      <c r="J590" s="1" t="s">
        <v>1324</v>
      </c>
      <c r="L590" s="1" t="s">
        <v>7933</v>
      </c>
      <c r="M590" s="1" t="s">
        <v>7934</v>
      </c>
      <c r="N590" s="1" t="s">
        <v>3055</v>
      </c>
      <c r="P590" s="1" t="s">
        <v>3057</v>
      </c>
      <c r="Q590" s="3">
        <v>1</v>
      </c>
      <c r="R590" s="23" t="s">
        <v>6854</v>
      </c>
      <c r="S590" s="23" t="s">
        <v>6845</v>
      </c>
      <c r="T590" s="23" t="s">
        <v>4866</v>
      </c>
      <c r="U590" s="3">
        <v>35</v>
      </c>
      <c r="W590" s="45" t="str">
        <f>HYPERLINK("http://ictvonline.org/taxonomy/p/taxonomy-history?taxnode_id=201900823","ICTVonline=201900823")</f>
        <v>ICTVonline=201900823</v>
      </c>
      <c r="Y590" s="1" t="s">
        <v>7947</v>
      </c>
      <c r="Z590" s="1" t="s">
        <v>7948</v>
      </c>
      <c r="AA590" s="1">
        <v>201900000</v>
      </c>
      <c r="AB590" s="1">
        <v>35</v>
      </c>
    </row>
    <row r="591" spans="1:28" x14ac:dyDescent="0.2">
      <c r="A591" s="1">
        <v>1598</v>
      </c>
      <c r="B591" s="1" t="s">
        <v>6850</v>
      </c>
      <c r="D591" s="1" t="s">
        <v>6851</v>
      </c>
      <c r="F591" s="1" t="s">
        <v>6914</v>
      </c>
      <c r="H591" s="1" t="s">
        <v>6915</v>
      </c>
      <c r="J591" s="1" t="s">
        <v>1324</v>
      </c>
      <c r="L591" s="1" t="s">
        <v>7933</v>
      </c>
      <c r="M591" s="1" t="s">
        <v>7949</v>
      </c>
      <c r="N591" s="1" t="s">
        <v>7950</v>
      </c>
      <c r="P591" s="1" t="s">
        <v>7951</v>
      </c>
      <c r="Q591" s="3">
        <v>1</v>
      </c>
      <c r="R591" s="23" t="s">
        <v>6854</v>
      </c>
      <c r="S591" s="23" t="s">
        <v>6849</v>
      </c>
      <c r="T591" s="23" t="s">
        <v>4864</v>
      </c>
      <c r="U591" s="3">
        <v>35</v>
      </c>
      <c r="V591" s="3" t="s">
        <v>7937</v>
      </c>
      <c r="W591" s="45" t="str">
        <f>HYPERLINK("http://ictvonline.org/taxonomy/p/taxonomy-history?taxnode_id=201908154","ICTVonline=201908154")</f>
        <v>ICTVonline=201908154</v>
      </c>
      <c r="Y591" s="1" t="s">
        <v>7952</v>
      </c>
      <c r="AA591" s="1">
        <v>201900000</v>
      </c>
      <c r="AB591" s="1">
        <v>35</v>
      </c>
    </row>
    <row r="592" spans="1:28" x14ac:dyDescent="0.2">
      <c r="A592" s="1">
        <v>1602</v>
      </c>
      <c r="B592" s="1" t="s">
        <v>6850</v>
      </c>
      <c r="D592" s="1" t="s">
        <v>6851</v>
      </c>
      <c r="F592" s="1" t="s">
        <v>6914</v>
      </c>
      <c r="H592" s="1" t="s">
        <v>6915</v>
      </c>
      <c r="J592" s="1" t="s">
        <v>1324</v>
      </c>
      <c r="L592" s="1" t="s">
        <v>7933</v>
      </c>
      <c r="M592" s="1" t="s">
        <v>7949</v>
      </c>
      <c r="N592" s="1" t="s">
        <v>7953</v>
      </c>
      <c r="P592" s="1" t="s">
        <v>7954</v>
      </c>
      <c r="Q592" s="3">
        <v>1</v>
      </c>
      <c r="R592" s="23" t="s">
        <v>6854</v>
      </c>
      <c r="S592" s="23" t="s">
        <v>6849</v>
      </c>
      <c r="T592" s="23" t="s">
        <v>4864</v>
      </c>
      <c r="U592" s="3">
        <v>35</v>
      </c>
      <c r="V592" s="3" t="s">
        <v>7937</v>
      </c>
      <c r="W592" s="45" t="str">
        <f>HYPERLINK("http://ictvonline.org/taxonomy/p/taxonomy-history?taxnode_id=201908158","ICTVonline=201908158")</f>
        <v>ICTVonline=201908158</v>
      </c>
      <c r="Y592" s="1" t="s">
        <v>7955</v>
      </c>
      <c r="AA592" s="1">
        <v>201900000</v>
      </c>
      <c r="AB592" s="1">
        <v>35</v>
      </c>
    </row>
    <row r="593" spans="1:28" x14ac:dyDescent="0.2">
      <c r="A593" s="1">
        <v>1606</v>
      </c>
      <c r="B593" s="1" t="s">
        <v>6850</v>
      </c>
      <c r="D593" s="1" t="s">
        <v>6851</v>
      </c>
      <c r="F593" s="1" t="s">
        <v>6914</v>
      </c>
      <c r="H593" s="1" t="s">
        <v>6915</v>
      </c>
      <c r="J593" s="1" t="s">
        <v>1324</v>
      </c>
      <c r="L593" s="1" t="s">
        <v>7933</v>
      </c>
      <c r="M593" s="1" t="s">
        <v>7949</v>
      </c>
      <c r="N593" s="1" t="s">
        <v>6323</v>
      </c>
      <c r="P593" s="1" t="s">
        <v>3047</v>
      </c>
      <c r="Q593" s="3">
        <v>0</v>
      </c>
      <c r="R593" s="23" t="s">
        <v>6854</v>
      </c>
      <c r="S593" s="23" t="s">
        <v>6845</v>
      </c>
      <c r="T593" s="23" t="s">
        <v>4866</v>
      </c>
      <c r="U593" s="3">
        <v>35</v>
      </c>
      <c r="W593" s="45" t="str">
        <f>HYPERLINK("http://ictvonline.org/taxonomy/p/taxonomy-history?taxnode_id=201900812","ICTVonline=201900812")</f>
        <v>ICTVonline=201900812</v>
      </c>
      <c r="Y593" s="1" t="s">
        <v>7956</v>
      </c>
      <c r="Z593" s="1" t="s">
        <v>7957</v>
      </c>
      <c r="AA593" s="1">
        <v>201900000</v>
      </c>
      <c r="AB593" s="1">
        <v>35</v>
      </c>
    </row>
    <row r="594" spans="1:28" x14ac:dyDescent="0.2">
      <c r="A594" s="1">
        <v>1608</v>
      </c>
      <c r="B594" s="1" t="s">
        <v>6850</v>
      </c>
      <c r="D594" s="1" t="s">
        <v>6851</v>
      </c>
      <c r="F594" s="1" t="s">
        <v>6914</v>
      </c>
      <c r="H594" s="1" t="s">
        <v>6915</v>
      </c>
      <c r="J594" s="1" t="s">
        <v>1324</v>
      </c>
      <c r="L594" s="1" t="s">
        <v>7933</v>
      </c>
      <c r="M594" s="1" t="s">
        <v>7949</v>
      </c>
      <c r="N594" s="1" t="s">
        <v>6323</v>
      </c>
      <c r="P594" s="1" t="s">
        <v>3048</v>
      </c>
      <c r="Q594" s="3">
        <v>0</v>
      </c>
      <c r="R594" s="23" t="s">
        <v>6854</v>
      </c>
      <c r="S594" s="23" t="s">
        <v>6845</v>
      </c>
      <c r="T594" s="23" t="s">
        <v>4866</v>
      </c>
      <c r="U594" s="3">
        <v>35</v>
      </c>
      <c r="W594" s="45" t="str">
        <f>HYPERLINK("http://ictvonline.org/taxonomy/p/taxonomy-history?taxnode_id=201900813","ICTVonline=201900813")</f>
        <v>ICTVonline=201900813</v>
      </c>
      <c r="Y594" s="1" t="s">
        <v>7958</v>
      </c>
      <c r="Z594" s="1" t="s">
        <v>7959</v>
      </c>
      <c r="AA594" s="1">
        <v>201900000</v>
      </c>
      <c r="AB594" s="1">
        <v>35</v>
      </c>
    </row>
    <row r="595" spans="1:28" x14ac:dyDescent="0.2">
      <c r="A595" s="1">
        <v>1610</v>
      </c>
      <c r="B595" s="1" t="s">
        <v>6850</v>
      </c>
      <c r="D595" s="1" t="s">
        <v>6851</v>
      </c>
      <c r="F595" s="1" t="s">
        <v>6914</v>
      </c>
      <c r="H595" s="1" t="s">
        <v>6915</v>
      </c>
      <c r="J595" s="1" t="s">
        <v>1324</v>
      </c>
      <c r="L595" s="1" t="s">
        <v>7933</v>
      </c>
      <c r="M595" s="1" t="s">
        <v>7949</v>
      </c>
      <c r="N595" s="1" t="s">
        <v>6323</v>
      </c>
      <c r="P595" s="1" t="s">
        <v>3049</v>
      </c>
      <c r="Q595" s="3">
        <v>0</v>
      </c>
      <c r="R595" s="23" t="s">
        <v>6854</v>
      </c>
      <c r="S595" s="23" t="s">
        <v>6845</v>
      </c>
      <c r="T595" s="23" t="s">
        <v>4866</v>
      </c>
      <c r="U595" s="3">
        <v>35</v>
      </c>
      <c r="W595" s="45" t="str">
        <f>HYPERLINK("http://ictvonline.org/taxonomy/p/taxonomy-history?taxnode_id=201900814","ICTVonline=201900814")</f>
        <v>ICTVonline=201900814</v>
      </c>
      <c r="Y595" s="1" t="s">
        <v>7960</v>
      </c>
      <c r="Z595" s="1" t="s">
        <v>7961</v>
      </c>
      <c r="AA595" s="1">
        <v>201900000</v>
      </c>
      <c r="AB595" s="1">
        <v>35</v>
      </c>
    </row>
    <row r="596" spans="1:28" x14ac:dyDescent="0.2">
      <c r="A596" s="1">
        <v>1612</v>
      </c>
      <c r="B596" s="1" t="s">
        <v>6850</v>
      </c>
      <c r="D596" s="1" t="s">
        <v>6851</v>
      </c>
      <c r="F596" s="1" t="s">
        <v>6914</v>
      </c>
      <c r="H596" s="1" t="s">
        <v>6915</v>
      </c>
      <c r="J596" s="1" t="s">
        <v>1324</v>
      </c>
      <c r="L596" s="1" t="s">
        <v>7933</v>
      </c>
      <c r="M596" s="1" t="s">
        <v>7949</v>
      </c>
      <c r="N596" s="1" t="s">
        <v>6323</v>
      </c>
      <c r="P596" s="1" t="s">
        <v>4291</v>
      </c>
      <c r="Q596" s="3">
        <v>0</v>
      </c>
      <c r="R596" s="23" t="s">
        <v>6854</v>
      </c>
      <c r="S596" s="23" t="s">
        <v>6845</v>
      </c>
      <c r="T596" s="23" t="s">
        <v>4866</v>
      </c>
      <c r="U596" s="3">
        <v>35</v>
      </c>
      <c r="W596" s="45" t="str">
        <f>HYPERLINK("http://ictvonline.org/taxonomy/p/taxonomy-history?taxnode_id=201900815","ICTVonline=201900815")</f>
        <v>ICTVonline=201900815</v>
      </c>
      <c r="Y596" s="1" t="s">
        <v>7962</v>
      </c>
      <c r="Z596" s="1" t="s">
        <v>7963</v>
      </c>
      <c r="AA596" s="1">
        <v>201900000</v>
      </c>
      <c r="AB596" s="1">
        <v>35</v>
      </c>
    </row>
    <row r="597" spans="1:28" x14ac:dyDescent="0.2">
      <c r="A597" s="1">
        <v>1614</v>
      </c>
      <c r="B597" s="1" t="s">
        <v>6850</v>
      </c>
      <c r="D597" s="1" t="s">
        <v>6851</v>
      </c>
      <c r="F597" s="1" t="s">
        <v>6914</v>
      </c>
      <c r="H597" s="1" t="s">
        <v>6915</v>
      </c>
      <c r="J597" s="1" t="s">
        <v>1324</v>
      </c>
      <c r="L597" s="1" t="s">
        <v>7933</v>
      </c>
      <c r="M597" s="1" t="s">
        <v>7949</v>
      </c>
      <c r="N597" s="1" t="s">
        <v>6323</v>
      </c>
      <c r="P597" s="1" t="s">
        <v>3050</v>
      </c>
      <c r="Q597" s="3">
        <v>0</v>
      </c>
      <c r="R597" s="23" t="s">
        <v>6854</v>
      </c>
      <c r="S597" s="23" t="s">
        <v>6845</v>
      </c>
      <c r="T597" s="23" t="s">
        <v>4866</v>
      </c>
      <c r="U597" s="3">
        <v>35</v>
      </c>
      <c r="W597" s="45" t="str">
        <f>HYPERLINK("http://ictvonline.org/taxonomy/p/taxonomy-history?taxnode_id=201900816","ICTVonline=201900816")</f>
        <v>ICTVonline=201900816</v>
      </c>
      <c r="Y597" s="1" t="s">
        <v>7964</v>
      </c>
      <c r="Z597" s="1" t="s">
        <v>7965</v>
      </c>
      <c r="AA597" s="1">
        <v>201900000</v>
      </c>
      <c r="AB597" s="1">
        <v>35</v>
      </c>
    </row>
    <row r="598" spans="1:28" x14ac:dyDescent="0.2">
      <c r="A598" s="1">
        <v>1616</v>
      </c>
      <c r="B598" s="1" t="s">
        <v>6850</v>
      </c>
      <c r="D598" s="1" t="s">
        <v>6851</v>
      </c>
      <c r="F598" s="1" t="s">
        <v>6914</v>
      </c>
      <c r="H598" s="1" t="s">
        <v>6915</v>
      </c>
      <c r="J598" s="1" t="s">
        <v>1324</v>
      </c>
      <c r="L598" s="1" t="s">
        <v>7933</v>
      </c>
      <c r="M598" s="1" t="s">
        <v>7949</v>
      </c>
      <c r="N598" s="1" t="s">
        <v>6323</v>
      </c>
      <c r="P598" s="1" t="s">
        <v>3051</v>
      </c>
      <c r="Q598" s="3">
        <v>0</v>
      </c>
      <c r="R598" s="23" t="s">
        <v>6854</v>
      </c>
      <c r="S598" s="23" t="s">
        <v>6845</v>
      </c>
      <c r="T598" s="23" t="s">
        <v>4866</v>
      </c>
      <c r="U598" s="3">
        <v>35</v>
      </c>
      <c r="W598" s="45" t="str">
        <f>HYPERLINK("http://ictvonline.org/taxonomy/p/taxonomy-history?taxnode_id=201900817","ICTVonline=201900817")</f>
        <v>ICTVonline=201900817</v>
      </c>
      <c r="AA598" s="1">
        <v>201900000</v>
      </c>
      <c r="AB598" s="1">
        <v>35</v>
      </c>
    </row>
    <row r="599" spans="1:28" x14ac:dyDescent="0.2">
      <c r="A599" s="1">
        <v>1618</v>
      </c>
      <c r="B599" s="1" t="s">
        <v>6850</v>
      </c>
      <c r="D599" s="1" t="s">
        <v>6851</v>
      </c>
      <c r="F599" s="1" t="s">
        <v>6914</v>
      </c>
      <c r="H599" s="1" t="s">
        <v>6915</v>
      </c>
      <c r="J599" s="1" t="s">
        <v>1324</v>
      </c>
      <c r="L599" s="1" t="s">
        <v>7933</v>
      </c>
      <c r="M599" s="1" t="s">
        <v>7949</v>
      </c>
      <c r="N599" s="1" t="s">
        <v>6323</v>
      </c>
      <c r="P599" s="1" t="s">
        <v>3052</v>
      </c>
      <c r="Q599" s="3">
        <v>0</v>
      </c>
      <c r="R599" s="23" t="s">
        <v>6854</v>
      </c>
      <c r="S599" s="23" t="s">
        <v>6845</v>
      </c>
      <c r="T599" s="23" t="s">
        <v>4866</v>
      </c>
      <c r="U599" s="3">
        <v>35</v>
      </c>
      <c r="W599" s="45" t="str">
        <f>HYPERLINK("http://ictvonline.org/taxonomy/p/taxonomy-history?taxnode_id=201900818","ICTVonline=201900818")</f>
        <v>ICTVonline=201900818</v>
      </c>
      <c r="AA599" s="1">
        <v>201900000</v>
      </c>
      <c r="AB599" s="1">
        <v>35</v>
      </c>
    </row>
    <row r="600" spans="1:28" x14ac:dyDescent="0.2">
      <c r="A600" s="1">
        <v>1620</v>
      </c>
      <c r="B600" s="1" t="s">
        <v>6850</v>
      </c>
      <c r="D600" s="1" t="s">
        <v>6851</v>
      </c>
      <c r="F600" s="1" t="s">
        <v>6914</v>
      </c>
      <c r="H600" s="1" t="s">
        <v>6915</v>
      </c>
      <c r="J600" s="1" t="s">
        <v>1324</v>
      </c>
      <c r="L600" s="1" t="s">
        <v>7933</v>
      </c>
      <c r="M600" s="1" t="s">
        <v>7949</v>
      </c>
      <c r="N600" s="1" t="s">
        <v>6323</v>
      </c>
      <c r="P600" s="1" t="s">
        <v>3053</v>
      </c>
      <c r="Q600" s="3">
        <v>0</v>
      </c>
      <c r="R600" s="23" t="s">
        <v>6854</v>
      </c>
      <c r="S600" s="23" t="s">
        <v>6845</v>
      </c>
      <c r="T600" s="23" t="s">
        <v>4866</v>
      </c>
      <c r="U600" s="3">
        <v>35</v>
      </c>
      <c r="W600" s="45" t="str">
        <f>HYPERLINK("http://ictvonline.org/taxonomy/p/taxonomy-history?taxnode_id=201900819","ICTVonline=201900819")</f>
        <v>ICTVonline=201900819</v>
      </c>
      <c r="Y600" s="1" t="s">
        <v>7966</v>
      </c>
      <c r="Z600" s="1" t="s">
        <v>7967</v>
      </c>
      <c r="AA600" s="1">
        <v>201900000</v>
      </c>
      <c r="AB600" s="1">
        <v>35</v>
      </c>
    </row>
    <row r="601" spans="1:28" x14ac:dyDescent="0.2">
      <c r="A601" s="1">
        <v>1622</v>
      </c>
      <c r="B601" s="1" t="s">
        <v>6850</v>
      </c>
      <c r="D601" s="1" t="s">
        <v>6851</v>
      </c>
      <c r="F601" s="1" t="s">
        <v>6914</v>
      </c>
      <c r="H601" s="1" t="s">
        <v>6915</v>
      </c>
      <c r="J601" s="1" t="s">
        <v>1324</v>
      </c>
      <c r="L601" s="1" t="s">
        <v>7933</v>
      </c>
      <c r="M601" s="1" t="s">
        <v>7949</v>
      </c>
      <c r="N601" s="1" t="s">
        <v>6323</v>
      </c>
      <c r="P601" s="1" t="s">
        <v>7968</v>
      </c>
      <c r="Q601" s="3">
        <v>0</v>
      </c>
      <c r="R601" s="23" t="s">
        <v>6854</v>
      </c>
      <c r="S601" s="23" t="s">
        <v>6849</v>
      </c>
      <c r="T601" s="23" t="s">
        <v>4864</v>
      </c>
      <c r="U601" s="3">
        <v>35</v>
      </c>
      <c r="V601" s="3" t="s">
        <v>7937</v>
      </c>
      <c r="W601" s="45" t="str">
        <f>HYPERLINK("http://ictvonline.org/taxonomy/p/taxonomy-history?taxnode_id=201908152","ICTVonline=201908152")</f>
        <v>ICTVonline=201908152</v>
      </c>
      <c r="Y601" s="1" t="s">
        <v>7969</v>
      </c>
      <c r="AA601" s="1">
        <v>201900000</v>
      </c>
      <c r="AB601" s="1">
        <v>35</v>
      </c>
    </row>
    <row r="602" spans="1:28" x14ac:dyDescent="0.2">
      <c r="A602" s="1">
        <v>1624</v>
      </c>
      <c r="B602" s="1" t="s">
        <v>6850</v>
      </c>
      <c r="D602" s="1" t="s">
        <v>6851</v>
      </c>
      <c r="F602" s="1" t="s">
        <v>6914</v>
      </c>
      <c r="H602" s="1" t="s">
        <v>6915</v>
      </c>
      <c r="J602" s="1" t="s">
        <v>1324</v>
      </c>
      <c r="L602" s="1" t="s">
        <v>7933</v>
      </c>
      <c r="M602" s="1" t="s">
        <v>7949</v>
      </c>
      <c r="N602" s="1" t="s">
        <v>6323</v>
      </c>
      <c r="P602" s="1" t="s">
        <v>3054</v>
      </c>
      <c r="Q602" s="3">
        <v>1</v>
      </c>
      <c r="R602" s="23" t="s">
        <v>6854</v>
      </c>
      <c r="S602" s="23" t="s">
        <v>6845</v>
      </c>
      <c r="T602" s="23" t="s">
        <v>4866</v>
      </c>
      <c r="U602" s="3">
        <v>35</v>
      </c>
      <c r="W602" s="45" t="str">
        <f>HYPERLINK("http://ictvonline.org/taxonomy/p/taxonomy-history?taxnode_id=201900820","ICTVonline=201900820")</f>
        <v>ICTVonline=201900820</v>
      </c>
      <c r="Y602" s="1" t="s">
        <v>7970</v>
      </c>
      <c r="Z602" s="1" t="s">
        <v>7971</v>
      </c>
      <c r="AA602" s="1">
        <v>201900000</v>
      </c>
      <c r="AB602" s="1">
        <v>35</v>
      </c>
    </row>
    <row r="603" spans="1:28" x14ac:dyDescent="0.2">
      <c r="A603" s="1">
        <v>1628</v>
      </c>
      <c r="B603" s="1" t="s">
        <v>6850</v>
      </c>
      <c r="D603" s="1" t="s">
        <v>6851</v>
      </c>
      <c r="F603" s="1" t="s">
        <v>6914</v>
      </c>
      <c r="H603" s="1" t="s">
        <v>6915</v>
      </c>
      <c r="J603" s="1" t="s">
        <v>1324</v>
      </c>
      <c r="L603" s="1" t="s">
        <v>7933</v>
      </c>
      <c r="M603" s="1" t="s">
        <v>7949</v>
      </c>
      <c r="N603" s="1" t="s">
        <v>7972</v>
      </c>
      <c r="P603" s="1" t="s">
        <v>7973</v>
      </c>
      <c r="Q603" s="3">
        <v>1</v>
      </c>
      <c r="R603" s="23" t="s">
        <v>6854</v>
      </c>
      <c r="S603" s="23" t="s">
        <v>6849</v>
      </c>
      <c r="T603" s="23" t="s">
        <v>4864</v>
      </c>
      <c r="U603" s="3">
        <v>35</v>
      </c>
      <c r="V603" s="3" t="s">
        <v>7937</v>
      </c>
      <c r="W603" s="45" t="str">
        <f>HYPERLINK("http://ictvonline.org/taxonomy/p/taxonomy-history?taxnode_id=201908156","ICTVonline=201908156")</f>
        <v>ICTVonline=201908156</v>
      </c>
      <c r="Y603" s="1" t="s">
        <v>7974</v>
      </c>
      <c r="AA603" s="1">
        <v>201900000</v>
      </c>
      <c r="AB603" s="1">
        <v>35</v>
      </c>
    </row>
    <row r="604" spans="1:28" x14ac:dyDescent="0.2">
      <c r="A604" s="1">
        <v>1634</v>
      </c>
      <c r="B604" s="1" t="s">
        <v>6850</v>
      </c>
      <c r="D604" s="1" t="s">
        <v>6851</v>
      </c>
      <c r="F604" s="1" t="s">
        <v>6914</v>
      </c>
      <c r="H604" s="1" t="s">
        <v>6915</v>
      </c>
      <c r="J604" s="1" t="s">
        <v>1324</v>
      </c>
      <c r="L604" s="1" t="s">
        <v>7933</v>
      </c>
      <c r="M604" s="1" t="s">
        <v>7975</v>
      </c>
      <c r="N604" s="1" t="s">
        <v>6321</v>
      </c>
      <c r="P604" s="1" t="s">
        <v>6322</v>
      </c>
      <c r="Q604" s="3">
        <v>1</v>
      </c>
      <c r="R604" s="23" t="s">
        <v>6854</v>
      </c>
      <c r="S604" s="23" t="s">
        <v>6845</v>
      </c>
      <c r="T604" s="23" t="s">
        <v>4866</v>
      </c>
      <c r="U604" s="3">
        <v>35</v>
      </c>
      <c r="W604" s="45" t="str">
        <f>HYPERLINK("http://ictvonline.org/taxonomy/p/taxonomy-history?taxnode_id=201907069","ICTVonline=201907069")</f>
        <v>ICTVonline=201907069</v>
      </c>
      <c r="Y604" s="1" t="s">
        <v>7976</v>
      </c>
      <c r="Z604" s="1" t="s">
        <v>7977</v>
      </c>
      <c r="AA604" s="1">
        <v>201900000</v>
      </c>
      <c r="AB604" s="1">
        <v>35</v>
      </c>
    </row>
    <row r="605" spans="1:28" x14ac:dyDescent="0.2">
      <c r="A605" s="1">
        <v>1638</v>
      </c>
      <c r="B605" s="1" t="s">
        <v>6850</v>
      </c>
      <c r="D605" s="1" t="s">
        <v>6851</v>
      </c>
      <c r="F605" s="1" t="s">
        <v>6914</v>
      </c>
      <c r="H605" s="1" t="s">
        <v>6915</v>
      </c>
      <c r="J605" s="1" t="s">
        <v>1324</v>
      </c>
      <c r="L605" s="1" t="s">
        <v>7933</v>
      </c>
      <c r="M605" s="1" t="s">
        <v>7975</v>
      </c>
      <c r="N605" s="1" t="s">
        <v>3062</v>
      </c>
      <c r="P605" s="1" t="s">
        <v>7978</v>
      </c>
      <c r="Q605" s="3">
        <v>0</v>
      </c>
      <c r="R605" s="23" t="s">
        <v>6854</v>
      </c>
      <c r="S605" s="23" t="s">
        <v>6849</v>
      </c>
      <c r="T605" s="23" t="s">
        <v>4864</v>
      </c>
      <c r="U605" s="3">
        <v>35</v>
      </c>
      <c r="V605" s="3" t="s">
        <v>7937</v>
      </c>
      <c r="W605" s="45" t="str">
        <f>HYPERLINK("http://ictvonline.org/taxonomy/p/taxonomy-history?taxnode_id=201908140","ICTVonline=201908140")</f>
        <v>ICTVonline=201908140</v>
      </c>
      <c r="Y605" s="1" t="s">
        <v>7979</v>
      </c>
      <c r="AA605" s="1">
        <v>201900000</v>
      </c>
      <c r="AB605" s="1">
        <v>35</v>
      </c>
    </row>
    <row r="606" spans="1:28" x14ac:dyDescent="0.2">
      <c r="A606" s="1">
        <v>1640</v>
      </c>
      <c r="B606" s="1" t="s">
        <v>6850</v>
      </c>
      <c r="D606" s="1" t="s">
        <v>6851</v>
      </c>
      <c r="F606" s="1" t="s">
        <v>6914</v>
      </c>
      <c r="H606" s="1" t="s">
        <v>6915</v>
      </c>
      <c r="J606" s="1" t="s">
        <v>1324</v>
      </c>
      <c r="L606" s="1" t="s">
        <v>7933</v>
      </c>
      <c r="M606" s="1" t="s">
        <v>7975</v>
      </c>
      <c r="N606" s="1" t="s">
        <v>3062</v>
      </c>
      <c r="P606" s="1" t="s">
        <v>7980</v>
      </c>
      <c r="Q606" s="3">
        <v>0</v>
      </c>
      <c r="R606" s="23" t="s">
        <v>6854</v>
      </c>
      <c r="S606" s="23" t="s">
        <v>6849</v>
      </c>
      <c r="T606" s="23" t="s">
        <v>4864</v>
      </c>
      <c r="U606" s="3">
        <v>35</v>
      </c>
      <c r="V606" s="3" t="s">
        <v>7937</v>
      </c>
      <c r="W606" s="45" t="str">
        <f>HYPERLINK("http://ictvonline.org/taxonomy/p/taxonomy-history?taxnode_id=201908142","ICTVonline=201908142")</f>
        <v>ICTVonline=201908142</v>
      </c>
      <c r="Y606" s="1" t="s">
        <v>7981</v>
      </c>
      <c r="AA606" s="1">
        <v>201900000</v>
      </c>
      <c r="AB606" s="1">
        <v>35</v>
      </c>
    </row>
    <row r="607" spans="1:28" x14ac:dyDescent="0.2">
      <c r="A607" s="1">
        <v>1642</v>
      </c>
      <c r="B607" s="1" t="s">
        <v>6850</v>
      </c>
      <c r="D607" s="1" t="s">
        <v>6851</v>
      </c>
      <c r="F607" s="1" t="s">
        <v>6914</v>
      </c>
      <c r="H607" s="1" t="s">
        <v>6915</v>
      </c>
      <c r="J607" s="1" t="s">
        <v>1324</v>
      </c>
      <c r="L607" s="1" t="s">
        <v>7933</v>
      </c>
      <c r="M607" s="1" t="s">
        <v>7975</v>
      </c>
      <c r="N607" s="1" t="s">
        <v>3062</v>
      </c>
      <c r="P607" s="1" t="s">
        <v>3063</v>
      </c>
      <c r="Q607" s="3">
        <v>0</v>
      </c>
      <c r="R607" s="23" t="s">
        <v>6854</v>
      </c>
      <c r="S607" s="23" t="s">
        <v>6845</v>
      </c>
      <c r="T607" s="23" t="s">
        <v>4866</v>
      </c>
      <c r="U607" s="3">
        <v>35</v>
      </c>
      <c r="W607" s="45" t="str">
        <f>HYPERLINK("http://ictvonline.org/taxonomy/p/taxonomy-history?taxnode_id=201900832","ICTVonline=201900832")</f>
        <v>ICTVonline=201900832</v>
      </c>
      <c r="Y607" s="1" t="s">
        <v>7982</v>
      </c>
      <c r="Z607" s="1" t="s">
        <v>7983</v>
      </c>
      <c r="AA607" s="1">
        <v>201900000</v>
      </c>
      <c r="AB607" s="1">
        <v>35</v>
      </c>
    </row>
    <row r="608" spans="1:28" x14ac:dyDescent="0.2">
      <c r="A608" s="1">
        <v>1644</v>
      </c>
      <c r="B608" s="1" t="s">
        <v>6850</v>
      </c>
      <c r="D608" s="1" t="s">
        <v>6851</v>
      </c>
      <c r="F608" s="1" t="s">
        <v>6914</v>
      </c>
      <c r="H608" s="1" t="s">
        <v>6915</v>
      </c>
      <c r="J608" s="1" t="s">
        <v>1324</v>
      </c>
      <c r="L608" s="1" t="s">
        <v>7933</v>
      </c>
      <c r="M608" s="1" t="s">
        <v>7975</v>
      </c>
      <c r="N608" s="1" t="s">
        <v>3062</v>
      </c>
      <c r="P608" s="1" t="s">
        <v>7984</v>
      </c>
      <c r="Q608" s="3">
        <v>0</v>
      </c>
      <c r="R608" s="23" t="s">
        <v>6854</v>
      </c>
      <c r="S608" s="23" t="s">
        <v>6849</v>
      </c>
      <c r="T608" s="23" t="s">
        <v>4864</v>
      </c>
      <c r="U608" s="3">
        <v>35</v>
      </c>
      <c r="V608" s="3" t="s">
        <v>7937</v>
      </c>
      <c r="W608" s="45" t="str">
        <f>HYPERLINK("http://ictvonline.org/taxonomy/p/taxonomy-history?taxnode_id=201908139","ICTVonline=201908139")</f>
        <v>ICTVonline=201908139</v>
      </c>
      <c r="Y608" s="1" t="s">
        <v>7985</v>
      </c>
      <c r="AA608" s="1">
        <v>201900000</v>
      </c>
      <c r="AB608" s="1">
        <v>35</v>
      </c>
    </row>
    <row r="609" spans="1:28" x14ac:dyDescent="0.2">
      <c r="A609" s="1">
        <v>1646</v>
      </c>
      <c r="B609" s="1" t="s">
        <v>6850</v>
      </c>
      <c r="D609" s="1" t="s">
        <v>6851</v>
      </c>
      <c r="F609" s="1" t="s">
        <v>6914</v>
      </c>
      <c r="H609" s="1" t="s">
        <v>6915</v>
      </c>
      <c r="J609" s="1" t="s">
        <v>1324</v>
      </c>
      <c r="L609" s="1" t="s">
        <v>7933</v>
      </c>
      <c r="M609" s="1" t="s">
        <v>7975</v>
      </c>
      <c r="N609" s="1" t="s">
        <v>3062</v>
      </c>
      <c r="P609" s="1" t="s">
        <v>3064</v>
      </c>
      <c r="Q609" s="3">
        <v>1</v>
      </c>
      <c r="R609" s="23" t="s">
        <v>6854</v>
      </c>
      <c r="S609" s="23" t="s">
        <v>6845</v>
      </c>
      <c r="T609" s="23" t="s">
        <v>4866</v>
      </c>
      <c r="U609" s="3">
        <v>35</v>
      </c>
      <c r="W609" s="45" t="str">
        <f>HYPERLINK("http://ictvonline.org/taxonomy/p/taxonomy-history?taxnode_id=201900833","ICTVonline=201900833")</f>
        <v>ICTVonline=201900833</v>
      </c>
      <c r="Y609" s="1" t="s">
        <v>7986</v>
      </c>
      <c r="Z609" s="1" t="s">
        <v>7987</v>
      </c>
      <c r="AA609" s="1">
        <v>201900000</v>
      </c>
      <c r="AB609" s="1">
        <v>35</v>
      </c>
    </row>
    <row r="610" spans="1:28" x14ac:dyDescent="0.2">
      <c r="A610" s="1">
        <v>1648</v>
      </c>
      <c r="B610" s="1" t="s">
        <v>6850</v>
      </c>
      <c r="D610" s="1" t="s">
        <v>6851</v>
      </c>
      <c r="F610" s="1" t="s">
        <v>6914</v>
      </c>
      <c r="H610" s="1" t="s">
        <v>6915</v>
      </c>
      <c r="J610" s="1" t="s">
        <v>1324</v>
      </c>
      <c r="L610" s="1" t="s">
        <v>7933</v>
      </c>
      <c r="M610" s="1" t="s">
        <v>7975</v>
      </c>
      <c r="N610" s="1" t="s">
        <v>3062</v>
      </c>
      <c r="P610" s="1" t="s">
        <v>7988</v>
      </c>
      <c r="Q610" s="3">
        <v>0</v>
      </c>
      <c r="R610" s="23" t="s">
        <v>6854</v>
      </c>
      <c r="S610" s="23" t="s">
        <v>6849</v>
      </c>
      <c r="T610" s="23" t="s">
        <v>4864</v>
      </c>
      <c r="U610" s="3">
        <v>35</v>
      </c>
      <c r="V610" s="3" t="s">
        <v>7937</v>
      </c>
      <c r="W610" s="45" t="str">
        <f>HYPERLINK("http://ictvonline.org/taxonomy/p/taxonomy-history?taxnode_id=201908136","ICTVonline=201908136")</f>
        <v>ICTVonline=201908136</v>
      </c>
      <c r="Y610" s="1" t="s">
        <v>7989</v>
      </c>
      <c r="AA610" s="1">
        <v>201900000</v>
      </c>
      <c r="AB610" s="1">
        <v>35</v>
      </c>
    </row>
    <row r="611" spans="1:28" x14ac:dyDescent="0.2">
      <c r="A611" s="1">
        <v>1650</v>
      </c>
      <c r="B611" s="1" t="s">
        <v>6850</v>
      </c>
      <c r="D611" s="1" t="s">
        <v>6851</v>
      </c>
      <c r="F611" s="1" t="s">
        <v>6914</v>
      </c>
      <c r="H611" s="1" t="s">
        <v>6915</v>
      </c>
      <c r="J611" s="1" t="s">
        <v>1324</v>
      </c>
      <c r="L611" s="1" t="s">
        <v>7933</v>
      </c>
      <c r="M611" s="1" t="s">
        <v>7975</v>
      </c>
      <c r="N611" s="1" t="s">
        <v>3062</v>
      </c>
      <c r="P611" s="1" t="s">
        <v>7990</v>
      </c>
      <c r="Q611" s="3">
        <v>0</v>
      </c>
      <c r="R611" s="23" t="s">
        <v>6854</v>
      </c>
      <c r="S611" s="23" t="s">
        <v>6849</v>
      </c>
      <c r="T611" s="23" t="s">
        <v>4864</v>
      </c>
      <c r="U611" s="3">
        <v>35</v>
      </c>
      <c r="V611" s="3" t="s">
        <v>7937</v>
      </c>
      <c r="W611" s="45" t="str">
        <f>HYPERLINK("http://ictvonline.org/taxonomy/p/taxonomy-history?taxnode_id=201908137","ICTVonline=201908137")</f>
        <v>ICTVonline=201908137</v>
      </c>
      <c r="Y611" s="1" t="s">
        <v>7991</v>
      </c>
      <c r="AA611" s="1">
        <v>201900000</v>
      </c>
      <c r="AB611" s="1">
        <v>35</v>
      </c>
    </row>
    <row r="612" spans="1:28" x14ac:dyDescent="0.2">
      <c r="A612" s="1">
        <v>1652</v>
      </c>
      <c r="B612" s="1" t="s">
        <v>6850</v>
      </c>
      <c r="D612" s="1" t="s">
        <v>6851</v>
      </c>
      <c r="F612" s="1" t="s">
        <v>6914</v>
      </c>
      <c r="H612" s="1" t="s">
        <v>6915</v>
      </c>
      <c r="J612" s="1" t="s">
        <v>1324</v>
      </c>
      <c r="L612" s="1" t="s">
        <v>7933</v>
      </c>
      <c r="M612" s="1" t="s">
        <v>7975</v>
      </c>
      <c r="N612" s="1" t="s">
        <v>3062</v>
      </c>
      <c r="P612" s="1" t="s">
        <v>7992</v>
      </c>
      <c r="Q612" s="3">
        <v>0</v>
      </c>
      <c r="R612" s="23" t="s">
        <v>6854</v>
      </c>
      <c r="S612" s="23" t="s">
        <v>6849</v>
      </c>
      <c r="T612" s="23" t="s">
        <v>4864</v>
      </c>
      <c r="U612" s="3">
        <v>35</v>
      </c>
      <c r="V612" s="3" t="s">
        <v>7937</v>
      </c>
      <c r="W612" s="45" t="str">
        <f>HYPERLINK("http://ictvonline.org/taxonomy/p/taxonomy-history?taxnode_id=201908141","ICTVonline=201908141")</f>
        <v>ICTVonline=201908141</v>
      </c>
      <c r="Y612" s="1" t="s">
        <v>7993</v>
      </c>
      <c r="AA612" s="1">
        <v>201900000</v>
      </c>
      <c r="AB612" s="1">
        <v>35</v>
      </c>
    </row>
    <row r="613" spans="1:28" x14ac:dyDescent="0.2">
      <c r="A613" s="1">
        <v>1654</v>
      </c>
      <c r="B613" s="1" t="s">
        <v>6850</v>
      </c>
      <c r="D613" s="1" t="s">
        <v>6851</v>
      </c>
      <c r="F613" s="1" t="s">
        <v>6914</v>
      </c>
      <c r="H613" s="1" t="s">
        <v>6915</v>
      </c>
      <c r="J613" s="1" t="s">
        <v>1324</v>
      </c>
      <c r="L613" s="1" t="s">
        <v>7933</v>
      </c>
      <c r="M613" s="1" t="s">
        <v>7975</v>
      </c>
      <c r="N613" s="1" t="s">
        <v>3062</v>
      </c>
      <c r="P613" s="1" t="s">
        <v>3065</v>
      </c>
      <c r="Q613" s="3">
        <v>0</v>
      </c>
      <c r="R613" s="23" t="s">
        <v>6854</v>
      </c>
      <c r="S613" s="23" t="s">
        <v>6845</v>
      </c>
      <c r="T613" s="23" t="s">
        <v>4866</v>
      </c>
      <c r="U613" s="3">
        <v>35</v>
      </c>
      <c r="W613" s="45" t="str">
        <f>HYPERLINK("http://ictvonline.org/taxonomy/p/taxonomy-history?taxnode_id=201900834","ICTVonline=201900834")</f>
        <v>ICTVonline=201900834</v>
      </c>
      <c r="Y613" s="1" t="s">
        <v>7994</v>
      </c>
      <c r="Z613" s="1" t="s">
        <v>7995</v>
      </c>
      <c r="AA613" s="1">
        <v>201900000</v>
      </c>
      <c r="AB613" s="1">
        <v>35</v>
      </c>
    </row>
    <row r="614" spans="1:28" x14ac:dyDescent="0.2">
      <c r="A614" s="1">
        <v>1656</v>
      </c>
      <c r="B614" s="1" t="s">
        <v>6850</v>
      </c>
      <c r="D614" s="1" t="s">
        <v>6851</v>
      </c>
      <c r="F614" s="1" t="s">
        <v>6914</v>
      </c>
      <c r="H614" s="1" t="s">
        <v>6915</v>
      </c>
      <c r="J614" s="1" t="s">
        <v>1324</v>
      </c>
      <c r="L614" s="1" t="s">
        <v>7933</v>
      </c>
      <c r="M614" s="1" t="s">
        <v>7975</v>
      </c>
      <c r="N614" s="1" t="s">
        <v>3062</v>
      </c>
      <c r="P614" s="1" t="s">
        <v>7996</v>
      </c>
      <c r="Q614" s="3">
        <v>0</v>
      </c>
      <c r="R614" s="23" t="s">
        <v>6854</v>
      </c>
      <c r="S614" s="23" t="s">
        <v>6849</v>
      </c>
      <c r="T614" s="23" t="s">
        <v>4864</v>
      </c>
      <c r="U614" s="3">
        <v>35</v>
      </c>
      <c r="V614" s="3" t="s">
        <v>7937</v>
      </c>
      <c r="W614" s="45" t="str">
        <f>HYPERLINK("http://ictvonline.org/taxonomy/p/taxonomy-history?taxnode_id=201908138","ICTVonline=201908138")</f>
        <v>ICTVonline=201908138</v>
      </c>
      <c r="Y614" s="1" t="s">
        <v>7997</v>
      </c>
      <c r="AA614" s="1">
        <v>201900000</v>
      </c>
      <c r="AB614" s="1">
        <v>35</v>
      </c>
    </row>
    <row r="615" spans="1:28" x14ac:dyDescent="0.2">
      <c r="A615" s="1">
        <v>1660</v>
      </c>
      <c r="B615" s="1" t="s">
        <v>6850</v>
      </c>
      <c r="D615" s="1" t="s">
        <v>6851</v>
      </c>
      <c r="F615" s="1" t="s">
        <v>6914</v>
      </c>
      <c r="H615" s="1" t="s">
        <v>6915</v>
      </c>
      <c r="J615" s="1" t="s">
        <v>1324</v>
      </c>
      <c r="L615" s="1" t="s">
        <v>7933</v>
      </c>
      <c r="M615" s="1" t="s">
        <v>7975</v>
      </c>
      <c r="N615" s="1" t="s">
        <v>7998</v>
      </c>
      <c r="P615" s="1" t="s">
        <v>7999</v>
      </c>
      <c r="Q615" s="3">
        <v>0</v>
      </c>
      <c r="R615" s="23" t="s">
        <v>6854</v>
      </c>
      <c r="S615" s="23" t="s">
        <v>6849</v>
      </c>
      <c r="T615" s="23" t="s">
        <v>4864</v>
      </c>
      <c r="U615" s="3">
        <v>35</v>
      </c>
      <c r="V615" s="3" t="s">
        <v>7937</v>
      </c>
      <c r="W615" s="45" t="str">
        <f>HYPERLINK("http://ictvonline.org/taxonomy/p/taxonomy-history?taxnode_id=201908132","ICTVonline=201908132")</f>
        <v>ICTVonline=201908132</v>
      </c>
      <c r="Y615" s="1" t="s">
        <v>8000</v>
      </c>
      <c r="AA615" s="1">
        <v>201900000</v>
      </c>
      <c r="AB615" s="1">
        <v>35</v>
      </c>
    </row>
    <row r="616" spans="1:28" s="25" customFormat="1" x14ac:dyDescent="0.2">
      <c r="A616" s="25">
        <v>1662</v>
      </c>
      <c r="B616" s="25" t="s">
        <v>6850</v>
      </c>
      <c r="D616" s="25" t="s">
        <v>6851</v>
      </c>
      <c r="F616" s="25" t="s">
        <v>6914</v>
      </c>
      <c r="H616" s="25" t="s">
        <v>6915</v>
      </c>
      <c r="J616" s="1" t="s">
        <v>1324</v>
      </c>
      <c r="K616" s="1"/>
      <c r="L616" s="1" t="s">
        <v>7933</v>
      </c>
      <c r="M616" s="1" t="s">
        <v>7975</v>
      </c>
      <c r="N616" s="1" t="s">
        <v>7998</v>
      </c>
      <c r="O616" s="1"/>
      <c r="P616" s="1" t="s">
        <v>8001</v>
      </c>
      <c r="Q616" s="3">
        <v>0</v>
      </c>
      <c r="R616" s="23" t="s">
        <v>6854</v>
      </c>
      <c r="S616" s="23" t="s">
        <v>6849</v>
      </c>
      <c r="T616" s="23" t="s">
        <v>4864</v>
      </c>
      <c r="U616" s="3">
        <v>35</v>
      </c>
      <c r="V616" s="3" t="s">
        <v>7937</v>
      </c>
      <c r="W616" s="45" t="str">
        <f>HYPERLINK("http://ictvonline.org/taxonomy/p/taxonomy-history?taxnode_id=201908134","ICTVonline=201908134")</f>
        <v>ICTVonline=201908134</v>
      </c>
      <c r="Y616" s="25" t="s">
        <v>8002</v>
      </c>
      <c r="AA616" s="25">
        <v>201900000</v>
      </c>
      <c r="AB616" s="25">
        <v>35</v>
      </c>
    </row>
    <row r="617" spans="1:28" x14ac:dyDescent="0.2">
      <c r="A617" s="1">
        <v>1664</v>
      </c>
      <c r="B617" s="1" t="s">
        <v>6850</v>
      </c>
      <c r="D617" s="1" t="s">
        <v>6851</v>
      </c>
      <c r="F617" s="1" t="s">
        <v>6914</v>
      </c>
      <c r="H617" s="1" t="s">
        <v>6915</v>
      </c>
      <c r="J617" s="1" t="s">
        <v>1324</v>
      </c>
      <c r="L617" s="1" t="s">
        <v>7933</v>
      </c>
      <c r="M617" s="1" t="s">
        <v>7975</v>
      </c>
      <c r="N617" s="1" t="s">
        <v>7998</v>
      </c>
      <c r="P617" s="1" t="s">
        <v>8003</v>
      </c>
      <c r="Q617" s="3">
        <v>0</v>
      </c>
      <c r="R617" s="23" t="s">
        <v>6854</v>
      </c>
      <c r="S617" s="23" t="s">
        <v>6849</v>
      </c>
      <c r="T617" s="23" t="s">
        <v>4864</v>
      </c>
      <c r="U617" s="3">
        <v>35</v>
      </c>
      <c r="V617" s="3" t="s">
        <v>7937</v>
      </c>
      <c r="W617" s="45" t="str">
        <f>HYPERLINK("http://ictvonline.org/taxonomy/p/taxonomy-history?taxnode_id=201908135","ICTVonline=201908135")</f>
        <v>ICTVonline=201908135</v>
      </c>
      <c r="Y617" s="1" t="s">
        <v>8004</v>
      </c>
      <c r="AA617" s="1">
        <v>201900000</v>
      </c>
      <c r="AB617" s="1">
        <v>35</v>
      </c>
    </row>
    <row r="618" spans="1:28" x14ac:dyDescent="0.2">
      <c r="A618" s="1">
        <v>1666</v>
      </c>
      <c r="B618" s="1" t="s">
        <v>6850</v>
      </c>
      <c r="D618" s="1" t="s">
        <v>6851</v>
      </c>
      <c r="F618" s="1" t="s">
        <v>6914</v>
      </c>
      <c r="H618" s="1" t="s">
        <v>6915</v>
      </c>
      <c r="J618" s="1" t="s">
        <v>1324</v>
      </c>
      <c r="L618" s="1" t="s">
        <v>7933</v>
      </c>
      <c r="M618" s="1" t="s">
        <v>7975</v>
      </c>
      <c r="N618" s="1" t="s">
        <v>7998</v>
      </c>
      <c r="P618" s="1" t="s">
        <v>8005</v>
      </c>
      <c r="Q618" s="3">
        <v>0</v>
      </c>
      <c r="R618" s="23" t="s">
        <v>6854</v>
      </c>
      <c r="S618" s="23" t="s">
        <v>6849</v>
      </c>
      <c r="T618" s="23" t="s">
        <v>4864</v>
      </c>
      <c r="U618" s="3">
        <v>35</v>
      </c>
      <c r="V618" s="3" t="s">
        <v>7937</v>
      </c>
      <c r="W618" s="45" t="str">
        <f>HYPERLINK("http://ictvonline.org/taxonomy/p/taxonomy-history?taxnode_id=201908133","ICTVonline=201908133")</f>
        <v>ICTVonline=201908133</v>
      </c>
      <c r="Y618" s="1" t="s">
        <v>8006</v>
      </c>
      <c r="AA618" s="1">
        <v>201900000</v>
      </c>
      <c r="AB618" s="1">
        <v>35</v>
      </c>
    </row>
    <row r="619" spans="1:28" x14ac:dyDescent="0.2">
      <c r="A619" s="1">
        <v>1668</v>
      </c>
      <c r="B619" s="1" t="s">
        <v>6850</v>
      </c>
      <c r="D619" s="1" t="s">
        <v>6851</v>
      </c>
      <c r="F619" s="1" t="s">
        <v>6914</v>
      </c>
      <c r="H619" s="1" t="s">
        <v>6915</v>
      </c>
      <c r="J619" s="1" t="s">
        <v>1324</v>
      </c>
      <c r="L619" s="1" t="s">
        <v>7933</v>
      </c>
      <c r="M619" s="1" t="s">
        <v>7975</v>
      </c>
      <c r="N619" s="1" t="s">
        <v>7998</v>
      </c>
      <c r="P619" s="1" t="s">
        <v>8007</v>
      </c>
      <c r="Q619" s="3">
        <v>1</v>
      </c>
      <c r="R619" s="23" t="s">
        <v>6854</v>
      </c>
      <c r="S619" s="23" t="s">
        <v>6849</v>
      </c>
      <c r="T619" s="23" t="s">
        <v>4864</v>
      </c>
      <c r="U619" s="3">
        <v>35</v>
      </c>
      <c r="V619" s="3" t="s">
        <v>7937</v>
      </c>
      <c r="W619" s="45" t="str">
        <f>HYPERLINK("http://ictvonline.org/taxonomy/p/taxonomy-history?taxnode_id=201908131","ICTVonline=201908131")</f>
        <v>ICTVonline=201908131</v>
      </c>
      <c r="Y619" s="1" t="s">
        <v>8008</v>
      </c>
      <c r="AA619" s="1">
        <v>201900000</v>
      </c>
      <c r="AB619" s="1">
        <v>35</v>
      </c>
    </row>
    <row r="620" spans="1:28" x14ac:dyDescent="0.2">
      <c r="A620" s="1">
        <v>1674</v>
      </c>
      <c r="B620" s="1" t="s">
        <v>6850</v>
      </c>
      <c r="D620" s="1" t="s">
        <v>6851</v>
      </c>
      <c r="F620" s="1" t="s">
        <v>6914</v>
      </c>
      <c r="H620" s="1" t="s">
        <v>6915</v>
      </c>
      <c r="J620" s="1" t="s">
        <v>1324</v>
      </c>
      <c r="L620" s="1" t="s">
        <v>7933</v>
      </c>
      <c r="M620" s="1" t="s">
        <v>3043</v>
      </c>
      <c r="N620" s="1" t="s">
        <v>8009</v>
      </c>
      <c r="P620" s="1" t="s">
        <v>8010</v>
      </c>
      <c r="Q620" s="3">
        <v>1</v>
      </c>
      <c r="R620" s="23" t="s">
        <v>6854</v>
      </c>
      <c r="S620" s="23" t="s">
        <v>6849</v>
      </c>
      <c r="T620" s="23" t="s">
        <v>4864</v>
      </c>
      <c r="U620" s="3">
        <v>35</v>
      </c>
      <c r="V620" s="3" t="s">
        <v>7937</v>
      </c>
      <c r="W620" s="45" t="str">
        <f>HYPERLINK("http://ictvonline.org/taxonomy/p/taxonomy-history?taxnode_id=201908167","ICTVonline=201908167")</f>
        <v>ICTVonline=201908167</v>
      </c>
      <c r="Y620" s="1" t="s">
        <v>8011</v>
      </c>
      <c r="AA620" s="1">
        <v>201900000</v>
      </c>
      <c r="AB620" s="1">
        <v>35</v>
      </c>
    </row>
    <row r="621" spans="1:28" x14ac:dyDescent="0.2">
      <c r="A621" s="1">
        <v>1678</v>
      </c>
      <c r="B621" s="1" t="s">
        <v>6850</v>
      </c>
      <c r="D621" s="1" t="s">
        <v>6851</v>
      </c>
      <c r="F621" s="1" t="s">
        <v>6914</v>
      </c>
      <c r="H621" s="1" t="s">
        <v>6915</v>
      </c>
      <c r="J621" s="1" t="s">
        <v>1324</v>
      </c>
      <c r="L621" s="1" t="s">
        <v>7933</v>
      </c>
      <c r="M621" s="1" t="s">
        <v>3043</v>
      </c>
      <c r="N621" s="1" t="s">
        <v>6324</v>
      </c>
      <c r="P621" s="1" t="s">
        <v>6325</v>
      </c>
      <c r="Q621" s="3">
        <v>1</v>
      </c>
      <c r="R621" s="23" t="s">
        <v>6854</v>
      </c>
      <c r="S621" s="23" t="s">
        <v>6845</v>
      </c>
      <c r="T621" s="23" t="s">
        <v>4866</v>
      </c>
      <c r="U621" s="3">
        <v>35</v>
      </c>
      <c r="W621" s="45" t="str">
        <f>HYPERLINK("http://ictvonline.org/taxonomy/p/taxonomy-history?taxnode_id=201907071","ICTVonline=201907071")</f>
        <v>ICTVonline=201907071</v>
      </c>
      <c r="Y621" s="1" t="s">
        <v>8012</v>
      </c>
      <c r="Z621" s="1" t="s">
        <v>8013</v>
      </c>
      <c r="AA621" s="1">
        <v>201900000</v>
      </c>
      <c r="AB621" s="1">
        <v>35</v>
      </c>
    </row>
    <row r="622" spans="1:28" x14ac:dyDescent="0.2">
      <c r="A622" s="1">
        <v>1682</v>
      </c>
      <c r="B622" s="1" t="s">
        <v>6850</v>
      </c>
      <c r="D622" s="1" t="s">
        <v>6851</v>
      </c>
      <c r="F622" s="1" t="s">
        <v>6914</v>
      </c>
      <c r="H622" s="1" t="s">
        <v>6915</v>
      </c>
      <c r="J622" s="1" t="s">
        <v>1324</v>
      </c>
      <c r="L622" s="1" t="s">
        <v>7933</v>
      </c>
      <c r="M622" s="1" t="s">
        <v>3043</v>
      </c>
      <c r="N622" s="1" t="s">
        <v>6326</v>
      </c>
      <c r="P622" s="1" t="s">
        <v>3058</v>
      </c>
      <c r="Q622" s="3">
        <v>0</v>
      </c>
      <c r="R622" s="23" t="s">
        <v>6854</v>
      </c>
      <c r="S622" s="23" t="s">
        <v>6845</v>
      </c>
      <c r="T622" s="23" t="s">
        <v>4866</v>
      </c>
      <c r="U622" s="3">
        <v>35</v>
      </c>
      <c r="W622" s="45" t="str">
        <f>HYPERLINK("http://ictvonline.org/taxonomy/p/taxonomy-history?taxnode_id=201900825","ICTVonline=201900825")</f>
        <v>ICTVonline=201900825</v>
      </c>
      <c r="Y622" s="1" t="s">
        <v>8014</v>
      </c>
      <c r="Z622" s="1" t="s">
        <v>8015</v>
      </c>
      <c r="AA622" s="1">
        <v>201900000</v>
      </c>
      <c r="AB622" s="1">
        <v>35</v>
      </c>
    </row>
    <row r="623" spans="1:28" x14ac:dyDescent="0.2">
      <c r="A623" s="1">
        <v>1684</v>
      </c>
      <c r="B623" s="1" t="s">
        <v>6850</v>
      </c>
      <c r="D623" s="1" t="s">
        <v>6851</v>
      </c>
      <c r="F623" s="1" t="s">
        <v>6914</v>
      </c>
      <c r="H623" s="1" t="s">
        <v>6915</v>
      </c>
      <c r="J623" s="1" t="s">
        <v>1324</v>
      </c>
      <c r="L623" s="1" t="s">
        <v>7933</v>
      </c>
      <c r="M623" s="1" t="s">
        <v>3043</v>
      </c>
      <c r="N623" s="1" t="s">
        <v>6326</v>
      </c>
      <c r="P623" s="1" t="s">
        <v>8016</v>
      </c>
      <c r="Q623" s="3">
        <v>0</v>
      </c>
      <c r="R623" s="23" t="s">
        <v>6854</v>
      </c>
      <c r="S623" s="23" t="s">
        <v>6849</v>
      </c>
      <c r="T623" s="23" t="s">
        <v>4864</v>
      </c>
      <c r="U623" s="3">
        <v>35</v>
      </c>
      <c r="V623" s="3" t="s">
        <v>7937</v>
      </c>
      <c r="W623" s="45" t="str">
        <f>HYPERLINK("http://ictvonline.org/taxonomy/p/taxonomy-history?taxnode_id=201908160","ICTVonline=201908160")</f>
        <v>ICTVonline=201908160</v>
      </c>
      <c r="Y623" s="1" t="s">
        <v>8017</v>
      </c>
      <c r="AA623" s="1">
        <v>201900000</v>
      </c>
      <c r="AB623" s="1">
        <v>35</v>
      </c>
    </row>
    <row r="624" spans="1:28" x14ac:dyDescent="0.2">
      <c r="A624" s="1">
        <v>1686</v>
      </c>
      <c r="B624" s="1" t="s">
        <v>6850</v>
      </c>
      <c r="D624" s="1" t="s">
        <v>6851</v>
      </c>
      <c r="F624" s="1" t="s">
        <v>6914</v>
      </c>
      <c r="H624" s="1" t="s">
        <v>6915</v>
      </c>
      <c r="J624" s="1" t="s">
        <v>1324</v>
      </c>
      <c r="L624" s="1" t="s">
        <v>7933</v>
      </c>
      <c r="M624" s="1" t="s">
        <v>3043</v>
      </c>
      <c r="N624" s="1" t="s">
        <v>6326</v>
      </c>
      <c r="P624" s="1" t="s">
        <v>8018</v>
      </c>
      <c r="Q624" s="3">
        <v>0</v>
      </c>
      <c r="R624" s="23" t="s">
        <v>6854</v>
      </c>
      <c r="S624" s="23" t="s">
        <v>6849</v>
      </c>
      <c r="T624" s="23" t="s">
        <v>4864</v>
      </c>
      <c r="U624" s="3">
        <v>35</v>
      </c>
      <c r="V624" s="3" t="s">
        <v>7937</v>
      </c>
      <c r="W624" s="45" t="str">
        <f>HYPERLINK("http://ictvonline.org/taxonomy/p/taxonomy-history?taxnode_id=201908164","ICTVonline=201908164")</f>
        <v>ICTVonline=201908164</v>
      </c>
      <c r="Y624" s="1" t="s">
        <v>8019</v>
      </c>
      <c r="AA624" s="1">
        <v>201900000</v>
      </c>
      <c r="AB624" s="1">
        <v>35</v>
      </c>
    </row>
    <row r="625" spans="1:28" x14ac:dyDescent="0.2">
      <c r="A625" s="1">
        <v>1688</v>
      </c>
      <c r="B625" s="1" t="s">
        <v>6850</v>
      </c>
      <c r="D625" s="1" t="s">
        <v>6851</v>
      </c>
      <c r="F625" s="1" t="s">
        <v>6914</v>
      </c>
      <c r="H625" s="1" t="s">
        <v>6915</v>
      </c>
      <c r="J625" s="1" t="s">
        <v>1324</v>
      </c>
      <c r="L625" s="1" t="s">
        <v>7933</v>
      </c>
      <c r="M625" s="1" t="s">
        <v>3043</v>
      </c>
      <c r="N625" s="1" t="s">
        <v>6326</v>
      </c>
      <c r="P625" s="1" t="s">
        <v>4292</v>
      </c>
      <c r="Q625" s="3">
        <v>0</v>
      </c>
      <c r="R625" s="23" t="s">
        <v>6854</v>
      </c>
      <c r="S625" s="23" t="s">
        <v>6845</v>
      </c>
      <c r="T625" s="23" t="s">
        <v>4866</v>
      </c>
      <c r="U625" s="3">
        <v>35</v>
      </c>
      <c r="W625" s="45" t="str">
        <f>HYPERLINK("http://ictvonline.org/taxonomy/p/taxonomy-history?taxnode_id=201900826","ICTVonline=201900826")</f>
        <v>ICTVonline=201900826</v>
      </c>
      <c r="Y625" s="1" t="s">
        <v>8020</v>
      </c>
      <c r="Z625" s="1" t="s">
        <v>8021</v>
      </c>
      <c r="AA625" s="1">
        <v>201900000</v>
      </c>
      <c r="AB625" s="1">
        <v>35</v>
      </c>
    </row>
    <row r="626" spans="1:28" x14ac:dyDescent="0.2">
      <c r="A626" s="1">
        <v>1690</v>
      </c>
      <c r="B626" s="1" t="s">
        <v>6850</v>
      </c>
      <c r="D626" s="1" t="s">
        <v>6851</v>
      </c>
      <c r="F626" s="1" t="s">
        <v>6914</v>
      </c>
      <c r="H626" s="1" t="s">
        <v>6915</v>
      </c>
      <c r="J626" s="1" t="s">
        <v>1324</v>
      </c>
      <c r="L626" s="1" t="s">
        <v>7933</v>
      </c>
      <c r="M626" s="1" t="s">
        <v>3043</v>
      </c>
      <c r="N626" s="1" t="s">
        <v>6326</v>
      </c>
      <c r="P626" s="1" t="s">
        <v>4293</v>
      </c>
      <c r="Q626" s="3">
        <v>0</v>
      </c>
      <c r="R626" s="23" t="s">
        <v>6854</v>
      </c>
      <c r="S626" s="23" t="s">
        <v>6845</v>
      </c>
      <c r="T626" s="23" t="s">
        <v>4866</v>
      </c>
      <c r="U626" s="3">
        <v>35</v>
      </c>
      <c r="W626" s="45" t="str">
        <f>HYPERLINK("http://ictvonline.org/taxonomy/p/taxonomy-history?taxnode_id=201900827","ICTVonline=201900827")</f>
        <v>ICTVonline=201900827</v>
      </c>
      <c r="Y626" s="1" t="s">
        <v>8022</v>
      </c>
      <c r="Z626" s="1" t="s">
        <v>8023</v>
      </c>
      <c r="AA626" s="1">
        <v>201900000</v>
      </c>
      <c r="AB626" s="1">
        <v>35</v>
      </c>
    </row>
    <row r="627" spans="1:28" x14ac:dyDescent="0.2">
      <c r="A627" s="1">
        <v>1692</v>
      </c>
      <c r="B627" s="1" t="s">
        <v>6850</v>
      </c>
      <c r="D627" s="1" t="s">
        <v>6851</v>
      </c>
      <c r="F627" s="1" t="s">
        <v>6914</v>
      </c>
      <c r="H627" s="1" t="s">
        <v>6915</v>
      </c>
      <c r="J627" s="1" t="s">
        <v>1324</v>
      </c>
      <c r="L627" s="1" t="s">
        <v>7933</v>
      </c>
      <c r="M627" s="1" t="s">
        <v>3043</v>
      </c>
      <c r="N627" s="1" t="s">
        <v>6326</v>
      </c>
      <c r="P627" s="1" t="s">
        <v>8024</v>
      </c>
      <c r="Q627" s="3">
        <v>0</v>
      </c>
      <c r="R627" s="23" t="s">
        <v>6854</v>
      </c>
      <c r="S627" s="23" t="s">
        <v>6849</v>
      </c>
      <c r="T627" s="23" t="s">
        <v>4864</v>
      </c>
      <c r="U627" s="3">
        <v>35</v>
      </c>
      <c r="V627" s="3" t="s">
        <v>7937</v>
      </c>
      <c r="W627" s="45" t="str">
        <f>HYPERLINK("http://ictvonline.org/taxonomy/p/taxonomy-history?taxnode_id=201908165","ICTVonline=201908165")</f>
        <v>ICTVonline=201908165</v>
      </c>
      <c r="Y627" s="1" t="s">
        <v>8025</v>
      </c>
      <c r="AA627" s="1">
        <v>201900000</v>
      </c>
      <c r="AB627" s="1">
        <v>35</v>
      </c>
    </row>
    <row r="628" spans="1:28" x14ac:dyDescent="0.2">
      <c r="A628" s="1">
        <v>1694</v>
      </c>
      <c r="B628" s="1" t="s">
        <v>6850</v>
      </c>
      <c r="D628" s="1" t="s">
        <v>6851</v>
      </c>
      <c r="F628" s="1" t="s">
        <v>6914</v>
      </c>
      <c r="H628" s="1" t="s">
        <v>6915</v>
      </c>
      <c r="J628" s="1" t="s">
        <v>1324</v>
      </c>
      <c r="L628" s="1" t="s">
        <v>7933</v>
      </c>
      <c r="M628" s="1" t="s">
        <v>3043</v>
      </c>
      <c r="N628" s="1" t="s">
        <v>6326</v>
      </c>
      <c r="P628" s="1" t="s">
        <v>3059</v>
      </c>
      <c r="Q628" s="3">
        <v>1</v>
      </c>
      <c r="R628" s="23" t="s">
        <v>6854</v>
      </c>
      <c r="S628" s="23" t="s">
        <v>6845</v>
      </c>
      <c r="T628" s="23" t="s">
        <v>4866</v>
      </c>
      <c r="U628" s="3">
        <v>35</v>
      </c>
      <c r="W628" s="45" t="str">
        <f>HYPERLINK("http://ictvonline.org/taxonomy/p/taxonomy-history?taxnode_id=201900828","ICTVonline=201900828")</f>
        <v>ICTVonline=201900828</v>
      </c>
      <c r="AA628" s="1">
        <v>201900000</v>
      </c>
      <c r="AB628" s="1">
        <v>35</v>
      </c>
    </row>
    <row r="629" spans="1:28" x14ac:dyDescent="0.2">
      <c r="A629" s="1">
        <v>1696</v>
      </c>
      <c r="B629" s="1" t="s">
        <v>6850</v>
      </c>
      <c r="D629" s="1" t="s">
        <v>6851</v>
      </c>
      <c r="F629" s="1" t="s">
        <v>6914</v>
      </c>
      <c r="H629" s="1" t="s">
        <v>6915</v>
      </c>
      <c r="J629" s="1" t="s">
        <v>1324</v>
      </c>
      <c r="L629" s="1" t="s">
        <v>7933</v>
      </c>
      <c r="M629" s="1" t="s">
        <v>3043</v>
      </c>
      <c r="N629" s="1" t="s">
        <v>6326</v>
      </c>
      <c r="P629" s="1" t="s">
        <v>8026</v>
      </c>
      <c r="Q629" s="3">
        <v>0</v>
      </c>
      <c r="R629" s="23" t="s">
        <v>6854</v>
      </c>
      <c r="S629" s="23" t="s">
        <v>6849</v>
      </c>
      <c r="T629" s="23" t="s">
        <v>4864</v>
      </c>
      <c r="U629" s="3">
        <v>35</v>
      </c>
      <c r="V629" s="3" t="s">
        <v>7937</v>
      </c>
      <c r="W629" s="45" t="str">
        <f>HYPERLINK("http://ictvonline.org/taxonomy/p/taxonomy-history?taxnode_id=201908162","ICTVonline=201908162")</f>
        <v>ICTVonline=201908162</v>
      </c>
      <c r="Y629" s="1" t="s">
        <v>8027</v>
      </c>
      <c r="AA629" s="1">
        <v>201900000</v>
      </c>
      <c r="AB629" s="1">
        <v>35</v>
      </c>
    </row>
    <row r="630" spans="1:28" x14ac:dyDescent="0.2">
      <c r="A630" s="1">
        <v>1698</v>
      </c>
      <c r="B630" s="1" t="s">
        <v>6850</v>
      </c>
      <c r="D630" s="1" t="s">
        <v>6851</v>
      </c>
      <c r="F630" s="1" t="s">
        <v>6914</v>
      </c>
      <c r="H630" s="1" t="s">
        <v>6915</v>
      </c>
      <c r="J630" s="1" t="s">
        <v>1324</v>
      </c>
      <c r="L630" s="1" t="s">
        <v>7933</v>
      </c>
      <c r="M630" s="1" t="s">
        <v>3043</v>
      </c>
      <c r="N630" s="1" t="s">
        <v>6326</v>
      </c>
      <c r="P630" s="1" t="s">
        <v>8028</v>
      </c>
      <c r="Q630" s="3">
        <v>0</v>
      </c>
      <c r="R630" s="23" t="s">
        <v>6854</v>
      </c>
      <c r="S630" s="23" t="s">
        <v>6849</v>
      </c>
      <c r="T630" s="23" t="s">
        <v>4864</v>
      </c>
      <c r="U630" s="3">
        <v>35</v>
      </c>
      <c r="V630" s="3" t="s">
        <v>7937</v>
      </c>
      <c r="W630" s="45" t="str">
        <f>HYPERLINK("http://ictvonline.org/taxonomy/p/taxonomy-history?taxnode_id=201908161","ICTVonline=201908161")</f>
        <v>ICTVonline=201908161</v>
      </c>
      <c r="Y630" s="1" t="s">
        <v>8029</v>
      </c>
      <c r="AA630" s="1">
        <v>201900000</v>
      </c>
      <c r="AB630" s="1">
        <v>35</v>
      </c>
    </row>
    <row r="631" spans="1:28" x14ac:dyDescent="0.2">
      <c r="A631" s="1">
        <v>1700</v>
      </c>
      <c r="B631" s="1" t="s">
        <v>6850</v>
      </c>
      <c r="D631" s="1" t="s">
        <v>6851</v>
      </c>
      <c r="F631" s="1" t="s">
        <v>6914</v>
      </c>
      <c r="H631" s="1" t="s">
        <v>6915</v>
      </c>
      <c r="J631" s="1" t="s">
        <v>1324</v>
      </c>
      <c r="L631" s="1" t="s">
        <v>7933</v>
      </c>
      <c r="M631" s="1" t="s">
        <v>3043</v>
      </c>
      <c r="N631" s="1" t="s">
        <v>6326</v>
      </c>
      <c r="P631" s="1" t="s">
        <v>3060</v>
      </c>
      <c r="Q631" s="3">
        <v>0</v>
      </c>
      <c r="R631" s="23" t="s">
        <v>6854</v>
      </c>
      <c r="S631" s="23" t="s">
        <v>6845</v>
      </c>
      <c r="T631" s="23" t="s">
        <v>4866</v>
      </c>
      <c r="U631" s="3">
        <v>35</v>
      </c>
      <c r="W631" s="45" t="str">
        <f>HYPERLINK("http://ictvonline.org/taxonomy/p/taxonomy-history?taxnode_id=201900829","ICTVonline=201900829")</f>
        <v>ICTVonline=201900829</v>
      </c>
      <c r="Y631" s="1" t="s">
        <v>8030</v>
      </c>
      <c r="Z631" s="1" t="s">
        <v>8031</v>
      </c>
      <c r="AA631" s="1">
        <v>201900000</v>
      </c>
      <c r="AB631" s="1">
        <v>35</v>
      </c>
    </row>
    <row r="632" spans="1:28" x14ac:dyDescent="0.2">
      <c r="A632" s="1">
        <v>1702</v>
      </c>
      <c r="B632" s="1" t="s">
        <v>6850</v>
      </c>
      <c r="D632" s="1" t="s">
        <v>6851</v>
      </c>
      <c r="F632" s="1" t="s">
        <v>6914</v>
      </c>
      <c r="H632" s="1" t="s">
        <v>6915</v>
      </c>
      <c r="J632" s="1" t="s">
        <v>1324</v>
      </c>
      <c r="L632" s="1" t="s">
        <v>7933</v>
      </c>
      <c r="M632" s="1" t="s">
        <v>3043</v>
      </c>
      <c r="N632" s="1" t="s">
        <v>6326</v>
      </c>
      <c r="P632" s="1" t="s">
        <v>8032</v>
      </c>
      <c r="Q632" s="3">
        <v>0</v>
      </c>
      <c r="R632" s="23" t="s">
        <v>6854</v>
      </c>
      <c r="S632" s="23" t="s">
        <v>6849</v>
      </c>
      <c r="T632" s="23" t="s">
        <v>4864</v>
      </c>
      <c r="U632" s="3">
        <v>35</v>
      </c>
      <c r="V632" s="3" t="s">
        <v>7937</v>
      </c>
      <c r="W632" s="45" t="str">
        <f>HYPERLINK("http://ictvonline.org/taxonomy/p/taxonomy-history?taxnode_id=201908163","ICTVonline=201908163")</f>
        <v>ICTVonline=201908163</v>
      </c>
      <c r="Y632" s="1" t="s">
        <v>8033</v>
      </c>
      <c r="AA632" s="1">
        <v>201900000</v>
      </c>
      <c r="AB632" s="1">
        <v>35</v>
      </c>
    </row>
    <row r="633" spans="1:28" x14ac:dyDescent="0.2">
      <c r="A633" s="1">
        <v>1704</v>
      </c>
      <c r="B633" s="1" t="s">
        <v>6850</v>
      </c>
      <c r="D633" s="1" t="s">
        <v>6851</v>
      </c>
      <c r="F633" s="1" t="s">
        <v>6914</v>
      </c>
      <c r="H633" s="1" t="s">
        <v>6915</v>
      </c>
      <c r="J633" s="1" t="s">
        <v>1324</v>
      </c>
      <c r="L633" s="1" t="s">
        <v>7933</v>
      </c>
      <c r="M633" s="1" t="s">
        <v>3043</v>
      </c>
      <c r="N633" s="1" t="s">
        <v>6326</v>
      </c>
      <c r="P633" s="1" t="s">
        <v>8034</v>
      </c>
      <c r="Q633" s="3">
        <v>0</v>
      </c>
      <c r="R633" s="23" t="s">
        <v>6854</v>
      </c>
      <c r="S633" s="23" t="s">
        <v>6849</v>
      </c>
      <c r="T633" s="23" t="s">
        <v>4864</v>
      </c>
      <c r="U633" s="3">
        <v>35</v>
      </c>
      <c r="V633" s="3" t="s">
        <v>7937</v>
      </c>
      <c r="W633" s="45" t="str">
        <f>HYPERLINK("http://ictvonline.org/taxonomy/p/taxonomy-history?taxnode_id=201908159","ICTVonline=201908159")</f>
        <v>ICTVonline=201908159</v>
      </c>
      <c r="Y633" s="1" t="s">
        <v>8035</v>
      </c>
      <c r="AA633" s="1">
        <v>201900000</v>
      </c>
      <c r="AB633" s="1">
        <v>35</v>
      </c>
    </row>
    <row r="634" spans="1:28" x14ac:dyDescent="0.2">
      <c r="A634" s="1">
        <v>1706</v>
      </c>
      <c r="B634" s="1" t="s">
        <v>6850</v>
      </c>
      <c r="D634" s="1" t="s">
        <v>6851</v>
      </c>
      <c r="F634" s="1" t="s">
        <v>6914</v>
      </c>
      <c r="H634" s="1" t="s">
        <v>6915</v>
      </c>
      <c r="J634" s="1" t="s">
        <v>1324</v>
      </c>
      <c r="L634" s="1" t="s">
        <v>7933</v>
      </c>
      <c r="M634" s="1" t="s">
        <v>3043</v>
      </c>
      <c r="N634" s="1" t="s">
        <v>6326</v>
      </c>
      <c r="P634" s="1" t="s">
        <v>3061</v>
      </c>
      <c r="Q634" s="3">
        <v>0</v>
      </c>
      <c r="R634" s="23" t="s">
        <v>6854</v>
      </c>
      <c r="S634" s="23" t="s">
        <v>6845</v>
      </c>
      <c r="T634" s="23" t="s">
        <v>4866</v>
      </c>
      <c r="U634" s="3">
        <v>35</v>
      </c>
      <c r="W634" s="45" t="str">
        <f>HYPERLINK("http://ictvonline.org/taxonomy/p/taxonomy-history?taxnode_id=201900830","ICTVonline=201900830")</f>
        <v>ICTVonline=201900830</v>
      </c>
      <c r="AA634" s="1">
        <v>201900000</v>
      </c>
      <c r="AB634" s="1">
        <v>35</v>
      </c>
    </row>
    <row r="635" spans="1:28" x14ac:dyDescent="0.2">
      <c r="A635" s="1">
        <v>1708</v>
      </c>
      <c r="B635" s="1" t="s">
        <v>6850</v>
      </c>
      <c r="D635" s="1" t="s">
        <v>6851</v>
      </c>
      <c r="F635" s="1" t="s">
        <v>6914</v>
      </c>
      <c r="H635" s="1" t="s">
        <v>6915</v>
      </c>
      <c r="J635" s="1" t="s">
        <v>1324</v>
      </c>
      <c r="L635" s="1" t="s">
        <v>7933</v>
      </c>
      <c r="M635" s="1" t="s">
        <v>3043</v>
      </c>
      <c r="N635" s="1" t="s">
        <v>6326</v>
      </c>
      <c r="P635" s="1" t="s">
        <v>6327</v>
      </c>
      <c r="Q635" s="3">
        <v>0</v>
      </c>
      <c r="R635" s="23" t="s">
        <v>6854</v>
      </c>
      <c r="S635" s="23" t="s">
        <v>6845</v>
      </c>
      <c r="T635" s="23" t="s">
        <v>4866</v>
      </c>
      <c r="U635" s="3">
        <v>35</v>
      </c>
      <c r="W635" s="45" t="str">
        <f>HYPERLINK("http://ictvonline.org/taxonomy/p/taxonomy-history?taxnode_id=201907089","ICTVonline=201907089")</f>
        <v>ICTVonline=201907089</v>
      </c>
      <c r="Y635" s="1" t="s">
        <v>8036</v>
      </c>
      <c r="Z635" s="1" t="s">
        <v>8037</v>
      </c>
      <c r="AA635" s="1">
        <v>201900000</v>
      </c>
      <c r="AB635" s="1">
        <v>35</v>
      </c>
    </row>
    <row r="636" spans="1:28" x14ac:dyDescent="0.2">
      <c r="A636" s="1">
        <v>1711</v>
      </c>
      <c r="B636" s="1" t="s">
        <v>6850</v>
      </c>
      <c r="D636" s="1" t="s">
        <v>6851</v>
      </c>
      <c r="F636" s="1" t="s">
        <v>6914</v>
      </c>
      <c r="H636" s="1" t="s">
        <v>6915</v>
      </c>
      <c r="J636" s="1" t="s">
        <v>1324</v>
      </c>
      <c r="L636" s="1" t="s">
        <v>7933</v>
      </c>
      <c r="M636" s="1" t="s">
        <v>3043</v>
      </c>
      <c r="P636" s="1" t="s">
        <v>3066</v>
      </c>
      <c r="Q636" s="3">
        <v>0</v>
      </c>
      <c r="R636" s="23" t="s">
        <v>6854</v>
      </c>
      <c r="S636" s="23" t="s">
        <v>6845</v>
      </c>
      <c r="T636" s="23" t="s">
        <v>4866</v>
      </c>
      <c r="U636" s="3">
        <v>35</v>
      </c>
      <c r="W636" s="45" t="str">
        <f>HYPERLINK("http://ictvonline.org/taxonomy/p/taxonomy-history?taxnode_id=201900836","ICTVonline=201900836")</f>
        <v>ICTVonline=201900836</v>
      </c>
      <c r="AA636" s="1">
        <v>201900000</v>
      </c>
      <c r="AB636" s="1">
        <v>35</v>
      </c>
    </row>
    <row r="637" spans="1:28" x14ac:dyDescent="0.2">
      <c r="A637" s="1">
        <v>1715</v>
      </c>
      <c r="B637" s="1" t="s">
        <v>6850</v>
      </c>
      <c r="D637" s="1" t="s">
        <v>6851</v>
      </c>
      <c r="F637" s="1" t="s">
        <v>6914</v>
      </c>
      <c r="H637" s="1" t="s">
        <v>6915</v>
      </c>
      <c r="J637" s="1" t="s">
        <v>1324</v>
      </c>
      <c r="L637" s="1" t="s">
        <v>7933</v>
      </c>
      <c r="N637" s="1" t="s">
        <v>6319</v>
      </c>
      <c r="P637" s="1" t="s">
        <v>6320</v>
      </c>
      <c r="Q637" s="3">
        <v>1</v>
      </c>
      <c r="R637" s="23" t="s">
        <v>6854</v>
      </c>
      <c r="S637" s="23" t="s">
        <v>6845</v>
      </c>
      <c r="T637" s="23" t="s">
        <v>4866</v>
      </c>
      <c r="U637" s="3">
        <v>35</v>
      </c>
      <c r="W637" s="45" t="str">
        <f>HYPERLINK("http://ictvonline.org/taxonomy/p/taxonomy-history?taxnode_id=201907067","ICTVonline=201907067")</f>
        <v>ICTVonline=201907067</v>
      </c>
      <c r="Y637" s="1" t="s">
        <v>8038</v>
      </c>
      <c r="Z637" s="1" t="s">
        <v>8039</v>
      </c>
      <c r="AA637" s="1">
        <v>201900000</v>
      </c>
      <c r="AB637" s="1">
        <v>35</v>
      </c>
    </row>
    <row r="638" spans="1:28" x14ac:dyDescent="0.2">
      <c r="A638" s="1">
        <v>1719</v>
      </c>
      <c r="B638" s="1" t="s">
        <v>6850</v>
      </c>
      <c r="D638" s="1" t="s">
        <v>6851</v>
      </c>
      <c r="F638" s="1" t="s">
        <v>6914</v>
      </c>
      <c r="H638" s="1" t="s">
        <v>6915</v>
      </c>
      <c r="J638" s="1" t="s">
        <v>1324</v>
      </c>
      <c r="L638" s="1" t="s">
        <v>7933</v>
      </c>
      <c r="N638" s="1" t="s">
        <v>8040</v>
      </c>
      <c r="P638" s="1" t="s">
        <v>8041</v>
      </c>
      <c r="Q638" s="3">
        <v>0</v>
      </c>
      <c r="R638" s="23" t="s">
        <v>6854</v>
      </c>
      <c r="S638" s="23" t="s">
        <v>6849</v>
      </c>
      <c r="T638" s="23" t="s">
        <v>4864</v>
      </c>
      <c r="U638" s="3">
        <v>35</v>
      </c>
      <c r="V638" s="3" t="s">
        <v>7937</v>
      </c>
      <c r="W638" s="45" t="str">
        <f>HYPERLINK("http://ictvonline.org/taxonomy/p/taxonomy-history?taxnode_id=201908169","ICTVonline=201908169")</f>
        <v>ICTVonline=201908169</v>
      </c>
      <c r="Y638" s="1" t="s">
        <v>8042</v>
      </c>
      <c r="AA638" s="1">
        <v>201900000</v>
      </c>
      <c r="AB638" s="1">
        <v>35</v>
      </c>
    </row>
    <row r="639" spans="1:28" x14ac:dyDescent="0.2">
      <c r="A639" s="1">
        <v>1723</v>
      </c>
      <c r="B639" s="1" t="s">
        <v>6850</v>
      </c>
      <c r="D639" s="1" t="s">
        <v>6851</v>
      </c>
      <c r="F639" s="1" t="s">
        <v>6914</v>
      </c>
      <c r="H639" s="1" t="s">
        <v>6915</v>
      </c>
      <c r="J639" s="1" t="s">
        <v>1324</v>
      </c>
      <c r="L639" s="1" t="s">
        <v>7933</v>
      </c>
      <c r="N639" s="1" t="s">
        <v>8043</v>
      </c>
      <c r="P639" s="1" t="s">
        <v>8044</v>
      </c>
      <c r="Q639" s="3">
        <v>1</v>
      </c>
      <c r="R639" s="23" t="s">
        <v>6854</v>
      </c>
      <c r="S639" s="23" t="s">
        <v>6849</v>
      </c>
      <c r="T639" s="23" t="s">
        <v>4864</v>
      </c>
      <c r="U639" s="3">
        <v>35</v>
      </c>
      <c r="V639" s="3" t="s">
        <v>7937</v>
      </c>
      <c r="W639" s="45" t="str">
        <f>HYPERLINK("http://ictvonline.org/taxonomy/p/taxonomy-history?taxnode_id=201908172","ICTVonline=201908172")</f>
        <v>ICTVonline=201908172</v>
      </c>
      <c r="Y639" s="1" t="s">
        <v>8045</v>
      </c>
      <c r="AA639" s="1">
        <v>201900000</v>
      </c>
      <c r="AB639" s="1">
        <v>35</v>
      </c>
    </row>
    <row r="640" spans="1:28" x14ac:dyDescent="0.2">
      <c r="A640" s="1">
        <v>1727</v>
      </c>
      <c r="B640" s="1" t="s">
        <v>6850</v>
      </c>
      <c r="D640" s="1" t="s">
        <v>6851</v>
      </c>
      <c r="F640" s="1" t="s">
        <v>6914</v>
      </c>
      <c r="H640" s="1" t="s">
        <v>6915</v>
      </c>
      <c r="J640" s="1" t="s">
        <v>1324</v>
      </c>
      <c r="L640" s="1" t="s">
        <v>7933</v>
      </c>
      <c r="N640" s="1" t="s">
        <v>8046</v>
      </c>
      <c r="P640" s="1" t="s">
        <v>8047</v>
      </c>
      <c r="Q640" s="3">
        <v>1</v>
      </c>
      <c r="R640" s="23" t="s">
        <v>6854</v>
      </c>
      <c r="S640" s="23" t="s">
        <v>6849</v>
      </c>
      <c r="T640" s="23" t="s">
        <v>4864</v>
      </c>
      <c r="U640" s="3">
        <v>35</v>
      </c>
      <c r="V640" s="3" t="s">
        <v>7937</v>
      </c>
      <c r="W640" s="45" t="str">
        <f>HYPERLINK("http://ictvonline.org/taxonomy/p/taxonomy-history?taxnode_id=201908174","ICTVonline=201908174")</f>
        <v>ICTVonline=201908174</v>
      </c>
      <c r="Y640" s="1" t="s">
        <v>8048</v>
      </c>
      <c r="AA640" s="1">
        <v>201900000</v>
      </c>
      <c r="AB640" s="1">
        <v>35</v>
      </c>
    </row>
    <row r="641" spans="1:28" x14ac:dyDescent="0.2">
      <c r="A641" s="1">
        <v>1731</v>
      </c>
      <c r="B641" s="1" t="s">
        <v>6850</v>
      </c>
      <c r="D641" s="1" t="s">
        <v>6851</v>
      </c>
      <c r="F641" s="1" t="s">
        <v>6914</v>
      </c>
      <c r="H641" s="1" t="s">
        <v>6915</v>
      </c>
      <c r="J641" s="1" t="s">
        <v>1324</v>
      </c>
      <c r="L641" s="1" t="s">
        <v>7933</v>
      </c>
      <c r="N641" s="1" t="s">
        <v>8049</v>
      </c>
      <c r="P641" s="1" t="s">
        <v>8050</v>
      </c>
      <c r="Q641" s="3">
        <v>1</v>
      </c>
      <c r="R641" s="23" t="s">
        <v>6854</v>
      </c>
      <c r="S641" s="23" t="s">
        <v>6845</v>
      </c>
      <c r="T641" s="23" t="s">
        <v>4864</v>
      </c>
      <c r="U641" s="3">
        <v>35</v>
      </c>
      <c r="V641" s="3" t="s">
        <v>7937</v>
      </c>
      <c r="W641" s="45" t="str">
        <f>HYPERLINK("http://ictvonline.org/taxonomy/p/taxonomy-history?taxnode_id=201908717","ICTVonline=201908717")</f>
        <v>ICTVonline=201908717</v>
      </c>
      <c r="Y641" s="1" t="s">
        <v>8051</v>
      </c>
      <c r="Z641" s="1" t="s">
        <v>8052</v>
      </c>
      <c r="AA641" s="1">
        <v>201900000</v>
      </c>
      <c r="AB641" s="1">
        <v>35</v>
      </c>
    </row>
    <row r="642" spans="1:28" x14ac:dyDescent="0.2">
      <c r="A642" s="1">
        <v>1735</v>
      </c>
      <c r="B642" s="1" t="s">
        <v>6850</v>
      </c>
      <c r="D642" s="1" t="s">
        <v>6851</v>
      </c>
      <c r="F642" s="1" t="s">
        <v>6914</v>
      </c>
      <c r="H642" s="1" t="s">
        <v>6915</v>
      </c>
      <c r="J642" s="1" t="s">
        <v>1324</v>
      </c>
      <c r="L642" s="1" t="s">
        <v>7933</v>
      </c>
      <c r="N642" s="1" t="s">
        <v>6328</v>
      </c>
      <c r="P642" s="1" t="s">
        <v>3044</v>
      </c>
      <c r="Q642" s="3">
        <v>0</v>
      </c>
      <c r="R642" s="23" t="s">
        <v>6854</v>
      </c>
      <c r="S642" s="23" t="s">
        <v>6845</v>
      </c>
      <c r="T642" s="23" t="s">
        <v>4866</v>
      </c>
      <c r="U642" s="3">
        <v>35</v>
      </c>
      <c r="W642" s="45" t="str">
        <f>HYPERLINK("http://ictvonline.org/taxonomy/p/taxonomy-history?taxnode_id=201900805","ICTVonline=201900805")</f>
        <v>ICTVonline=201900805</v>
      </c>
      <c r="AA642" s="1">
        <v>201900000</v>
      </c>
      <c r="AB642" s="1">
        <v>35</v>
      </c>
    </row>
    <row r="643" spans="1:28" x14ac:dyDescent="0.2">
      <c r="A643" s="1">
        <v>1737</v>
      </c>
      <c r="B643" s="1" t="s">
        <v>6850</v>
      </c>
      <c r="D643" s="1" t="s">
        <v>6851</v>
      </c>
      <c r="F643" s="1" t="s">
        <v>6914</v>
      </c>
      <c r="H643" s="1" t="s">
        <v>6915</v>
      </c>
      <c r="J643" s="1" t="s">
        <v>1324</v>
      </c>
      <c r="L643" s="1" t="s">
        <v>7933</v>
      </c>
      <c r="N643" s="1" t="s">
        <v>6328</v>
      </c>
      <c r="P643" s="1" t="s">
        <v>3045</v>
      </c>
      <c r="Q643" s="3">
        <v>0</v>
      </c>
      <c r="R643" s="23" t="s">
        <v>6854</v>
      </c>
      <c r="S643" s="23" t="s">
        <v>6845</v>
      </c>
      <c r="T643" s="23" t="s">
        <v>4866</v>
      </c>
      <c r="U643" s="3">
        <v>35</v>
      </c>
      <c r="W643" s="45" t="str">
        <f>HYPERLINK("http://ictvonline.org/taxonomy/p/taxonomy-history?taxnode_id=201900806","ICTVonline=201900806")</f>
        <v>ICTVonline=201900806</v>
      </c>
      <c r="Y643" s="1" t="s">
        <v>8053</v>
      </c>
      <c r="Z643" s="1" t="s">
        <v>8054</v>
      </c>
      <c r="AA643" s="1">
        <v>201900000</v>
      </c>
      <c r="AB643" s="1">
        <v>35</v>
      </c>
    </row>
    <row r="644" spans="1:28" x14ac:dyDescent="0.2">
      <c r="A644" s="1">
        <v>1739</v>
      </c>
      <c r="B644" s="1" t="s">
        <v>6850</v>
      </c>
      <c r="D644" s="1" t="s">
        <v>6851</v>
      </c>
      <c r="F644" s="1" t="s">
        <v>6914</v>
      </c>
      <c r="H644" s="1" t="s">
        <v>6915</v>
      </c>
      <c r="J644" s="1" t="s">
        <v>1324</v>
      </c>
      <c r="L644" s="1" t="s">
        <v>7933</v>
      </c>
      <c r="N644" s="1" t="s">
        <v>6328</v>
      </c>
      <c r="P644" s="1" t="s">
        <v>8055</v>
      </c>
      <c r="Q644" s="3">
        <v>0</v>
      </c>
      <c r="R644" s="23" t="s">
        <v>6854</v>
      </c>
      <c r="S644" s="23" t="s">
        <v>6849</v>
      </c>
      <c r="T644" s="23" t="s">
        <v>4864</v>
      </c>
      <c r="U644" s="3">
        <v>35</v>
      </c>
      <c r="V644" s="3" t="s">
        <v>7937</v>
      </c>
      <c r="W644" s="45" t="str">
        <f>HYPERLINK("http://ictvonline.org/taxonomy/p/taxonomy-history?taxnode_id=201908186","ICTVonline=201908186")</f>
        <v>ICTVonline=201908186</v>
      </c>
      <c r="Y644" s="1" t="s">
        <v>8056</v>
      </c>
      <c r="AA644" s="1">
        <v>201900000</v>
      </c>
      <c r="AB644" s="1">
        <v>35</v>
      </c>
    </row>
    <row r="645" spans="1:28" x14ac:dyDescent="0.2">
      <c r="A645" s="1">
        <v>1741</v>
      </c>
      <c r="B645" s="1" t="s">
        <v>6850</v>
      </c>
      <c r="D645" s="1" t="s">
        <v>6851</v>
      </c>
      <c r="F645" s="1" t="s">
        <v>6914</v>
      </c>
      <c r="H645" s="1" t="s">
        <v>6915</v>
      </c>
      <c r="J645" s="1" t="s">
        <v>1324</v>
      </c>
      <c r="L645" s="1" t="s">
        <v>7933</v>
      </c>
      <c r="N645" s="1" t="s">
        <v>6328</v>
      </c>
      <c r="P645" s="1" t="s">
        <v>4288</v>
      </c>
      <c r="Q645" s="3">
        <v>0</v>
      </c>
      <c r="R645" s="23" t="s">
        <v>6854</v>
      </c>
      <c r="S645" s="23" t="s">
        <v>6845</v>
      </c>
      <c r="T645" s="23" t="s">
        <v>4866</v>
      </c>
      <c r="U645" s="3">
        <v>35</v>
      </c>
      <c r="W645" s="45" t="str">
        <f>HYPERLINK("http://ictvonline.org/taxonomy/p/taxonomy-history?taxnode_id=201900807","ICTVonline=201900807")</f>
        <v>ICTVonline=201900807</v>
      </c>
      <c r="Y645" s="1" t="s">
        <v>8057</v>
      </c>
      <c r="Z645" s="1" t="s">
        <v>8058</v>
      </c>
      <c r="AA645" s="1">
        <v>201900000</v>
      </c>
      <c r="AB645" s="1">
        <v>35</v>
      </c>
    </row>
    <row r="646" spans="1:28" x14ac:dyDescent="0.2">
      <c r="A646" s="1">
        <v>1743</v>
      </c>
      <c r="B646" s="1" t="s">
        <v>6850</v>
      </c>
      <c r="D646" s="1" t="s">
        <v>6851</v>
      </c>
      <c r="F646" s="1" t="s">
        <v>6914</v>
      </c>
      <c r="H646" s="1" t="s">
        <v>6915</v>
      </c>
      <c r="J646" s="1" t="s">
        <v>1324</v>
      </c>
      <c r="L646" s="1" t="s">
        <v>7933</v>
      </c>
      <c r="N646" s="1" t="s">
        <v>6328</v>
      </c>
      <c r="P646" s="1" t="s">
        <v>8059</v>
      </c>
      <c r="Q646" s="3">
        <v>0</v>
      </c>
      <c r="R646" s="23" t="s">
        <v>6854</v>
      </c>
      <c r="S646" s="23" t="s">
        <v>6849</v>
      </c>
      <c r="T646" s="23" t="s">
        <v>4864</v>
      </c>
      <c r="U646" s="3">
        <v>35</v>
      </c>
      <c r="V646" s="3" t="s">
        <v>7937</v>
      </c>
      <c r="W646" s="45" t="str">
        <f>HYPERLINK("http://ictvonline.org/taxonomy/p/taxonomy-history?taxnode_id=201908176","ICTVonline=201908176")</f>
        <v>ICTVonline=201908176</v>
      </c>
      <c r="Y646" s="1" t="s">
        <v>8060</v>
      </c>
      <c r="AA646" s="1">
        <v>201900000</v>
      </c>
      <c r="AB646" s="1">
        <v>35</v>
      </c>
    </row>
    <row r="647" spans="1:28" x14ac:dyDescent="0.2">
      <c r="A647" s="1">
        <v>1745</v>
      </c>
      <c r="B647" s="1" t="s">
        <v>6850</v>
      </c>
      <c r="D647" s="1" t="s">
        <v>6851</v>
      </c>
      <c r="F647" s="1" t="s">
        <v>6914</v>
      </c>
      <c r="H647" s="1" t="s">
        <v>6915</v>
      </c>
      <c r="J647" s="1" t="s">
        <v>1324</v>
      </c>
      <c r="L647" s="1" t="s">
        <v>7933</v>
      </c>
      <c r="N647" s="1" t="s">
        <v>6328</v>
      </c>
      <c r="P647" s="1" t="s">
        <v>3046</v>
      </c>
      <c r="Q647" s="3">
        <v>1</v>
      </c>
      <c r="R647" s="23" t="s">
        <v>6854</v>
      </c>
      <c r="S647" s="23" t="s">
        <v>6845</v>
      </c>
      <c r="T647" s="23" t="s">
        <v>4866</v>
      </c>
      <c r="U647" s="3">
        <v>35</v>
      </c>
      <c r="W647" s="45" t="str">
        <f>HYPERLINK("http://ictvonline.org/taxonomy/p/taxonomy-history?taxnode_id=201900808","ICTVonline=201900808")</f>
        <v>ICTVonline=201900808</v>
      </c>
      <c r="Y647" s="1" t="s">
        <v>8061</v>
      </c>
      <c r="Z647" s="1" t="s">
        <v>8062</v>
      </c>
      <c r="AA647" s="1">
        <v>201900000</v>
      </c>
      <c r="AB647" s="1">
        <v>35</v>
      </c>
    </row>
    <row r="648" spans="1:28" x14ac:dyDescent="0.2">
      <c r="A648" s="1">
        <v>1747</v>
      </c>
      <c r="B648" s="1" t="s">
        <v>6850</v>
      </c>
      <c r="D648" s="1" t="s">
        <v>6851</v>
      </c>
      <c r="F648" s="1" t="s">
        <v>6914</v>
      </c>
      <c r="H648" s="1" t="s">
        <v>6915</v>
      </c>
      <c r="J648" s="1" t="s">
        <v>1324</v>
      </c>
      <c r="L648" s="1" t="s">
        <v>7933</v>
      </c>
      <c r="N648" s="1" t="s">
        <v>6328</v>
      </c>
      <c r="P648" s="1" t="s">
        <v>8063</v>
      </c>
      <c r="Q648" s="3">
        <v>0</v>
      </c>
      <c r="R648" s="23" t="s">
        <v>6854</v>
      </c>
      <c r="S648" s="23" t="s">
        <v>6849</v>
      </c>
      <c r="T648" s="23" t="s">
        <v>4864</v>
      </c>
      <c r="U648" s="3">
        <v>35</v>
      </c>
      <c r="V648" s="3" t="s">
        <v>7937</v>
      </c>
      <c r="W648" s="45" t="str">
        <f>HYPERLINK("http://ictvonline.org/taxonomy/p/taxonomy-history?taxnode_id=201908183","ICTVonline=201908183")</f>
        <v>ICTVonline=201908183</v>
      </c>
      <c r="Y648" s="1" t="s">
        <v>8064</v>
      </c>
      <c r="AA648" s="1">
        <v>201900000</v>
      </c>
      <c r="AB648" s="1">
        <v>35</v>
      </c>
    </row>
    <row r="649" spans="1:28" x14ac:dyDescent="0.2">
      <c r="A649" s="1">
        <v>1749</v>
      </c>
      <c r="B649" s="1" t="s">
        <v>6850</v>
      </c>
      <c r="D649" s="1" t="s">
        <v>6851</v>
      </c>
      <c r="F649" s="1" t="s">
        <v>6914</v>
      </c>
      <c r="H649" s="1" t="s">
        <v>6915</v>
      </c>
      <c r="J649" s="1" t="s">
        <v>1324</v>
      </c>
      <c r="L649" s="1" t="s">
        <v>7933</v>
      </c>
      <c r="N649" s="1" t="s">
        <v>6328</v>
      </c>
      <c r="P649" s="1" t="s">
        <v>8065</v>
      </c>
      <c r="Q649" s="3">
        <v>0</v>
      </c>
      <c r="R649" s="23" t="s">
        <v>6854</v>
      </c>
      <c r="S649" s="23" t="s">
        <v>6849</v>
      </c>
      <c r="T649" s="23" t="s">
        <v>4864</v>
      </c>
      <c r="U649" s="3">
        <v>35</v>
      </c>
      <c r="V649" s="3" t="s">
        <v>7937</v>
      </c>
      <c r="W649" s="45" t="str">
        <f>HYPERLINK("http://ictvonline.org/taxonomy/p/taxonomy-history?taxnode_id=201908185","ICTVonline=201908185")</f>
        <v>ICTVonline=201908185</v>
      </c>
      <c r="Y649" s="1" t="s">
        <v>8066</v>
      </c>
      <c r="AA649" s="1">
        <v>201900000</v>
      </c>
      <c r="AB649" s="1">
        <v>35</v>
      </c>
    </row>
    <row r="650" spans="1:28" x14ac:dyDescent="0.2">
      <c r="A650" s="1">
        <v>1751</v>
      </c>
      <c r="B650" s="1" t="s">
        <v>6850</v>
      </c>
      <c r="D650" s="1" t="s">
        <v>6851</v>
      </c>
      <c r="F650" s="1" t="s">
        <v>6914</v>
      </c>
      <c r="H650" s="1" t="s">
        <v>6915</v>
      </c>
      <c r="J650" s="1" t="s">
        <v>1324</v>
      </c>
      <c r="L650" s="1" t="s">
        <v>7933</v>
      </c>
      <c r="N650" s="1" t="s">
        <v>6328</v>
      </c>
      <c r="P650" s="1" t="s">
        <v>8067</v>
      </c>
      <c r="Q650" s="3">
        <v>0</v>
      </c>
      <c r="R650" s="23" t="s">
        <v>6854</v>
      </c>
      <c r="S650" s="23" t="s">
        <v>6849</v>
      </c>
      <c r="T650" s="23" t="s">
        <v>4864</v>
      </c>
      <c r="U650" s="3">
        <v>35</v>
      </c>
      <c r="V650" s="3" t="s">
        <v>7937</v>
      </c>
      <c r="W650" s="45" t="str">
        <f>HYPERLINK("http://ictvonline.org/taxonomy/p/taxonomy-history?taxnode_id=201908184","ICTVonline=201908184")</f>
        <v>ICTVonline=201908184</v>
      </c>
      <c r="Y650" s="1" t="s">
        <v>8068</v>
      </c>
      <c r="AA650" s="1">
        <v>201900000</v>
      </c>
      <c r="AB650" s="1">
        <v>35</v>
      </c>
    </row>
    <row r="651" spans="1:28" x14ac:dyDescent="0.2">
      <c r="A651" s="1">
        <v>1753</v>
      </c>
      <c r="B651" s="1" t="s">
        <v>6850</v>
      </c>
      <c r="D651" s="1" t="s">
        <v>6851</v>
      </c>
      <c r="F651" s="1" t="s">
        <v>6914</v>
      </c>
      <c r="H651" s="1" t="s">
        <v>6915</v>
      </c>
      <c r="J651" s="1" t="s">
        <v>1324</v>
      </c>
      <c r="L651" s="1" t="s">
        <v>7933</v>
      </c>
      <c r="N651" s="1" t="s">
        <v>6328</v>
      </c>
      <c r="P651" s="1" t="s">
        <v>8069</v>
      </c>
      <c r="Q651" s="3">
        <v>0</v>
      </c>
      <c r="R651" s="23" t="s">
        <v>6854</v>
      </c>
      <c r="S651" s="23" t="s">
        <v>6849</v>
      </c>
      <c r="T651" s="23" t="s">
        <v>4864</v>
      </c>
      <c r="U651" s="3">
        <v>35</v>
      </c>
      <c r="V651" s="3" t="s">
        <v>7937</v>
      </c>
      <c r="W651" s="45" t="str">
        <f>HYPERLINK("http://ictvonline.org/taxonomy/p/taxonomy-history?taxnode_id=201908175","ICTVonline=201908175")</f>
        <v>ICTVonline=201908175</v>
      </c>
      <c r="Y651" s="1" t="s">
        <v>8070</v>
      </c>
      <c r="AA651" s="1">
        <v>201900000</v>
      </c>
      <c r="AB651" s="1">
        <v>35</v>
      </c>
    </row>
    <row r="652" spans="1:28" x14ac:dyDescent="0.2">
      <c r="A652" s="1">
        <v>1755</v>
      </c>
      <c r="B652" s="1" t="s">
        <v>6850</v>
      </c>
      <c r="D652" s="1" t="s">
        <v>6851</v>
      </c>
      <c r="F652" s="1" t="s">
        <v>6914</v>
      </c>
      <c r="H652" s="1" t="s">
        <v>6915</v>
      </c>
      <c r="J652" s="1" t="s">
        <v>1324</v>
      </c>
      <c r="L652" s="1" t="s">
        <v>7933</v>
      </c>
      <c r="N652" s="1" t="s">
        <v>6328</v>
      </c>
      <c r="P652" s="1" t="s">
        <v>8071</v>
      </c>
      <c r="Q652" s="3">
        <v>0</v>
      </c>
      <c r="R652" s="23" t="s">
        <v>6854</v>
      </c>
      <c r="S652" s="23" t="s">
        <v>6849</v>
      </c>
      <c r="T652" s="23" t="s">
        <v>4864</v>
      </c>
      <c r="U652" s="3">
        <v>35</v>
      </c>
      <c r="V652" s="3" t="s">
        <v>7937</v>
      </c>
      <c r="W652" s="45" t="str">
        <f>HYPERLINK("http://ictvonline.org/taxonomy/p/taxonomy-history?taxnode_id=201908182","ICTVonline=201908182")</f>
        <v>ICTVonline=201908182</v>
      </c>
      <c r="Y652" s="1" t="s">
        <v>8072</v>
      </c>
      <c r="AA652" s="1">
        <v>201900000</v>
      </c>
      <c r="AB652" s="1">
        <v>35</v>
      </c>
    </row>
    <row r="653" spans="1:28" x14ac:dyDescent="0.2">
      <c r="A653" s="1">
        <v>1757</v>
      </c>
      <c r="B653" s="1" t="s">
        <v>6850</v>
      </c>
      <c r="D653" s="1" t="s">
        <v>6851</v>
      </c>
      <c r="F653" s="1" t="s">
        <v>6914</v>
      </c>
      <c r="H653" s="1" t="s">
        <v>6915</v>
      </c>
      <c r="J653" s="1" t="s">
        <v>1324</v>
      </c>
      <c r="L653" s="1" t="s">
        <v>7933</v>
      </c>
      <c r="N653" s="1" t="s">
        <v>6328</v>
      </c>
      <c r="P653" s="1" t="s">
        <v>8073</v>
      </c>
      <c r="Q653" s="3">
        <v>0</v>
      </c>
      <c r="R653" s="23" t="s">
        <v>6854</v>
      </c>
      <c r="S653" s="23" t="s">
        <v>6849</v>
      </c>
      <c r="T653" s="23" t="s">
        <v>4864</v>
      </c>
      <c r="U653" s="3">
        <v>35</v>
      </c>
      <c r="V653" s="3" t="s">
        <v>7937</v>
      </c>
      <c r="W653" s="45" t="str">
        <f>HYPERLINK("http://ictvonline.org/taxonomy/p/taxonomy-history?taxnode_id=201908181","ICTVonline=201908181")</f>
        <v>ICTVonline=201908181</v>
      </c>
      <c r="Y653" s="1" t="s">
        <v>8074</v>
      </c>
      <c r="AA653" s="1">
        <v>201900000</v>
      </c>
      <c r="AB653" s="1">
        <v>35</v>
      </c>
    </row>
    <row r="654" spans="1:28" x14ac:dyDescent="0.2">
      <c r="A654" s="1">
        <v>1759</v>
      </c>
      <c r="B654" s="1" t="s">
        <v>6850</v>
      </c>
      <c r="D654" s="1" t="s">
        <v>6851</v>
      </c>
      <c r="F654" s="1" t="s">
        <v>6914</v>
      </c>
      <c r="H654" s="1" t="s">
        <v>6915</v>
      </c>
      <c r="J654" s="1" t="s">
        <v>1324</v>
      </c>
      <c r="L654" s="1" t="s">
        <v>7933</v>
      </c>
      <c r="N654" s="1" t="s">
        <v>6328</v>
      </c>
      <c r="P654" s="1" t="s">
        <v>8075</v>
      </c>
      <c r="Q654" s="3">
        <v>0</v>
      </c>
      <c r="R654" s="23" t="s">
        <v>6854</v>
      </c>
      <c r="S654" s="23" t="s">
        <v>6849</v>
      </c>
      <c r="T654" s="23" t="s">
        <v>4864</v>
      </c>
      <c r="U654" s="3">
        <v>35</v>
      </c>
      <c r="V654" s="3" t="s">
        <v>7937</v>
      </c>
      <c r="W654" s="45" t="str">
        <f>HYPERLINK("http://ictvonline.org/taxonomy/p/taxonomy-history?taxnode_id=201908178","ICTVonline=201908178")</f>
        <v>ICTVonline=201908178</v>
      </c>
      <c r="Y654" s="1" t="s">
        <v>8076</v>
      </c>
      <c r="AA654" s="1">
        <v>201900000</v>
      </c>
      <c r="AB654" s="1">
        <v>35</v>
      </c>
    </row>
    <row r="655" spans="1:28" x14ac:dyDescent="0.2">
      <c r="A655" s="1">
        <v>1761</v>
      </c>
      <c r="B655" s="1" t="s">
        <v>6850</v>
      </c>
      <c r="D655" s="1" t="s">
        <v>6851</v>
      </c>
      <c r="F655" s="1" t="s">
        <v>6914</v>
      </c>
      <c r="H655" s="1" t="s">
        <v>6915</v>
      </c>
      <c r="J655" s="1" t="s">
        <v>1324</v>
      </c>
      <c r="L655" s="1" t="s">
        <v>7933</v>
      </c>
      <c r="N655" s="1" t="s">
        <v>6328</v>
      </c>
      <c r="P655" s="1" t="s">
        <v>8077</v>
      </c>
      <c r="Q655" s="3">
        <v>0</v>
      </c>
      <c r="R655" s="23" t="s">
        <v>6854</v>
      </c>
      <c r="S655" s="23" t="s">
        <v>6849</v>
      </c>
      <c r="T655" s="23" t="s">
        <v>4864</v>
      </c>
      <c r="U655" s="3">
        <v>35</v>
      </c>
      <c r="V655" s="3" t="s">
        <v>7937</v>
      </c>
      <c r="W655" s="45" t="str">
        <f>HYPERLINK("http://ictvonline.org/taxonomy/p/taxonomy-history?taxnode_id=201908179","ICTVonline=201908179")</f>
        <v>ICTVonline=201908179</v>
      </c>
      <c r="Y655" s="1" t="s">
        <v>8078</v>
      </c>
      <c r="AA655" s="1">
        <v>201900000</v>
      </c>
      <c r="AB655" s="1">
        <v>35</v>
      </c>
    </row>
    <row r="656" spans="1:28" x14ac:dyDescent="0.2">
      <c r="A656" s="1">
        <v>1763</v>
      </c>
      <c r="B656" s="1" t="s">
        <v>6850</v>
      </c>
      <c r="D656" s="1" t="s">
        <v>6851</v>
      </c>
      <c r="F656" s="1" t="s">
        <v>6914</v>
      </c>
      <c r="H656" s="1" t="s">
        <v>6915</v>
      </c>
      <c r="J656" s="1" t="s">
        <v>1324</v>
      </c>
      <c r="L656" s="1" t="s">
        <v>7933</v>
      </c>
      <c r="N656" s="1" t="s">
        <v>6328</v>
      </c>
      <c r="P656" s="1" t="s">
        <v>4289</v>
      </c>
      <c r="Q656" s="3">
        <v>0</v>
      </c>
      <c r="R656" s="23" t="s">
        <v>6854</v>
      </c>
      <c r="S656" s="23" t="s">
        <v>6845</v>
      </c>
      <c r="T656" s="23" t="s">
        <v>4866</v>
      </c>
      <c r="U656" s="3">
        <v>35</v>
      </c>
      <c r="W656" s="45" t="str">
        <f>HYPERLINK("http://ictvonline.org/taxonomy/p/taxonomy-history?taxnode_id=201900809","ICTVonline=201900809")</f>
        <v>ICTVonline=201900809</v>
      </c>
      <c r="Y656" s="1" t="s">
        <v>8079</v>
      </c>
      <c r="Z656" s="1" t="s">
        <v>8080</v>
      </c>
      <c r="AA656" s="1">
        <v>201900000</v>
      </c>
      <c r="AB656" s="1">
        <v>35</v>
      </c>
    </row>
    <row r="657" spans="1:28" x14ac:dyDescent="0.2">
      <c r="A657" s="1">
        <v>1765</v>
      </c>
      <c r="B657" s="1" t="s">
        <v>6850</v>
      </c>
      <c r="D657" s="1" t="s">
        <v>6851</v>
      </c>
      <c r="F657" s="1" t="s">
        <v>6914</v>
      </c>
      <c r="H657" s="1" t="s">
        <v>6915</v>
      </c>
      <c r="J657" s="1" t="s">
        <v>1324</v>
      </c>
      <c r="L657" s="1" t="s">
        <v>7933</v>
      </c>
      <c r="N657" s="1" t="s">
        <v>6328</v>
      </c>
      <c r="P657" s="1" t="s">
        <v>4290</v>
      </c>
      <c r="Q657" s="3">
        <v>0</v>
      </c>
      <c r="R657" s="23" t="s">
        <v>6854</v>
      </c>
      <c r="S657" s="23" t="s">
        <v>6845</v>
      </c>
      <c r="T657" s="23" t="s">
        <v>4866</v>
      </c>
      <c r="U657" s="3">
        <v>35</v>
      </c>
      <c r="W657" s="45" t="str">
        <f>HYPERLINK("http://ictvonline.org/taxonomy/p/taxonomy-history?taxnode_id=201900810","ICTVonline=201900810")</f>
        <v>ICTVonline=201900810</v>
      </c>
      <c r="Y657" s="1" t="s">
        <v>8081</v>
      </c>
      <c r="Z657" s="1" t="s">
        <v>8082</v>
      </c>
      <c r="AA657" s="1">
        <v>201900000</v>
      </c>
      <c r="AB657" s="1">
        <v>35</v>
      </c>
    </row>
    <row r="658" spans="1:28" x14ac:dyDescent="0.2">
      <c r="A658" s="1">
        <v>1767</v>
      </c>
      <c r="B658" s="1" t="s">
        <v>6850</v>
      </c>
      <c r="D658" s="1" t="s">
        <v>6851</v>
      </c>
      <c r="F658" s="1" t="s">
        <v>6914</v>
      </c>
      <c r="H658" s="1" t="s">
        <v>6915</v>
      </c>
      <c r="J658" s="1" t="s">
        <v>1324</v>
      </c>
      <c r="L658" s="1" t="s">
        <v>7933</v>
      </c>
      <c r="N658" s="1" t="s">
        <v>6328</v>
      </c>
      <c r="P658" s="1" t="s">
        <v>8083</v>
      </c>
      <c r="Q658" s="3">
        <v>0</v>
      </c>
      <c r="R658" s="23" t="s">
        <v>6854</v>
      </c>
      <c r="S658" s="23" t="s">
        <v>6849</v>
      </c>
      <c r="T658" s="23" t="s">
        <v>4864</v>
      </c>
      <c r="U658" s="3">
        <v>35</v>
      </c>
      <c r="V658" s="3" t="s">
        <v>7937</v>
      </c>
      <c r="W658" s="45" t="str">
        <f>HYPERLINK("http://ictvonline.org/taxonomy/p/taxonomy-history?taxnode_id=201908180","ICTVonline=201908180")</f>
        <v>ICTVonline=201908180</v>
      </c>
      <c r="Y658" s="1" t="s">
        <v>8084</v>
      </c>
      <c r="AA658" s="1">
        <v>201900000</v>
      </c>
      <c r="AB658" s="1">
        <v>35</v>
      </c>
    </row>
    <row r="659" spans="1:28" x14ac:dyDescent="0.2">
      <c r="A659" s="1">
        <v>1769</v>
      </c>
      <c r="B659" s="1" t="s">
        <v>6850</v>
      </c>
      <c r="D659" s="1" t="s">
        <v>6851</v>
      </c>
      <c r="F659" s="1" t="s">
        <v>6914</v>
      </c>
      <c r="H659" s="1" t="s">
        <v>6915</v>
      </c>
      <c r="J659" s="1" t="s">
        <v>1324</v>
      </c>
      <c r="L659" s="1" t="s">
        <v>7933</v>
      </c>
      <c r="N659" s="1" t="s">
        <v>6328</v>
      </c>
      <c r="P659" s="1" t="s">
        <v>8085</v>
      </c>
      <c r="Q659" s="3">
        <v>0</v>
      </c>
      <c r="R659" s="23" t="s">
        <v>6854</v>
      </c>
      <c r="S659" s="23" t="s">
        <v>6849</v>
      </c>
      <c r="T659" s="23" t="s">
        <v>4864</v>
      </c>
      <c r="U659" s="3">
        <v>35</v>
      </c>
      <c r="V659" s="3" t="s">
        <v>7937</v>
      </c>
      <c r="W659" s="45" t="str">
        <f>HYPERLINK("http://ictvonline.org/taxonomy/p/taxonomy-history?taxnode_id=201908177","ICTVonline=201908177")</f>
        <v>ICTVonline=201908177</v>
      </c>
      <c r="Y659" s="1" t="s">
        <v>8086</v>
      </c>
      <c r="AA659" s="1">
        <v>201900000</v>
      </c>
      <c r="AB659" s="1">
        <v>35</v>
      </c>
    </row>
    <row r="660" spans="1:28" x14ac:dyDescent="0.2">
      <c r="A660" s="1">
        <v>1776</v>
      </c>
      <c r="B660" s="1" t="s">
        <v>6850</v>
      </c>
      <c r="D660" s="1" t="s">
        <v>6851</v>
      </c>
      <c r="F660" s="1" t="s">
        <v>6914</v>
      </c>
      <c r="H660" s="1" t="s">
        <v>6915</v>
      </c>
      <c r="J660" s="1" t="s">
        <v>1324</v>
      </c>
      <c r="L660" s="1" t="s">
        <v>6018</v>
      </c>
      <c r="M660" s="1" t="s">
        <v>6019</v>
      </c>
      <c r="N660" s="1" t="s">
        <v>2822</v>
      </c>
      <c r="P660" s="1" t="s">
        <v>2823</v>
      </c>
      <c r="Q660" s="3">
        <v>1</v>
      </c>
      <c r="R660" s="23" t="s">
        <v>6854</v>
      </c>
      <c r="S660" s="23" t="s">
        <v>6845</v>
      </c>
      <c r="T660" s="23" t="s">
        <v>4866</v>
      </c>
      <c r="U660" s="3">
        <v>35</v>
      </c>
      <c r="W660" s="45" t="str">
        <f>HYPERLINK("http://ictvonline.org/taxonomy/p/taxonomy-history?taxnode_id=201900367","ICTVonline=201900367")</f>
        <v>ICTVonline=201900367</v>
      </c>
      <c r="Y660" s="1" t="s">
        <v>8087</v>
      </c>
      <c r="Z660" s="1" t="s">
        <v>8088</v>
      </c>
      <c r="AA660" s="1">
        <v>201900000</v>
      </c>
      <c r="AB660" s="1">
        <v>35</v>
      </c>
    </row>
    <row r="661" spans="1:28" x14ac:dyDescent="0.2">
      <c r="A661" s="1">
        <v>1778</v>
      </c>
      <c r="B661" s="1" t="s">
        <v>6850</v>
      </c>
      <c r="D661" s="1" t="s">
        <v>6851</v>
      </c>
      <c r="F661" s="1" t="s">
        <v>6914</v>
      </c>
      <c r="H661" s="1" t="s">
        <v>6915</v>
      </c>
      <c r="J661" s="1" t="s">
        <v>1324</v>
      </c>
      <c r="L661" s="1" t="s">
        <v>6018</v>
      </c>
      <c r="M661" s="1" t="s">
        <v>6019</v>
      </c>
      <c r="N661" s="1" t="s">
        <v>2822</v>
      </c>
      <c r="P661" s="1" t="s">
        <v>2824</v>
      </c>
      <c r="Q661" s="3">
        <v>0</v>
      </c>
      <c r="R661" s="23" t="s">
        <v>6854</v>
      </c>
      <c r="S661" s="23" t="s">
        <v>6845</v>
      </c>
      <c r="T661" s="23" t="s">
        <v>4866</v>
      </c>
      <c r="U661" s="3">
        <v>35</v>
      </c>
      <c r="W661" s="45" t="str">
        <f>HYPERLINK("http://ictvonline.org/taxonomy/p/taxonomy-history?taxnode_id=201900368","ICTVonline=201900368")</f>
        <v>ICTVonline=201900368</v>
      </c>
      <c r="Y661" s="1" t="s">
        <v>8089</v>
      </c>
      <c r="Z661" s="1" t="s">
        <v>8090</v>
      </c>
      <c r="AA661" s="1">
        <v>201900000</v>
      </c>
      <c r="AB661" s="1">
        <v>35</v>
      </c>
    </row>
    <row r="662" spans="1:28" x14ac:dyDescent="0.2">
      <c r="A662" s="1">
        <v>1780</v>
      </c>
      <c r="B662" s="1" t="s">
        <v>6850</v>
      </c>
      <c r="D662" s="1" t="s">
        <v>6851</v>
      </c>
      <c r="F662" s="1" t="s">
        <v>6914</v>
      </c>
      <c r="H662" s="1" t="s">
        <v>6915</v>
      </c>
      <c r="J662" s="1" t="s">
        <v>1324</v>
      </c>
      <c r="L662" s="1" t="s">
        <v>6018</v>
      </c>
      <c r="M662" s="1" t="s">
        <v>6019</v>
      </c>
      <c r="N662" s="1" t="s">
        <v>2822</v>
      </c>
      <c r="P662" s="1" t="s">
        <v>2825</v>
      </c>
      <c r="Q662" s="3">
        <v>0</v>
      </c>
      <c r="R662" s="23" t="s">
        <v>6854</v>
      </c>
      <c r="S662" s="23" t="s">
        <v>6845</v>
      </c>
      <c r="T662" s="23" t="s">
        <v>4866</v>
      </c>
      <c r="U662" s="3">
        <v>35</v>
      </c>
      <c r="W662" s="45" t="str">
        <f>HYPERLINK("http://ictvonline.org/taxonomy/p/taxonomy-history?taxnode_id=201900369","ICTVonline=201900369")</f>
        <v>ICTVonline=201900369</v>
      </c>
      <c r="Y662" s="1" t="s">
        <v>8091</v>
      </c>
      <c r="Z662" s="1" t="s">
        <v>8092</v>
      </c>
      <c r="AA662" s="1">
        <v>201900000</v>
      </c>
      <c r="AB662" s="1">
        <v>35</v>
      </c>
    </row>
    <row r="663" spans="1:28" x14ac:dyDescent="0.2">
      <c r="A663" s="1">
        <v>1784</v>
      </c>
      <c r="B663" s="1" t="s">
        <v>6850</v>
      </c>
      <c r="D663" s="1" t="s">
        <v>6851</v>
      </c>
      <c r="F663" s="1" t="s">
        <v>6914</v>
      </c>
      <c r="H663" s="1" t="s">
        <v>6915</v>
      </c>
      <c r="J663" s="1" t="s">
        <v>1324</v>
      </c>
      <c r="L663" s="1" t="s">
        <v>6018</v>
      </c>
      <c r="M663" s="1" t="s">
        <v>6019</v>
      </c>
      <c r="N663" s="1" t="s">
        <v>2835</v>
      </c>
      <c r="P663" s="1" t="s">
        <v>2836</v>
      </c>
      <c r="Q663" s="3">
        <v>1</v>
      </c>
      <c r="R663" s="23" t="s">
        <v>6854</v>
      </c>
      <c r="S663" s="23" t="s">
        <v>6845</v>
      </c>
      <c r="T663" s="23" t="s">
        <v>4866</v>
      </c>
      <c r="U663" s="3">
        <v>35</v>
      </c>
      <c r="W663" s="45" t="str">
        <f>HYPERLINK("http://ictvonline.org/taxonomy/p/taxonomy-history?taxnode_id=201900392","ICTVonline=201900392")</f>
        <v>ICTVonline=201900392</v>
      </c>
      <c r="Y663" s="1" t="s">
        <v>8093</v>
      </c>
      <c r="Z663" s="1" t="s">
        <v>8094</v>
      </c>
      <c r="AA663" s="1">
        <v>201900000</v>
      </c>
      <c r="AB663" s="1">
        <v>35</v>
      </c>
    </row>
    <row r="664" spans="1:28" x14ac:dyDescent="0.2">
      <c r="A664" s="1">
        <v>1786</v>
      </c>
      <c r="B664" s="1" t="s">
        <v>6850</v>
      </c>
      <c r="D664" s="1" t="s">
        <v>6851</v>
      </c>
      <c r="F664" s="1" t="s">
        <v>6914</v>
      </c>
      <c r="H664" s="1" t="s">
        <v>6915</v>
      </c>
      <c r="J664" s="1" t="s">
        <v>1324</v>
      </c>
      <c r="L664" s="1" t="s">
        <v>6018</v>
      </c>
      <c r="M664" s="1" t="s">
        <v>6019</v>
      </c>
      <c r="N664" s="1" t="s">
        <v>2835</v>
      </c>
      <c r="P664" s="1" t="s">
        <v>2837</v>
      </c>
      <c r="Q664" s="3">
        <v>0</v>
      </c>
      <c r="R664" s="23" t="s">
        <v>6854</v>
      </c>
      <c r="S664" s="23" t="s">
        <v>6845</v>
      </c>
      <c r="T664" s="23" t="s">
        <v>4866</v>
      </c>
      <c r="U664" s="3">
        <v>35</v>
      </c>
      <c r="W664" s="45" t="str">
        <f>HYPERLINK("http://ictvonline.org/taxonomy/p/taxonomy-history?taxnode_id=201900393","ICTVonline=201900393")</f>
        <v>ICTVonline=201900393</v>
      </c>
      <c r="Y664" s="1" t="s">
        <v>8095</v>
      </c>
      <c r="Z664" s="1" t="s">
        <v>8096</v>
      </c>
      <c r="AA664" s="1">
        <v>201900000</v>
      </c>
      <c r="AB664" s="1">
        <v>35</v>
      </c>
    </row>
    <row r="665" spans="1:28" x14ac:dyDescent="0.2">
      <c r="A665" s="1">
        <v>1788</v>
      </c>
      <c r="B665" s="1" t="s">
        <v>6850</v>
      </c>
      <c r="D665" s="1" t="s">
        <v>6851</v>
      </c>
      <c r="F665" s="1" t="s">
        <v>6914</v>
      </c>
      <c r="H665" s="1" t="s">
        <v>6915</v>
      </c>
      <c r="J665" s="1" t="s">
        <v>1324</v>
      </c>
      <c r="L665" s="1" t="s">
        <v>6018</v>
      </c>
      <c r="M665" s="1" t="s">
        <v>6019</v>
      </c>
      <c r="N665" s="1" t="s">
        <v>2835</v>
      </c>
      <c r="P665" s="1" t="s">
        <v>6020</v>
      </c>
      <c r="Q665" s="3">
        <v>0</v>
      </c>
      <c r="R665" s="23" t="s">
        <v>6854</v>
      </c>
      <c r="S665" s="23" t="s">
        <v>6845</v>
      </c>
      <c r="T665" s="23" t="s">
        <v>4866</v>
      </c>
      <c r="U665" s="3">
        <v>35</v>
      </c>
      <c r="W665" s="45" t="str">
        <f>HYPERLINK("http://ictvonline.org/taxonomy/p/taxonomy-history?taxnode_id=201906960","ICTVonline=201906960")</f>
        <v>ICTVonline=201906960</v>
      </c>
      <c r="Y665" s="1" t="s">
        <v>8097</v>
      </c>
      <c r="Z665" s="1" t="s">
        <v>8098</v>
      </c>
      <c r="AA665" s="1">
        <v>201900000</v>
      </c>
      <c r="AB665" s="1">
        <v>35</v>
      </c>
    </row>
    <row r="666" spans="1:28" x14ac:dyDescent="0.2">
      <c r="A666" s="1">
        <v>1790</v>
      </c>
      <c r="B666" s="1" t="s">
        <v>6850</v>
      </c>
      <c r="D666" s="1" t="s">
        <v>6851</v>
      </c>
      <c r="F666" s="1" t="s">
        <v>6914</v>
      </c>
      <c r="H666" s="1" t="s">
        <v>6915</v>
      </c>
      <c r="J666" s="1" t="s">
        <v>1324</v>
      </c>
      <c r="L666" s="1" t="s">
        <v>6018</v>
      </c>
      <c r="M666" s="1" t="s">
        <v>6019</v>
      </c>
      <c r="N666" s="1" t="s">
        <v>2835</v>
      </c>
      <c r="P666" s="1" t="s">
        <v>6021</v>
      </c>
      <c r="Q666" s="3">
        <v>0</v>
      </c>
      <c r="R666" s="23" t="s">
        <v>6854</v>
      </c>
      <c r="S666" s="23" t="s">
        <v>6845</v>
      </c>
      <c r="T666" s="23" t="s">
        <v>4866</v>
      </c>
      <c r="U666" s="3">
        <v>35</v>
      </c>
      <c r="W666" s="45" t="str">
        <f>HYPERLINK("http://ictvonline.org/taxonomy/p/taxonomy-history?taxnode_id=201906961","ICTVonline=201906961")</f>
        <v>ICTVonline=201906961</v>
      </c>
      <c r="Y666" s="1" t="s">
        <v>8099</v>
      </c>
      <c r="Z666" s="1" t="s">
        <v>8100</v>
      </c>
      <c r="AA666" s="1">
        <v>201900000</v>
      </c>
      <c r="AB666" s="1">
        <v>35</v>
      </c>
    </row>
    <row r="667" spans="1:28" x14ac:dyDescent="0.2">
      <c r="A667" s="1">
        <v>1794</v>
      </c>
      <c r="B667" s="1" t="s">
        <v>6850</v>
      </c>
      <c r="D667" s="1" t="s">
        <v>6851</v>
      </c>
      <c r="F667" s="1" t="s">
        <v>6914</v>
      </c>
      <c r="H667" s="1" t="s">
        <v>6915</v>
      </c>
      <c r="J667" s="1" t="s">
        <v>1324</v>
      </c>
      <c r="L667" s="1" t="s">
        <v>6018</v>
      </c>
      <c r="M667" s="1" t="s">
        <v>6019</v>
      </c>
      <c r="N667" s="1" t="s">
        <v>6122</v>
      </c>
      <c r="P667" s="1" t="s">
        <v>4170</v>
      </c>
      <c r="Q667" s="3">
        <v>0</v>
      </c>
      <c r="R667" s="23" t="s">
        <v>6854</v>
      </c>
      <c r="S667" s="23" t="s">
        <v>6845</v>
      </c>
      <c r="T667" s="23" t="s">
        <v>4866</v>
      </c>
      <c r="U667" s="3">
        <v>35</v>
      </c>
      <c r="W667" s="45" t="str">
        <f>HYPERLINK("http://ictvonline.org/taxonomy/p/taxonomy-history?taxnode_id=201900385","ICTVonline=201900385")</f>
        <v>ICTVonline=201900385</v>
      </c>
      <c r="Y667" s="1" t="s">
        <v>8101</v>
      </c>
      <c r="Z667" s="1" t="s">
        <v>8102</v>
      </c>
      <c r="AA667" s="1">
        <v>201900000</v>
      </c>
      <c r="AB667" s="1">
        <v>35</v>
      </c>
    </row>
    <row r="668" spans="1:28" x14ac:dyDescent="0.2">
      <c r="A668" s="1">
        <v>1796</v>
      </c>
      <c r="B668" s="1" t="s">
        <v>6850</v>
      </c>
      <c r="D668" s="1" t="s">
        <v>6851</v>
      </c>
      <c r="F668" s="1" t="s">
        <v>6914</v>
      </c>
      <c r="H668" s="1" t="s">
        <v>6915</v>
      </c>
      <c r="J668" s="1" t="s">
        <v>1324</v>
      </c>
      <c r="L668" s="1" t="s">
        <v>6018</v>
      </c>
      <c r="M668" s="1" t="s">
        <v>6019</v>
      </c>
      <c r="N668" s="1" t="s">
        <v>6122</v>
      </c>
      <c r="P668" s="1" t="s">
        <v>2830</v>
      </c>
      <c r="Q668" s="3">
        <v>1</v>
      </c>
      <c r="R668" s="23" t="s">
        <v>6854</v>
      </c>
      <c r="S668" s="23" t="s">
        <v>6845</v>
      </c>
      <c r="T668" s="23" t="s">
        <v>4866</v>
      </c>
      <c r="U668" s="3">
        <v>35</v>
      </c>
      <c r="W668" s="45" t="str">
        <f>HYPERLINK("http://ictvonline.org/taxonomy/p/taxonomy-history?taxnode_id=201900386","ICTVonline=201900386")</f>
        <v>ICTVonline=201900386</v>
      </c>
      <c r="Y668" s="1" t="s">
        <v>8103</v>
      </c>
      <c r="Z668" s="1" t="s">
        <v>8104</v>
      </c>
      <c r="AA668" s="1">
        <v>201900000</v>
      </c>
      <c r="AB668" s="1">
        <v>35</v>
      </c>
    </row>
    <row r="669" spans="1:28" x14ac:dyDescent="0.2">
      <c r="A669" s="1">
        <v>1798</v>
      </c>
      <c r="B669" s="1" t="s">
        <v>6850</v>
      </c>
      <c r="D669" s="1" t="s">
        <v>6851</v>
      </c>
      <c r="F669" s="1" t="s">
        <v>6914</v>
      </c>
      <c r="H669" s="1" t="s">
        <v>6915</v>
      </c>
      <c r="J669" s="1" t="s">
        <v>1324</v>
      </c>
      <c r="L669" s="1" t="s">
        <v>6018</v>
      </c>
      <c r="M669" s="1" t="s">
        <v>6019</v>
      </c>
      <c r="N669" s="1" t="s">
        <v>6122</v>
      </c>
      <c r="P669" s="1" t="s">
        <v>2831</v>
      </c>
      <c r="Q669" s="3">
        <v>0</v>
      </c>
      <c r="R669" s="23" t="s">
        <v>6854</v>
      </c>
      <c r="S669" s="23" t="s">
        <v>6845</v>
      </c>
      <c r="T669" s="23" t="s">
        <v>4866</v>
      </c>
      <c r="U669" s="3">
        <v>35</v>
      </c>
      <c r="W669" s="45" t="str">
        <f>HYPERLINK("http://ictvonline.org/taxonomy/p/taxonomy-history?taxnode_id=201900387","ICTVonline=201900387")</f>
        <v>ICTVonline=201900387</v>
      </c>
      <c r="Y669" s="1" t="s">
        <v>8105</v>
      </c>
      <c r="Z669" s="1" t="s">
        <v>8106</v>
      </c>
      <c r="AA669" s="1">
        <v>201900000</v>
      </c>
      <c r="AB669" s="1">
        <v>35</v>
      </c>
    </row>
    <row r="670" spans="1:28" x14ac:dyDescent="0.2">
      <c r="A670" s="1">
        <v>1800</v>
      </c>
      <c r="B670" s="1" t="s">
        <v>6850</v>
      </c>
      <c r="D670" s="1" t="s">
        <v>6851</v>
      </c>
      <c r="F670" s="1" t="s">
        <v>6914</v>
      </c>
      <c r="H670" s="1" t="s">
        <v>6915</v>
      </c>
      <c r="J670" s="1" t="s">
        <v>1324</v>
      </c>
      <c r="L670" s="1" t="s">
        <v>6018</v>
      </c>
      <c r="M670" s="1" t="s">
        <v>6019</v>
      </c>
      <c r="N670" s="1" t="s">
        <v>6122</v>
      </c>
      <c r="P670" s="1" t="s">
        <v>2832</v>
      </c>
      <c r="Q670" s="3">
        <v>0</v>
      </c>
      <c r="R670" s="23" t="s">
        <v>6854</v>
      </c>
      <c r="S670" s="23" t="s">
        <v>6845</v>
      </c>
      <c r="T670" s="23" t="s">
        <v>4866</v>
      </c>
      <c r="U670" s="3">
        <v>35</v>
      </c>
      <c r="W670" s="45" t="str">
        <f>HYPERLINK("http://ictvonline.org/taxonomy/p/taxonomy-history?taxnode_id=201900388","ICTVonline=201900388")</f>
        <v>ICTVonline=201900388</v>
      </c>
      <c r="Y670" s="1" t="s">
        <v>8107</v>
      </c>
      <c r="Z670" s="1" t="s">
        <v>8108</v>
      </c>
      <c r="AA670" s="1">
        <v>201900000</v>
      </c>
      <c r="AB670" s="1">
        <v>35</v>
      </c>
    </row>
    <row r="671" spans="1:28" x14ac:dyDescent="0.2">
      <c r="A671" s="1">
        <v>1802</v>
      </c>
      <c r="B671" s="1" t="s">
        <v>6850</v>
      </c>
      <c r="D671" s="1" t="s">
        <v>6851</v>
      </c>
      <c r="F671" s="1" t="s">
        <v>6914</v>
      </c>
      <c r="H671" s="1" t="s">
        <v>6915</v>
      </c>
      <c r="J671" s="1" t="s">
        <v>1324</v>
      </c>
      <c r="L671" s="1" t="s">
        <v>6018</v>
      </c>
      <c r="M671" s="1" t="s">
        <v>6019</v>
      </c>
      <c r="N671" s="1" t="s">
        <v>6122</v>
      </c>
      <c r="P671" s="1" t="s">
        <v>2833</v>
      </c>
      <c r="Q671" s="3">
        <v>0</v>
      </c>
      <c r="R671" s="23" t="s">
        <v>6854</v>
      </c>
      <c r="S671" s="23" t="s">
        <v>6845</v>
      </c>
      <c r="T671" s="23" t="s">
        <v>4866</v>
      </c>
      <c r="U671" s="3">
        <v>35</v>
      </c>
      <c r="W671" s="45" t="str">
        <f>HYPERLINK("http://ictvonline.org/taxonomy/p/taxonomy-history?taxnode_id=201900389","ICTVonline=201900389")</f>
        <v>ICTVonline=201900389</v>
      </c>
      <c r="Y671" s="1" t="s">
        <v>8109</v>
      </c>
      <c r="Z671" s="1" t="s">
        <v>8110</v>
      </c>
      <c r="AA671" s="1">
        <v>201900000</v>
      </c>
      <c r="AB671" s="1">
        <v>35</v>
      </c>
    </row>
    <row r="672" spans="1:28" x14ac:dyDescent="0.2">
      <c r="A672" s="1">
        <v>1804</v>
      </c>
      <c r="B672" s="1" t="s">
        <v>6850</v>
      </c>
      <c r="D672" s="1" t="s">
        <v>6851</v>
      </c>
      <c r="F672" s="1" t="s">
        <v>6914</v>
      </c>
      <c r="H672" s="1" t="s">
        <v>6915</v>
      </c>
      <c r="J672" s="1" t="s">
        <v>1324</v>
      </c>
      <c r="L672" s="1" t="s">
        <v>6018</v>
      </c>
      <c r="M672" s="1" t="s">
        <v>6019</v>
      </c>
      <c r="N672" s="1" t="s">
        <v>6122</v>
      </c>
      <c r="P672" s="1" t="s">
        <v>2834</v>
      </c>
      <c r="Q672" s="3">
        <v>0</v>
      </c>
      <c r="R672" s="23" t="s">
        <v>6854</v>
      </c>
      <c r="S672" s="23" t="s">
        <v>6845</v>
      </c>
      <c r="T672" s="23" t="s">
        <v>4866</v>
      </c>
      <c r="U672" s="3">
        <v>35</v>
      </c>
      <c r="W672" s="45" t="str">
        <f>HYPERLINK("http://ictvonline.org/taxonomy/p/taxonomy-history?taxnode_id=201900390","ICTVonline=201900390")</f>
        <v>ICTVonline=201900390</v>
      </c>
      <c r="Y672" s="1" t="s">
        <v>8111</v>
      </c>
      <c r="Z672" s="1" t="s">
        <v>8112</v>
      </c>
      <c r="AA672" s="1">
        <v>201900000</v>
      </c>
      <c r="AB672" s="1">
        <v>35</v>
      </c>
    </row>
    <row r="673" spans="1:28" x14ac:dyDescent="0.2">
      <c r="A673" s="1">
        <v>1808</v>
      </c>
      <c r="B673" s="1" t="s">
        <v>6850</v>
      </c>
      <c r="D673" s="1" t="s">
        <v>6851</v>
      </c>
      <c r="F673" s="1" t="s">
        <v>6914</v>
      </c>
      <c r="H673" s="1" t="s">
        <v>6915</v>
      </c>
      <c r="J673" s="1" t="s">
        <v>1324</v>
      </c>
      <c r="L673" s="1" t="s">
        <v>6018</v>
      </c>
      <c r="M673" s="1" t="s">
        <v>6019</v>
      </c>
      <c r="N673" s="1" t="s">
        <v>6022</v>
      </c>
      <c r="P673" s="1" t="s">
        <v>2838</v>
      </c>
      <c r="Q673" s="3">
        <v>1</v>
      </c>
      <c r="R673" s="23" t="s">
        <v>6854</v>
      </c>
      <c r="S673" s="23" t="s">
        <v>6845</v>
      </c>
      <c r="T673" s="23" t="s">
        <v>4866</v>
      </c>
      <c r="U673" s="3">
        <v>35</v>
      </c>
      <c r="W673" s="45" t="str">
        <f>HYPERLINK("http://ictvonline.org/taxonomy/p/taxonomy-history?taxnode_id=201900395","ICTVonline=201900395")</f>
        <v>ICTVonline=201900395</v>
      </c>
      <c r="Y673" s="1" t="s">
        <v>8113</v>
      </c>
      <c r="Z673" s="1" t="s">
        <v>8114</v>
      </c>
      <c r="AA673" s="1">
        <v>201900000</v>
      </c>
      <c r="AB673" s="1">
        <v>35</v>
      </c>
    </row>
    <row r="674" spans="1:28" x14ac:dyDescent="0.2">
      <c r="A674" s="1">
        <v>1810</v>
      </c>
      <c r="B674" s="1" t="s">
        <v>6850</v>
      </c>
      <c r="D674" s="1" t="s">
        <v>6851</v>
      </c>
      <c r="F674" s="1" t="s">
        <v>6914</v>
      </c>
      <c r="H674" s="1" t="s">
        <v>6915</v>
      </c>
      <c r="J674" s="1" t="s">
        <v>1324</v>
      </c>
      <c r="L674" s="1" t="s">
        <v>6018</v>
      </c>
      <c r="M674" s="1" t="s">
        <v>6019</v>
      </c>
      <c r="N674" s="1" t="s">
        <v>6022</v>
      </c>
      <c r="P674" s="1" t="s">
        <v>2839</v>
      </c>
      <c r="Q674" s="3">
        <v>0</v>
      </c>
      <c r="R674" s="23" t="s">
        <v>6854</v>
      </c>
      <c r="S674" s="23" t="s">
        <v>6845</v>
      </c>
      <c r="T674" s="23" t="s">
        <v>4866</v>
      </c>
      <c r="U674" s="3">
        <v>35</v>
      </c>
      <c r="W674" s="45" t="str">
        <f>HYPERLINK("http://ictvonline.org/taxonomy/p/taxonomy-history?taxnode_id=201900396","ICTVonline=201900396")</f>
        <v>ICTVonline=201900396</v>
      </c>
      <c r="Y674" s="1" t="s">
        <v>8115</v>
      </c>
      <c r="Z674" s="1" t="s">
        <v>8116</v>
      </c>
      <c r="AA674" s="1">
        <v>201900000</v>
      </c>
      <c r="AB674" s="1">
        <v>35</v>
      </c>
    </row>
    <row r="675" spans="1:28" x14ac:dyDescent="0.2">
      <c r="A675" s="1">
        <v>1812</v>
      </c>
      <c r="B675" s="1" t="s">
        <v>6850</v>
      </c>
      <c r="D675" s="1" t="s">
        <v>6851</v>
      </c>
      <c r="F675" s="1" t="s">
        <v>6914</v>
      </c>
      <c r="H675" s="1" t="s">
        <v>6915</v>
      </c>
      <c r="J675" s="1" t="s">
        <v>1324</v>
      </c>
      <c r="L675" s="1" t="s">
        <v>6018</v>
      </c>
      <c r="M675" s="1" t="s">
        <v>6019</v>
      </c>
      <c r="N675" s="1" t="s">
        <v>6022</v>
      </c>
      <c r="P675" s="1" t="s">
        <v>2840</v>
      </c>
      <c r="Q675" s="3">
        <v>0</v>
      </c>
      <c r="R675" s="23" t="s">
        <v>6854</v>
      </c>
      <c r="S675" s="23" t="s">
        <v>6845</v>
      </c>
      <c r="T675" s="23" t="s">
        <v>4866</v>
      </c>
      <c r="U675" s="3">
        <v>35</v>
      </c>
      <c r="W675" s="45" t="str">
        <f>HYPERLINK("http://ictvonline.org/taxonomy/p/taxonomy-history?taxnode_id=201900397","ICTVonline=201900397")</f>
        <v>ICTVonline=201900397</v>
      </c>
      <c r="Y675" s="1" t="s">
        <v>8117</v>
      </c>
      <c r="Z675" s="1" t="s">
        <v>8118</v>
      </c>
      <c r="AA675" s="1">
        <v>201900000</v>
      </c>
      <c r="AB675" s="1">
        <v>35</v>
      </c>
    </row>
    <row r="676" spans="1:28" x14ac:dyDescent="0.2">
      <c r="A676" s="1">
        <v>1814</v>
      </c>
      <c r="B676" s="1" t="s">
        <v>6850</v>
      </c>
      <c r="D676" s="1" t="s">
        <v>6851</v>
      </c>
      <c r="F676" s="1" t="s">
        <v>6914</v>
      </c>
      <c r="H676" s="1" t="s">
        <v>6915</v>
      </c>
      <c r="J676" s="1" t="s">
        <v>1324</v>
      </c>
      <c r="L676" s="1" t="s">
        <v>6018</v>
      </c>
      <c r="M676" s="1" t="s">
        <v>6019</v>
      </c>
      <c r="N676" s="1" t="s">
        <v>6022</v>
      </c>
      <c r="P676" s="1" t="s">
        <v>4171</v>
      </c>
      <c r="Q676" s="3">
        <v>0</v>
      </c>
      <c r="R676" s="23" t="s">
        <v>6854</v>
      </c>
      <c r="S676" s="23" t="s">
        <v>6845</v>
      </c>
      <c r="T676" s="23" t="s">
        <v>4866</v>
      </c>
      <c r="U676" s="3">
        <v>35</v>
      </c>
      <c r="W676" s="45" t="str">
        <f>HYPERLINK("http://ictvonline.org/taxonomy/p/taxonomy-history?taxnode_id=201900398","ICTVonline=201900398")</f>
        <v>ICTVonline=201900398</v>
      </c>
      <c r="Y676" s="1" t="s">
        <v>8119</v>
      </c>
      <c r="Z676" s="1" t="s">
        <v>8120</v>
      </c>
      <c r="AA676" s="1">
        <v>201900000</v>
      </c>
      <c r="AB676" s="1">
        <v>35</v>
      </c>
    </row>
    <row r="677" spans="1:28" x14ac:dyDescent="0.2">
      <c r="A677" s="1">
        <v>1816</v>
      </c>
      <c r="B677" s="1" t="s">
        <v>6850</v>
      </c>
      <c r="D677" s="1" t="s">
        <v>6851</v>
      </c>
      <c r="F677" s="1" t="s">
        <v>6914</v>
      </c>
      <c r="H677" s="1" t="s">
        <v>6915</v>
      </c>
      <c r="J677" s="1" t="s">
        <v>1324</v>
      </c>
      <c r="L677" s="1" t="s">
        <v>6018</v>
      </c>
      <c r="M677" s="1" t="s">
        <v>6019</v>
      </c>
      <c r="N677" s="1" t="s">
        <v>6022</v>
      </c>
      <c r="P677" s="1" t="s">
        <v>4172</v>
      </c>
      <c r="Q677" s="3">
        <v>0</v>
      </c>
      <c r="R677" s="23" t="s">
        <v>6854</v>
      </c>
      <c r="S677" s="23" t="s">
        <v>6845</v>
      </c>
      <c r="T677" s="23" t="s">
        <v>4866</v>
      </c>
      <c r="U677" s="3">
        <v>35</v>
      </c>
      <c r="W677" s="45" t="str">
        <f>HYPERLINK("http://ictvonline.org/taxonomy/p/taxonomy-history?taxnode_id=201900399","ICTVonline=201900399")</f>
        <v>ICTVonline=201900399</v>
      </c>
      <c r="Y677" s="1" t="s">
        <v>8121</v>
      </c>
      <c r="Z677" s="1" t="s">
        <v>8122</v>
      </c>
      <c r="AA677" s="1">
        <v>201900000</v>
      </c>
      <c r="AB677" s="1">
        <v>35</v>
      </c>
    </row>
    <row r="678" spans="1:28" x14ac:dyDescent="0.2">
      <c r="A678" s="1">
        <v>1818</v>
      </c>
      <c r="B678" s="1" t="s">
        <v>6850</v>
      </c>
      <c r="D678" s="1" t="s">
        <v>6851</v>
      </c>
      <c r="F678" s="1" t="s">
        <v>6914</v>
      </c>
      <c r="H678" s="1" t="s">
        <v>6915</v>
      </c>
      <c r="J678" s="1" t="s">
        <v>1324</v>
      </c>
      <c r="L678" s="1" t="s">
        <v>6018</v>
      </c>
      <c r="M678" s="1" t="s">
        <v>6019</v>
      </c>
      <c r="N678" s="1" t="s">
        <v>6022</v>
      </c>
      <c r="P678" s="1" t="s">
        <v>2841</v>
      </c>
      <c r="Q678" s="3">
        <v>0</v>
      </c>
      <c r="R678" s="23" t="s">
        <v>6854</v>
      </c>
      <c r="S678" s="23" t="s">
        <v>6845</v>
      </c>
      <c r="T678" s="23" t="s">
        <v>4866</v>
      </c>
      <c r="U678" s="3">
        <v>35</v>
      </c>
      <c r="W678" s="45" t="str">
        <f>HYPERLINK("http://ictvonline.org/taxonomy/p/taxonomy-history?taxnode_id=201900400","ICTVonline=201900400")</f>
        <v>ICTVonline=201900400</v>
      </c>
      <c r="Y678" s="1" t="s">
        <v>8123</v>
      </c>
      <c r="Z678" s="1" t="s">
        <v>8124</v>
      </c>
      <c r="AA678" s="1">
        <v>201900000</v>
      </c>
      <c r="AB678" s="1">
        <v>35</v>
      </c>
    </row>
    <row r="679" spans="1:28" x14ac:dyDescent="0.2">
      <c r="A679" s="1">
        <v>1822</v>
      </c>
      <c r="B679" s="1" t="s">
        <v>6850</v>
      </c>
      <c r="D679" s="1" t="s">
        <v>6851</v>
      </c>
      <c r="F679" s="1" t="s">
        <v>6914</v>
      </c>
      <c r="H679" s="1" t="s">
        <v>6915</v>
      </c>
      <c r="J679" s="1" t="s">
        <v>1324</v>
      </c>
      <c r="L679" s="1" t="s">
        <v>6018</v>
      </c>
      <c r="M679" s="1" t="s">
        <v>6019</v>
      </c>
      <c r="N679" s="1" t="s">
        <v>6173</v>
      </c>
      <c r="P679" s="1" t="s">
        <v>2880</v>
      </c>
      <c r="Q679" s="3">
        <v>0</v>
      </c>
      <c r="R679" s="23" t="s">
        <v>6854</v>
      </c>
      <c r="S679" s="23" t="s">
        <v>6845</v>
      </c>
      <c r="T679" s="23" t="s">
        <v>4866</v>
      </c>
      <c r="U679" s="3">
        <v>35</v>
      </c>
      <c r="W679" s="45" t="str">
        <f>HYPERLINK("http://ictvonline.org/taxonomy/p/taxonomy-history?taxnode_id=201900461","ICTVonline=201900461")</f>
        <v>ICTVonline=201900461</v>
      </c>
      <c r="Y679" s="1" t="s">
        <v>8125</v>
      </c>
      <c r="Z679" s="1" t="s">
        <v>8126</v>
      </c>
      <c r="AA679" s="1">
        <v>201900000</v>
      </c>
      <c r="AB679" s="1">
        <v>35</v>
      </c>
    </row>
    <row r="680" spans="1:28" x14ac:dyDescent="0.2">
      <c r="A680" s="1">
        <v>1824</v>
      </c>
      <c r="B680" s="1" t="s">
        <v>6850</v>
      </c>
      <c r="D680" s="1" t="s">
        <v>6851</v>
      </c>
      <c r="F680" s="1" t="s">
        <v>6914</v>
      </c>
      <c r="H680" s="1" t="s">
        <v>6915</v>
      </c>
      <c r="J680" s="1" t="s">
        <v>1324</v>
      </c>
      <c r="L680" s="1" t="s">
        <v>6018</v>
      </c>
      <c r="M680" s="1" t="s">
        <v>6019</v>
      </c>
      <c r="N680" s="1" t="s">
        <v>6173</v>
      </c>
      <c r="P680" s="1" t="s">
        <v>2881</v>
      </c>
      <c r="Q680" s="3">
        <v>1</v>
      </c>
      <c r="R680" s="23" t="s">
        <v>6854</v>
      </c>
      <c r="S680" s="23" t="s">
        <v>6845</v>
      </c>
      <c r="T680" s="23" t="s">
        <v>4866</v>
      </c>
      <c r="U680" s="3">
        <v>35</v>
      </c>
      <c r="W680" s="45" t="str">
        <f>HYPERLINK("http://ictvonline.org/taxonomy/p/taxonomy-history?taxnode_id=201900462","ICTVonline=201900462")</f>
        <v>ICTVonline=201900462</v>
      </c>
      <c r="Y680" s="1" t="s">
        <v>8127</v>
      </c>
      <c r="Z680" s="1" t="s">
        <v>8128</v>
      </c>
      <c r="AA680" s="1">
        <v>201900000</v>
      </c>
      <c r="AB680" s="1">
        <v>35</v>
      </c>
    </row>
    <row r="681" spans="1:28" x14ac:dyDescent="0.2">
      <c r="A681" s="1">
        <v>1826</v>
      </c>
      <c r="B681" s="1" t="s">
        <v>6850</v>
      </c>
      <c r="D681" s="1" t="s">
        <v>6851</v>
      </c>
      <c r="F681" s="1" t="s">
        <v>6914</v>
      </c>
      <c r="H681" s="1" t="s">
        <v>6915</v>
      </c>
      <c r="J681" s="1" t="s">
        <v>1324</v>
      </c>
      <c r="L681" s="1" t="s">
        <v>6018</v>
      </c>
      <c r="M681" s="1" t="s">
        <v>6019</v>
      </c>
      <c r="N681" s="1" t="s">
        <v>6173</v>
      </c>
      <c r="P681" s="1" t="s">
        <v>2882</v>
      </c>
      <c r="Q681" s="3">
        <v>0</v>
      </c>
      <c r="R681" s="23" t="s">
        <v>6854</v>
      </c>
      <c r="S681" s="23" t="s">
        <v>6845</v>
      </c>
      <c r="T681" s="23" t="s">
        <v>4866</v>
      </c>
      <c r="U681" s="3">
        <v>35</v>
      </c>
      <c r="W681" s="45" t="str">
        <f>HYPERLINK("http://ictvonline.org/taxonomy/p/taxonomy-history?taxnode_id=201900463","ICTVonline=201900463")</f>
        <v>ICTVonline=201900463</v>
      </c>
      <c r="Y681" s="1" t="s">
        <v>8129</v>
      </c>
      <c r="Z681" s="1" t="s">
        <v>8130</v>
      </c>
      <c r="AA681" s="1">
        <v>201900000</v>
      </c>
      <c r="AB681" s="1">
        <v>35</v>
      </c>
    </row>
    <row r="682" spans="1:28" x14ac:dyDescent="0.2">
      <c r="A682" s="1">
        <v>1830</v>
      </c>
      <c r="B682" s="1" t="s">
        <v>6850</v>
      </c>
      <c r="D682" s="1" t="s">
        <v>6851</v>
      </c>
      <c r="F682" s="1" t="s">
        <v>6914</v>
      </c>
      <c r="H682" s="1" t="s">
        <v>6915</v>
      </c>
      <c r="J682" s="1" t="s">
        <v>1324</v>
      </c>
      <c r="L682" s="1" t="s">
        <v>6018</v>
      </c>
      <c r="M682" s="1" t="s">
        <v>6019</v>
      </c>
      <c r="N682" s="1" t="s">
        <v>4142</v>
      </c>
      <c r="P682" s="1" t="s">
        <v>4143</v>
      </c>
      <c r="Q682" s="3">
        <v>0</v>
      </c>
      <c r="R682" s="23" t="s">
        <v>6854</v>
      </c>
      <c r="S682" s="23" t="s">
        <v>6845</v>
      </c>
      <c r="T682" s="23" t="s">
        <v>4866</v>
      </c>
      <c r="U682" s="3">
        <v>35</v>
      </c>
      <c r="W682" s="45" t="str">
        <f>HYPERLINK("http://ictvonline.org/taxonomy/p/taxonomy-history?taxnode_id=201900270","ICTVonline=201900270")</f>
        <v>ICTVonline=201900270</v>
      </c>
      <c r="Y682" s="1" t="s">
        <v>8131</v>
      </c>
      <c r="Z682" s="1" t="s">
        <v>8132</v>
      </c>
      <c r="AA682" s="1">
        <v>201900000</v>
      </c>
      <c r="AB682" s="1">
        <v>35</v>
      </c>
    </row>
    <row r="683" spans="1:28" x14ac:dyDescent="0.2">
      <c r="A683" s="1">
        <v>1832</v>
      </c>
      <c r="B683" s="1" t="s">
        <v>6850</v>
      </c>
      <c r="D683" s="1" t="s">
        <v>6851</v>
      </c>
      <c r="F683" s="1" t="s">
        <v>6914</v>
      </c>
      <c r="H683" s="1" t="s">
        <v>6915</v>
      </c>
      <c r="J683" s="1" t="s">
        <v>1324</v>
      </c>
      <c r="L683" s="1" t="s">
        <v>6018</v>
      </c>
      <c r="M683" s="1" t="s">
        <v>6019</v>
      </c>
      <c r="N683" s="1" t="s">
        <v>4142</v>
      </c>
      <c r="P683" s="1" t="s">
        <v>4144</v>
      </c>
      <c r="Q683" s="3">
        <v>1</v>
      </c>
      <c r="R683" s="23" t="s">
        <v>6854</v>
      </c>
      <c r="S683" s="23" t="s">
        <v>6845</v>
      </c>
      <c r="T683" s="23" t="s">
        <v>4866</v>
      </c>
      <c r="U683" s="3">
        <v>35</v>
      </c>
      <c r="W683" s="45" t="str">
        <f>HYPERLINK("http://ictvonline.org/taxonomy/p/taxonomy-history?taxnode_id=201900271","ICTVonline=201900271")</f>
        <v>ICTVonline=201900271</v>
      </c>
      <c r="Y683" s="1" t="s">
        <v>8133</v>
      </c>
      <c r="Z683" s="1" t="s">
        <v>8134</v>
      </c>
      <c r="AA683" s="1">
        <v>201900000</v>
      </c>
      <c r="AB683" s="1">
        <v>35</v>
      </c>
    </row>
    <row r="684" spans="1:28" x14ac:dyDescent="0.2">
      <c r="A684" s="1">
        <v>1836</v>
      </c>
      <c r="B684" s="1" t="s">
        <v>6850</v>
      </c>
      <c r="D684" s="1" t="s">
        <v>6851</v>
      </c>
      <c r="F684" s="1" t="s">
        <v>6914</v>
      </c>
      <c r="H684" s="1" t="s">
        <v>6915</v>
      </c>
      <c r="J684" s="1" t="s">
        <v>1324</v>
      </c>
      <c r="L684" s="1" t="s">
        <v>6018</v>
      </c>
      <c r="M684" s="1" t="s">
        <v>6019</v>
      </c>
      <c r="N684" s="1" t="s">
        <v>2937</v>
      </c>
      <c r="P684" s="1" t="s">
        <v>4200</v>
      </c>
      <c r="Q684" s="3">
        <v>0</v>
      </c>
      <c r="R684" s="23" t="s">
        <v>6854</v>
      </c>
      <c r="S684" s="23" t="s">
        <v>6845</v>
      </c>
      <c r="T684" s="23" t="s">
        <v>4866</v>
      </c>
      <c r="U684" s="3">
        <v>35</v>
      </c>
      <c r="W684" s="45" t="str">
        <f>HYPERLINK("http://ictvonline.org/taxonomy/p/taxonomy-history?taxnode_id=201900536","ICTVonline=201900536")</f>
        <v>ICTVonline=201900536</v>
      </c>
      <c r="Y684" s="1" t="s">
        <v>8135</v>
      </c>
      <c r="Z684" s="1" t="s">
        <v>8136</v>
      </c>
      <c r="AA684" s="1">
        <v>201900000</v>
      </c>
      <c r="AB684" s="1">
        <v>35</v>
      </c>
    </row>
    <row r="685" spans="1:28" x14ac:dyDescent="0.2">
      <c r="A685" s="1">
        <v>1838</v>
      </c>
      <c r="B685" s="1" t="s">
        <v>6850</v>
      </c>
      <c r="D685" s="1" t="s">
        <v>6851</v>
      </c>
      <c r="F685" s="1" t="s">
        <v>6914</v>
      </c>
      <c r="H685" s="1" t="s">
        <v>6915</v>
      </c>
      <c r="J685" s="1" t="s">
        <v>1324</v>
      </c>
      <c r="L685" s="1" t="s">
        <v>6018</v>
      </c>
      <c r="M685" s="1" t="s">
        <v>6019</v>
      </c>
      <c r="N685" s="1" t="s">
        <v>2937</v>
      </c>
      <c r="P685" s="1" t="s">
        <v>6023</v>
      </c>
      <c r="Q685" s="3">
        <v>0</v>
      </c>
      <c r="R685" s="23" t="s">
        <v>6854</v>
      </c>
      <c r="S685" s="23" t="s">
        <v>6845</v>
      </c>
      <c r="T685" s="23" t="s">
        <v>4866</v>
      </c>
      <c r="U685" s="3">
        <v>35</v>
      </c>
      <c r="W685" s="45" t="str">
        <f>HYPERLINK("http://ictvonline.org/taxonomy/p/taxonomy-history?taxnode_id=201906962","ICTVonline=201906962")</f>
        <v>ICTVonline=201906962</v>
      </c>
      <c r="Y685" s="1" t="s">
        <v>8137</v>
      </c>
      <c r="Z685" s="1" t="s">
        <v>8138</v>
      </c>
      <c r="AA685" s="1">
        <v>201900000</v>
      </c>
      <c r="AB685" s="1">
        <v>35</v>
      </c>
    </row>
    <row r="686" spans="1:28" x14ac:dyDescent="0.2">
      <c r="A686" s="1">
        <v>1840</v>
      </c>
      <c r="B686" s="1" t="s">
        <v>6850</v>
      </c>
      <c r="D686" s="1" t="s">
        <v>6851</v>
      </c>
      <c r="F686" s="1" t="s">
        <v>6914</v>
      </c>
      <c r="H686" s="1" t="s">
        <v>6915</v>
      </c>
      <c r="J686" s="1" t="s">
        <v>1324</v>
      </c>
      <c r="L686" s="1" t="s">
        <v>6018</v>
      </c>
      <c r="M686" s="1" t="s">
        <v>6019</v>
      </c>
      <c r="N686" s="1" t="s">
        <v>2937</v>
      </c>
      <c r="P686" s="1" t="s">
        <v>4201</v>
      </c>
      <c r="Q686" s="3">
        <v>0</v>
      </c>
      <c r="R686" s="23" t="s">
        <v>6854</v>
      </c>
      <c r="S686" s="23" t="s">
        <v>6845</v>
      </c>
      <c r="T686" s="23" t="s">
        <v>4866</v>
      </c>
      <c r="U686" s="3">
        <v>35</v>
      </c>
      <c r="W686" s="45" t="str">
        <f>HYPERLINK("http://ictvonline.org/taxonomy/p/taxonomy-history?taxnode_id=201900537","ICTVonline=201900537")</f>
        <v>ICTVonline=201900537</v>
      </c>
      <c r="Y686" s="1" t="s">
        <v>8139</v>
      </c>
      <c r="Z686" s="1" t="s">
        <v>8140</v>
      </c>
      <c r="AA686" s="1">
        <v>201900000</v>
      </c>
      <c r="AB686" s="1">
        <v>35</v>
      </c>
    </row>
    <row r="687" spans="1:28" x14ac:dyDescent="0.2">
      <c r="A687" s="1">
        <v>1842</v>
      </c>
      <c r="B687" s="1" t="s">
        <v>6850</v>
      </c>
      <c r="D687" s="1" t="s">
        <v>6851</v>
      </c>
      <c r="F687" s="1" t="s">
        <v>6914</v>
      </c>
      <c r="H687" s="1" t="s">
        <v>6915</v>
      </c>
      <c r="J687" s="1" t="s">
        <v>1324</v>
      </c>
      <c r="L687" s="1" t="s">
        <v>6018</v>
      </c>
      <c r="M687" s="1" t="s">
        <v>6019</v>
      </c>
      <c r="N687" s="1" t="s">
        <v>2937</v>
      </c>
      <c r="P687" s="1" t="s">
        <v>4202</v>
      </c>
      <c r="Q687" s="3">
        <v>0</v>
      </c>
      <c r="R687" s="23" t="s">
        <v>6854</v>
      </c>
      <c r="S687" s="23" t="s">
        <v>6845</v>
      </c>
      <c r="T687" s="23" t="s">
        <v>4866</v>
      </c>
      <c r="U687" s="3">
        <v>35</v>
      </c>
      <c r="W687" s="45" t="str">
        <f>HYPERLINK("http://ictvonline.org/taxonomy/p/taxonomy-history?taxnode_id=201900538","ICTVonline=201900538")</f>
        <v>ICTVonline=201900538</v>
      </c>
      <c r="Y687" s="1" t="s">
        <v>8141</v>
      </c>
      <c r="Z687" s="1" t="s">
        <v>8142</v>
      </c>
      <c r="AA687" s="1">
        <v>201900000</v>
      </c>
      <c r="AB687" s="1">
        <v>35</v>
      </c>
    </row>
    <row r="688" spans="1:28" x14ac:dyDescent="0.2">
      <c r="A688" s="1">
        <v>1844</v>
      </c>
      <c r="B688" s="1" t="s">
        <v>6850</v>
      </c>
      <c r="D688" s="1" t="s">
        <v>6851</v>
      </c>
      <c r="F688" s="1" t="s">
        <v>6914</v>
      </c>
      <c r="H688" s="1" t="s">
        <v>6915</v>
      </c>
      <c r="J688" s="1" t="s">
        <v>1324</v>
      </c>
      <c r="L688" s="1" t="s">
        <v>6018</v>
      </c>
      <c r="M688" s="1" t="s">
        <v>6019</v>
      </c>
      <c r="N688" s="1" t="s">
        <v>2937</v>
      </c>
      <c r="P688" s="1" t="s">
        <v>2938</v>
      </c>
      <c r="Q688" s="3">
        <v>1</v>
      </c>
      <c r="R688" s="23" t="s">
        <v>6854</v>
      </c>
      <c r="S688" s="23" t="s">
        <v>6845</v>
      </c>
      <c r="T688" s="23" t="s">
        <v>4866</v>
      </c>
      <c r="U688" s="3">
        <v>35</v>
      </c>
      <c r="W688" s="45" t="str">
        <f>HYPERLINK("http://ictvonline.org/taxonomy/p/taxonomy-history?taxnode_id=201900539","ICTVonline=201900539")</f>
        <v>ICTVonline=201900539</v>
      </c>
      <c r="Y688" s="1" t="s">
        <v>8143</v>
      </c>
      <c r="Z688" s="1" t="s">
        <v>8144</v>
      </c>
      <c r="AA688" s="1">
        <v>201900000</v>
      </c>
      <c r="AB688" s="1">
        <v>35</v>
      </c>
    </row>
    <row r="689" spans="1:28" x14ac:dyDescent="0.2">
      <c r="A689" s="1">
        <v>1847</v>
      </c>
      <c r="B689" s="1" t="s">
        <v>6850</v>
      </c>
      <c r="D689" s="1" t="s">
        <v>6851</v>
      </c>
      <c r="F689" s="1" t="s">
        <v>6914</v>
      </c>
      <c r="H689" s="1" t="s">
        <v>6915</v>
      </c>
      <c r="J689" s="1" t="s">
        <v>1324</v>
      </c>
      <c r="L689" s="1" t="s">
        <v>6018</v>
      </c>
      <c r="M689" s="1" t="s">
        <v>6019</v>
      </c>
      <c r="P689" s="1" t="s">
        <v>6024</v>
      </c>
      <c r="Q689" s="3">
        <v>0</v>
      </c>
      <c r="R689" s="23" t="s">
        <v>6854</v>
      </c>
      <c r="S689" s="23" t="s">
        <v>6845</v>
      </c>
      <c r="T689" s="23" t="s">
        <v>4866</v>
      </c>
      <c r="U689" s="3">
        <v>35</v>
      </c>
      <c r="W689" s="45" t="str">
        <f>HYPERLINK("http://ictvonline.org/taxonomy/p/taxonomy-history?taxnode_id=201906963","ICTVonline=201906963")</f>
        <v>ICTVonline=201906963</v>
      </c>
      <c r="Y689" s="1" t="s">
        <v>8145</v>
      </c>
      <c r="Z689" s="1" t="s">
        <v>8146</v>
      </c>
      <c r="AA689" s="1">
        <v>201900000</v>
      </c>
      <c r="AB689" s="1">
        <v>35</v>
      </c>
    </row>
    <row r="690" spans="1:28" x14ac:dyDescent="0.2">
      <c r="A690" s="1">
        <v>1849</v>
      </c>
      <c r="B690" s="1" t="s">
        <v>6850</v>
      </c>
      <c r="D690" s="1" t="s">
        <v>6851</v>
      </c>
      <c r="F690" s="1" t="s">
        <v>6914</v>
      </c>
      <c r="H690" s="1" t="s">
        <v>6915</v>
      </c>
      <c r="J690" s="1" t="s">
        <v>1324</v>
      </c>
      <c r="L690" s="1" t="s">
        <v>6018</v>
      </c>
      <c r="M690" s="1" t="s">
        <v>6019</v>
      </c>
      <c r="P690" s="1" t="s">
        <v>6025</v>
      </c>
      <c r="Q690" s="3">
        <v>0</v>
      </c>
      <c r="R690" s="23" t="s">
        <v>6854</v>
      </c>
      <c r="S690" s="23" t="s">
        <v>6845</v>
      </c>
      <c r="T690" s="23" t="s">
        <v>4866</v>
      </c>
      <c r="U690" s="3">
        <v>35</v>
      </c>
      <c r="W690" s="45" t="str">
        <f>HYPERLINK("http://ictvonline.org/taxonomy/p/taxonomy-history?taxnode_id=201906964","ICTVonline=201906964")</f>
        <v>ICTVonline=201906964</v>
      </c>
      <c r="Y690" s="1" t="s">
        <v>8147</v>
      </c>
      <c r="Z690" s="1" t="s">
        <v>8148</v>
      </c>
      <c r="AA690" s="1">
        <v>201900000</v>
      </c>
      <c r="AB690" s="1">
        <v>35</v>
      </c>
    </row>
    <row r="691" spans="1:28" x14ac:dyDescent="0.2">
      <c r="A691" s="1">
        <v>1851</v>
      </c>
      <c r="B691" s="1" t="s">
        <v>6850</v>
      </c>
      <c r="D691" s="1" t="s">
        <v>6851</v>
      </c>
      <c r="F691" s="1" t="s">
        <v>6914</v>
      </c>
      <c r="H691" s="1" t="s">
        <v>6915</v>
      </c>
      <c r="J691" s="1" t="s">
        <v>1324</v>
      </c>
      <c r="L691" s="1" t="s">
        <v>6018</v>
      </c>
      <c r="M691" s="1" t="s">
        <v>6019</v>
      </c>
      <c r="P691" s="1" t="s">
        <v>6026</v>
      </c>
      <c r="Q691" s="3">
        <v>0</v>
      </c>
      <c r="R691" s="23" t="s">
        <v>6854</v>
      </c>
      <c r="S691" s="23" t="s">
        <v>6845</v>
      </c>
      <c r="T691" s="23" t="s">
        <v>4866</v>
      </c>
      <c r="U691" s="3">
        <v>35</v>
      </c>
      <c r="W691" s="45" t="str">
        <f>HYPERLINK("http://ictvonline.org/taxonomy/p/taxonomy-history?taxnode_id=201906965","ICTVonline=201906965")</f>
        <v>ICTVonline=201906965</v>
      </c>
      <c r="Y691" s="1" t="s">
        <v>8149</v>
      </c>
      <c r="Z691" s="1" t="s">
        <v>8150</v>
      </c>
      <c r="AA691" s="1">
        <v>201900000</v>
      </c>
      <c r="AB691" s="1">
        <v>35</v>
      </c>
    </row>
    <row r="692" spans="1:28" x14ac:dyDescent="0.2">
      <c r="A692" s="1">
        <v>1856</v>
      </c>
      <c r="B692" s="1" t="s">
        <v>6850</v>
      </c>
      <c r="D692" s="1" t="s">
        <v>6851</v>
      </c>
      <c r="F692" s="1" t="s">
        <v>6914</v>
      </c>
      <c r="H692" s="1" t="s">
        <v>6915</v>
      </c>
      <c r="J692" s="1" t="s">
        <v>1324</v>
      </c>
      <c r="L692" s="1" t="s">
        <v>6018</v>
      </c>
      <c r="M692" s="1" t="s">
        <v>6027</v>
      </c>
      <c r="N692" s="1" t="s">
        <v>6028</v>
      </c>
      <c r="P692" s="1" t="s">
        <v>6029</v>
      </c>
      <c r="Q692" s="3">
        <v>0</v>
      </c>
      <c r="R692" s="23" t="s">
        <v>6854</v>
      </c>
      <c r="S692" s="23" t="s">
        <v>6845</v>
      </c>
      <c r="T692" s="23" t="s">
        <v>4866</v>
      </c>
      <c r="U692" s="3">
        <v>35</v>
      </c>
      <c r="W692" s="45" t="str">
        <f>HYPERLINK("http://ictvonline.org/taxonomy/p/taxonomy-history?taxnode_id=201906968","ICTVonline=201906968")</f>
        <v>ICTVonline=201906968</v>
      </c>
      <c r="Y692" s="1" t="s">
        <v>8151</v>
      </c>
      <c r="Z692" s="1" t="s">
        <v>8152</v>
      </c>
      <c r="AA692" s="1">
        <v>201900000</v>
      </c>
      <c r="AB692" s="1">
        <v>35</v>
      </c>
    </row>
    <row r="693" spans="1:28" x14ac:dyDescent="0.2">
      <c r="A693" s="1">
        <v>1858</v>
      </c>
      <c r="B693" s="1" t="s">
        <v>6850</v>
      </c>
      <c r="D693" s="1" t="s">
        <v>6851</v>
      </c>
      <c r="F693" s="1" t="s">
        <v>6914</v>
      </c>
      <c r="H693" s="1" t="s">
        <v>6915</v>
      </c>
      <c r="J693" s="1" t="s">
        <v>1324</v>
      </c>
      <c r="L693" s="1" t="s">
        <v>6018</v>
      </c>
      <c r="M693" s="1" t="s">
        <v>6027</v>
      </c>
      <c r="N693" s="1" t="s">
        <v>6028</v>
      </c>
      <c r="P693" s="1" t="s">
        <v>6030</v>
      </c>
      <c r="Q693" s="3">
        <v>1</v>
      </c>
      <c r="R693" s="23" t="s">
        <v>6854</v>
      </c>
      <c r="S693" s="23" t="s">
        <v>6845</v>
      </c>
      <c r="T693" s="23" t="s">
        <v>4866</v>
      </c>
      <c r="U693" s="3">
        <v>35</v>
      </c>
      <c r="W693" s="45" t="str">
        <f>HYPERLINK("http://ictvonline.org/taxonomy/p/taxonomy-history?taxnode_id=201900275","ICTVonline=201900275")</f>
        <v>ICTVonline=201900275</v>
      </c>
      <c r="AA693" s="1">
        <v>201900000</v>
      </c>
      <c r="AB693" s="1">
        <v>35</v>
      </c>
    </row>
    <row r="694" spans="1:28" x14ac:dyDescent="0.2">
      <c r="A694" s="1">
        <v>1860</v>
      </c>
      <c r="B694" s="1" t="s">
        <v>6850</v>
      </c>
      <c r="D694" s="1" t="s">
        <v>6851</v>
      </c>
      <c r="F694" s="1" t="s">
        <v>6914</v>
      </c>
      <c r="H694" s="1" t="s">
        <v>6915</v>
      </c>
      <c r="J694" s="1" t="s">
        <v>1324</v>
      </c>
      <c r="L694" s="1" t="s">
        <v>6018</v>
      </c>
      <c r="M694" s="1" t="s">
        <v>6027</v>
      </c>
      <c r="N694" s="1" t="s">
        <v>6028</v>
      </c>
      <c r="P694" s="1" t="s">
        <v>6032</v>
      </c>
      <c r="Q694" s="3">
        <v>0</v>
      </c>
      <c r="R694" s="23" t="s">
        <v>6854</v>
      </c>
      <c r="S694" s="23" t="s">
        <v>6845</v>
      </c>
      <c r="T694" s="23" t="s">
        <v>4866</v>
      </c>
      <c r="U694" s="3">
        <v>35</v>
      </c>
      <c r="W694" s="45" t="str">
        <f>HYPERLINK("http://ictvonline.org/taxonomy/p/taxonomy-history?taxnode_id=201906969","ICTVonline=201906969")</f>
        <v>ICTVonline=201906969</v>
      </c>
      <c r="Y694" s="1" t="s">
        <v>8153</v>
      </c>
      <c r="Z694" s="1" t="s">
        <v>8154</v>
      </c>
      <c r="AA694" s="1">
        <v>201900000</v>
      </c>
      <c r="AB694" s="1">
        <v>35</v>
      </c>
    </row>
    <row r="695" spans="1:28" x14ac:dyDescent="0.2">
      <c r="A695" s="1">
        <v>1864</v>
      </c>
      <c r="B695" s="1" t="s">
        <v>6850</v>
      </c>
      <c r="D695" s="1" t="s">
        <v>6851</v>
      </c>
      <c r="F695" s="1" t="s">
        <v>6914</v>
      </c>
      <c r="H695" s="1" t="s">
        <v>6915</v>
      </c>
      <c r="J695" s="1" t="s">
        <v>1324</v>
      </c>
      <c r="L695" s="1" t="s">
        <v>6018</v>
      </c>
      <c r="M695" s="1" t="s">
        <v>6027</v>
      </c>
      <c r="N695" s="1" t="s">
        <v>8155</v>
      </c>
      <c r="P695" s="1" t="s">
        <v>6033</v>
      </c>
      <c r="Q695" s="3">
        <v>1</v>
      </c>
      <c r="R695" s="23" t="s">
        <v>6854</v>
      </c>
      <c r="S695" s="23" t="s">
        <v>6849</v>
      </c>
      <c r="T695" s="23" t="s">
        <v>6395</v>
      </c>
      <c r="U695" s="3">
        <v>35</v>
      </c>
      <c r="V695" s="3" t="s">
        <v>8156</v>
      </c>
      <c r="W695" s="45" t="str">
        <f>HYPERLINK("http://ictvonline.org/taxonomy/p/taxonomy-history?taxnode_id=201906970","ICTVonline=201906970")</f>
        <v>ICTVonline=201906970</v>
      </c>
      <c r="Y695" s="1" t="s">
        <v>8157</v>
      </c>
      <c r="AA695" s="1">
        <v>201900000</v>
      </c>
      <c r="AB695" s="1">
        <v>35</v>
      </c>
    </row>
    <row r="696" spans="1:28" x14ac:dyDescent="0.2">
      <c r="A696" s="1">
        <v>1866</v>
      </c>
      <c r="B696" s="1" t="s">
        <v>6850</v>
      </c>
      <c r="D696" s="1" t="s">
        <v>6851</v>
      </c>
      <c r="F696" s="1" t="s">
        <v>6914</v>
      </c>
      <c r="H696" s="1" t="s">
        <v>6915</v>
      </c>
      <c r="J696" s="1" t="s">
        <v>1324</v>
      </c>
      <c r="L696" s="1" t="s">
        <v>6018</v>
      </c>
      <c r="M696" s="1" t="s">
        <v>6027</v>
      </c>
      <c r="N696" s="1" t="s">
        <v>8155</v>
      </c>
      <c r="P696" s="1" t="s">
        <v>8158</v>
      </c>
      <c r="Q696" s="3">
        <v>0</v>
      </c>
      <c r="R696" s="23" t="s">
        <v>6854</v>
      </c>
      <c r="S696" s="23" t="s">
        <v>6849</v>
      </c>
      <c r="T696" s="23" t="s">
        <v>4864</v>
      </c>
      <c r="U696" s="3">
        <v>35</v>
      </c>
      <c r="V696" s="3" t="s">
        <v>8156</v>
      </c>
      <c r="W696" s="45" t="str">
        <f>HYPERLINK("http://ictvonline.org/taxonomy/p/taxonomy-history?taxnode_id=201907662","ICTVonline=201907662")</f>
        <v>ICTVonline=201907662</v>
      </c>
      <c r="Y696" s="1" t="s">
        <v>8159</v>
      </c>
      <c r="AA696" s="1">
        <v>201900000</v>
      </c>
      <c r="AB696" s="1">
        <v>35</v>
      </c>
    </row>
    <row r="697" spans="1:28" x14ac:dyDescent="0.2">
      <c r="A697" s="1">
        <v>1868</v>
      </c>
      <c r="B697" s="1" t="s">
        <v>6850</v>
      </c>
      <c r="D697" s="1" t="s">
        <v>6851</v>
      </c>
      <c r="F697" s="1" t="s">
        <v>6914</v>
      </c>
      <c r="H697" s="1" t="s">
        <v>6915</v>
      </c>
      <c r="J697" s="1" t="s">
        <v>1324</v>
      </c>
      <c r="L697" s="1" t="s">
        <v>6018</v>
      </c>
      <c r="M697" s="1" t="s">
        <v>6027</v>
      </c>
      <c r="N697" s="1" t="s">
        <v>8155</v>
      </c>
      <c r="P697" s="1" t="s">
        <v>8160</v>
      </c>
      <c r="Q697" s="3">
        <v>0</v>
      </c>
      <c r="R697" s="23" t="s">
        <v>6854</v>
      </c>
      <c r="S697" s="23" t="s">
        <v>6849</v>
      </c>
      <c r="T697" s="23" t="s">
        <v>4864</v>
      </c>
      <c r="U697" s="3">
        <v>35</v>
      </c>
      <c r="V697" s="3" t="s">
        <v>8156</v>
      </c>
      <c r="W697" s="45" t="str">
        <f>HYPERLINK("http://ictvonline.org/taxonomy/p/taxonomy-history?taxnode_id=201907661","ICTVonline=201907661")</f>
        <v>ICTVonline=201907661</v>
      </c>
      <c r="Y697" s="1" t="s">
        <v>8161</v>
      </c>
      <c r="AA697" s="1">
        <v>201900000</v>
      </c>
      <c r="AB697" s="1">
        <v>35</v>
      </c>
    </row>
    <row r="698" spans="1:28" x14ac:dyDescent="0.2">
      <c r="A698" s="1">
        <v>1874</v>
      </c>
      <c r="B698" s="1" t="s">
        <v>6850</v>
      </c>
      <c r="D698" s="1" t="s">
        <v>6851</v>
      </c>
      <c r="F698" s="1" t="s">
        <v>6914</v>
      </c>
      <c r="H698" s="1" t="s">
        <v>6915</v>
      </c>
      <c r="J698" s="1" t="s">
        <v>1324</v>
      </c>
      <c r="L698" s="1" t="s">
        <v>6018</v>
      </c>
      <c r="M698" s="1" t="s">
        <v>6034</v>
      </c>
      <c r="N698" s="1" t="s">
        <v>6035</v>
      </c>
      <c r="P698" s="1" t="s">
        <v>2761</v>
      </c>
      <c r="Q698" s="3">
        <v>0</v>
      </c>
      <c r="R698" s="23" t="s">
        <v>6854</v>
      </c>
      <c r="S698" s="23" t="s">
        <v>6845</v>
      </c>
      <c r="T698" s="23" t="s">
        <v>4866</v>
      </c>
      <c r="U698" s="3">
        <v>35</v>
      </c>
      <c r="W698" s="45" t="str">
        <f>HYPERLINK("http://ictvonline.org/taxonomy/p/taxonomy-history?taxnode_id=201900260","ICTVonline=201900260")</f>
        <v>ICTVonline=201900260</v>
      </c>
      <c r="AA698" s="1">
        <v>201900000</v>
      </c>
      <c r="AB698" s="1">
        <v>35</v>
      </c>
    </row>
    <row r="699" spans="1:28" x14ac:dyDescent="0.2">
      <c r="A699" s="1">
        <v>1876</v>
      </c>
      <c r="B699" s="1" t="s">
        <v>6850</v>
      </c>
      <c r="D699" s="1" t="s">
        <v>6851</v>
      </c>
      <c r="F699" s="1" t="s">
        <v>6914</v>
      </c>
      <c r="H699" s="1" t="s">
        <v>6915</v>
      </c>
      <c r="J699" s="1" t="s">
        <v>1324</v>
      </c>
      <c r="L699" s="1" t="s">
        <v>6018</v>
      </c>
      <c r="M699" s="1" t="s">
        <v>6034</v>
      </c>
      <c r="N699" s="1" t="s">
        <v>6035</v>
      </c>
      <c r="P699" s="1" t="s">
        <v>6036</v>
      </c>
      <c r="Q699" s="3">
        <v>0</v>
      </c>
      <c r="R699" s="23" t="s">
        <v>6854</v>
      </c>
      <c r="S699" s="23" t="s">
        <v>6845</v>
      </c>
      <c r="T699" s="23" t="s">
        <v>4866</v>
      </c>
      <c r="U699" s="3">
        <v>35</v>
      </c>
      <c r="W699" s="45" t="str">
        <f>HYPERLINK("http://ictvonline.org/taxonomy/p/taxonomy-history?taxnode_id=201906979","ICTVonline=201906979")</f>
        <v>ICTVonline=201906979</v>
      </c>
      <c r="Y699" s="1" t="s">
        <v>8162</v>
      </c>
      <c r="Z699" s="1" t="s">
        <v>8163</v>
      </c>
      <c r="AA699" s="1">
        <v>201900000</v>
      </c>
      <c r="AB699" s="1">
        <v>35</v>
      </c>
    </row>
    <row r="700" spans="1:28" x14ac:dyDescent="0.2">
      <c r="A700" s="1">
        <v>1878</v>
      </c>
      <c r="B700" s="1" t="s">
        <v>6850</v>
      </c>
      <c r="D700" s="1" t="s">
        <v>6851</v>
      </c>
      <c r="F700" s="1" t="s">
        <v>6914</v>
      </c>
      <c r="H700" s="1" t="s">
        <v>6915</v>
      </c>
      <c r="J700" s="1" t="s">
        <v>1324</v>
      </c>
      <c r="L700" s="1" t="s">
        <v>6018</v>
      </c>
      <c r="M700" s="1" t="s">
        <v>6034</v>
      </c>
      <c r="N700" s="1" t="s">
        <v>6035</v>
      </c>
      <c r="P700" s="1" t="s">
        <v>6037</v>
      </c>
      <c r="Q700" s="3">
        <v>0</v>
      </c>
      <c r="R700" s="23" t="s">
        <v>6854</v>
      </c>
      <c r="S700" s="23" t="s">
        <v>6845</v>
      </c>
      <c r="T700" s="23" t="s">
        <v>4866</v>
      </c>
      <c r="U700" s="3">
        <v>35</v>
      </c>
      <c r="W700" s="45" t="str">
        <f>HYPERLINK("http://ictvonline.org/taxonomy/p/taxonomy-history?taxnode_id=201906972","ICTVonline=201906972")</f>
        <v>ICTVonline=201906972</v>
      </c>
      <c r="Y700" s="1" t="s">
        <v>8164</v>
      </c>
      <c r="Z700" s="1" t="s">
        <v>8165</v>
      </c>
      <c r="AA700" s="1">
        <v>201900000</v>
      </c>
      <c r="AB700" s="1">
        <v>35</v>
      </c>
    </row>
    <row r="701" spans="1:28" x14ac:dyDescent="0.2">
      <c r="A701" s="1">
        <v>1880</v>
      </c>
      <c r="B701" s="1" t="s">
        <v>6850</v>
      </c>
      <c r="D701" s="1" t="s">
        <v>6851</v>
      </c>
      <c r="F701" s="1" t="s">
        <v>6914</v>
      </c>
      <c r="H701" s="1" t="s">
        <v>6915</v>
      </c>
      <c r="J701" s="1" t="s">
        <v>1324</v>
      </c>
      <c r="L701" s="1" t="s">
        <v>6018</v>
      </c>
      <c r="M701" s="1" t="s">
        <v>6034</v>
      </c>
      <c r="N701" s="1" t="s">
        <v>6035</v>
      </c>
      <c r="P701" s="1" t="s">
        <v>6038</v>
      </c>
      <c r="Q701" s="3">
        <v>0</v>
      </c>
      <c r="R701" s="23" t="s">
        <v>6854</v>
      </c>
      <c r="S701" s="23" t="s">
        <v>6845</v>
      </c>
      <c r="T701" s="23" t="s">
        <v>4866</v>
      </c>
      <c r="U701" s="3">
        <v>35</v>
      </c>
      <c r="W701" s="45" t="str">
        <f>HYPERLINK("http://ictvonline.org/taxonomy/p/taxonomy-history?taxnode_id=201906973","ICTVonline=201906973")</f>
        <v>ICTVonline=201906973</v>
      </c>
      <c r="Y701" s="1" t="s">
        <v>8166</v>
      </c>
      <c r="Z701" s="1" t="s">
        <v>8167</v>
      </c>
      <c r="AA701" s="1">
        <v>201900000</v>
      </c>
      <c r="AB701" s="1">
        <v>35</v>
      </c>
    </row>
    <row r="702" spans="1:28" x14ac:dyDescent="0.2">
      <c r="A702" s="1">
        <v>1882</v>
      </c>
      <c r="B702" s="1" t="s">
        <v>6850</v>
      </c>
      <c r="D702" s="1" t="s">
        <v>6851</v>
      </c>
      <c r="F702" s="1" t="s">
        <v>6914</v>
      </c>
      <c r="H702" s="1" t="s">
        <v>6915</v>
      </c>
      <c r="J702" s="1" t="s">
        <v>1324</v>
      </c>
      <c r="L702" s="1" t="s">
        <v>6018</v>
      </c>
      <c r="M702" s="1" t="s">
        <v>6034</v>
      </c>
      <c r="N702" s="1" t="s">
        <v>6035</v>
      </c>
      <c r="P702" s="1" t="s">
        <v>6039</v>
      </c>
      <c r="Q702" s="3">
        <v>0</v>
      </c>
      <c r="R702" s="23" t="s">
        <v>6854</v>
      </c>
      <c r="S702" s="23" t="s">
        <v>6845</v>
      </c>
      <c r="T702" s="23" t="s">
        <v>4866</v>
      </c>
      <c r="U702" s="3">
        <v>35</v>
      </c>
      <c r="W702" s="45" t="str">
        <f>HYPERLINK("http://ictvonline.org/taxonomy/p/taxonomy-history?taxnode_id=201906975","ICTVonline=201906975")</f>
        <v>ICTVonline=201906975</v>
      </c>
      <c r="Y702" s="1" t="s">
        <v>8168</v>
      </c>
      <c r="Z702" s="1" t="s">
        <v>8169</v>
      </c>
      <c r="AA702" s="1">
        <v>201900000</v>
      </c>
      <c r="AB702" s="1">
        <v>35</v>
      </c>
    </row>
    <row r="703" spans="1:28" x14ac:dyDescent="0.2">
      <c r="A703" s="1">
        <v>1884</v>
      </c>
      <c r="B703" s="1" t="s">
        <v>6850</v>
      </c>
      <c r="D703" s="1" t="s">
        <v>6851</v>
      </c>
      <c r="F703" s="1" t="s">
        <v>6914</v>
      </c>
      <c r="H703" s="1" t="s">
        <v>6915</v>
      </c>
      <c r="J703" s="1" t="s">
        <v>1324</v>
      </c>
      <c r="L703" s="1" t="s">
        <v>6018</v>
      </c>
      <c r="M703" s="1" t="s">
        <v>6034</v>
      </c>
      <c r="N703" s="1" t="s">
        <v>6035</v>
      </c>
      <c r="P703" s="1" t="s">
        <v>6040</v>
      </c>
      <c r="Q703" s="3">
        <v>0</v>
      </c>
      <c r="R703" s="23" t="s">
        <v>6854</v>
      </c>
      <c r="S703" s="23" t="s">
        <v>6845</v>
      </c>
      <c r="T703" s="23" t="s">
        <v>4866</v>
      </c>
      <c r="U703" s="3">
        <v>35</v>
      </c>
      <c r="W703" s="45" t="str">
        <f>HYPERLINK("http://ictvonline.org/taxonomy/p/taxonomy-history?taxnode_id=201906974","ICTVonline=201906974")</f>
        <v>ICTVonline=201906974</v>
      </c>
      <c r="Y703" s="1" t="s">
        <v>8170</v>
      </c>
      <c r="Z703" s="1" t="s">
        <v>8171</v>
      </c>
      <c r="AA703" s="1">
        <v>201900000</v>
      </c>
      <c r="AB703" s="1">
        <v>35</v>
      </c>
    </row>
    <row r="704" spans="1:28" x14ac:dyDescent="0.2">
      <c r="A704" s="1">
        <v>1886</v>
      </c>
      <c r="B704" s="1" t="s">
        <v>6850</v>
      </c>
      <c r="D704" s="1" t="s">
        <v>6851</v>
      </c>
      <c r="F704" s="1" t="s">
        <v>6914</v>
      </c>
      <c r="H704" s="1" t="s">
        <v>6915</v>
      </c>
      <c r="J704" s="1" t="s">
        <v>1324</v>
      </c>
      <c r="L704" s="1" t="s">
        <v>6018</v>
      </c>
      <c r="M704" s="1" t="s">
        <v>6034</v>
      </c>
      <c r="N704" s="1" t="s">
        <v>6035</v>
      </c>
      <c r="P704" s="1" t="s">
        <v>6041</v>
      </c>
      <c r="Q704" s="3">
        <v>0</v>
      </c>
      <c r="R704" s="23" t="s">
        <v>6854</v>
      </c>
      <c r="S704" s="23" t="s">
        <v>6845</v>
      </c>
      <c r="T704" s="23" t="s">
        <v>4866</v>
      </c>
      <c r="U704" s="3">
        <v>35</v>
      </c>
      <c r="W704" s="45" t="str">
        <f>HYPERLINK("http://ictvonline.org/taxonomy/p/taxonomy-history?taxnode_id=201906976","ICTVonline=201906976")</f>
        <v>ICTVonline=201906976</v>
      </c>
      <c r="Y704" s="1" t="s">
        <v>8172</v>
      </c>
      <c r="Z704" s="1" t="s">
        <v>8173</v>
      </c>
      <c r="AA704" s="1">
        <v>201900000</v>
      </c>
      <c r="AB704" s="1">
        <v>35</v>
      </c>
    </row>
    <row r="705" spans="1:28" x14ac:dyDescent="0.2">
      <c r="A705" s="1">
        <v>1888</v>
      </c>
      <c r="B705" s="1" t="s">
        <v>6850</v>
      </c>
      <c r="D705" s="1" t="s">
        <v>6851</v>
      </c>
      <c r="F705" s="1" t="s">
        <v>6914</v>
      </c>
      <c r="H705" s="1" t="s">
        <v>6915</v>
      </c>
      <c r="J705" s="1" t="s">
        <v>1324</v>
      </c>
      <c r="L705" s="1" t="s">
        <v>6018</v>
      </c>
      <c r="M705" s="1" t="s">
        <v>6034</v>
      </c>
      <c r="N705" s="1" t="s">
        <v>6035</v>
      </c>
      <c r="P705" s="1" t="s">
        <v>6042</v>
      </c>
      <c r="Q705" s="3">
        <v>0</v>
      </c>
      <c r="R705" s="23" t="s">
        <v>6854</v>
      </c>
      <c r="S705" s="23" t="s">
        <v>6845</v>
      </c>
      <c r="T705" s="23" t="s">
        <v>4866</v>
      </c>
      <c r="U705" s="3">
        <v>35</v>
      </c>
      <c r="W705" s="45" t="str">
        <f>HYPERLINK("http://ictvonline.org/taxonomy/p/taxonomy-history?taxnode_id=201906977","ICTVonline=201906977")</f>
        <v>ICTVonline=201906977</v>
      </c>
      <c r="Y705" s="1" t="s">
        <v>8174</v>
      </c>
      <c r="Z705" s="1" t="s">
        <v>8175</v>
      </c>
      <c r="AA705" s="1">
        <v>201900000</v>
      </c>
      <c r="AB705" s="1">
        <v>35</v>
      </c>
    </row>
    <row r="706" spans="1:28" x14ac:dyDescent="0.2">
      <c r="A706" s="1">
        <v>1890</v>
      </c>
      <c r="B706" s="1" t="s">
        <v>6850</v>
      </c>
      <c r="D706" s="1" t="s">
        <v>6851</v>
      </c>
      <c r="F706" s="1" t="s">
        <v>6914</v>
      </c>
      <c r="H706" s="1" t="s">
        <v>6915</v>
      </c>
      <c r="J706" s="1" t="s">
        <v>1324</v>
      </c>
      <c r="L706" s="1" t="s">
        <v>6018</v>
      </c>
      <c r="M706" s="1" t="s">
        <v>6034</v>
      </c>
      <c r="N706" s="1" t="s">
        <v>6035</v>
      </c>
      <c r="P706" s="1" t="s">
        <v>6043</v>
      </c>
      <c r="Q706" s="3">
        <v>0</v>
      </c>
      <c r="R706" s="23" t="s">
        <v>6854</v>
      </c>
      <c r="S706" s="23" t="s">
        <v>6845</v>
      </c>
      <c r="T706" s="23" t="s">
        <v>4866</v>
      </c>
      <c r="U706" s="3">
        <v>35</v>
      </c>
      <c r="W706" s="45" t="str">
        <f>HYPERLINK("http://ictvonline.org/taxonomy/p/taxonomy-history?taxnode_id=201906978","ICTVonline=201906978")</f>
        <v>ICTVonline=201906978</v>
      </c>
      <c r="Y706" s="1" t="s">
        <v>8176</v>
      </c>
      <c r="Z706" s="1" t="s">
        <v>8177</v>
      </c>
      <c r="AA706" s="1">
        <v>201900000</v>
      </c>
      <c r="AB706" s="1">
        <v>35</v>
      </c>
    </row>
    <row r="707" spans="1:28" x14ac:dyDescent="0.2">
      <c r="A707" s="1">
        <v>1892</v>
      </c>
      <c r="B707" s="1" t="s">
        <v>6850</v>
      </c>
      <c r="D707" s="1" t="s">
        <v>6851</v>
      </c>
      <c r="F707" s="1" t="s">
        <v>6914</v>
      </c>
      <c r="H707" s="1" t="s">
        <v>6915</v>
      </c>
      <c r="J707" s="1" t="s">
        <v>1324</v>
      </c>
      <c r="L707" s="1" t="s">
        <v>6018</v>
      </c>
      <c r="M707" s="1" t="s">
        <v>6034</v>
      </c>
      <c r="N707" s="1" t="s">
        <v>6035</v>
      </c>
      <c r="P707" s="1" t="s">
        <v>2762</v>
      </c>
      <c r="Q707" s="3">
        <v>1</v>
      </c>
      <c r="R707" s="23" t="s">
        <v>6854</v>
      </c>
      <c r="S707" s="23" t="s">
        <v>6845</v>
      </c>
      <c r="T707" s="23" t="s">
        <v>4866</v>
      </c>
      <c r="U707" s="3">
        <v>35</v>
      </c>
      <c r="W707" s="45" t="str">
        <f>HYPERLINK("http://ictvonline.org/taxonomy/p/taxonomy-history?taxnode_id=201900261","ICTVonline=201900261")</f>
        <v>ICTVonline=201900261</v>
      </c>
      <c r="Y707" s="1" t="s">
        <v>8178</v>
      </c>
      <c r="Z707" s="1" t="s">
        <v>8179</v>
      </c>
      <c r="AA707" s="1">
        <v>201900000</v>
      </c>
      <c r="AB707" s="1">
        <v>35</v>
      </c>
    </row>
    <row r="708" spans="1:28" x14ac:dyDescent="0.2">
      <c r="A708" s="1">
        <v>1894</v>
      </c>
      <c r="B708" s="1" t="s">
        <v>6850</v>
      </c>
      <c r="D708" s="1" t="s">
        <v>6851</v>
      </c>
      <c r="F708" s="1" t="s">
        <v>6914</v>
      </c>
      <c r="H708" s="1" t="s">
        <v>6915</v>
      </c>
      <c r="J708" s="1" t="s">
        <v>1324</v>
      </c>
      <c r="L708" s="1" t="s">
        <v>6018</v>
      </c>
      <c r="M708" s="1" t="s">
        <v>6034</v>
      </c>
      <c r="N708" s="1" t="s">
        <v>6035</v>
      </c>
      <c r="P708" s="1" t="s">
        <v>6044</v>
      </c>
      <c r="Q708" s="3">
        <v>0</v>
      </c>
      <c r="R708" s="23" t="s">
        <v>6854</v>
      </c>
      <c r="S708" s="23" t="s">
        <v>6845</v>
      </c>
      <c r="T708" s="23" t="s">
        <v>4866</v>
      </c>
      <c r="U708" s="3">
        <v>35</v>
      </c>
      <c r="W708" s="45" t="str">
        <f>HYPERLINK("http://ictvonline.org/taxonomy/p/taxonomy-history?taxnode_id=201906980","ICTVonline=201906980")</f>
        <v>ICTVonline=201906980</v>
      </c>
      <c r="Y708" s="1" t="s">
        <v>8180</v>
      </c>
      <c r="Z708" s="1" t="s">
        <v>8181</v>
      </c>
      <c r="AA708" s="1">
        <v>201900000</v>
      </c>
      <c r="AB708" s="1">
        <v>35</v>
      </c>
    </row>
    <row r="709" spans="1:28" x14ac:dyDescent="0.2">
      <c r="A709" s="1">
        <v>1900</v>
      </c>
      <c r="B709" s="1" t="s">
        <v>6850</v>
      </c>
      <c r="D709" s="1" t="s">
        <v>6851</v>
      </c>
      <c r="F709" s="1" t="s">
        <v>6914</v>
      </c>
      <c r="H709" s="1" t="s">
        <v>6915</v>
      </c>
      <c r="J709" s="1" t="s">
        <v>1324</v>
      </c>
      <c r="L709" s="1" t="s">
        <v>6018</v>
      </c>
      <c r="M709" s="1" t="s">
        <v>1334</v>
      </c>
      <c r="N709" s="1" t="s">
        <v>6045</v>
      </c>
      <c r="P709" s="1" t="s">
        <v>4141</v>
      </c>
      <c r="Q709" s="3">
        <v>0</v>
      </c>
      <c r="R709" s="23" t="s">
        <v>6854</v>
      </c>
      <c r="S709" s="23" t="s">
        <v>6845</v>
      </c>
      <c r="T709" s="23" t="s">
        <v>4866</v>
      </c>
      <c r="U709" s="3">
        <v>35</v>
      </c>
      <c r="W709" s="45" t="str">
        <f>HYPERLINK("http://ictvonline.org/taxonomy/p/taxonomy-history?taxnode_id=201900267","ICTVonline=201900267")</f>
        <v>ICTVonline=201900267</v>
      </c>
      <c r="Y709" s="1" t="s">
        <v>8182</v>
      </c>
      <c r="Z709" s="1" t="s">
        <v>8183</v>
      </c>
      <c r="AA709" s="1">
        <v>201900000</v>
      </c>
      <c r="AB709" s="1">
        <v>35</v>
      </c>
    </row>
    <row r="710" spans="1:28" x14ac:dyDescent="0.2">
      <c r="A710" s="1">
        <v>1902</v>
      </c>
      <c r="B710" s="1" t="s">
        <v>6850</v>
      </c>
      <c r="D710" s="1" t="s">
        <v>6851</v>
      </c>
      <c r="F710" s="1" t="s">
        <v>6914</v>
      </c>
      <c r="H710" s="1" t="s">
        <v>6915</v>
      </c>
      <c r="J710" s="1" t="s">
        <v>1324</v>
      </c>
      <c r="L710" s="1" t="s">
        <v>6018</v>
      </c>
      <c r="M710" s="1" t="s">
        <v>1334</v>
      </c>
      <c r="N710" s="1" t="s">
        <v>6045</v>
      </c>
      <c r="P710" s="1" t="s">
        <v>2766</v>
      </c>
      <c r="Q710" s="3">
        <v>1</v>
      </c>
      <c r="R710" s="23" t="s">
        <v>6854</v>
      </c>
      <c r="S710" s="23" t="s">
        <v>6845</v>
      </c>
      <c r="T710" s="23" t="s">
        <v>4866</v>
      </c>
      <c r="U710" s="3">
        <v>35</v>
      </c>
      <c r="W710" s="45" t="str">
        <f>HYPERLINK("http://ictvonline.org/taxonomy/p/taxonomy-history?taxnode_id=201900268","ICTVonline=201900268")</f>
        <v>ICTVonline=201900268</v>
      </c>
      <c r="AA710" s="1">
        <v>201900000</v>
      </c>
      <c r="AB710" s="1">
        <v>35</v>
      </c>
    </row>
    <row r="711" spans="1:28" x14ac:dyDescent="0.2">
      <c r="A711" s="1">
        <v>1906</v>
      </c>
      <c r="B711" s="1" t="s">
        <v>6850</v>
      </c>
      <c r="D711" s="1" t="s">
        <v>6851</v>
      </c>
      <c r="F711" s="1" t="s">
        <v>6914</v>
      </c>
      <c r="H711" s="1" t="s">
        <v>6915</v>
      </c>
      <c r="J711" s="1" t="s">
        <v>1324</v>
      </c>
      <c r="L711" s="1" t="s">
        <v>6018</v>
      </c>
      <c r="M711" s="1" t="s">
        <v>1334</v>
      </c>
      <c r="N711" s="1" t="s">
        <v>6218</v>
      </c>
      <c r="P711" s="1" t="s">
        <v>2856</v>
      </c>
      <c r="Q711" s="3">
        <v>1</v>
      </c>
      <c r="R711" s="23" t="s">
        <v>6854</v>
      </c>
      <c r="S711" s="23" t="s">
        <v>6845</v>
      </c>
      <c r="T711" s="23" t="s">
        <v>4866</v>
      </c>
      <c r="U711" s="3">
        <v>35</v>
      </c>
      <c r="W711" s="45" t="str">
        <f>HYPERLINK("http://ictvonline.org/taxonomy/p/taxonomy-history?taxnode_id=201900425","ICTVonline=201900425")</f>
        <v>ICTVonline=201900425</v>
      </c>
      <c r="Y711" s="1" t="s">
        <v>8184</v>
      </c>
      <c r="Z711" s="1" t="s">
        <v>8185</v>
      </c>
      <c r="AA711" s="1">
        <v>201900000</v>
      </c>
      <c r="AB711" s="1">
        <v>35</v>
      </c>
    </row>
    <row r="712" spans="1:28" x14ac:dyDescent="0.2">
      <c r="A712" s="1">
        <v>1908</v>
      </c>
      <c r="B712" s="1" t="s">
        <v>6850</v>
      </c>
      <c r="D712" s="1" t="s">
        <v>6851</v>
      </c>
      <c r="F712" s="1" t="s">
        <v>6914</v>
      </c>
      <c r="H712" s="1" t="s">
        <v>6915</v>
      </c>
      <c r="J712" s="1" t="s">
        <v>1324</v>
      </c>
      <c r="L712" s="1" t="s">
        <v>6018</v>
      </c>
      <c r="M712" s="1" t="s">
        <v>1334</v>
      </c>
      <c r="N712" s="1" t="s">
        <v>6218</v>
      </c>
      <c r="P712" s="1" t="s">
        <v>2857</v>
      </c>
      <c r="Q712" s="3">
        <v>0</v>
      </c>
      <c r="R712" s="23" t="s">
        <v>6854</v>
      </c>
      <c r="S712" s="23" t="s">
        <v>6845</v>
      </c>
      <c r="T712" s="23" t="s">
        <v>4866</v>
      </c>
      <c r="U712" s="3">
        <v>35</v>
      </c>
      <c r="W712" s="45" t="str">
        <f>HYPERLINK("http://ictvonline.org/taxonomy/p/taxonomy-history?taxnode_id=201900426","ICTVonline=201900426")</f>
        <v>ICTVonline=201900426</v>
      </c>
      <c r="Y712" s="1" t="s">
        <v>8186</v>
      </c>
      <c r="Z712" s="1" t="s">
        <v>8187</v>
      </c>
      <c r="AA712" s="1">
        <v>201900000</v>
      </c>
      <c r="AB712" s="1">
        <v>35</v>
      </c>
    </row>
    <row r="713" spans="1:28" x14ac:dyDescent="0.2">
      <c r="A713" s="1">
        <v>1910</v>
      </c>
      <c r="B713" s="1" t="s">
        <v>6850</v>
      </c>
      <c r="D713" s="1" t="s">
        <v>6851</v>
      </c>
      <c r="F713" s="1" t="s">
        <v>6914</v>
      </c>
      <c r="H713" s="1" t="s">
        <v>6915</v>
      </c>
      <c r="J713" s="1" t="s">
        <v>1324</v>
      </c>
      <c r="L713" s="1" t="s">
        <v>6018</v>
      </c>
      <c r="M713" s="1" t="s">
        <v>1334</v>
      </c>
      <c r="N713" s="1" t="s">
        <v>6218</v>
      </c>
      <c r="P713" s="1" t="s">
        <v>2858</v>
      </c>
      <c r="Q713" s="3">
        <v>0</v>
      </c>
      <c r="R713" s="23" t="s">
        <v>6854</v>
      </c>
      <c r="S713" s="23" t="s">
        <v>6845</v>
      </c>
      <c r="T713" s="23" t="s">
        <v>4866</v>
      </c>
      <c r="U713" s="3">
        <v>35</v>
      </c>
      <c r="W713" s="45" t="str">
        <f>HYPERLINK("http://ictvonline.org/taxonomy/p/taxonomy-history?taxnode_id=201900427","ICTVonline=201900427")</f>
        <v>ICTVonline=201900427</v>
      </c>
      <c r="Y713" s="1" t="s">
        <v>8188</v>
      </c>
      <c r="Z713" s="1" t="s">
        <v>8189</v>
      </c>
      <c r="AA713" s="1">
        <v>201900000</v>
      </c>
      <c r="AB713" s="1">
        <v>35</v>
      </c>
    </row>
    <row r="714" spans="1:28" x14ac:dyDescent="0.2">
      <c r="A714" s="1">
        <v>1916</v>
      </c>
      <c r="B714" s="1" t="s">
        <v>6850</v>
      </c>
      <c r="D714" s="1" t="s">
        <v>6851</v>
      </c>
      <c r="F714" s="1" t="s">
        <v>6914</v>
      </c>
      <c r="H714" s="1" t="s">
        <v>6915</v>
      </c>
      <c r="J714" s="1" t="s">
        <v>1324</v>
      </c>
      <c r="L714" s="1" t="s">
        <v>6018</v>
      </c>
      <c r="M714" s="1" t="s">
        <v>6046</v>
      </c>
      <c r="N714" s="1" t="s">
        <v>8190</v>
      </c>
      <c r="P714" s="1" t="s">
        <v>8191</v>
      </c>
      <c r="Q714" s="3">
        <v>0</v>
      </c>
      <c r="R714" s="23" t="s">
        <v>6854</v>
      </c>
      <c r="S714" s="23" t="s">
        <v>6849</v>
      </c>
      <c r="T714" s="23" t="s">
        <v>4864</v>
      </c>
      <c r="U714" s="3">
        <v>35</v>
      </c>
      <c r="V714" s="3" t="s">
        <v>8192</v>
      </c>
      <c r="W714" s="45" t="str">
        <f>HYPERLINK("http://ictvonline.org/taxonomy/p/taxonomy-history?taxnode_id=201907732","ICTVonline=201907732")</f>
        <v>ICTVonline=201907732</v>
      </c>
      <c r="X714" s="1" t="s">
        <v>8193</v>
      </c>
      <c r="Y714" s="1" t="s">
        <v>8194</v>
      </c>
      <c r="AA714" s="1">
        <v>201900000</v>
      </c>
      <c r="AB714" s="1">
        <v>35</v>
      </c>
    </row>
    <row r="715" spans="1:28" x14ac:dyDescent="0.2">
      <c r="A715" s="1">
        <v>1918</v>
      </c>
      <c r="B715" s="1" t="s">
        <v>6850</v>
      </c>
      <c r="D715" s="1" t="s">
        <v>6851</v>
      </c>
      <c r="F715" s="1" t="s">
        <v>6914</v>
      </c>
      <c r="H715" s="1" t="s">
        <v>6915</v>
      </c>
      <c r="J715" s="1" t="s">
        <v>1324</v>
      </c>
      <c r="L715" s="1" t="s">
        <v>6018</v>
      </c>
      <c r="M715" s="1" t="s">
        <v>6046</v>
      </c>
      <c r="N715" s="1" t="s">
        <v>8190</v>
      </c>
      <c r="P715" s="1" t="s">
        <v>8195</v>
      </c>
      <c r="Q715" s="3">
        <v>1</v>
      </c>
      <c r="R715" s="23" t="s">
        <v>6854</v>
      </c>
      <c r="S715" s="23" t="s">
        <v>6849</v>
      </c>
      <c r="T715" s="23" t="s">
        <v>4864</v>
      </c>
      <c r="U715" s="3">
        <v>35</v>
      </c>
      <c r="V715" s="3" t="s">
        <v>8192</v>
      </c>
      <c r="W715" s="45" t="str">
        <f>HYPERLINK("http://ictvonline.org/taxonomy/p/taxonomy-history?taxnode_id=201907731","ICTVonline=201907731")</f>
        <v>ICTVonline=201907731</v>
      </c>
      <c r="X715" s="1" t="s">
        <v>8196</v>
      </c>
      <c r="Y715" s="1" t="s">
        <v>8197</v>
      </c>
      <c r="AA715" s="1">
        <v>201900000</v>
      </c>
      <c r="AB715" s="1">
        <v>35</v>
      </c>
    </row>
    <row r="716" spans="1:28" x14ac:dyDescent="0.2">
      <c r="A716" s="1">
        <v>1922</v>
      </c>
      <c r="B716" s="1" t="s">
        <v>6850</v>
      </c>
      <c r="D716" s="1" t="s">
        <v>6851</v>
      </c>
      <c r="F716" s="1" t="s">
        <v>6914</v>
      </c>
      <c r="H716" s="1" t="s">
        <v>6915</v>
      </c>
      <c r="J716" s="1" t="s">
        <v>1324</v>
      </c>
      <c r="L716" s="1" t="s">
        <v>6018</v>
      </c>
      <c r="M716" s="1" t="s">
        <v>6046</v>
      </c>
      <c r="N716" s="1" t="s">
        <v>8198</v>
      </c>
      <c r="P716" s="1" t="s">
        <v>8199</v>
      </c>
      <c r="Q716" s="3">
        <v>0</v>
      </c>
      <c r="R716" s="23" t="s">
        <v>6854</v>
      </c>
      <c r="S716" s="23" t="s">
        <v>6849</v>
      </c>
      <c r="T716" s="23" t="s">
        <v>4864</v>
      </c>
      <c r="U716" s="3">
        <v>35</v>
      </c>
      <c r="V716" s="3" t="s">
        <v>8200</v>
      </c>
      <c r="W716" s="45" t="str">
        <f>HYPERLINK("http://ictvonline.org/taxonomy/p/taxonomy-history?taxnode_id=201907402","ICTVonline=201907402")</f>
        <v>ICTVonline=201907402</v>
      </c>
      <c r="Y716" s="1" t="s">
        <v>8201</v>
      </c>
      <c r="AA716" s="1">
        <v>201900000</v>
      </c>
      <c r="AB716" s="1">
        <v>35</v>
      </c>
    </row>
    <row r="717" spans="1:28" x14ac:dyDescent="0.2">
      <c r="A717" s="1">
        <v>1924</v>
      </c>
      <c r="B717" s="1" t="s">
        <v>6850</v>
      </c>
      <c r="D717" s="1" t="s">
        <v>6851</v>
      </c>
      <c r="F717" s="1" t="s">
        <v>6914</v>
      </c>
      <c r="H717" s="1" t="s">
        <v>6915</v>
      </c>
      <c r="J717" s="1" t="s">
        <v>1324</v>
      </c>
      <c r="L717" s="1" t="s">
        <v>6018</v>
      </c>
      <c r="M717" s="1" t="s">
        <v>6046</v>
      </c>
      <c r="N717" s="1" t="s">
        <v>8198</v>
      </c>
      <c r="P717" s="1" t="s">
        <v>8202</v>
      </c>
      <c r="Q717" s="3">
        <v>0</v>
      </c>
      <c r="R717" s="23" t="s">
        <v>6854</v>
      </c>
      <c r="S717" s="23" t="s">
        <v>6849</v>
      </c>
      <c r="T717" s="23" t="s">
        <v>4864</v>
      </c>
      <c r="U717" s="3">
        <v>35</v>
      </c>
      <c r="V717" s="3" t="s">
        <v>8200</v>
      </c>
      <c r="W717" s="45" t="str">
        <f>HYPERLINK("http://ictvonline.org/taxonomy/p/taxonomy-history?taxnode_id=201907401","ICTVonline=201907401")</f>
        <v>ICTVonline=201907401</v>
      </c>
      <c r="Y717" s="1" t="s">
        <v>8203</v>
      </c>
      <c r="AA717" s="1">
        <v>201900000</v>
      </c>
      <c r="AB717" s="1">
        <v>35</v>
      </c>
    </row>
    <row r="718" spans="1:28" x14ac:dyDescent="0.2">
      <c r="A718" s="1">
        <v>1926</v>
      </c>
      <c r="B718" s="1" t="s">
        <v>6850</v>
      </c>
      <c r="D718" s="1" t="s">
        <v>6851</v>
      </c>
      <c r="F718" s="1" t="s">
        <v>6914</v>
      </c>
      <c r="H718" s="1" t="s">
        <v>6915</v>
      </c>
      <c r="J718" s="1" t="s">
        <v>1324</v>
      </c>
      <c r="L718" s="1" t="s">
        <v>6018</v>
      </c>
      <c r="M718" s="1" t="s">
        <v>6046</v>
      </c>
      <c r="N718" s="1" t="s">
        <v>8198</v>
      </c>
      <c r="P718" s="1" t="s">
        <v>8204</v>
      </c>
      <c r="Q718" s="3">
        <v>0</v>
      </c>
      <c r="R718" s="23" t="s">
        <v>6854</v>
      </c>
      <c r="S718" s="23" t="s">
        <v>6849</v>
      </c>
      <c r="T718" s="23" t="s">
        <v>4864</v>
      </c>
      <c r="U718" s="3">
        <v>35</v>
      </c>
      <c r="V718" s="3" t="s">
        <v>8200</v>
      </c>
      <c r="W718" s="45" t="str">
        <f>HYPERLINK("http://ictvonline.org/taxonomy/p/taxonomy-history?taxnode_id=201907403","ICTVonline=201907403")</f>
        <v>ICTVonline=201907403</v>
      </c>
      <c r="Y718" s="1" t="s">
        <v>8205</v>
      </c>
      <c r="AA718" s="1">
        <v>201900000</v>
      </c>
      <c r="AB718" s="1">
        <v>35</v>
      </c>
    </row>
    <row r="719" spans="1:28" x14ac:dyDescent="0.2">
      <c r="A719" s="1">
        <v>1928</v>
      </c>
      <c r="B719" s="1" t="s">
        <v>6850</v>
      </c>
      <c r="D719" s="1" t="s">
        <v>6851</v>
      </c>
      <c r="F719" s="1" t="s">
        <v>6914</v>
      </c>
      <c r="H719" s="1" t="s">
        <v>6915</v>
      </c>
      <c r="J719" s="1" t="s">
        <v>1324</v>
      </c>
      <c r="L719" s="1" t="s">
        <v>6018</v>
      </c>
      <c r="M719" s="1" t="s">
        <v>6046</v>
      </c>
      <c r="N719" s="1" t="s">
        <v>8198</v>
      </c>
      <c r="P719" s="1" t="s">
        <v>8206</v>
      </c>
      <c r="Q719" s="3">
        <v>1</v>
      </c>
      <c r="R719" s="23" t="s">
        <v>6854</v>
      </c>
      <c r="S719" s="23" t="s">
        <v>6849</v>
      </c>
      <c r="T719" s="23" t="s">
        <v>4864</v>
      </c>
      <c r="U719" s="3">
        <v>35</v>
      </c>
      <c r="V719" s="3" t="s">
        <v>8200</v>
      </c>
      <c r="W719" s="45" t="str">
        <f>HYPERLINK("http://ictvonline.org/taxonomy/p/taxonomy-history?taxnode_id=201907400","ICTVonline=201907400")</f>
        <v>ICTVonline=201907400</v>
      </c>
      <c r="Y719" s="1" t="s">
        <v>8207</v>
      </c>
      <c r="AA719" s="1">
        <v>201900000</v>
      </c>
      <c r="AB719" s="1">
        <v>35</v>
      </c>
    </row>
    <row r="720" spans="1:28" x14ac:dyDescent="0.2">
      <c r="A720" s="1">
        <v>1930</v>
      </c>
      <c r="B720" s="1" t="s">
        <v>6850</v>
      </c>
      <c r="D720" s="1" t="s">
        <v>6851</v>
      </c>
      <c r="F720" s="1" t="s">
        <v>6914</v>
      </c>
      <c r="H720" s="1" t="s">
        <v>6915</v>
      </c>
      <c r="J720" s="1" t="s">
        <v>1324</v>
      </c>
      <c r="L720" s="1" t="s">
        <v>6018</v>
      </c>
      <c r="M720" s="1" t="s">
        <v>6046</v>
      </c>
      <c r="N720" s="1" t="s">
        <v>8198</v>
      </c>
      <c r="P720" s="1" t="s">
        <v>8208</v>
      </c>
      <c r="Q720" s="3">
        <v>0</v>
      </c>
      <c r="R720" s="23" t="s">
        <v>6854</v>
      </c>
      <c r="S720" s="23" t="s">
        <v>6849</v>
      </c>
      <c r="T720" s="23" t="s">
        <v>4864</v>
      </c>
      <c r="U720" s="3">
        <v>35</v>
      </c>
      <c r="V720" s="3" t="s">
        <v>8200</v>
      </c>
      <c r="W720" s="45" t="str">
        <f>HYPERLINK("http://ictvonline.org/taxonomy/p/taxonomy-history?taxnode_id=201907404","ICTVonline=201907404")</f>
        <v>ICTVonline=201907404</v>
      </c>
      <c r="Y720" s="1" t="s">
        <v>8209</v>
      </c>
      <c r="AA720" s="1">
        <v>201900000</v>
      </c>
      <c r="AB720" s="1">
        <v>35</v>
      </c>
    </row>
    <row r="721" spans="1:28" x14ac:dyDescent="0.2">
      <c r="A721" s="1">
        <v>1934</v>
      </c>
      <c r="B721" s="1" t="s">
        <v>6850</v>
      </c>
      <c r="D721" s="1" t="s">
        <v>6851</v>
      </c>
      <c r="F721" s="1" t="s">
        <v>6914</v>
      </c>
      <c r="H721" s="1" t="s">
        <v>6915</v>
      </c>
      <c r="J721" s="1" t="s">
        <v>1324</v>
      </c>
      <c r="L721" s="1" t="s">
        <v>6018</v>
      </c>
      <c r="M721" s="1" t="s">
        <v>6046</v>
      </c>
      <c r="N721" s="1" t="s">
        <v>2752</v>
      </c>
      <c r="P721" s="1" t="s">
        <v>2753</v>
      </c>
      <c r="Q721" s="3">
        <v>0</v>
      </c>
      <c r="R721" s="23" t="s">
        <v>6854</v>
      </c>
      <c r="S721" s="23" t="s">
        <v>6845</v>
      </c>
      <c r="T721" s="23" t="s">
        <v>4866</v>
      </c>
      <c r="U721" s="3">
        <v>35</v>
      </c>
      <c r="W721" s="45" t="str">
        <f>HYPERLINK("http://ictvonline.org/taxonomy/p/taxonomy-history?taxnode_id=201900249","ICTVonline=201900249")</f>
        <v>ICTVonline=201900249</v>
      </c>
      <c r="AA721" s="1">
        <v>201900000</v>
      </c>
      <c r="AB721" s="1">
        <v>35</v>
      </c>
    </row>
    <row r="722" spans="1:28" x14ac:dyDescent="0.2">
      <c r="A722" s="1">
        <v>1936</v>
      </c>
      <c r="B722" s="1" t="s">
        <v>6850</v>
      </c>
      <c r="D722" s="1" t="s">
        <v>6851</v>
      </c>
      <c r="F722" s="1" t="s">
        <v>6914</v>
      </c>
      <c r="H722" s="1" t="s">
        <v>6915</v>
      </c>
      <c r="J722" s="1" t="s">
        <v>1324</v>
      </c>
      <c r="L722" s="1" t="s">
        <v>6018</v>
      </c>
      <c r="M722" s="1" t="s">
        <v>6046</v>
      </c>
      <c r="N722" s="1" t="s">
        <v>2752</v>
      </c>
      <c r="P722" s="1" t="s">
        <v>2754</v>
      </c>
      <c r="Q722" s="3">
        <v>0</v>
      </c>
      <c r="R722" s="23" t="s">
        <v>6854</v>
      </c>
      <c r="S722" s="23" t="s">
        <v>6845</v>
      </c>
      <c r="T722" s="23" t="s">
        <v>4866</v>
      </c>
      <c r="U722" s="3">
        <v>35</v>
      </c>
      <c r="W722" s="45" t="str">
        <f>HYPERLINK("http://ictvonline.org/taxonomy/p/taxonomy-history?taxnode_id=201900250","ICTVonline=201900250")</f>
        <v>ICTVonline=201900250</v>
      </c>
      <c r="Y722" s="1" t="s">
        <v>8210</v>
      </c>
      <c r="Z722" s="1" t="s">
        <v>8211</v>
      </c>
      <c r="AA722" s="1">
        <v>201900000</v>
      </c>
      <c r="AB722" s="1">
        <v>35</v>
      </c>
    </row>
    <row r="723" spans="1:28" x14ac:dyDescent="0.2">
      <c r="A723" s="1">
        <v>1938</v>
      </c>
      <c r="B723" s="1" t="s">
        <v>6850</v>
      </c>
      <c r="D723" s="1" t="s">
        <v>6851</v>
      </c>
      <c r="F723" s="1" t="s">
        <v>6914</v>
      </c>
      <c r="H723" s="1" t="s">
        <v>6915</v>
      </c>
      <c r="J723" s="1" t="s">
        <v>1324</v>
      </c>
      <c r="L723" s="1" t="s">
        <v>6018</v>
      </c>
      <c r="M723" s="1" t="s">
        <v>6046</v>
      </c>
      <c r="N723" s="1" t="s">
        <v>2752</v>
      </c>
      <c r="P723" s="1" t="s">
        <v>2755</v>
      </c>
      <c r="Q723" s="3">
        <v>0</v>
      </c>
      <c r="R723" s="23" t="s">
        <v>6854</v>
      </c>
      <c r="S723" s="23" t="s">
        <v>6845</v>
      </c>
      <c r="T723" s="23" t="s">
        <v>4866</v>
      </c>
      <c r="U723" s="3">
        <v>35</v>
      </c>
      <c r="W723" s="45" t="str">
        <f>HYPERLINK("http://ictvonline.org/taxonomy/p/taxonomy-history?taxnode_id=201900251","ICTVonline=201900251")</f>
        <v>ICTVonline=201900251</v>
      </c>
      <c r="Y723" s="1" t="s">
        <v>8212</v>
      </c>
      <c r="Z723" s="1" t="s">
        <v>8213</v>
      </c>
      <c r="AA723" s="1">
        <v>201900000</v>
      </c>
      <c r="AB723" s="1">
        <v>35</v>
      </c>
    </row>
    <row r="724" spans="1:28" x14ac:dyDescent="0.2">
      <c r="A724" s="1">
        <v>1940</v>
      </c>
      <c r="B724" s="1" t="s">
        <v>6850</v>
      </c>
      <c r="D724" s="1" t="s">
        <v>6851</v>
      </c>
      <c r="F724" s="1" t="s">
        <v>6914</v>
      </c>
      <c r="H724" s="1" t="s">
        <v>6915</v>
      </c>
      <c r="J724" s="1" t="s">
        <v>1324</v>
      </c>
      <c r="L724" s="1" t="s">
        <v>6018</v>
      </c>
      <c r="M724" s="1" t="s">
        <v>6046</v>
      </c>
      <c r="N724" s="1" t="s">
        <v>2752</v>
      </c>
      <c r="P724" s="1" t="s">
        <v>2756</v>
      </c>
      <c r="Q724" s="3">
        <v>1</v>
      </c>
      <c r="R724" s="23" t="s">
        <v>6854</v>
      </c>
      <c r="S724" s="23" t="s">
        <v>6845</v>
      </c>
      <c r="T724" s="23" t="s">
        <v>4866</v>
      </c>
      <c r="U724" s="3">
        <v>35</v>
      </c>
      <c r="W724" s="45" t="str">
        <f>HYPERLINK("http://ictvonline.org/taxonomy/p/taxonomy-history?taxnode_id=201900252","ICTVonline=201900252")</f>
        <v>ICTVonline=201900252</v>
      </c>
      <c r="AA724" s="1">
        <v>201900000</v>
      </c>
      <c r="AB724" s="1">
        <v>35</v>
      </c>
    </row>
    <row r="725" spans="1:28" x14ac:dyDescent="0.2">
      <c r="A725" s="1">
        <v>1942</v>
      </c>
      <c r="B725" s="1" t="s">
        <v>6850</v>
      </c>
      <c r="D725" s="1" t="s">
        <v>6851</v>
      </c>
      <c r="F725" s="1" t="s">
        <v>6914</v>
      </c>
      <c r="H725" s="1" t="s">
        <v>6915</v>
      </c>
      <c r="J725" s="1" t="s">
        <v>1324</v>
      </c>
      <c r="L725" s="1" t="s">
        <v>6018</v>
      </c>
      <c r="M725" s="1" t="s">
        <v>6046</v>
      </c>
      <c r="N725" s="1" t="s">
        <v>2752</v>
      </c>
      <c r="P725" s="1" t="s">
        <v>2757</v>
      </c>
      <c r="Q725" s="3">
        <v>0</v>
      </c>
      <c r="R725" s="23" t="s">
        <v>6854</v>
      </c>
      <c r="S725" s="23" t="s">
        <v>6845</v>
      </c>
      <c r="T725" s="23" t="s">
        <v>4866</v>
      </c>
      <c r="U725" s="3">
        <v>35</v>
      </c>
      <c r="W725" s="45" t="str">
        <f>HYPERLINK("http://ictvonline.org/taxonomy/p/taxonomy-history?taxnode_id=201900253","ICTVonline=201900253")</f>
        <v>ICTVonline=201900253</v>
      </c>
      <c r="Y725" s="1" t="s">
        <v>8214</v>
      </c>
      <c r="Z725" s="1" t="s">
        <v>8215</v>
      </c>
      <c r="AA725" s="1">
        <v>201900000</v>
      </c>
      <c r="AB725" s="1">
        <v>35</v>
      </c>
    </row>
    <row r="726" spans="1:28" x14ac:dyDescent="0.2">
      <c r="A726" s="1">
        <v>1944</v>
      </c>
      <c r="B726" s="1" t="s">
        <v>6850</v>
      </c>
      <c r="D726" s="1" t="s">
        <v>6851</v>
      </c>
      <c r="F726" s="1" t="s">
        <v>6914</v>
      </c>
      <c r="H726" s="1" t="s">
        <v>6915</v>
      </c>
      <c r="J726" s="1" t="s">
        <v>1324</v>
      </c>
      <c r="L726" s="1" t="s">
        <v>6018</v>
      </c>
      <c r="M726" s="1" t="s">
        <v>6046</v>
      </c>
      <c r="N726" s="1" t="s">
        <v>2752</v>
      </c>
      <c r="P726" s="1" t="s">
        <v>2758</v>
      </c>
      <c r="Q726" s="3">
        <v>0</v>
      </c>
      <c r="R726" s="23" t="s">
        <v>6854</v>
      </c>
      <c r="S726" s="23" t="s">
        <v>6845</v>
      </c>
      <c r="T726" s="23" t="s">
        <v>4866</v>
      </c>
      <c r="U726" s="3">
        <v>35</v>
      </c>
      <c r="W726" s="45" t="str">
        <f>HYPERLINK("http://ictvonline.org/taxonomy/p/taxonomy-history?taxnode_id=201900254","ICTVonline=201900254")</f>
        <v>ICTVonline=201900254</v>
      </c>
      <c r="Y726" s="1" t="s">
        <v>8216</v>
      </c>
      <c r="Z726" s="1" t="s">
        <v>8217</v>
      </c>
      <c r="AA726" s="1">
        <v>201900000</v>
      </c>
      <c r="AB726" s="1">
        <v>35</v>
      </c>
    </row>
    <row r="727" spans="1:28" x14ac:dyDescent="0.2">
      <c r="A727" s="1">
        <v>1946</v>
      </c>
      <c r="B727" s="1" t="s">
        <v>6850</v>
      </c>
      <c r="D727" s="1" t="s">
        <v>6851</v>
      </c>
      <c r="F727" s="1" t="s">
        <v>6914</v>
      </c>
      <c r="H727" s="1" t="s">
        <v>6915</v>
      </c>
      <c r="J727" s="1" t="s">
        <v>1324</v>
      </c>
      <c r="L727" s="1" t="s">
        <v>6018</v>
      </c>
      <c r="M727" s="1" t="s">
        <v>6046</v>
      </c>
      <c r="N727" s="1" t="s">
        <v>2752</v>
      </c>
      <c r="P727" s="1" t="s">
        <v>4138</v>
      </c>
      <c r="Q727" s="3">
        <v>0</v>
      </c>
      <c r="R727" s="23" t="s">
        <v>6854</v>
      </c>
      <c r="S727" s="23" t="s">
        <v>6845</v>
      </c>
      <c r="T727" s="23" t="s">
        <v>4866</v>
      </c>
      <c r="U727" s="3">
        <v>35</v>
      </c>
      <c r="W727" s="45" t="str">
        <f>HYPERLINK("http://ictvonline.org/taxonomy/p/taxonomy-history?taxnode_id=201900255","ICTVonline=201900255")</f>
        <v>ICTVonline=201900255</v>
      </c>
      <c r="Y727" s="1" t="s">
        <v>8218</v>
      </c>
      <c r="Z727" s="1" t="s">
        <v>8219</v>
      </c>
      <c r="AA727" s="1">
        <v>201900000</v>
      </c>
      <c r="AB727" s="1">
        <v>35</v>
      </c>
    </row>
    <row r="728" spans="1:28" x14ac:dyDescent="0.2">
      <c r="A728" s="1">
        <v>1948</v>
      </c>
      <c r="B728" s="1" t="s">
        <v>6850</v>
      </c>
      <c r="D728" s="1" t="s">
        <v>6851</v>
      </c>
      <c r="F728" s="1" t="s">
        <v>6914</v>
      </c>
      <c r="H728" s="1" t="s">
        <v>6915</v>
      </c>
      <c r="J728" s="1" t="s">
        <v>1324</v>
      </c>
      <c r="L728" s="1" t="s">
        <v>6018</v>
      </c>
      <c r="M728" s="1" t="s">
        <v>6046</v>
      </c>
      <c r="N728" s="1" t="s">
        <v>2752</v>
      </c>
      <c r="P728" s="1" t="s">
        <v>2759</v>
      </c>
      <c r="Q728" s="3">
        <v>0</v>
      </c>
      <c r="R728" s="23" t="s">
        <v>6854</v>
      </c>
      <c r="S728" s="23" t="s">
        <v>6845</v>
      </c>
      <c r="T728" s="23" t="s">
        <v>4866</v>
      </c>
      <c r="U728" s="3">
        <v>35</v>
      </c>
      <c r="W728" s="45" t="str">
        <f>HYPERLINK("http://ictvonline.org/taxonomy/p/taxonomy-history?taxnode_id=201900256","ICTVonline=201900256")</f>
        <v>ICTVonline=201900256</v>
      </c>
      <c r="Y728" s="1" t="s">
        <v>8220</v>
      </c>
      <c r="Z728" s="1" t="s">
        <v>8221</v>
      </c>
      <c r="AA728" s="1">
        <v>201900000</v>
      </c>
      <c r="AB728" s="1">
        <v>35</v>
      </c>
    </row>
    <row r="729" spans="1:28" x14ac:dyDescent="0.2">
      <c r="A729" s="1">
        <v>1950</v>
      </c>
      <c r="B729" s="1" t="s">
        <v>6850</v>
      </c>
      <c r="D729" s="1" t="s">
        <v>6851</v>
      </c>
      <c r="F729" s="1" t="s">
        <v>6914</v>
      </c>
      <c r="H729" s="1" t="s">
        <v>6915</v>
      </c>
      <c r="J729" s="1" t="s">
        <v>1324</v>
      </c>
      <c r="L729" s="1" t="s">
        <v>6018</v>
      </c>
      <c r="M729" s="1" t="s">
        <v>6046</v>
      </c>
      <c r="N729" s="1" t="s">
        <v>2752</v>
      </c>
      <c r="P729" s="1" t="s">
        <v>4139</v>
      </c>
      <c r="Q729" s="3">
        <v>0</v>
      </c>
      <c r="R729" s="23" t="s">
        <v>6854</v>
      </c>
      <c r="S729" s="23" t="s">
        <v>6845</v>
      </c>
      <c r="T729" s="23" t="s">
        <v>4866</v>
      </c>
      <c r="U729" s="3">
        <v>35</v>
      </c>
      <c r="W729" s="45" t="str">
        <f>HYPERLINK("http://ictvonline.org/taxonomy/p/taxonomy-history?taxnode_id=201900257","ICTVonline=201900257")</f>
        <v>ICTVonline=201900257</v>
      </c>
      <c r="Y729" s="1" t="s">
        <v>8222</v>
      </c>
      <c r="Z729" s="1" t="s">
        <v>8223</v>
      </c>
      <c r="AA729" s="1">
        <v>201900000</v>
      </c>
      <c r="AB729" s="1">
        <v>35</v>
      </c>
    </row>
    <row r="730" spans="1:28" x14ac:dyDescent="0.2">
      <c r="A730" s="1">
        <v>1952</v>
      </c>
      <c r="B730" s="1" t="s">
        <v>6850</v>
      </c>
      <c r="D730" s="1" t="s">
        <v>6851</v>
      </c>
      <c r="F730" s="1" t="s">
        <v>6914</v>
      </c>
      <c r="H730" s="1" t="s">
        <v>6915</v>
      </c>
      <c r="J730" s="1" t="s">
        <v>1324</v>
      </c>
      <c r="L730" s="1" t="s">
        <v>6018</v>
      </c>
      <c r="M730" s="1" t="s">
        <v>6046</v>
      </c>
      <c r="N730" s="1" t="s">
        <v>2752</v>
      </c>
      <c r="P730" s="1" t="s">
        <v>2760</v>
      </c>
      <c r="Q730" s="3">
        <v>0</v>
      </c>
      <c r="R730" s="23" t="s">
        <v>6854</v>
      </c>
      <c r="S730" s="23" t="s">
        <v>6845</v>
      </c>
      <c r="T730" s="23" t="s">
        <v>4866</v>
      </c>
      <c r="U730" s="3">
        <v>35</v>
      </c>
      <c r="W730" s="45" t="str">
        <f>HYPERLINK("http://ictvonline.org/taxonomy/p/taxonomy-history?taxnode_id=201900258","ICTVonline=201900258")</f>
        <v>ICTVonline=201900258</v>
      </c>
      <c r="Y730" s="1" t="s">
        <v>8224</v>
      </c>
      <c r="Z730" s="1" t="s">
        <v>8225</v>
      </c>
      <c r="AA730" s="1">
        <v>201900000</v>
      </c>
      <c r="AB730" s="1">
        <v>35</v>
      </c>
    </row>
    <row r="731" spans="1:28" x14ac:dyDescent="0.2">
      <c r="A731" s="1">
        <v>1954</v>
      </c>
      <c r="B731" s="1" t="s">
        <v>6850</v>
      </c>
      <c r="D731" s="1" t="s">
        <v>6851</v>
      </c>
      <c r="F731" s="1" t="s">
        <v>6914</v>
      </c>
      <c r="H731" s="1" t="s">
        <v>6915</v>
      </c>
      <c r="J731" s="1" t="s">
        <v>1324</v>
      </c>
      <c r="L731" s="1" t="s">
        <v>6018</v>
      </c>
      <c r="M731" s="1" t="s">
        <v>6046</v>
      </c>
      <c r="N731" s="1" t="s">
        <v>2752</v>
      </c>
      <c r="P731" s="1" t="s">
        <v>6047</v>
      </c>
      <c r="Q731" s="3">
        <v>0</v>
      </c>
      <c r="R731" s="23" t="s">
        <v>6854</v>
      </c>
      <c r="S731" s="23" t="s">
        <v>6845</v>
      </c>
      <c r="T731" s="23" t="s">
        <v>4866</v>
      </c>
      <c r="U731" s="3">
        <v>35</v>
      </c>
      <c r="W731" s="45" t="str">
        <f>HYPERLINK("http://ictvonline.org/taxonomy/p/taxonomy-history?taxnode_id=201906982","ICTVonline=201906982")</f>
        <v>ICTVonline=201906982</v>
      </c>
      <c r="Y731" s="1" t="s">
        <v>8226</v>
      </c>
      <c r="Z731" s="1" t="s">
        <v>8227</v>
      </c>
      <c r="AA731" s="1">
        <v>201900000</v>
      </c>
      <c r="AB731" s="1">
        <v>35</v>
      </c>
    </row>
    <row r="732" spans="1:28" x14ac:dyDescent="0.2">
      <c r="A732" s="1">
        <v>1958</v>
      </c>
      <c r="B732" s="1" t="s">
        <v>6850</v>
      </c>
      <c r="D732" s="1" t="s">
        <v>6851</v>
      </c>
      <c r="F732" s="1" t="s">
        <v>6914</v>
      </c>
      <c r="H732" s="1" t="s">
        <v>6915</v>
      </c>
      <c r="J732" s="1" t="s">
        <v>1324</v>
      </c>
      <c r="L732" s="1" t="s">
        <v>6018</v>
      </c>
      <c r="M732" s="1" t="s">
        <v>6046</v>
      </c>
      <c r="N732" s="1" t="s">
        <v>8228</v>
      </c>
      <c r="P732" s="1" t="s">
        <v>8229</v>
      </c>
      <c r="Q732" s="3">
        <v>1</v>
      </c>
      <c r="R732" s="23" t="s">
        <v>6854</v>
      </c>
      <c r="S732" s="23" t="s">
        <v>6849</v>
      </c>
      <c r="T732" s="23" t="s">
        <v>4864</v>
      </c>
      <c r="U732" s="3">
        <v>35</v>
      </c>
      <c r="V732" s="3" t="s">
        <v>8230</v>
      </c>
      <c r="W732" s="45" t="str">
        <f>HYPERLINK("http://ictvonline.org/taxonomy/p/taxonomy-history?taxnode_id=201908033","ICTVonline=201908033")</f>
        <v>ICTVonline=201908033</v>
      </c>
      <c r="Y732" s="1" t="s">
        <v>8231</v>
      </c>
      <c r="AA732" s="1">
        <v>201900000</v>
      </c>
      <c r="AB732" s="1">
        <v>35</v>
      </c>
    </row>
    <row r="733" spans="1:28" x14ac:dyDescent="0.2">
      <c r="A733" s="1">
        <v>1962</v>
      </c>
      <c r="B733" s="1" t="s">
        <v>6850</v>
      </c>
      <c r="D733" s="1" t="s">
        <v>6851</v>
      </c>
      <c r="F733" s="1" t="s">
        <v>6914</v>
      </c>
      <c r="H733" s="1" t="s">
        <v>6915</v>
      </c>
      <c r="J733" s="1" t="s">
        <v>1324</v>
      </c>
      <c r="L733" s="1" t="s">
        <v>6018</v>
      </c>
      <c r="M733" s="1" t="s">
        <v>6046</v>
      </c>
      <c r="N733" s="1" t="s">
        <v>6215</v>
      </c>
      <c r="P733" s="1" t="s">
        <v>4197</v>
      </c>
      <c r="Q733" s="3">
        <v>0</v>
      </c>
      <c r="R733" s="23" t="s">
        <v>6854</v>
      </c>
      <c r="S733" s="23" t="s">
        <v>6845</v>
      </c>
      <c r="T733" s="23" t="s">
        <v>4866</v>
      </c>
      <c r="U733" s="3">
        <v>35</v>
      </c>
      <c r="W733" s="45" t="str">
        <f>HYPERLINK("http://ictvonline.org/taxonomy/p/taxonomy-history?taxnode_id=201900505","ICTVonline=201900505")</f>
        <v>ICTVonline=201900505</v>
      </c>
      <c r="Y733" s="1" t="s">
        <v>8232</v>
      </c>
      <c r="Z733" s="1" t="s">
        <v>8233</v>
      </c>
      <c r="AA733" s="1">
        <v>201900000</v>
      </c>
      <c r="AB733" s="1">
        <v>35</v>
      </c>
    </row>
    <row r="734" spans="1:28" x14ac:dyDescent="0.2">
      <c r="A734" s="1">
        <v>1964</v>
      </c>
      <c r="B734" s="1" t="s">
        <v>6850</v>
      </c>
      <c r="D734" s="1" t="s">
        <v>6851</v>
      </c>
      <c r="F734" s="1" t="s">
        <v>6914</v>
      </c>
      <c r="H734" s="1" t="s">
        <v>6915</v>
      </c>
      <c r="J734" s="1" t="s">
        <v>1324</v>
      </c>
      <c r="L734" s="1" t="s">
        <v>6018</v>
      </c>
      <c r="M734" s="1" t="s">
        <v>6046</v>
      </c>
      <c r="N734" s="1" t="s">
        <v>6215</v>
      </c>
      <c r="P734" s="1" t="s">
        <v>4198</v>
      </c>
      <c r="Q734" s="3">
        <v>1</v>
      </c>
      <c r="R734" s="23" t="s">
        <v>6854</v>
      </c>
      <c r="S734" s="23" t="s">
        <v>6845</v>
      </c>
      <c r="T734" s="23" t="s">
        <v>4866</v>
      </c>
      <c r="U734" s="3">
        <v>35</v>
      </c>
      <c r="W734" s="45" t="str">
        <f>HYPERLINK("http://ictvonline.org/taxonomy/p/taxonomy-history?taxnode_id=201900506","ICTVonline=201900506")</f>
        <v>ICTVonline=201900506</v>
      </c>
      <c r="Y734" s="1" t="s">
        <v>8234</v>
      </c>
      <c r="Z734" s="1" t="s">
        <v>8235</v>
      </c>
      <c r="AA734" s="1">
        <v>201900000</v>
      </c>
      <c r="AB734" s="1">
        <v>35</v>
      </c>
    </row>
    <row r="735" spans="1:28" x14ac:dyDescent="0.2">
      <c r="A735" s="1">
        <v>1968</v>
      </c>
      <c r="B735" s="1" t="s">
        <v>6850</v>
      </c>
      <c r="D735" s="1" t="s">
        <v>6851</v>
      </c>
      <c r="F735" s="1" t="s">
        <v>6914</v>
      </c>
      <c r="H735" s="1" t="s">
        <v>6915</v>
      </c>
      <c r="J735" s="1" t="s">
        <v>1324</v>
      </c>
      <c r="L735" s="1" t="s">
        <v>6018</v>
      </c>
      <c r="M735" s="1" t="s">
        <v>6046</v>
      </c>
      <c r="N735" s="1" t="s">
        <v>2763</v>
      </c>
      <c r="P735" s="1" t="s">
        <v>2764</v>
      </c>
      <c r="Q735" s="3">
        <v>1</v>
      </c>
      <c r="R735" s="23" t="s">
        <v>6854</v>
      </c>
      <c r="S735" s="23" t="s">
        <v>6845</v>
      </c>
      <c r="T735" s="23" t="s">
        <v>4866</v>
      </c>
      <c r="U735" s="3">
        <v>35</v>
      </c>
      <c r="W735" s="45" t="str">
        <f>HYPERLINK("http://ictvonline.org/taxonomy/p/taxonomy-history?taxnode_id=201900263","ICTVonline=201900263")</f>
        <v>ICTVonline=201900263</v>
      </c>
      <c r="Y735" s="1" t="s">
        <v>8236</v>
      </c>
      <c r="Z735" s="1" t="s">
        <v>8237</v>
      </c>
      <c r="AA735" s="1">
        <v>201900000</v>
      </c>
      <c r="AB735" s="1">
        <v>35</v>
      </c>
    </row>
    <row r="736" spans="1:28" x14ac:dyDescent="0.2">
      <c r="A736" s="1">
        <v>1970</v>
      </c>
      <c r="B736" s="1" t="s">
        <v>6850</v>
      </c>
      <c r="D736" s="1" t="s">
        <v>6851</v>
      </c>
      <c r="F736" s="1" t="s">
        <v>6914</v>
      </c>
      <c r="H736" s="1" t="s">
        <v>6915</v>
      </c>
      <c r="J736" s="1" t="s">
        <v>1324</v>
      </c>
      <c r="L736" s="1" t="s">
        <v>6018</v>
      </c>
      <c r="M736" s="1" t="s">
        <v>6046</v>
      </c>
      <c r="N736" s="1" t="s">
        <v>2763</v>
      </c>
      <c r="P736" s="1" t="s">
        <v>2765</v>
      </c>
      <c r="Q736" s="3">
        <v>0</v>
      </c>
      <c r="R736" s="23" t="s">
        <v>6854</v>
      </c>
      <c r="S736" s="23" t="s">
        <v>6845</v>
      </c>
      <c r="T736" s="23" t="s">
        <v>4866</v>
      </c>
      <c r="U736" s="3">
        <v>35</v>
      </c>
      <c r="W736" s="45" t="str">
        <f>HYPERLINK("http://ictvonline.org/taxonomy/p/taxonomy-history?taxnode_id=201900264","ICTVonline=201900264")</f>
        <v>ICTVonline=201900264</v>
      </c>
      <c r="Y736" s="1" t="s">
        <v>8238</v>
      </c>
      <c r="Z736" s="1" t="s">
        <v>8239</v>
      </c>
      <c r="AA736" s="1">
        <v>201900000</v>
      </c>
      <c r="AB736" s="1">
        <v>35</v>
      </c>
    </row>
    <row r="737" spans="1:28" x14ac:dyDescent="0.2">
      <c r="A737" s="1">
        <v>1972</v>
      </c>
      <c r="B737" s="1" t="s">
        <v>6850</v>
      </c>
      <c r="D737" s="1" t="s">
        <v>6851</v>
      </c>
      <c r="F737" s="1" t="s">
        <v>6914</v>
      </c>
      <c r="H737" s="1" t="s">
        <v>6915</v>
      </c>
      <c r="J737" s="1" t="s">
        <v>1324</v>
      </c>
      <c r="L737" s="1" t="s">
        <v>6018</v>
      </c>
      <c r="M737" s="1" t="s">
        <v>6046</v>
      </c>
      <c r="N737" s="1" t="s">
        <v>2763</v>
      </c>
      <c r="P737" s="1" t="s">
        <v>4140</v>
      </c>
      <c r="Q737" s="3">
        <v>0</v>
      </c>
      <c r="R737" s="23" t="s">
        <v>6854</v>
      </c>
      <c r="S737" s="23" t="s">
        <v>6845</v>
      </c>
      <c r="T737" s="23" t="s">
        <v>4866</v>
      </c>
      <c r="U737" s="3">
        <v>35</v>
      </c>
      <c r="W737" s="45" t="str">
        <f>HYPERLINK("http://ictvonline.org/taxonomy/p/taxonomy-history?taxnode_id=201900265","ICTVonline=201900265")</f>
        <v>ICTVonline=201900265</v>
      </c>
      <c r="Y737" s="1" t="s">
        <v>8240</v>
      </c>
      <c r="Z737" s="1" t="s">
        <v>8241</v>
      </c>
      <c r="AA737" s="1">
        <v>201900000</v>
      </c>
      <c r="AB737" s="1">
        <v>35</v>
      </c>
    </row>
    <row r="738" spans="1:28" x14ac:dyDescent="0.2">
      <c r="A738" s="1">
        <v>1976</v>
      </c>
      <c r="B738" s="1" t="s">
        <v>6850</v>
      </c>
      <c r="D738" s="1" t="s">
        <v>6851</v>
      </c>
      <c r="F738" s="1" t="s">
        <v>6914</v>
      </c>
      <c r="H738" s="1" t="s">
        <v>6915</v>
      </c>
      <c r="J738" s="1" t="s">
        <v>1324</v>
      </c>
      <c r="L738" s="1" t="s">
        <v>6018</v>
      </c>
      <c r="M738" s="1" t="s">
        <v>6046</v>
      </c>
      <c r="N738" s="1" t="s">
        <v>2767</v>
      </c>
      <c r="P738" s="1" t="s">
        <v>2768</v>
      </c>
      <c r="Q738" s="3">
        <v>1</v>
      </c>
      <c r="R738" s="23" t="s">
        <v>6854</v>
      </c>
      <c r="S738" s="23" t="s">
        <v>6845</v>
      </c>
      <c r="T738" s="23" t="s">
        <v>4866</v>
      </c>
      <c r="U738" s="3">
        <v>35</v>
      </c>
      <c r="W738" s="45" t="str">
        <f>HYPERLINK("http://ictvonline.org/taxonomy/p/taxonomy-history?taxnode_id=201900273","ICTVonline=201900273")</f>
        <v>ICTVonline=201900273</v>
      </c>
      <c r="AA738" s="1">
        <v>201900000</v>
      </c>
      <c r="AB738" s="1">
        <v>35</v>
      </c>
    </row>
    <row r="739" spans="1:28" x14ac:dyDescent="0.2">
      <c r="A739" s="1">
        <v>1980</v>
      </c>
      <c r="B739" s="1" t="s">
        <v>6850</v>
      </c>
      <c r="D739" s="1" t="s">
        <v>6851</v>
      </c>
      <c r="F739" s="1" t="s">
        <v>6914</v>
      </c>
      <c r="H739" s="1" t="s">
        <v>6915</v>
      </c>
      <c r="J739" s="1" t="s">
        <v>1324</v>
      </c>
      <c r="L739" s="1" t="s">
        <v>6018</v>
      </c>
      <c r="P739" s="1" t="s">
        <v>6048</v>
      </c>
      <c r="Q739" s="3">
        <v>0</v>
      </c>
      <c r="R739" s="23" t="s">
        <v>6854</v>
      </c>
      <c r="S739" s="23" t="s">
        <v>6845</v>
      </c>
      <c r="T739" s="23" t="s">
        <v>4866</v>
      </c>
      <c r="U739" s="3">
        <v>35</v>
      </c>
      <c r="W739" s="45" t="str">
        <f>HYPERLINK("http://ictvonline.org/taxonomy/p/taxonomy-history?taxnode_id=201906983","ICTVonline=201906983")</f>
        <v>ICTVonline=201906983</v>
      </c>
      <c r="Y739" s="1" t="s">
        <v>8242</v>
      </c>
      <c r="Z739" s="1" t="s">
        <v>8243</v>
      </c>
      <c r="AA739" s="1">
        <v>201900000</v>
      </c>
      <c r="AB739" s="1">
        <v>35</v>
      </c>
    </row>
    <row r="740" spans="1:28" x14ac:dyDescent="0.2">
      <c r="A740" s="1">
        <v>1982</v>
      </c>
      <c r="B740" s="1" t="s">
        <v>6850</v>
      </c>
      <c r="D740" s="1" t="s">
        <v>6851</v>
      </c>
      <c r="F740" s="1" t="s">
        <v>6914</v>
      </c>
      <c r="H740" s="1" t="s">
        <v>6915</v>
      </c>
      <c r="J740" s="1" t="s">
        <v>1324</v>
      </c>
      <c r="L740" s="1" t="s">
        <v>6018</v>
      </c>
      <c r="P740" s="1" t="s">
        <v>4868</v>
      </c>
      <c r="Q740" s="3">
        <v>0</v>
      </c>
      <c r="R740" s="23" t="s">
        <v>6854</v>
      </c>
      <c r="S740" s="23" t="s">
        <v>6845</v>
      </c>
      <c r="T740" s="23" t="s">
        <v>4866</v>
      </c>
      <c r="U740" s="3">
        <v>35</v>
      </c>
      <c r="W740" s="45" t="str">
        <f>HYPERLINK("http://ictvonline.org/taxonomy/p/taxonomy-history?taxnode_id=201900276","ICTVonline=201900276")</f>
        <v>ICTVonline=201900276</v>
      </c>
      <c r="AA740" s="1">
        <v>201900000</v>
      </c>
      <c r="AB740" s="1">
        <v>35</v>
      </c>
    </row>
    <row r="741" spans="1:28" x14ac:dyDescent="0.2">
      <c r="A741" s="1">
        <v>1984</v>
      </c>
      <c r="B741" s="1" t="s">
        <v>6850</v>
      </c>
      <c r="D741" s="1" t="s">
        <v>6851</v>
      </c>
      <c r="F741" s="1" t="s">
        <v>6914</v>
      </c>
      <c r="H741" s="1" t="s">
        <v>6915</v>
      </c>
      <c r="J741" s="1" t="s">
        <v>1324</v>
      </c>
      <c r="L741" s="1" t="s">
        <v>6018</v>
      </c>
      <c r="P741" s="1" t="s">
        <v>2769</v>
      </c>
      <c r="Q741" s="3">
        <v>0</v>
      </c>
      <c r="R741" s="23" t="s">
        <v>6854</v>
      </c>
      <c r="S741" s="23" t="s">
        <v>6845</v>
      </c>
      <c r="T741" s="23" t="s">
        <v>4866</v>
      </c>
      <c r="U741" s="3">
        <v>35</v>
      </c>
      <c r="W741" s="45" t="str">
        <f>HYPERLINK("http://ictvonline.org/taxonomy/p/taxonomy-history?taxnode_id=201900277","ICTVonline=201900277")</f>
        <v>ICTVonline=201900277</v>
      </c>
      <c r="AA741" s="1">
        <v>201900000</v>
      </c>
      <c r="AB741" s="1">
        <v>35</v>
      </c>
    </row>
    <row r="742" spans="1:28" x14ac:dyDescent="0.2">
      <c r="A742" s="1">
        <v>1990</v>
      </c>
      <c r="B742" s="1" t="s">
        <v>6850</v>
      </c>
      <c r="D742" s="1" t="s">
        <v>6851</v>
      </c>
      <c r="F742" s="1" t="s">
        <v>6914</v>
      </c>
      <c r="H742" s="1" t="s">
        <v>6915</v>
      </c>
      <c r="J742" s="1" t="s">
        <v>1324</v>
      </c>
      <c r="L742" s="1" t="s">
        <v>1325</v>
      </c>
      <c r="M742" s="1" t="s">
        <v>2600</v>
      </c>
      <c r="N742" s="1" t="s">
        <v>6049</v>
      </c>
      <c r="P742" s="1" t="s">
        <v>4863</v>
      </c>
      <c r="Q742" s="3">
        <v>0</v>
      </c>
      <c r="R742" s="23" t="s">
        <v>6854</v>
      </c>
      <c r="S742" s="23" t="s">
        <v>6845</v>
      </c>
      <c r="T742" s="23" t="s">
        <v>4866</v>
      </c>
      <c r="U742" s="3">
        <v>35</v>
      </c>
      <c r="W742" s="45" t="str">
        <f>HYPERLINK("http://ictvonline.org/taxonomy/p/taxonomy-history?taxnode_id=201900194","ICTVonline=201900194")</f>
        <v>ICTVonline=201900194</v>
      </c>
      <c r="Y742" s="1" t="s">
        <v>8244</v>
      </c>
      <c r="AA742" s="1">
        <v>201900000</v>
      </c>
      <c r="AB742" s="1">
        <v>35</v>
      </c>
    </row>
    <row r="743" spans="1:28" x14ac:dyDescent="0.2">
      <c r="A743" s="1">
        <v>1992</v>
      </c>
      <c r="B743" s="1" t="s">
        <v>6850</v>
      </c>
      <c r="D743" s="1" t="s">
        <v>6851</v>
      </c>
      <c r="F743" s="1" t="s">
        <v>6914</v>
      </c>
      <c r="H743" s="1" t="s">
        <v>6915</v>
      </c>
      <c r="J743" s="1" t="s">
        <v>1324</v>
      </c>
      <c r="L743" s="1" t="s">
        <v>1325</v>
      </c>
      <c r="M743" s="1" t="s">
        <v>2600</v>
      </c>
      <c r="N743" s="1" t="s">
        <v>6049</v>
      </c>
      <c r="P743" s="1" t="s">
        <v>2728</v>
      </c>
      <c r="Q743" s="3">
        <v>1</v>
      </c>
      <c r="R743" s="23" t="s">
        <v>6854</v>
      </c>
      <c r="S743" s="23" t="s">
        <v>6845</v>
      </c>
      <c r="T743" s="23" t="s">
        <v>4866</v>
      </c>
      <c r="U743" s="3">
        <v>35</v>
      </c>
      <c r="W743" s="45" t="str">
        <f>HYPERLINK("http://ictvonline.org/taxonomy/p/taxonomy-history?taxnode_id=201900195","ICTVonline=201900195")</f>
        <v>ICTVonline=201900195</v>
      </c>
      <c r="Y743" s="1" t="s">
        <v>8245</v>
      </c>
      <c r="AA743" s="1">
        <v>201900000</v>
      </c>
      <c r="AB743" s="1">
        <v>35</v>
      </c>
    </row>
    <row r="744" spans="1:28" x14ac:dyDescent="0.2">
      <c r="A744" s="1">
        <v>1994</v>
      </c>
      <c r="B744" s="1" t="s">
        <v>6850</v>
      </c>
      <c r="D744" s="1" t="s">
        <v>6851</v>
      </c>
      <c r="F744" s="1" t="s">
        <v>6914</v>
      </c>
      <c r="H744" s="1" t="s">
        <v>6915</v>
      </c>
      <c r="J744" s="1" t="s">
        <v>1324</v>
      </c>
      <c r="L744" s="1" t="s">
        <v>1325</v>
      </c>
      <c r="M744" s="1" t="s">
        <v>2600</v>
      </c>
      <c r="N744" s="1" t="s">
        <v>6049</v>
      </c>
      <c r="P744" s="1" t="s">
        <v>2729</v>
      </c>
      <c r="Q744" s="3">
        <v>0</v>
      </c>
      <c r="R744" s="23" t="s">
        <v>6854</v>
      </c>
      <c r="S744" s="23" t="s">
        <v>6845</v>
      </c>
      <c r="T744" s="23" t="s">
        <v>4866</v>
      </c>
      <c r="U744" s="3">
        <v>35</v>
      </c>
      <c r="W744" s="45" t="str">
        <f>HYPERLINK("http://ictvonline.org/taxonomy/p/taxonomy-history?taxnode_id=201900196","ICTVonline=201900196")</f>
        <v>ICTVonline=201900196</v>
      </c>
      <c r="Y744" s="1" t="s">
        <v>8246</v>
      </c>
      <c r="AA744" s="1">
        <v>201900000</v>
      </c>
      <c r="AB744" s="1">
        <v>35</v>
      </c>
    </row>
    <row r="745" spans="1:28" x14ac:dyDescent="0.2">
      <c r="A745" s="1">
        <v>1996</v>
      </c>
      <c r="B745" s="1" t="s">
        <v>6850</v>
      </c>
      <c r="D745" s="1" t="s">
        <v>6851</v>
      </c>
      <c r="F745" s="1" t="s">
        <v>6914</v>
      </c>
      <c r="H745" s="1" t="s">
        <v>6915</v>
      </c>
      <c r="J745" s="1" t="s">
        <v>1324</v>
      </c>
      <c r="L745" s="1" t="s">
        <v>1325</v>
      </c>
      <c r="M745" s="1" t="s">
        <v>2600</v>
      </c>
      <c r="N745" s="1" t="s">
        <v>6049</v>
      </c>
      <c r="P745" s="1" t="s">
        <v>2730</v>
      </c>
      <c r="Q745" s="3">
        <v>0</v>
      </c>
      <c r="R745" s="23" t="s">
        <v>6854</v>
      </c>
      <c r="S745" s="23" t="s">
        <v>6845</v>
      </c>
      <c r="T745" s="23" t="s">
        <v>4866</v>
      </c>
      <c r="U745" s="3">
        <v>35</v>
      </c>
      <c r="W745" s="45" t="str">
        <f>HYPERLINK("http://ictvonline.org/taxonomy/p/taxonomy-history?taxnode_id=201900197","ICTVonline=201900197")</f>
        <v>ICTVonline=201900197</v>
      </c>
      <c r="Y745" s="1" t="s">
        <v>8247</v>
      </c>
      <c r="AA745" s="1">
        <v>201900000</v>
      </c>
      <c r="AB745" s="1">
        <v>35</v>
      </c>
    </row>
    <row r="746" spans="1:28" x14ac:dyDescent="0.2">
      <c r="A746" s="1">
        <v>2000</v>
      </c>
      <c r="B746" s="1" t="s">
        <v>6850</v>
      </c>
      <c r="D746" s="1" t="s">
        <v>6851</v>
      </c>
      <c r="F746" s="1" t="s">
        <v>6914</v>
      </c>
      <c r="H746" s="1" t="s">
        <v>6915</v>
      </c>
      <c r="J746" s="1" t="s">
        <v>1324</v>
      </c>
      <c r="L746" s="1" t="s">
        <v>1325</v>
      </c>
      <c r="M746" s="1" t="s">
        <v>2600</v>
      </c>
      <c r="N746" s="1" t="s">
        <v>6050</v>
      </c>
      <c r="P746" s="1" t="s">
        <v>2731</v>
      </c>
      <c r="Q746" s="3">
        <v>1</v>
      </c>
      <c r="R746" s="23" t="s">
        <v>6854</v>
      </c>
      <c r="S746" s="23" t="s">
        <v>6845</v>
      </c>
      <c r="T746" s="23" t="s">
        <v>4866</v>
      </c>
      <c r="U746" s="3">
        <v>35</v>
      </c>
      <c r="W746" s="45" t="str">
        <f>HYPERLINK("http://ictvonline.org/taxonomy/p/taxonomy-history?taxnode_id=201900199","ICTVonline=201900199")</f>
        <v>ICTVonline=201900199</v>
      </c>
      <c r="Y746" s="1" t="s">
        <v>8248</v>
      </c>
      <c r="AA746" s="1">
        <v>201900000</v>
      </c>
      <c r="AB746" s="1">
        <v>35</v>
      </c>
    </row>
    <row r="747" spans="1:28" x14ac:dyDescent="0.2">
      <c r="A747" s="1">
        <v>2002</v>
      </c>
      <c r="B747" s="1" t="s">
        <v>6850</v>
      </c>
      <c r="D747" s="1" t="s">
        <v>6851</v>
      </c>
      <c r="F747" s="1" t="s">
        <v>6914</v>
      </c>
      <c r="H747" s="1" t="s">
        <v>6915</v>
      </c>
      <c r="J747" s="1" t="s">
        <v>1324</v>
      </c>
      <c r="L747" s="1" t="s">
        <v>1325</v>
      </c>
      <c r="M747" s="1" t="s">
        <v>2600</v>
      </c>
      <c r="N747" s="1" t="s">
        <v>6050</v>
      </c>
      <c r="P747" s="1" t="s">
        <v>4128</v>
      </c>
      <c r="Q747" s="3">
        <v>0</v>
      </c>
      <c r="R747" s="23" t="s">
        <v>6854</v>
      </c>
      <c r="S747" s="23" t="s">
        <v>6845</v>
      </c>
      <c r="T747" s="23" t="s">
        <v>4866</v>
      </c>
      <c r="U747" s="3">
        <v>35</v>
      </c>
      <c r="W747" s="45" t="str">
        <f>HYPERLINK("http://ictvonline.org/taxonomy/p/taxonomy-history?taxnode_id=201900200","ICTVonline=201900200")</f>
        <v>ICTVonline=201900200</v>
      </c>
      <c r="Y747" s="1" t="s">
        <v>8249</v>
      </c>
      <c r="Z747" s="1" t="s">
        <v>8250</v>
      </c>
      <c r="AA747" s="1">
        <v>201900000</v>
      </c>
      <c r="AB747" s="1">
        <v>35</v>
      </c>
    </row>
    <row r="748" spans="1:28" x14ac:dyDescent="0.2">
      <c r="A748" s="1">
        <v>2004</v>
      </c>
      <c r="B748" s="1" t="s">
        <v>6850</v>
      </c>
      <c r="D748" s="1" t="s">
        <v>6851</v>
      </c>
      <c r="F748" s="1" t="s">
        <v>6914</v>
      </c>
      <c r="H748" s="1" t="s">
        <v>6915</v>
      </c>
      <c r="J748" s="1" t="s">
        <v>1324</v>
      </c>
      <c r="L748" s="1" t="s">
        <v>1325</v>
      </c>
      <c r="M748" s="1" t="s">
        <v>2600</v>
      </c>
      <c r="N748" s="1" t="s">
        <v>6050</v>
      </c>
      <c r="P748" s="1" t="s">
        <v>2732</v>
      </c>
      <c r="Q748" s="3">
        <v>0</v>
      </c>
      <c r="R748" s="23" t="s">
        <v>6854</v>
      </c>
      <c r="S748" s="23" t="s">
        <v>6845</v>
      </c>
      <c r="T748" s="23" t="s">
        <v>4866</v>
      </c>
      <c r="U748" s="3">
        <v>35</v>
      </c>
      <c r="W748" s="45" t="str">
        <f>HYPERLINK("http://ictvonline.org/taxonomy/p/taxonomy-history?taxnode_id=201900201","ICTVonline=201900201")</f>
        <v>ICTVonline=201900201</v>
      </c>
      <c r="Y748" s="1" t="s">
        <v>8251</v>
      </c>
      <c r="AA748" s="1">
        <v>201900000</v>
      </c>
      <c r="AB748" s="1">
        <v>35</v>
      </c>
    </row>
    <row r="749" spans="1:28" x14ac:dyDescent="0.2">
      <c r="A749" s="1">
        <v>2006</v>
      </c>
      <c r="B749" s="1" t="s">
        <v>6850</v>
      </c>
      <c r="D749" s="1" t="s">
        <v>6851</v>
      </c>
      <c r="F749" s="1" t="s">
        <v>6914</v>
      </c>
      <c r="H749" s="1" t="s">
        <v>6915</v>
      </c>
      <c r="J749" s="1" t="s">
        <v>1324</v>
      </c>
      <c r="L749" s="1" t="s">
        <v>1325</v>
      </c>
      <c r="M749" s="1" t="s">
        <v>2600</v>
      </c>
      <c r="N749" s="1" t="s">
        <v>6050</v>
      </c>
      <c r="P749" s="1" t="s">
        <v>6051</v>
      </c>
      <c r="Q749" s="3">
        <v>0</v>
      </c>
      <c r="R749" s="23" t="s">
        <v>6854</v>
      </c>
      <c r="S749" s="23" t="s">
        <v>6845</v>
      </c>
      <c r="T749" s="23" t="s">
        <v>4866</v>
      </c>
      <c r="U749" s="3">
        <v>35</v>
      </c>
      <c r="W749" s="45" t="str">
        <f>HYPERLINK("http://ictvonline.org/taxonomy/p/taxonomy-history?taxnode_id=201906998","ICTVonline=201906998")</f>
        <v>ICTVonline=201906998</v>
      </c>
      <c r="Y749" s="1" t="s">
        <v>8252</v>
      </c>
      <c r="Z749" s="1" t="s">
        <v>8253</v>
      </c>
      <c r="AA749" s="1">
        <v>201900000</v>
      </c>
      <c r="AB749" s="1">
        <v>35</v>
      </c>
    </row>
    <row r="750" spans="1:28" x14ac:dyDescent="0.2">
      <c r="A750" s="1">
        <v>2008</v>
      </c>
      <c r="B750" s="1" t="s">
        <v>6850</v>
      </c>
      <c r="D750" s="1" t="s">
        <v>6851</v>
      </c>
      <c r="F750" s="1" t="s">
        <v>6914</v>
      </c>
      <c r="H750" s="1" t="s">
        <v>6915</v>
      </c>
      <c r="J750" s="1" t="s">
        <v>1324</v>
      </c>
      <c r="L750" s="1" t="s">
        <v>1325</v>
      </c>
      <c r="M750" s="1" t="s">
        <v>2600</v>
      </c>
      <c r="N750" s="1" t="s">
        <v>6050</v>
      </c>
      <c r="P750" s="1" t="s">
        <v>2733</v>
      </c>
      <c r="Q750" s="3">
        <v>0</v>
      </c>
      <c r="R750" s="23" t="s">
        <v>6854</v>
      </c>
      <c r="S750" s="23" t="s">
        <v>6845</v>
      </c>
      <c r="T750" s="23" t="s">
        <v>4866</v>
      </c>
      <c r="U750" s="3">
        <v>35</v>
      </c>
      <c r="W750" s="45" t="str">
        <f>HYPERLINK("http://ictvonline.org/taxonomy/p/taxonomy-history?taxnode_id=201900202","ICTVonline=201900202")</f>
        <v>ICTVonline=201900202</v>
      </c>
      <c r="Y750" s="1" t="s">
        <v>8254</v>
      </c>
      <c r="AA750" s="1">
        <v>201900000</v>
      </c>
      <c r="AB750" s="1">
        <v>35</v>
      </c>
    </row>
    <row r="751" spans="1:28" x14ac:dyDescent="0.2">
      <c r="A751" s="1">
        <v>2014</v>
      </c>
      <c r="B751" s="1" t="s">
        <v>6850</v>
      </c>
      <c r="D751" s="1" t="s">
        <v>6851</v>
      </c>
      <c r="F751" s="1" t="s">
        <v>6914</v>
      </c>
      <c r="H751" s="1" t="s">
        <v>6915</v>
      </c>
      <c r="J751" s="1" t="s">
        <v>1324</v>
      </c>
      <c r="L751" s="1" t="s">
        <v>1325</v>
      </c>
      <c r="M751" s="1" t="s">
        <v>4058</v>
      </c>
      <c r="N751" s="1" t="s">
        <v>6052</v>
      </c>
      <c r="P751" s="1" t="s">
        <v>6053</v>
      </c>
      <c r="Q751" s="3">
        <v>0</v>
      </c>
      <c r="R751" s="23" t="s">
        <v>6854</v>
      </c>
      <c r="S751" s="23" t="s">
        <v>6845</v>
      </c>
      <c r="T751" s="23" t="s">
        <v>4866</v>
      </c>
      <c r="U751" s="3">
        <v>35</v>
      </c>
      <c r="W751" s="45" t="str">
        <f>HYPERLINK("http://ictvonline.org/taxonomy/p/taxonomy-history?taxnode_id=201907010","ICTVonline=201907010")</f>
        <v>ICTVonline=201907010</v>
      </c>
      <c r="Y751" s="1" t="s">
        <v>8255</v>
      </c>
      <c r="Z751" s="1" t="s">
        <v>8256</v>
      </c>
      <c r="AA751" s="1">
        <v>201900000</v>
      </c>
      <c r="AB751" s="1">
        <v>35</v>
      </c>
    </row>
    <row r="752" spans="1:28" x14ac:dyDescent="0.2">
      <c r="A752" s="1">
        <v>2016</v>
      </c>
      <c r="B752" s="1" t="s">
        <v>6850</v>
      </c>
      <c r="D752" s="1" t="s">
        <v>6851</v>
      </c>
      <c r="F752" s="1" t="s">
        <v>6914</v>
      </c>
      <c r="H752" s="1" t="s">
        <v>6915</v>
      </c>
      <c r="J752" s="1" t="s">
        <v>1324</v>
      </c>
      <c r="L752" s="1" t="s">
        <v>1325</v>
      </c>
      <c r="M752" s="1" t="s">
        <v>4058</v>
      </c>
      <c r="N752" s="1" t="s">
        <v>6052</v>
      </c>
      <c r="P752" s="1" t="s">
        <v>2862</v>
      </c>
      <c r="Q752" s="3">
        <v>0</v>
      </c>
      <c r="R752" s="23" t="s">
        <v>6854</v>
      </c>
      <c r="S752" s="23" t="s">
        <v>6845</v>
      </c>
      <c r="T752" s="23" t="s">
        <v>4866</v>
      </c>
      <c r="U752" s="3">
        <v>35</v>
      </c>
      <c r="W752" s="45" t="str">
        <f>HYPERLINK("http://ictvonline.org/taxonomy/p/taxonomy-history?taxnode_id=201900208","ICTVonline=201900208")</f>
        <v>ICTVonline=201900208</v>
      </c>
      <c r="Y752" s="1" t="s">
        <v>8257</v>
      </c>
      <c r="Z752" s="1" t="s">
        <v>8258</v>
      </c>
      <c r="AA752" s="1">
        <v>201900000</v>
      </c>
      <c r="AB752" s="1">
        <v>35</v>
      </c>
    </row>
    <row r="753" spans="1:28" x14ac:dyDescent="0.2">
      <c r="A753" s="1">
        <v>2018</v>
      </c>
      <c r="B753" s="1" t="s">
        <v>6850</v>
      </c>
      <c r="D753" s="1" t="s">
        <v>6851</v>
      </c>
      <c r="F753" s="1" t="s">
        <v>6914</v>
      </c>
      <c r="H753" s="1" t="s">
        <v>6915</v>
      </c>
      <c r="J753" s="1" t="s">
        <v>1324</v>
      </c>
      <c r="L753" s="1" t="s">
        <v>1325</v>
      </c>
      <c r="M753" s="1" t="s">
        <v>4058</v>
      </c>
      <c r="N753" s="1" t="s">
        <v>6052</v>
      </c>
      <c r="P753" s="1" t="s">
        <v>2863</v>
      </c>
      <c r="Q753" s="3">
        <v>0</v>
      </c>
      <c r="R753" s="23" t="s">
        <v>6854</v>
      </c>
      <c r="S753" s="23" t="s">
        <v>6845</v>
      </c>
      <c r="T753" s="23" t="s">
        <v>4866</v>
      </c>
      <c r="U753" s="3">
        <v>35</v>
      </c>
      <c r="W753" s="45" t="str">
        <f>HYPERLINK("http://ictvonline.org/taxonomy/p/taxonomy-history?taxnode_id=201900209","ICTVonline=201900209")</f>
        <v>ICTVonline=201900209</v>
      </c>
      <c r="Y753" s="1" t="s">
        <v>8259</v>
      </c>
      <c r="Z753" s="1" t="s">
        <v>8260</v>
      </c>
      <c r="AA753" s="1">
        <v>201900000</v>
      </c>
      <c r="AB753" s="1">
        <v>35</v>
      </c>
    </row>
    <row r="754" spans="1:28" x14ac:dyDescent="0.2">
      <c r="A754" s="1">
        <v>2020</v>
      </c>
      <c r="B754" s="1" t="s">
        <v>6850</v>
      </c>
      <c r="D754" s="1" t="s">
        <v>6851</v>
      </c>
      <c r="F754" s="1" t="s">
        <v>6914</v>
      </c>
      <c r="H754" s="1" t="s">
        <v>6915</v>
      </c>
      <c r="J754" s="1" t="s">
        <v>1324</v>
      </c>
      <c r="L754" s="1" t="s">
        <v>1325</v>
      </c>
      <c r="M754" s="1" t="s">
        <v>4058</v>
      </c>
      <c r="N754" s="1" t="s">
        <v>6052</v>
      </c>
      <c r="P754" s="1" t="s">
        <v>4130</v>
      </c>
      <c r="Q754" s="3">
        <v>0</v>
      </c>
      <c r="R754" s="23" t="s">
        <v>6854</v>
      </c>
      <c r="S754" s="23" t="s">
        <v>6845</v>
      </c>
      <c r="T754" s="23" t="s">
        <v>4866</v>
      </c>
      <c r="U754" s="3">
        <v>35</v>
      </c>
      <c r="W754" s="45" t="str">
        <f>HYPERLINK("http://ictvonline.org/taxonomy/p/taxonomy-history?taxnode_id=201900210","ICTVonline=201900210")</f>
        <v>ICTVonline=201900210</v>
      </c>
      <c r="Y754" s="1" t="s">
        <v>8261</v>
      </c>
      <c r="Z754" s="1" t="s">
        <v>8262</v>
      </c>
      <c r="AA754" s="1">
        <v>201900000</v>
      </c>
      <c r="AB754" s="1">
        <v>35</v>
      </c>
    </row>
    <row r="755" spans="1:28" x14ac:dyDescent="0.2">
      <c r="A755" s="1">
        <v>2022</v>
      </c>
      <c r="B755" s="1" t="s">
        <v>6850</v>
      </c>
      <c r="D755" s="1" t="s">
        <v>6851</v>
      </c>
      <c r="F755" s="1" t="s">
        <v>6914</v>
      </c>
      <c r="H755" s="1" t="s">
        <v>6915</v>
      </c>
      <c r="J755" s="1" t="s">
        <v>1324</v>
      </c>
      <c r="L755" s="1" t="s">
        <v>1325</v>
      </c>
      <c r="M755" s="1" t="s">
        <v>4058</v>
      </c>
      <c r="N755" s="1" t="s">
        <v>6052</v>
      </c>
      <c r="P755" s="1" t="s">
        <v>2864</v>
      </c>
      <c r="Q755" s="3">
        <v>0</v>
      </c>
      <c r="R755" s="23" t="s">
        <v>6854</v>
      </c>
      <c r="S755" s="23" t="s">
        <v>6845</v>
      </c>
      <c r="T755" s="23" t="s">
        <v>4866</v>
      </c>
      <c r="U755" s="3">
        <v>35</v>
      </c>
      <c r="W755" s="45" t="str">
        <f>HYPERLINK("http://ictvonline.org/taxonomy/p/taxonomy-history?taxnode_id=201900211","ICTVonline=201900211")</f>
        <v>ICTVonline=201900211</v>
      </c>
      <c r="Y755" s="1" t="s">
        <v>8263</v>
      </c>
      <c r="Z755" s="1" t="s">
        <v>8264</v>
      </c>
      <c r="AA755" s="1">
        <v>201900000</v>
      </c>
      <c r="AB755" s="1">
        <v>35</v>
      </c>
    </row>
    <row r="756" spans="1:28" x14ac:dyDescent="0.2">
      <c r="A756" s="1">
        <v>2024</v>
      </c>
      <c r="B756" s="1" t="s">
        <v>6850</v>
      </c>
      <c r="D756" s="1" t="s">
        <v>6851</v>
      </c>
      <c r="F756" s="1" t="s">
        <v>6914</v>
      </c>
      <c r="H756" s="1" t="s">
        <v>6915</v>
      </c>
      <c r="J756" s="1" t="s">
        <v>1324</v>
      </c>
      <c r="L756" s="1" t="s">
        <v>1325</v>
      </c>
      <c r="M756" s="1" t="s">
        <v>4058</v>
      </c>
      <c r="N756" s="1" t="s">
        <v>6052</v>
      </c>
      <c r="P756" s="1" t="s">
        <v>4131</v>
      </c>
      <c r="Q756" s="3">
        <v>0</v>
      </c>
      <c r="R756" s="23" t="s">
        <v>6854</v>
      </c>
      <c r="S756" s="23" t="s">
        <v>6845</v>
      </c>
      <c r="T756" s="23" t="s">
        <v>4866</v>
      </c>
      <c r="U756" s="3">
        <v>35</v>
      </c>
      <c r="W756" s="45" t="str">
        <f>HYPERLINK("http://ictvonline.org/taxonomy/p/taxonomy-history?taxnode_id=201900212","ICTVonline=201900212")</f>
        <v>ICTVonline=201900212</v>
      </c>
      <c r="Y756" s="1" t="s">
        <v>8265</v>
      </c>
      <c r="Z756" s="1" t="s">
        <v>8266</v>
      </c>
      <c r="AA756" s="1">
        <v>201900000</v>
      </c>
      <c r="AB756" s="1">
        <v>35</v>
      </c>
    </row>
    <row r="757" spans="1:28" x14ac:dyDescent="0.2">
      <c r="A757" s="1">
        <v>2026</v>
      </c>
      <c r="B757" s="1" t="s">
        <v>6850</v>
      </c>
      <c r="D757" s="1" t="s">
        <v>6851</v>
      </c>
      <c r="F757" s="1" t="s">
        <v>6914</v>
      </c>
      <c r="H757" s="1" t="s">
        <v>6915</v>
      </c>
      <c r="J757" s="1" t="s">
        <v>1324</v>
      </c>
      <c r="L757" s="1" t="s">
        <v>1325</v>
      </c>
      <c r="M757" s="1" t="s">
        <v>4058</v>
      </c>
      <c r="N757" s="1" t="s">
        <v>6052</v>
      </c>
      <c r="P757" s="1" t="s">
        <v>2865</v>
      </c>
      <c r="Q757" s="3">
        <v>0</v>
      </c>
      <c r="R757" s="23" t="s">
        <v>6854</v>
      </c>
      <c r="S757" s="23" t="s">
        <v>6845</v>
      </c>
      <c r="T757" s="23" t="s">
        <v>4866</v>
      </c>
      <c r="U757" s="3">
        <v>35</v>
      </c>
      <c r="W757" s="45" t="str">
        <f>HYPERLINK("http://ictvonline.org/taxonomy/p/taxonomy-history?taxnode_id=201900213","ICTVonline=201900213")</f>
        <v>ICTVonline=201900213</v>
      </c>
      <c r="Y757" s="1" t="s">
        <v>8267</v>
      </c>
      <c r="Z757" s="1" t="s">
        <v>8268</v>
      </c>
      <c r="AA757" s="1">
        <v>201900000</v>
      </c>
      <c r="AB757" s="1">
        <v>35</v>
      </c>
    </row>
    <row r="758" spans="1:28" x14ac:dyDescent="0.2">
      <c r="A758" s="1">
        <v>2028</v>
      </c>
      <c r="B758" s="1" t="s">
        <v>6850</v>
      </c>
      <c r="D758" s="1" t="s">
        <v>6851</v>
      </c>
      <c r="F758" s="1" t="s">
        <v>6914</v>
      </c>
      <c r="H758" s="1" t="s">
        <v>6915</v>
      </c>
      <c r="J758" s="1" t="s">
        <v>1324</v>
      </c>
      <c r="L758" s="1" t="s">
        <v>1325</v>
      </c>
      <c r="M758" s="1" t="s">
        <v>4058</v>
      </c>
      <c r="N758" s="1" t="s">
        <v>6052</v>
      </c>
      <c r="P758" s="1" t="s">
        <v>2866</v>
      </c>
      <c r="Q758" s="3">
        <v>0</v>
      </c>
      <c r="R758" s="23" t="s">
        <v>6854</v>
      </c>
      <c r="S758" s="23" t="s">
        <v>6845</v>
      </c>
      <c r="T758" s="23" t="s">
        <v>4866</v>
      </c>
      <c r="U758" s="3">
        <v>35</v>
      </c>
      <c r="W758" s="45" t="str">
        <f>HYPERLINK("http://ictvonline.org/taxonomy/p/taxonomy-history?taxnode_id=201900214","ICTVonline=201900214")</f>
        <v>ICTVonline=201900214</v>
      </c>
      <c r="Y758" s="1" t="s">
        <v>8269</v>
      </c>
      <c r="AA758" s="1">
        <v>201900000</v>
      </c>
      <c r="AB758" s="1">
        <v>35</v>
      </c>
    </row>
    <row r="759" spans="1:28" x14ac:dyDescent="0.2">
      <c r="A759" s="1">
        <v>2030</v>
      </c>
      <c r="B759" s="1" t="s">
        <v>6850</v>
      </c>
      <c r="D759" s="1" t="s">
        <v>6851</v>
      </c>
      <c r="F759" s="1" t="s">
        <v>6914</v>
      </c>
      <c r="H759" s="1" t="s">
        <v>6915</v>
      </c>
      <c r="J759" s="1" t="s">
        <v>1324</v>
      </c>
      <c r="L759" s="1" t="s">
        <v>1325</v>
      </c>
      <c r="M759" s="1" t="s">
        <v>4058</v>
      </c>
      <c r="N759" s="1" t="s">
        <v>6052</v>
      </c>
      <c r="P759" s="1" t="s">
        <v>6054</v>
      </c>
      <c r="Q759" s="3">
        <v>0</v>
      </c>
      <c r="R759" s="23" t="s">
        <v>6854</v>
      </c>
      <c r="S759" s="23" t="s">
        <v>6845</v>
      </c>
      <c r="T759" s="23" t="s">
        <v>4866</v>
      </c>
      <c r="U759" s="3">
        <v>35</v>
      </c>
      <c r="W759" s="45" t="str">
        <f>HYPERLINK("http://ictvonline.org/taxonomy/p/taxonomy-history?taxnode_id=201907009","ICTVonline=201907009")</f>
        <v>ICTVonline=201907009</v>
      </c>
      <c r="Y759" s="1" t="s">
        <v>8270</v>
      </c>
      <c r="Z759" s="1" t="s">
        <v>8271</v>
      </c>
      <c r="AA759" s="1">
        <v>201900000</v>
      </c>
      <c r="AB759" s="1">
        <v>35</v>
      </c>
    </row>
    <row r="760" spans="1:28" x14ac:dyDescent="0.2">
      <c r="A760" s="1">
        <v>2032</v>
      </c>
      <c r="B760" s="1" t="s">
        <v>6850</v>
      </c>
      <c r="D760" s="1" t="s">
        <v>6851</v>
      </c>
      <c r="F760" s="1" t="s">
        <v>6914</v>
      </c>
      <c r="H760" s="1" t="s">
        <v>6915</v>
      </c>
      <c r="J760" s="1" t="s">
        <v>1324</v>
      </c>
      <c r="L760" s="1" t="s">
        <v>1325</v>
      </c>
      <c r="M760" s="1" t="s">
        <v>4058</v>
      </c>
      <c r="N760" s="1" t="s">
        <v>6052</v>
      </c>
      <c r="P760" s="1" t="s">
        <v>6055</v>
      </c>
      <c r="Q760" s="3">
        <v>0</v>
      </c>
      <c r="R760" s="23" t="s">
        <v>6854</v>
      </c>
      <c r="S760" s="23" t="s">
        <v>6845</v>
      </c>
      <c r="T760" s="23" t="s">
        <v>4866</v>
      </c>
      <c r="U760" s="3">
        <v>35</v>
      </c>
      <c r="W760" s="45" t="str">
        <f>HYPERLINK("http://ictvonline.org/taxonomy/p/taxonomy-history?taxnode_id=201907007","ICTVonline=201907007")</f>
        <v>ICTVonline=201907007</v>
      </c>
      <c r="Y760" s="1" t="s">
        <v>8272</v>
      </c>
      <c r="Z760" s="1" t="s">
        <v>8273</v>
      </c>
      <c r="AA760" s="1">
        <v>201900000</v>
      </c>
      <c r="AB760" s="1">
        <v>35</v>
      </c>
    </row>
    <row r="761" spans="1:28" x14ac:dyDescent="0.2">
      <c r="A761" s="1">
        <v>2034</v>
      </c>
      <c r="B761" s="1" t="s">
        <v>6850</v>
      </c>
      <c r="D761" s="1" t="s">
        <v>6851</v>
      </c>
      <c r="F761" s="1" t="s">
        <v>6914</v>
      </c>
      <c r="H761" s="1" t="s">
        <v>6915</v>
      </c>
      <c r="J761" s="1" t="s">
        <v>1324</v>
      </c>
      <c r="L761" s="1" t="s">
        <v>1325</v>
      </c>
      <c r="M761" s="1" t="s">
        <v>4058</v>
      </c>
      <c r="N761" s="1" t="s">
        <v>6052</v>
      </c>
      <c r="P761" s="1" t="s">
        <v>6056</v>
      </c>
      <c r="Q761" s="3">
        <v>0</v>
      </c>
      <c r="R761" s="23" t="s">
        <v>6854</v>
      </c>
      <c r="S761" s="23" t="s">
        <v>6845</v>
      </c>
      <c r="T761" s="23" t="s">
        <v>4866</v>
      </c>
      <c r="U761" s="3">
        <v>35</v>
      </c>
      <c r="W761" s="45" t="str">
        <f>HYPERLINK("http://ictvonline.org/taxonomy/p/taxonomy-history?taxnode_id=201907006","ICTVonline=201907006")</f>
        <v>ICTVonline=201907006</v>
      </c>
      <c r="Y761" s="1" t="s">
        <v>8274</v>
      </c>
      <c r="Z761" s="1" t="s">
        <v>8275</v>
      </c>
      <c r="AA761" s="1">
        <v>201900000</v>
      </c>
      <c r="AB761" s="1">
        <v>35</v>
      </c>
    </row>
    <row r="762" spans="1:28" x14ac:dyDescent="0.2">
      <c r="A762" s="1">
        <v>2036</v>
      </c>
      <c r="B762" s="1" t="s">
        <v>6850</v>
      </c>
      <c r="D762" s="1" t="s">
        <v>6851</v>
      </c>
      <c r="F762" s="1" t="s">
        <v>6914</v>
      </c>
      <c r="H762" s="1" t="s">
        <v>6915</v>
      </c>
      <c r="J762" s="1" t="s">
        <v>1324</v>
      </c>
      <c r="L762" s="1" t="s">
        <v>1325</v>
      </c>
      <c r="M762" s="1" t="s">
        <v>4058</v>
      </c>
      <c r="N762" s="1" t="s">
        <v>6052</v>
      </c>
      <c r="P762" s="1" t="s">
        <v>2867</v>
      </c>
      <c r="Q762" s="3">
        <v>1</v>
      </c>
      <c r="R762" s="23" t="s">
        <v>6854</v>
      </c>
      <c r="S762" s="23" t="s">
        <v>6845</v>
      </c>
      <c r="T762" s="23" t="s">
        <v>4866</v>
      </c>
      <c r="U762" s="3">
        <v>35</v>
      </c>
      <c r="W762" s="45" t="str">
        <f>HYPERLINK("http://ictvonline.org/taxonomy/p/taxonomy-history?taxnode_id=201900215","ICTVonline=201900215")</f>
        <v>ICTVonline=201900215</v>
      </c>
      <c r="AA762" s="1">
        <v>201900000</v>
      </c>
      <c r="AB762" s="1">
        <v>35</v>
      </c>
    </row>
    <row r="763" spans="1:28" x14ac:dyDescent="0.2">
      <c r="A763" s="1">
        <v>2038</v>
      </c>
      <c r="B763" s="1" t="s">
        <v>6850</v>
      </c>
      <c r="D763" s="1" t="s">
        <v>6851</v>
      </c>
      <c r="F763" s="1" t="s">
        <v>6914</v>
      </c>
      <c r="H763" s="1" t="s">
        <v>6915</v>
      </c>
      <c r="J763" s="1" t="s">
        <v>1324</v>
      </c>
      <c r="L763" s="1" t="s">
        <v>1325</v>
      </c>
      <c r="M763" s="1" t="s">
        <v>4058</v>
      </c>
      <c r="N763" s="1" t="s">
        <v>6052</v>
      </c>
      <c r="P763" s="1" t="s">
        <v>2868</v>
      </c>
      <c r="Q763" s="3">
        <v>0</v>
      </c>
      <c r="R763" s="23" t="s">
        <v>6854</v>
      </c>
      <c r="S763" s="23" t="s">
        <v>6845</v>
      </c>
      <c r="T763" s="23" t="s">
        <v>4866</v>
      </c>
      <c r="U763" s="3">
        <v>35</v>
      </c>
      <c r="W763" s="45" t="str">
        <f>HYPERLINK("http://ictvonline.org/taxonomy/p/taxonomy-history?taxnode_id=201900217","ICTVonline=201900217")</f>
        <v>ICTVonline=201900217</v>
      </c>
      <c r="Y763" s="1" t="s">
        <v>8276</v>
      </c>
      <c r="Z763" s="1" t="s">
        <v>8277</v>
      </c>
      <c r="AA763" s="1">
        <v>201900000</v>
      </c>
      <c r="AB763" s="1">
        <v>35</v>
      </c>
    </row>
    <row r="764" spans="1:28" x14ac:dyDescent="0.2">
      <c r="A764" s="1">
        <v>2040</v>
      </c>
      <c r="B764" s="1" t="s">
        <v>6850</v>
      </c>
      <c r="D764" s="1" t="s">
        <v>6851</v>
      </c>
      <c r="F764" s="1" t="s">
        <v>6914</v>
      </c>
      <c r="H764" s="1" t="s">
        <v>6915</v>
      </c>
      <c r="J764" s="1" t="s">
        <v>1324</v>
      </c>
      <c r="L764" s="1" t="s">
        <v>1325</v>
      </c>
      <c r="M764" s="1" t="s">
        <v>4058</v>
      </c>
      <c r="N764" s="1" t="s">
        <v>6052</v>
      </c>
      <c r="P764" s="1" t="s">
        <v>6057</v>
      </c>
      <c r="Q764" s="3">
        <v>0</v>
      </c>
      <c r="R764" s="23" t="s">
        <v>6854</v>
      </c>
      <c r="S764" s="23" t="s">
        <v>6845</v>
      </c>
      <c r="T764" s="23" t="s">
        <v>4866</v>
      </c>
      <c r="U764" s="3">
        <v>35</v>
      </c>
      <c r="W764" s="45" t="str">
        <f>HYPERLINK("http://ictvonline.org/taxonomy/p/taxonomy-history?taxnode_id=201907008","ICTVonline=201907008")</f>
        <v>ICTVonline=201907008</v>
      </c>
      <c r="Y764" s="1" t="s">
        <v>8278</v>
      </c>
      <c r="Z764" s="1" t="s">
        <v>8279</v>
      </c>
      <c r="AA764" s="1">
        <v>201900000</v>
      </c>
      <c r="AB764" s="1">
        <v>35</v>
      </c>
    </row>
    <row r="765" spans="1:28" x14ac:dyDescent="0.2">
      <c r="A765" s="1">
        <v>2042</v>
      </c>
      <c r="B765" s="1" t="s">
        <v>6850</v>
      </c>
      <c r="D765" s="1" t="s">
        <v>6851</v>
      </c>
      <c r="F765" s="1" t="s">
        <v>6914</v>
      </c>
      <c r="H765" s="1" t="s">
        <v>6915</v>
      </c>
      <c r="J765" s="1" t="s">
        <v>1324</v>
      </c>
      <c r="L765" s="1" t="s">
        <v>1325</v>
      </c>
      <c r="M765" s="1" t="s">
        <v>4058</v>
      </c>
      <c r="N765" s="1" t="s">
        <v>6052</v>
      </c>
      <c r="P765" s="1" t="s">
        <v>6058</v>
      </c>
      <c r="Q765" s="3">
        <v>0</v>
      </c>
      <c r="R765" s="23" t="s">
        <v>6854</v>
      </c>
      <c r="S765" s="23" t="s">
        <v>6845</v>
      </c>
      <c r="T765" s="23" t="s">
        <v>4866</v>
      </c>
      <c r="U765" s="3">
        <v>35</v>
      </c>
      <c r="W765" s="45" t="str">
        <f>HYPERLINK("http://ictvonline.org/taxonomy/p/taxonomy-history?taxnode_id=201906902","ICTVonline=201906902")</f>
        <v>ICTVonline=201906902</v>
      </c>
      <c r="Y765" s="1" t="s">
        <v>8280</v>
      </c>
      <c r="Z765" s="1" t="s">
        <v>8281</v>
      </c>
      <c r="AA765" s="1">
        <v>201900000</v>
      </c>
      <c r="AB765" s="1">
        <v>35</v>
      </c>
    </row>
    <row r="766" spans="1:28" x14ac:dyDescent="0.2">
      <c r="A766" s="1">
        <v>2044</v>
      </c>
      <c r="B766" s="1" t="s">
        <v>6850</v>
      </c>
      <c r="D766" s="1" t="s">
        <v>6851</v>
      </c>
      <c r="F766" s="1" t="s">
        <v>6914</v>
      </c>
      <c r="H766" s="1" t="s">
        <v>6915</v>
      </c>
      <c r="J766" s="1" t="s">
        <v>1324</v>
      </c>
      <c r="L766" s="1" t="s">
        <v>1325</v>
      </c>
      <c r="M766" s="1" t="s">
        <v>4058</v>
      </c>
      <c r="N766" s="1" t="s">
        <v>6052</v>
      </c>
      <c r="P766" s="1" t="s">
        <v>2869</v>
      </c>
      <c r="Q766" s="3">
        <v>0</v>
      </c>
      <c r="R766" s="23" t="s">
        <v>6854</v>
      </c>
      <c r="S766" s="23" t="s">
        <v>6845</v>
      </c>
      <c r="T766" s="23" t="s">
        <v>4866</v>
      </c>
      <c r="U766" s="3">
        <v>35</v>
      </c>
      <c r="W766" s="45" t="str">
        <f>HYPERLINK("http://ictvonline.org/taxonomy/p/taxonomy-history?taxnode_id=201900218","ICTVonline=201900218")</f>
        <v>ICTVonline=201900218</v>
      </c>
      <c r="Y766" s="1" t="s">
        <v>8282</v>
      </c>
      <c r="Z766" s="1" t="s">
        <v>8283</v>
      </c>
      <c r="AA766" s="1">
        <v>201900000</v>
      </c>
      <c r="AB766" s="1">
        <v>35</v>
      </c>
    </row>
    <row r="767" spans="1:28" x14ac:dyDescent="0.2">
      <c r="A767" s="1">
        <v>2048</v>
      </c>
      <c r="B767" s="1" t="s">
        <v>6850</v>
      </c>
      <c r="D767" s="1" t="s">
        <v>6851</v>
      </c>
      <c r="F767" s="1" t="s">
        <v>6914</v>
      </c>
      <c r="H767" s="1" t="s">
        <v>6915</v>
      </c>
      <c r="J767" s="1" t="s">
        <v>1324</v>
      </c>
      <c r="L767" s="1" t="s">
        <v>1325</v>
      </c>
      <c r="M767" s="1" t="s">
        <v>4058</v>
      </c>
      <c r="N767" s="1" t="s">
        <v>6059</v>
      </c>
      <c r="P767" s="1" t="s">
        <v>2861</v>
      </c>
      <c r="Q767" s="3">
        <v>1</v>
      </c>
      <c r="R767" s="23" t="s">
        <v>6854</v>
      </c>
      <c r="S767" s="23" t="s">
        <v>6845</v>
      </c>
      <c r="T767" s="23" t="s">
        <v>4866</v>
      </c>
      <c r="U767" s="3">
        <v>35</v>
      </c>
      <c r="W767" s="45" t="str">
        <f>HYPERLINK("http://ictvonline.org/taxonomy/p/taxonomy-history?taxnode_id=201900205","ICTVonline=201900205")</f>
        <v>ICTVonline=201900205</v>
      </c>
      <c r="Y767" s="1" t="s">
        <v>8284</v>
      </c>
      <c r="AA767" s="1">
        <v>201900000</v>
      </c>
      <c r="AB767" s="1">
        <v>35</v>
      </c>
    </row>
    <row r="768" spans="1:28" x14ac:dyDescent="0.2">
      <c r="A768" s="1">
        <v>2050</v>
      </c>
      <c r="B768" s="1" t="s">
        <v>6850</v>
      </c>
      <c r="D768" s="1" t="s">
        <v>6851</v>
      </c>
      <c r="F768" s="1" t="s">
        <v>6914</v>
      </c>
      <c r="H768" s="1" t="s">
        <v>6915</v>
      </c>
      <c r="J768" s="1" t="s">
        <v>1324</v>
      </c>
      <c r="L768" s="1" t="s">
        <v>1325</v>
      </c>
      <c r="M768" s="1" t="s">
        <v>4058</v>
      </c>
      <c r="N768" s="1" t="s">
        <v>6059</v>
      </c>
      <c r="P768" s="1" t="s">
        <v>4129</v>
      </c>
      <c r="Q768" s="3">
        <v>0</v>
      </c>
      <c r="R768" s="23" t="s">
        <v>6854</v>
      </c>
      <c r="S768" s="23" t="s">
        <v>6845</v>
      </c>
      <c r="T768" s="23" t="s">
        <v>4866</v>
      </c>
      <c r="U768" s="3">
        <v>35</v>
      </c>
      <c r="W768" s="45" t="str">
        <f>HYPERLINK("http://ictvonline.org/taxonomy/p/taxonomy-history?taxnode_id=201900206","ICTVonline=201900206")</f>
        <v>ICTVonline=201900206</v>
      </c>
      <c r="Y768" s="1" t="s">
        <v>8285</v>
      </c>
      <c r="Z768" s="1" t="s">
        <v>8286</v>
      </c>
      <c r="AA768" s="1">
        <v>201900000</v>
      </c>
      <c r="AB768" s="1">
        <v>35</v>
      </c>
    </row>
    <row r="769" spans="1:28" x14ac:dyDescent="0.2">
      <c r="A769" s="1">
        <v>2054</v>
      </c>
      <c r="B769" s="1" t="s">
        <v>6850</v>
      </c>
      <c r="D769" s="1" t="s">
        <v>6851</v>
      </c>
      <c r="F769" s="1" t="s">
        <v>6914</v>
      </c>
      <c r="H769" s="1" t="s">
        <v>6915</v>
      </c>
      <c r="J769" s="1" t="s">
        <v>1324</v>
      </c>
      <c r="L769" s="1" t="s">
        <v>1325</v>
      </c>
      <c r="M769" s="1" t="s">
        <v>4058</v>
      </c>
      <c r="N769" s="1" t="s">
        <v>4132</v>
      </c>
      <c r="P769" s="1" t="s">
        <v>4133</v>
      </c>
      <c r="Q769" s="3">
        <v>1</v>
      </c>
      <c r="R769" s="23" t="s">
        <v>6854</v>
      </c>
      <c r="S769" s="23" t="s">
        <v>6845</v>
      </c>
      <c r="T769" s="23" t="s">
        <v>4866</v>
      </c>
      <c r="U769" s="3">
        <v>35</v>
      </c>
      <c r="W769" s="45" t="str">
        <f>HYPERLINK("http://ictvonline.org/taxonomy/p/taxonomy-history?taxnode_id=201900220","ICTVonline=201900220")</f>
        <v>ICTVonline=201900220</v>
      </c>
      <c r="Y769" s="1" t="s">
        <v>8287</v>
      </c>
      <c r="Z769" s="1" t="s">
        <v>8288</v>
      </c>
      <c r="AA769" s="1">
        <v>201900000</v>
      </c>
      <c r="AB769" s="1">
        <v>35</v>
      </c>
    </row>
    <row r="770" spans="1:28" x14ac:dyDescent="0.2">
      <c r="A770" s="1">
        <v>2056</v>
      </c>
      <c r="B770" s="1" t="s">
        <v>6850</v>
      </c>
      <c r="D770" s="1" t="s">
        <v>6851</v>
      </c>
      <c r="F770" s="1" t="s">
        <v>6914</v>
      </c>
      <c r="H770" s="1" t="s">
        <v>6915</v>
      </c>
      <c r="J770" s="1" t="s">
        <v>1324</v>
      </c>
      <c r="L770" s="1" t="s">
        <v>1325</v>
      </c>
      <c r="M770" s="1" t="s">
        <v>4058</v>
      </c>
      <c r="N770" s="1" t="s">
        <v>4132</v>
      </c>
      <c r="P770" s="1" t="s">
        <v>4134</v>
      </c>
      <c r="Q770" s="3">
        <v>0</v>
      </c>
      <c r="R770" s="23" t="s">
        <v>6854</v>
      </c>
      <c r="S770" s="23" t="s">
        <v>6845</v>
      </c>
      <c r="T770" s="23" t="s">
        <v>4866</v>
      </c>
      <c r="U770" s="3">
        <v>35</v>
      </c>
      <c r="W770" s="45" t="str">
        <f>HYPERLINK("http://ictvonline.org/taxonomy/p/taxonomy-history?taxnode_id=201900221","ICTVonline=201900221")</f>
        <v>ICTVonline=201900221</v>
      </c>
      <c r="Y770" s="1" t="s">
        <v>8289</v>
      </c>
      <c r="Z770" s="1" t="s">
        <v>8290</v>
      </c>
      <c r="AA770" s="1">
        <v>201900000</v>
      </c>
      <c r="AB770" s="1">
        <v>35</v>
      </c>
    </row>
    <row r="771" spans="1:28" x14ac:dyDescent="0.2">
      <c r="A771" s="1">
        <v>2058</v>
      </c>
      <c r="B771" s="1" t="s">
        <v>6850</v>
      </c>
      <c r="D771" s="1" t="s">
        <v>6851</v>
      </c>
      <c r="F771" s="1" t="s">
        <v>6914</v>
      </c>
      <c r="H771" s="1" t="s">
        <v>6915</v>
      </c>
      <c r="J771" s="1" t="s">
        <v>1324</v>
      </c>
      <c r="L771" s="1" t="s">
        <v>1325</v>
      </c>
      <c r="M771" s="1" t="s">
        <v>4058</v>
      </c>
      <c r="N771" s="1" t="s">
        <v>4132</v>
      </c>
      <c r="P771" s="1" t="s">
        <v>6060</v>
      </c>
      <c r="Q771" s="3">
        <v>0</v>
      </c>
      <c r="R771" s="23" t="s">
        <v>6854</v>
      </c>
      <c r="S771" s="23" t="s">
        <v>6845</v>
      </c>
      <c r="T771" s="23" t="s">
        <v>4866</v>
      </c>
      <c r="U771" s="3">
        <v>35</v>
      </c>
      <c r="W771" s="45" t="str">
        <f>HYPERLINK("http://ictvonline.org/taxonomy/p/taxonomy-history?taxnode_id=201907011","ICTVonline=201907011")</f>
        <v>ICTVonline=201907011</v>
      </c>
      <c r="Y771" s="1" t="s">
        <v>8291</v>
      </c>
      <c r="Z771" s="1" t="s">
        <v>8292</v>
      </c>
      <c r="AA771" s="1">
        <v>201900000</v>
      </c>
      <c r="AB771" s="1">
        <v>35</v>
      </c>
    </row>
    <row r="772" spans="1:28" x14ac:dyDescent="0.2">
      <c r="A772" s="1">
        <v>2060</v>
      </c>
      <c r="B772" s="1" t="s">
        <v>6850</v>
      </c>
      <c r="D772" s="1" t="s">
        <v>6851</v>
      </c>
      <c r="F772" s="1" t="s">
        <v>6914</v>
      </c>
      <c r="H772" s="1" t="s">
        <v>6915</v>
      </c>
      <c r="J772" s="1" t="s">
        <v>1324</v>
      </c>
      <c r="L772" s="1" t="s">
        <v>1325</v>
      </c>
      <c r="M772" s="1" t="s">
        <v>4058</v>
      </c>
      <c r="N772" s="1" t="s">
        <v>4132</v>
      </c>
      <c r="P772" s="1" t="s">
        <v>6061</v>
      </c>
      <c r="Q772" s="3">
        <v>0</v>
      </c>
      <c r="R772" s="23" t="s">
        <v>6854</v>
      </c>
      <c r="S772" s="23" t="s">
        <v>6845</v>
      </c>
      <c r="T772" s="23" t="s">
        <v>4866</v>
      </c>
      <c r="U772" s="3">
        <v>35</v>
      </c>
      <c r="W772" s="45" t="str">
        <f>HYPERLINK("http://ictvonline.org/taxonomy/p/taxonomy-history?taxnode_id=201907012","ICTVonline=201907012")</f>
        <v>ICTVonline=201907012</v>
      </c>
      <c r="Y772" s="1" t="s">
        <v>8293</v>
      </c>
      <c r="Z772" s="1" t="s">
        <v>8294</v>
      </c>
      <c r="AA772" s="1">
        <v>201900000</v>
      </c>
      <c r="AB772" s="1">
        <v>35</v>
      </c>
    </row>
    <row r="773" spans="1:28" x14ac:dyDescent="0.2">
      <c r="A773" s="1">
        <v>2062</v>
      </c>
      <c r="B773" s="1" t="s">
        <v>6850</v>
      </c>
      <c r="D773" s="1" t="s">
        <v>6851</v>
      </c>
      <c r="F773" s="1" t="s">
        <v>6914</v>
      </c>
      <c r="H773" s="1" t="s">
        <v>6915</v>
      </c>
      <c r="J773" s="1" t="s">
        <v>1324</v>
      </c>
      <c r="L773" s="1" t="s">
        <v>1325</v>
      </c>
      <c r="M773" s="1" t="s">
        <v>4058</v>
      </c>
      <c r="N773" s="1" t="s">
        <v>4132</v>
      </c>
      <c r="P773" s="1" t="s">
        <v>6062</v>
      </c>
      <c r="Q773" s="3">
        <v>0</v>
      </c>
      <c r="R773" s="23" t="s">
        <v>6854</v>
      </c>
      <c r="S773" s="23" t="s">
        <v>6845</v>
      </c>
      <c r="T773" s="23" t="s">
        <v>4866</v>
      </c>
      <c r="U773" s="3">
        <v>35</v>
      </c>
      <c r="W773" s="45" t="str">
        <f>HYPERLINK("http://ictvonline.org/taxonomy/p/taxonomy-history?taxnode_id=201907013","ICTVonline=201907013")</f>
        <v>ICTVonline=201907013</v>
      </c>
      <c r="Y773" s="1" t="s">
        <v>8295</v>
      </c>
      <c r="Z773" s="1" t="s">
        <v>8296</v>
      </c>
      <c r="AA773" s="1">
        <v>201900000</v>
      </c>
      <c r="AB773" s="1">
        <v>35</v>
      </c>
    </row>
    <row r="774" spans="1:28" x14ac:dyDescent="0.2">
      <c r="A774" s="1">
        <v>2066</v>
      </c>
      <c r="B774" s="1" t="s">
        <v>6850</v>
      </c>
      <c r="D774" s="1" t="s">
        <v>6851</v>
      </c>
      <c r="F774" s="1" t="s">
        <v>6914</v>
      </c>
      <c r="H774" s="1" t="s">
        <v>6915</v>
      </c>
      <c r="J774" s="1" t="s">
        <v>1324</v>
      </c>
      <c r="L774" s="1" t="s">
        <v>1325</v>
      </c>
      <c r="M774" s="1" t="s">
        <v>4058</v>
      </c>
      <c r="N774" s="1" t="s">
        <v>4135</v>
      </c>
      <c r="P774" s="1" t="s">
        <v>4136</v>
      </c>
      <c r="Q774" s="3">
        <v>1</v>
      </c>
      <c r="R774" s="23" t="s">
        <v>6854</v>
      </c>
      <c r="S774" s="23" t="s">
        <v>6845</v>
      </c>
      <c r="T774" s="23" t="s">
        <v>4866</v>
      </c>
      <c r="U774" s="3">
        <v>35</v>
      </c>
      <c r="W774" s="45" t="str">
        <f>HYPERLINK("http://ictvonline.org/taxonomy/p/taxonomy-history?taxnode_id=201900223","ICTVonline=201900223")</f>
        <v>ICTVonline=201900223</v>
      </c>
      <c r="Y774" s="1" t="s">
        <v>8297</v>
      </c>
      <c r="Z774" s="1" t="s">
        <v>8298</v>
      </c>
      <c r="AA774" s="1">
        <v>201900000</v>
      </c>
      <c r="AB774" s="1">
        <v>35</v>
      </c>
    </row>
    <row r="775" spans="1:28" x14ac:dyDescent="0.2">
      <c r="A775" s="1">
        <v>2068</v>
      </c>
      <c r="B775" s="1" t="s">
        <v>6850</v>
      </c>
      <c r="D775" s="1" t="s">
        <v>6851</v>
      </c>
      <c r="F775" s="1" t="s">
        <v>6914</v>
      </c>
      <c r="H775" s="1" t="s">
        <v>6915</v>
      </c>
      <c r="J775" s="1" t="s">
        <v>1324</v>
      </c>
      <c r="L775" s="1" t="s">
        <v>1325</v>
      </c>
      <c r="M775" s="1" t="s">
        <v>4058</v>
      </c>
      <c r="N775" s="1" t="s">
        <v>4135</v>
      </c>
      <c r="P775" s="1" t="s">
        <v>4137</v>
      </c>
      <c r="Q775" s="3">
        <v>0</v>
      </c>
      <c r="R775" s="23" t="s">
        <v>6854</v>
      </c>
      <c r="S775" s="23" t="s">
        <v>6845</v>
      </c>
      <c r="T775" s="23" t="s">
        <v>4866</v>
      </c>
      <c r="U775" s="3">
        <v>35</v>
      </c>
      <c r="W775" s="45" t="str">
        <f>HYPERLINK("http://ictvonline.org/taxonomy/p/taxonomy-history?taxnode_id=201900224","ICTVonline=201900224")</f>
        <v>ICTVonline=201900224</v>
      </c>
      <c r="Y775" s="1" t="s">
        <v>8299</v>
      </c>
      <c r="Z775" s="1" t="s">
        <v>8300</v>
      </c>
      <c r="AA775" s="1">
        <v>201900000</v>
      </c>
      <c r="AB775" s="1">
        <v>35</v>
      </c>
    </row>
    <row r="776" spans="1:28" x14ac:dyDescent="0.2">
      <c r="A776" s="1">
        <v>2074</v>
      </c>
      <c r="B776" s="1" t="s">
        <v>6850</v>
      </c>
      <c r="D776" s="1" t="s">
        <v>6851</v>
      </c>
      <c r="F776" s="1" t="s">
        <v>6914</v>
      </c>
      <c r="H776" s="1" t="s">
        <v>6915</v>
      </c>
      <c r="J776" s="1" t="s">
        <v>1324</v>
      </c>
      <c r="L776" s="1" t="s">
        <v>1325</v>
      </c>
      <c r="M776" s="1" t="s">
        <v>1333</v>
      </c>
      <c r="N776" s="1" t="s">
        <v>8301</v>
      </c>
      <c r="P776" s="1" t="s">
        <v>2747</v>
      </c>
      <c r="Q776" s="3">
        <v>1</v>
      </c>
      <c r="R776" s="23" t="s">
        <v>6854</v>
      </c>
      <c r="S776" s="23" t="s">
        <v>6849</v>
      </c>
      <c r="T776" s="23" t="s">
        <v>6395</v>
      </c>
      <c r="U776" s="3">
        <v>35</v>
      </c>
      <c r="V776" s="3" t="s">
        <v>8302</v>
      </c>
      <c r="W776" s="45" t="str">
        <f>HYPERLINK("http://ictvonline.org/taxonomy/p/taxonomy-history?taxnode_id=201900242","ICTVonline=201900242")</f>
        <v>ICTVonline=201900242</v>
      </c>
      <c r="Y776" s="1" t="s">
        <v>8303</v>
      </c>
      <c r="AA776" s="1">
        <v>201900000</v>
      </c>
      <c r="AB776" s="1">
        <v>35</v>
      </c>
    </row>
    <row r="777" spans="1:28" x14ac:dyDescent="0.2">
      <c r="A777" s="1">
        <v>2076</v>
      </c>
      <c r="B777" s="1" t="s">
        <v>6850</v>
      </c>
      <c r="D777" s="1" t="s">
        <v>6851</v>
      </c>
      <c r="F777" s="1" t="s">
        <v>6914</v>
      </c>
      <c r="H777" s="1" t="s">
        <v>6915</v>
      </c>
      <c r="J777" s="1" t="s">
        <v>1324</v>
      </c>
      <c r="L777" s="1" t="s">
        <v>1325</v>
      </c>
      <c r="M777" s="1" t="s">
        <v>1333</v>
      </c>
      <c r="N777" s="1" t="s">
        <v>8301</v>
      </c>
      <c r="P777" s="1" t="s">
        <v>8304</v>
      </c>
      <c r="Q777" s="3">
        <v>0</v>
      </c>
      <c r="R777" s="23" t="s">
        <v>6854</v>
      </c>
      <c r="S777" s="23" t="s">
        <v>6849</v>
      </c>
      <c r="T777" s="23" t="s">
        <v>4864</v>
      </c>
      <c r="U777" s="3">
        <v>35</v>
      </c>
      <c r="V777" s="3" t="s">
        <v>8302</v>
      </c>
      <c r="W777" s="45" t="str">
        <f>HYPERLINK("http://ictvonline.org/taxonomy/p/taxonomy-history?taxnode_id=201907982","ICTVonline=201907982")</f>
        <v>ICTVonline=201907982</v>
      </c>
      <c r="Y777" s="1" t="s">
        <v>8305</v>
      </c>
      <c r="AA777" s="1">
        <v>201900000</v>
      </c>
      <c r="AB777" s="1">
        <v>35</v>
      </c>
    </row>
    <row r="778" spans="1:28" x14ac:dyDescent="0.2">
      <c r="A778" s="1">
        <v>2080</v>
      </c>
      <c r="B778" s="1" t="s">
        <v>6850</v>
      </c>
      <c r="D778" s="1" t="s">
        <v>6851</v>
      </c>
      <c r="F778" s="1" t="s">
        <v>6914</v>
      </c>
      <c r="H778" s="1" t="s">
        <v>6915</v>
      </c>
      <c r="J778" s="1" t="s">
        <v>1324</v>
      </c>
      <c r="L778" s="1" t="s">
        <v>1325</v>
      </c>
      <c r="M778" s="1" t="s">
        <v>1333</v>
      </c>
      <c r="N778" s="1" t="s">
        <v>8306</v>
      </c>
      <c r="P778" s="1" t="s">
        <v>8307</v>
      </c>
      <c r="Q778" s="3">
        <v>0</v>
      </c>
      <c r="R778" s="23" t="s">
        <v>6854</v>
      </c>
      <c r="S778" s="23" t="s">
        <v>6849</v>
      </c>
      <c r="T778" s="23" t="s">
        <v>4864</v>
      </c>
      <c r="U778" s="3">
        <v>35</v>
      </c>
      <c r="V778" s="3" t="s">
        <v>8302</v>
      </c>
      <c r="W778" s="45" t="str">
        <f>HYPERLINK("http://ictvonline.org/taxonomy/p/taxonomy-history?taxnode_id=201907975","ICTVonline=201907975")</f>
        <v>ICTVonline=201907975</v>
      </c>
      <c r="Y778" s="1" t="s">
        <v>8308</v>
      </c>
      <c r="AA778" s="1">
        <v>201900000</v>
      </c>
      <c r="AB778" s="1">
        <v>35</v>
      </c>
    </row>
    <row r="779" spans="1:28" x14ac:dyDescent="0.2">
      <c r="A779" s="1">
        <v>2082</v>
      </c>
      <c r="B779" s="1" t="s">
        <v>6850</v>
      </c>
      <c r="D779" s="1" t="s">
        <v>6851</v>
      </c>
      <c r="F779" s="1" t="s">
        <v>6914</v>
      </c>
      <c r="H779" s="1" t="s">
        <v>6915</v>
      </c>
      <c r="J779" s="1" t="s">
        <v>1324</v>
      </c>
      <c r="L779" s="1" t="s">
        <v>1325</v>
      </c>
      <c r="M779" s="1" t="s">
        <v>1333</v>
      </c>
      <c r="N779" s="1" t="s">
        <v>8306</v>
      </c>
      <c r="P779" s="1" t="s">
        <v>4867</v>
      </c>
      <c r="Q779" s="3">
        <v>1</v>
      </c>
      <c r="R779" s="23" t="s">
        <v>6854</v>
      </c>
      <c r="S779" s="23" t="s">
        <v>6849</v>
      </c>
      <c r="T779" s="23" t="s">
        <v>6395</v>
      </c>
      <c r="U779" s="3">
        <v>35</v>
      </c>
      <c r="V779" s="3" t="s">
        <v>8302</v>
      </c>
      <c r="W779" s="45" t="str">
        <f>HYPERLINK("http://ictvonline.org/taxonomy/p/taxonomy-history?taxnode_id=201900240","ICTVonline=201900240")</f>
        <v>ICTVonline=201900240</v>
      </c>
      <c r="Y779" s="1" t="s">
        <v>8309</v>
      </c>
      <c r="AA779" s="1">
        <v>201900000</v>
      </c>
      <c r="AB779" s="1">
        <v>35</v>
      </c>
    </row>
    <row r="780" spans="1:28" x14ac:dyDescent="0.2">
      <c r="A780" s="1">
        <v>2086</v>
      </c>
      <c r="B780" s="1" t="s">
        <v>6850</v>
      </c>
      <c r="D780" s="1" t="s">
        <v>6851</v>
      </c>
      <c r="F780" s="1" t="s">
        <v>6914</v>
      </c>
      <c r="H780" s="1" t="s">
        <v>6915</v>
      </c>
      <c r="J780" s="1" t="s">
        <v>1324</v>
      </c>
      <c r="L780" s="1" t="s">
        <v>1325</v>
      </c>
      <c r="M780" s="1" t="s">
        <v>1333</v>
      </c>
      <c r="N780" s="1" t="s">
        <v>8310</v>
      </c>
      <c r="P780" s="1" t="s">
        <v>2734</v>
      </c>
      <c r="Q780" s="3">
        <v>1</v>
      </c>
      <c r="R780" s="23" t="s">
        <v>6854</v>
      </c>
      <c r="S780" s="23" t="s">
        <v>6849</v>
      </c>
      <c r="T780" s="23" t="s">
        <v>6395</v>
      </c>
      <c r="U780" s="3">
        <v>35</v>
      </c>
      <c r="V780" s="3" t="s">
        <v>8302</v>
      </c>
      <c r="W780" s="45" t="str">
        <f>HYPERLINK("http://ictvonline.org/taxonomy/p/taxonomy-history?taxnode_id=201900227","ICTVonline=201900227")</f>
        <v>ICTVonline=201900227</v>
      </c>
      <c r="Y780" s="1" t="s">
        <v>8311</v>
      </c>
      <c r="AA780" s="1">
        <v>201900000</v>
      </c>
      <c r="AB780" s="1">
        <v>35</v>
      </c>
    </row>
    <row r="781" spans="1:28" x14ac:dyDescent="0.2">
      <c r="A781" s="1">
        <v>2090</v>
      </c>
      <c r="B781" s="1" t="s">
        <v>6850</v>
      </c>
      <c r="D781" s="1" t="s">
        <v>6851</v>
      </c>
      <c r="F781" s="1" t="s">
        <v>6914</v>
      </c>
      <c r="H781" s="1" t="s">
        <v>6915</v>
      </c>
      <c r="J781" s="1" t="s">
        <v>1324</v>
      </c>
      <c r="L781" s="1" t="s">
        <v>1325</v>
      </c>
      <c r="M781" s="1" t="s">
        <v>1333</v>
      </c>
      <c r="N781" s="1" t="s">
        <v>8312</v>
      </c>
      <c r="P781" s="1" t="s">
        <v>8313</v>
      </c>
      <c r="Q781" s="3">
        <v>1</v>
      </c>
      <c r="R781" s="23" t="s">
        <v>6854</v>
      </c>
      <c r="S781" s="23" t="s">
        <v>6849</v>
      </c>
      <c r="T781" s="23" t="s">
        <v>4864</v>
      </c>
      <c r="U781" s="3">
        <v>35</v>
      </c>
      <c r="V781" s="3" t="s">
        <v>8302</v>
      </c>
      <c r="W781" s="45" t="str">
        <f>HYPERLINK("http://ictvonline.org/taxonomy/p/taxonomy-history?taxnode_id=201907970","ICTVonline=201907970")</f>
        <v>ICTVonline=201907970</v>
      </c>
      <c r="Y781" s="1" t="s">
        <v>8314</v>
      </c>
      <c r="AA781" s="1">
        <v>201900000</v>
      </c>
      <c r="AB781" s="1">
        <v>35</v>
      </c>
    </row>
    <row r="782" spans="1:28" x14ac:dyDescent="0.2">
      <c r="A782" s="1">
        <v>2094</v>
      </c>
      <c r="B782" s="1" t="s">
        <v>6850</v>
      </c>
      <c r="D782" s="1" t="s">
        <v>6851</v>
      </c>
      <c r="F782" s="1" t="s">
        <v>6914</v>
      </c>
      <c r="H782" s="1" t="s">
        <v>6915</v>
      </c>
      <c r="J782" s="1" t="s">
        <v>1324</v>
      </c>
      <c r="L782" s="1" t="s">
        <v>1325</v>
      </c>
      <c r="M782" s="1" t="s">
        <v>1333</v>
      </c>
      <c r="N782" s="1" t="s">
        <v>8315</v>
      </c>
      <c r="P782" s="1" t="s">
        <v>8316</v>
      </c>
      <c r="Q782" s="3">
        <v>1</v>
      </c>
      <c r="R782" s="23" t="s">
        <v>6854</v>
      </c>
      <c r="S782" s="23" t="s">
        <v>6849</v>
      </c>
      <c r="T782" s="23" t="s">
        <v>4864</v>
      </c>
      <c r="U782" s="3">
        <v>35</v>
      </c>
      <c r="V782" s="3" t="s">
        <v>8302</v>
      </c>
      <c r="W782" s="45" t="str">
        <f>HYPERLINK("http://ictvonline.org/taxonomy/p/taxonomy-history?taxnode_id=201907946","ICTVonline=201907946")</f>
        <v>ICTVonline=201907946</v>
      </c>
      <c r="Y782" s="1" t="s">
        <v>8317</v>
      </c>
      <c r="AA782" s="1">
        <v>201900000</v>
      </c>
      <c r="AB782" s="1">
        <v>35</v>
      </c>
    </row>
    <row r="783" spans="1:28" x14ac:dyDescent="0.2">
      <c r="A783" s="1">
        <v>2098</v>
      </c>
      <c r="B783" s="1" t="s">
        <v>6850</v>
      </c>
      <c r="D783" s="1" t="s">
        <v>6851</v>
      </c>
      <c r="F783" s="1" t="s">
        <v>6914</v>
      </c>
      <c r="H783" s="1" t="s">
        <v>6915</v>
      </c>
      <c r="J783" s="1" t="s">
        <v>1324</v>
      </c>
      <c r="L783" s="1" t="s">
        <v>1325</v>
      </c>
      <c r="M783" s="1" t="s">
        <v>1333</v>
      </c>
      <c r="N783" s="1" t="s">
        <v>8318</v>
      </c>
      <c r="P783" s="1" t="s">
        <v>8319</v>
      </c>
      <c r="Q783" s="3">
        <v>0</v>
      </c>
      <c r="R783" s="23" t="s">
        <v>6854</v>
      </c>
      <c r="S783" s="23" t="s">
        <v>6849</v>
      </c>
      <c r="T783" s="23" t="s">
        <v>4864</v>
      </c>
      <c r="U783" s="3">
        <v>35</v>
      </c>
      <c r="V783" s="3" t="s">
        <v>8302</v>
      </c>
      <c r="W783" s="45" t="str">
        <f>HYPERLINK("http://ictvonline.org/taxonomy/p/taxonomy-history?taxnode_id=201907962","ICTVonline=201907962")</f>
        <v>ICTVonline=201907962</v>
      </c>
      <c r="Y783" s="1" t="s">
        <v>8320</v>
      </c>
      <c r="AA783" s="1">
        <v>201900000</v>
      </c>
      <c r="AB783" s="1">
        <v>35</v>
      </c>
    </row>
    <row r="784" spans="1:28" x14ac:dyDescent="0.2">
      <c r="A784" s="1">
        <v>2100</v>
      </c>
      <c r="B784" s="1" t="s">
        <v>6850</v>
      </c>
      <c r="D784" s="1" t="s">
        <v>6851</v>
      </c>
      <c r="F784" s="1" t="s">
        <v>6914</v>
      </c>
      <c r="H784" s="1" t="s">
        <v>6915</v>
      </c>
      <c r="J784" s="1" t="s">
        <v>1324</v>
      </c>
      <c r="L784" s="1" t="s">
        <v>1325</v>
      </c>
      <c r="M784" s="1" t="s">
        <v>1333</v>
      </c>
      <c r="N784" s="1" t="s">
        <v>8318</v>
      </c>
      <c r="P784" s="1" t="s">
        <v>2746</v>
      </c>
      <c r="Q784" s="3">
        <v>1</v>
      </c>
      <c r="R784" s="23" t="s">
        <v>6854</v>
      </c>
      <c r="S784" s="23" t="s">
        <v>6849</v>
      </c>
      <c r="T784" s="23" t="s">
        <v>6395</v>
      </c>
      <c r="U784" s="3">
        <v>35</v>
      </c>
      <c r="V784" s="3" t="s">
        <v>8302</v>
      </c>
      <c r="W784" s="45" t="str">
        <f>HYPERLINK("http://ictvonline.org/taxonomy/p/taxonomy-history?taxnode_id=201900241","ICTVonline=201900241")</f>
        <v>ICTVonline=201900241</v>
      </c>
      <c r="Y784" s="1" t="s">
        <v>8321</v>
      </c>
      <c r="AA784" s="1">
        <v>201900000</v>
      </c>
      <c r="AB784" s="1">
        <v>35</v>
      </c>
    </row>
    <row r="785" spans="1:28" x14ac:dyDescent="0.2">
      <c r="A785" s="1">
        <v>2104</v>
      </c>
      <c r="B785" s="1" t="s">
        <v>6850</v>
      </c>
      <c r="D785" s="1" t="s">
        <v>6851</v>
      </c>
      <c r="F785" s="1" t="s">
        <v>6914</v>
      </c>
      <c r="H785" s="1" t="s">
        <v>6915</v>
      </c>
      <c r="J785" s="1" t="s">
        <v>1324</v>
      </c>
      <c r="L785" s="1" t="s">
        <v>1325</v>
      </c>
      <c r="M785" s="1" t="s">
        <v>1333</v>
      </c>
      <c r="N785" s="1" t="s">
        <v>8322</v>
      </c>
      <c r="P785" s="1" t="s">
        <v>8323</v>
      </c>
      <c r="Q785" s="3">
        <v>1</v>
      </c>
      <c r="R785" s="23" t="s">
        <v>6854</v>
      </c>
      <c r="S785" s="23" t="s">
        <v>6849</v>
      </c>
      <c r="T785" s="23" t="s">
        <v>4864</v>
      </c>
      <c r="U785" s="3">
        <v>35</v>
      </c>
      <c r="V785" s="3" t="s">
        <v>8302</v>
      </c>
      <c r="W785" s="45" t="str">
        <f>HYPERLINK("http://ictvonline.org/taxonomy/p/taxonomy-history?taxnode_id=201907973","ICTVonline=201907973")</f>
        <v>ICTVonline=201907973</v>
      </c>
      <c r="Y785" s="1" t="s">
        <v>8324</v>
      </c>
      <c r="AA785" s="1">
        <v>201900000</v>
      </c>
      <c r="AB785" s="1">
        <v>35</v>
      </c>
    </row>
    <row r="786" spans="1:28" x14ac:dyDescent="0.2">
      <c r="A786" s="1">
        <v>2106</v>
      </c>
      <c r="B786" s="1" t="s">
        <v>6850</v>
      </c>
      <c r="D786" s="1" t="s">
        <v>6851</v>
      </c>
      <c r="F786" s="1" t="s">
        <v>6914</v>
      </c>
      <c r="H786" s="1" t="s">
        <v>6915</v>
      </c>
      <c r="J786" s="1" t="s">
        <v>1324</v>
      </c>
      <c r="L786" s="1" t="s">
        <v>1325</v>
      </c>
      <c r="M786" s="1" t="s">
        <v>1333</v>
      </c>
      <c r="N786" s="1" t="s">
        <v>8322</v>
      </c>
      <c r="P786" s="1" t="s">
        <v>2743</v>
      </c>
      <c r="Q786" s="3">
        <v>0</v>
      </c>
      <c r="R786" s="23" t="s">
        <v>6854</v>
      </c>
      <c r="S786" s="23" t="s">
        <v>6849</v>
      </c>
      <c r="T786" s="23" t="s">
        <v>4866</v>
      </c>
      <c r="U786" s="3">
        <v>35</v>
      </c>
      <c r="V786" s="3" t="s">
        <v>8302</v>
      </c>
      <c r="W786" s="45" t="str">
        <f>HYPERLINK("http://ictvonline.org/taxonomy/p/taxonomy-history?taxnode_id=201900237","ICTVonline=201900237")</f>
        <v>ICTVonline=201900237</v>
      </c>
      <c r="Y786" s="1" t="s">
        <v>8325</v>
      </c>
      <c r="AA786" s="1">
        <v>201900000</v>
      </c>
      <c r="AB786" s="1">
        <v>35</v>
      </c>
    </row>
    <row r="787" spans="1:28" x14ac:dyDescent="0.2">
      <c r="A787" s="1">
        <v>2108</v>
      </c>
      <c r="B787" s="1" t="s">
        <v>6850</v>
      </c>
      <c r="D787" s="1" t="s">
        <v>6851</v>
      </c>
      <c r="F787" s="1" t="s">
        <v>6914</v>
      </c>
      <c r="H787" s="1" t="s">
        <v>6915</v>
      </c>
      <c r="J787" s="1" t="s">
        <v>1324</v>
      </c>
      <c r="L787" s="1" t="s">
        <v>1325</v>
      </c>
      <c r="M787" s="1" t="s">
        <v>1333</v>
      </c>
      <c r="N787" s="1" t="s">
        <v>8322</v>
      </c>
      <c r="P787" s="1" t="s">
        <v>2749</v>
      </c>
      <c r="Q787" s="3">
        <v>0</v>
      </c>
      <c r="R787" s="23" t="s">
        <v>6854</v>
      </c>
      <c r="S787" s="23" t="s">
        <v>6849</v>
      </c>
      <c r="T787" s="23" t="s">
        <v>4866</v>
      </c>
      <c r="U787" s="3">
        <v>35</v>
      </c>
      <c r="V787" s="3" t="s">
        <v>8302</v>
      </c>
      <c r="W787" s="45" t="str">
        <f>HYPERLINK("http://ictvonline.org/taxonomy/p/taxonomy-history?taxnode_id=201900244","ICTVonline=201900244")</f>
        <v>ICTVonline=201900244</v>
      </c>
      <c r="Y787" s="1" t="s">
        <v>8326</v>
      </c>
      <c r="AA787" s="1">
        <v>201900000</v>
      </c>
      <c r="AB787" s="1">
        <v>35</v>
      </c>
    </row>
    <row r="788" spans="1:28" x14ac:dyDescent="0.2">
      <c r="A788" s="1">
        <v>2110</v>
      </c>
      <c r="B788" s="1" t="s">
        <v>6850</v>
      </c>
      <c r="D788" s="1" t="s">
        <v>6851</v>
      </c>
      <c r="F788" s="1" t="s">
        <v>6914</v>
      </c>
      <c r="H788" s="1" t="s">
        <v>6915</v>
      </c>
      <c r="J788" s="1" t="s">
        <v>1324</v>
      </c>
      <c r="L788" s="1" t="s">
        <v>1325</v>
      </c>
      <c r="M788" s="1" t="s">
        <v>1333</v>
      </c>
      <c r="N788" s="1" t="s">
        <v>8322</v>
      </c>
      <c r="P788" s="1" t="s">
        <v>8327</v>
      </c>
      <c r="Q788" s="3">
        <v>0</v>
      </c>
      <c r="R788" s="23" t="s">
        <v>6854</v>
      </c>
      <c r="S788" s="23" t="s">
        <v>6849</v>
      </c>
      <c r="T788" s="23" t="s">
        <v>4864</v>
      </c>
      <c r="U788" s="3">
        <v>35</v>
      </c>
      <c r="V788" s="3" t="s">
        <v>8302</v>
      </c>
      <c r="W788" s="45" t="str">
        <f>HYPERLINK("http://ictvonline.org/taxonomy/p/taxonomy-history?taxnode_id=201907972","ICTVonline=201907972")</f>
        <v>ICTVonline=201907972</v>
      </c>
      <c r="Y788" s="1" t="s">
        <v>8328</v>
      </c>
      <c r="AA788" s="1">
        <v>201900000</v>
      </c>
      <c r="AB788" s="1">
        <v>35</v>
      </c>
    </row>
    <row r="789" spans="1:28" x14ac:dyDescent="0.2">
      <c r="A789" s="1">
        <v>2114</v>
      </c>
      <c r="B789" s="1" t="s">
        <v>6850</v>
      </c>
      <c r="D789" s="1" t="s">
        <v>6851</v>
      </c>
      <c r="F789" s="1" t="s">
        <v>6914</v>
      </c>
      <c r="H789" s="1" t="s">
        <v>6915</v>
      </c>
      <c r="J789" s="1" t="s">
        <v>1324</v>
      </c>
      <c r="L789" s="1" t="s">
        <v>1325</v>
      </c>
      <c r="M789" s="1" t="s">
        <v>1333</v>
      </c>
      <c r="N789" s="1" t="s">
        <v>8329</v>
      </c>
      <c r="P789" s="1" t="s">
        <v>8330</v>
      </c>
      <c r="Q789" s="3">
        <v>1</v>
      </c>
      <c r="R789" s="23" t="s">
        <v>6854</v>
      </c>
      <c r="S789" s="23" t="s">
        <v>6849</v>
      </c>
      <c r="T789" s="23" t="s">
        <v>4864</v>
      </c>
      <c r="U789" s="3">
        <v>35</v>
      </c>
      <c r="V789" s="3" t="s">
        <v>8302</v>
      </c>
      <c r="W789" s="45" t="str">
        <f>HYPERLINK("http://ictvonline.org/taxonomy/p/taxonomy-history?taxnode_id=201907950","ICTVonline=201907950")</f>
        <v>ICTVonline=201907950</v>
      </c>
      <c r="Y789" s="1" t="s">
        <v>8331</v>
      </c>
      <c r="AA789" s="1">
        <v>201900000</v>
      </c>
      <c r="AB789" s="1">
        <v>35</v>
      </c>
    </row>
    <row r="790" spans="1:28" x14ac:dyDescent="0.2">
      <c r="A790" s="1">
        <v>2118</v>
      </c>
      <c r="B790" s="1" t="s">
        <v>6850</v>
      </c>
      <c r="D790" s="1" t="s">
        <v>6851</v>
      </c>
      <c r="F790" s="1" t="s">
        <v>6914</v>
      </c>
      <c r="H790" s="1" t="s">
        <v>6915</v>
      </c>
      <c r="J790" s="1" t="s">
        <v>1324</v>
      </c>
      <c r="L790" s="1" t="s">
        <v>1325</v>
      </c>
      <c r="M790" s="1" t="s">
        <v>1333</v>
      </c>
      <c r="N790" s="1" t="s">
        <v>8332</v>
      </c>
      <c r="P790" s="1" t="s">
        <v>8333</v>
      </c>
      <c r="Q790" s="3">
        <v>1</v>
      </c>
      <c r="R790" s="23" t="s">
        <v>6854</v>
      </c>
      <c r="S790" s="23" t="s">
        <v>6849</v>
      </c>
      <c r="T790" s="23" t="s">
        <v>4864</v>
      </c>
      <c r="U790" s="3">
        <v>35</v>
      </c>
      <c r="V790" s="3" t="s">
        <v>8302</v>
      </c>
      <c r="W790" s="45" t="str">
        <f>HYPERLINK("http://ictvonline.org/taxonomy/p/taxonomy-history?taxnode_id=201907956","ICTVonline=201907956")</f>
        <v>ICTVonline=201907956</v>
      </c>
      <c r="Y790" s="1" t="s">
        <v>8334</v>
      </c>
      <c r="AA790" s="1">
        <v>201900000</v>
      </c>
      <c r="AB790" s="1">
        <v>35</v>
      </c>
    </row>
    <row r="791" spans="1:28" x14ac:dyDescent="0.2">
      <c r="A791" s="1">
        <v>2120</v>
      </c>
      <c r="B791" s="1" t="s">
        <v>6850</v>
      </c>
      <c r="D791" s="1" t="s">
        <v>6851</v>
      </c>
      <c r="F791" s="1" t="s">
        <v>6914</v>
      </c>
      <c r="H791" s="1" t="s">
        <v>6915</v>
      </c>
      <c r="J791" s="1" t="s">
        <v>1324</v>
      </c>
      <c r="L791" s="1" t="s">
        <v>1325</v>
      </c>
      <c r="M791" s="1" t="s">
        <v>1333</v>
      </c>
      <c r="N791" s="1" t="s">
        <v>8332</v>
      </c>
      <c r="P791" s="1" t="s">
        <v>2748</v>
      </c>
      <c r="Q791" s="3">
        <v>0</v>
      </c>
      <c r="R791" s="23" t="s">
        <v>6854</v>
      </c>
      <c r="S791" s="23" t="s">
        <v>6849</v>
      </c>
      <c r="T791" s="23" t="s">
        <v>4866</v>
      </c>
      <c r="U791" s="3">
        <v>35</v>
      </c>
      <c r="V791" s="3" t="s">
        <v>8302</v>
      </c>
      <c r="W791" s="45" t="str">
        <f>HYPERLINK("http://ictvonline.org/taxonomy/p/taxonomy-history?taxnode_id=201900243","ICTVonline=201900243")</f>
        <v>ICTVonline=201900243</v>
      </c>
      <c r="Y791" s="1" t="s">
        <v>8335</v>
      </c>
      <c r="AA791" s="1">
        <v>201900000</v>
      </c>
      <c r="AB791" s="1">
        <v>35</v>
      </c>
    </row>
    <row r="792" spans="1:28" x14ac:dyDescent="0.2">
      <c r="A792" s="1">
        <v>2122</v>
      </c>
      <c r="B792" s="1" t="s">
        <v>6850</v>
      </c>
      <c r="D792" s="1" t="s">
        <v>6851</v>
      </c>
      <c r="F792" s="1" t="s">
        <v>6914</v>
      </c>
      <c r="H792" s="1" t="s">
        <v>6915</v>
      </c>
      <c r="J792" s="1" t="s">
        <v>1324</v>
      </c>
      <c r="L792" s="1" t="s">
        <v>1325</v>
      </c>
      <c r="M792" s="1" t="s">
        <v>1333</v>
      </c>
      <c r="N792" s="1" t="s">
        <v>8332</v>
      </c>
      <c r="P792" s="1" t="s">
        <v>8336</v>
      </c>
      <c r="Q792" s="3">
        <v>0</v>
      </c>
      <c r="R792" s="23" t="s">
        <v>6854</v>
      </c>
      <c r="S792" s="23" t="s">
        <v>6849</v>
      </c>
      <c r="T792" s="23" t="s">
        <v>4864</v>
      </c>
      <c r="U792" s="3">
        <v>35</v>
      </c>
      <c r="V792" s="3" t="s">
        <v>8302</v>
      </c>
      <c r="W792" s="45" t="str">
        <f>HYPERLINK("http://ictvonline.org/taxonomy/p/taxonomy-history?taxnode_id=201907957","ICTVonline=201907957")</f>
        <v>ICTVonline=201907957</v>
      </c>
      <c r="Y792" s="1" t="s">
        <v>8337</v>
      </c>
      <c r="AA792" s="1">
        <v>201900000</v>
      </c>
      <c r="AB792" s="1">
        <v>35</v>
      </c>
    </row>
    <row r="793" spans="1:28" x14ac:dyDescent="0.2">
      <c r="A793" s="1">
        <v>2124</v>
      </c>
      <c r="B793" s="1" t="s">
        <v>6850</v>
      </c>
      <c r="D793" s="1" t="s">
        <v>6851</v>
      </c>
      <c r="F793" s="1" t="s">
        <v>6914</v>
      </c>
      <c r="H793" s="1" t="s">
        <v>6915</v>
      </c>
      <c r="J793" s="1" t="s">
        <v>1324</v>
      </c>
      <c r="L793" s="1" t="s">
        <v>1325</v>
      </c>
      <c r="M793" s="1" t="s">
        <v>1333</v>
      </c>
      <c r="N793" s="1" t="s">
        <v>8332</v>
      </c>
      <c r="P793" s="1" t="s">
        <v>8338</v>
      </c>
      <c r="Q793" s="3">
        <v>0</v>
      </c>
      <c r="R793" s="23" t="s">
        <v>6854</v>
      </c>
      <c r="S793" s="23" t="s">
        <v>6849</v>
      </c>
      <c r="T793" s="23" t="s">
        <v>4864</v>
      </c>
      <c r="U793" s="3">
        <v>35</v>
      </c>
      <c r="V793" s="3" t="s">
        <v>8302</v>
      </c>
      <c r="W793" s="45" t="str">
        <f>HYPERLINK("http://ictvonline.org/taxonomy/p/taxonomy-history?taxnode_id=201907958","ICTVonline=201907958")</f>
        <v>ICTVonline=201907958</v>
      </c>
      <c r="Y793" s="1" t="s">
        <v>8339</v>
      </c>
      <c r="AA793" s="1">
        <v>201900000</v>
      </c>
      <c r="AB793" s="1">
        <v>35</v>
      </c>
    </row>
    <row r="794" spans="1:28" x14ac:dyDescent="0.2">
      <c r="A794" s="1">
        <v>2126</v>
      </c>
      <c r="B794" s="1" t="s">
        <v>6850</v>
      </c>
      <c r="D794" s="1" t="s">
        <v>6851</v>
      </c>
      <c r="F794" s="1" t="s">
        <v>6914</v>
      </c>
      <c r="H794" s="1" t="s">
        <v>6915</v>
      </c>
      <c r="J794" s="1" t="s">
        <v>1324</v>
      </c>
      <c r="L794" s="1" t="s">
        <v>1325</v>
      </c>
      <c r="M794" s="1" t="s">
        <v>1333</v>
      </c>
      <c r="N794" s="1" t="s">
        <v>8332</v>
      </c>
      <c r="P794" s="1" t="s">
        <v>2750</v>
      </c>
      <c r="Q794" s="3">
        <v>0</v>
      </c>
      <c r="R794" s="23" t="s">
        <v>6854</v>
      </c>
      <c r="S794" s="23" t="s">
        <v>6849</v>
      </c>
      <c r="T794" s="23" t="s">
        <v>4866</v>
      </c>
      <c r="U794" s="3">
        <v>35</v>
      </c>
      <c r="V794" s="3" t="s">
        <v>8302</v>
      </c>
      <c r="W794" s="45" t="str">
        <f>HYPERLINK("http://ictvonline.org/taxonomy/p/taxonomy-history?taxnode_id=201900245","ICTVonline=201900245")</f>
        <v>ICTVonline=201900245</v>
      </c>
      <c r="Y794" s="1" t="s">
        <v>8340</v>
      </c>
      <c r="AA794" s="1">
        <v>201900000</v>
      </c>
      <c r="AB794" s="1">
        <v>35</v>
      </c>
    </row>
    <row r="795" spans="1:28" x14ac:dyDescent="0.2">
      <c r="A795" s="1">
        <v>2130</v>
      </c>
      <c r="B795" s="1" t="s">
        <v>6850</v>
      </c>
      <c r="D795" s="1" t="s">
        <v>6851</v>
      </c>
      <c r="F795" s="1" t="s">
        <v>6914</v>
      </c>
      <c r="H795" s="1" t="s">
        <v>6915</v>
      </c>
      <c r="J795" s="1" t="s">
        <v>1324</v>
      </c>
      <c r="L795" s="1" t="s">
        <v>1325</v>
      </c>
      <c r="M795" s="1" t="s">
        <v>1333</v>
      </c>
      <c r="N795" s="1" t="s">
        <v>6063</v>
      </c>
      <c r="P795" s="1" t="s">
        <v>2735</v>
      </c>
      <c r="Q795" s="3">
        <v>1</v>
      </c>
      <c r="R795" s="23" t="s">
        <v>6854</v>
      </c>
      <c r="S795" s="23" t="s">
        <v>6845</v>
      </c>
      <c r="T795" s="23" t="s">
        <v>4866</v>
      </c>
      <c r="U795" s="3">
        <v>35</v>
      </c>
      <c r="W795" s="45" t="str">
        <f>HYPERLINK("http://ictvonline.org/taxonomy/p/taxonomy-history?taxnode_id=201900228","ICTVonline=201900228")</f>
        <v>ICTVonline=201900228</v>
      </c>
      <c r="AA795" s="1">
        <v>201900000</v>
      </c>
      <c r="AB795" s="1">
        <v>35</v>
      </c>
    </row>
    <row r="796" spans="1:28" x14ac:dyDescent="0.2">
      <c r="A796" s="1">
        <v>2132</v>
      </c>
      <c r="B796" s="1" t="s">
        <v>6850</v>
      </c>
      <c r="D796" s="1" t="s">
        <v>6851</v>
      </c>
      <c r="F796" s="1" t="s">
        <v>6914</v>
      </c>
      <c r="H796" s="1" t="s">
        <v>6915</v>
      </c>
      <c r="J796" s="1" t="s">
        <v>1324</v>
      </c>
      <c r="L796" s="1" t="s">
        <v>1325</v>
      </c>
      <c r="M796" s="1" t="s">
        <v>1333</v>
      </c>
      <c r="N796" s="1" t="s">
        <v>6063</v>
      </c>
      <c r="P796" s="1" t="s">
        <v>2736</v>
      </c>
      <c r="Q796" s="3">
        <v>0</v>
      </c>
      <c r="R796" s="23" t="s">
        <v>6854</v>
      </c>
      <c r="S796" s="23" t="s">
        <v>6845</v>
      </c>
      <c r="T796" s="23" t="s">
        <v>4866</v>
      </c>
      <c r="U796" s="3">
        <v>35</v>
      </c>
      <c r="W796" s="45" t="str">
        <f>HYPERLINK("http://ictvonline.org/taxonomy/p/taxonomy-history?taxnode_id=201900229","ICTVonline=201900229")</f>
        <v>ICTVonline=201900229</v>
      </c>
      <c r="AA796" s="1">
        <v>201900000</v>
      </c>
      <c r="AB796" s="1">
        <v>35</v>
      </c>
    </row>
    <row r="797" spans="1:28" x14ac:dyDescent="0.2">
      <c r="A797" s="1">
        <v>2134</v>
      </c>
      <c r="B797" s="1" t="s">
        <v>6850</v>
      </c>
      <c r="D797" s="1" t="s">
        <v>6851</v>
      </c>
      <c r="F797" s="1" t="s">
        <v>6914</v>
      </c>
      <c r="H797" s="1" t="s">
        <v>6915</v>
      </c>
      <c r="J797" s="1" t="s">
        <v>1324</v>
      </c>
      <c r="L797" s="1" t="s">
        <v>1325</v>
      </c>
      <c r="M797" s="1" t="s">
        <v>1333</v>
      </c>
      <c r="N797" s="1" t="s">
        <v>6063</v>
      </c>
      <c r="P797" s="1" t="s">
        <v>2739</v>
      </c>
      <c r="Q797" s="3">
        <v>0</v>
      </c>
      <c r="R797" s="23" t="s">
        <v>6854</v>
      </c>
      <c r="S797" s="23" t="s">
        <v>6845</v>
      </c>
      <c r="T797" s="23" t="s">
        <v>4866</v>
      </c>
      <c r="U797" s="3">
        <v>35</v>
      </c>
      <c r="W797" s="45" t="str">
        <f>HYPERLINK("http://ictvonline.org/taxonomy/p/taxonomy-history?taxnode_id=201900232","ICTVonline=201900232")</f>
        <v>ICTVonline=201900232</v>
      </c>
      <c r="AA797" s="1">
        <v>201900000</v>
      </c>
      <c r="AB797" s="1">
        <v>35</v>
      </c>
    </row>
    <row r="798" spans="1:28" x14ac:dyDescent="0.2">
      <c r="A798" s="1">
        <v>2138</v>
      </c>
      <c r="B798" s="1" t="s">
        <v>6850</v>
      </c>
      <c r="D798" s="1" t="s">
        <v>6851</v>
      </c>
      <c r="F798" s="1" t="s">
        <v>6914</v>
      </c>
      <c r="H798" s="1" t="s">
        <v>6915</v>
      </c>
      <c r="J798" s="1" t="s">
        <v>1324</v>
      </c>
      <c r="L798" s="1" t="s">
        <v>1325</v>
      </c>
      <c r="M798" s="1" t="s">
        <v>1333</v>
      </c>
      <c r="N798" s="1" t="s">
        <v>8341</v>
      </c>
      <c r="P798" s="1" t="s">
        <v>2737</v>
      </c>
      <c r="Q798" s="3">
        <v>1</v>
      </c>
      <c r="R798" s="23" t="s">
        <v>6854</v>
      </c>
      <c r="S798" s="23" t="s">
        <v>6849</v>
      </c>
      <c r="T798" s="23" t="s">
        <v>6395</v>
      </c>
      <c r="U798" s="3">
        <v>35</v>
      </c>
      <c r="V798" s="3" t="s">
        <v>8302</v>
      </c>
      <c r="W798" s="45" t="str">
        <f>HYPERLINK("http://ictvonline.org/taxonomy/p/taxonomy-history?taxnode_id=201900230","ICTVonline=201900230")</f>
        <v>ICTVonline=201900230</v>
      </c>
      <c r="Y798" s="1" t="s">
        <v>8342</v>
      </c>
      <c r="AA798" s="1">
        <v>201900000</v>
      </c>
      <c r="AB798" s="1">
        <v>35</v>
      </c>
    </row>
    <row r="799" spans="1:28" x14ac:dyDescent="0.2">
      <c r="A799" s="1">
        <v>2142</v>
      </c>
      <c r="B799" s="1" t="s">
        <v>6850</v>
      </c>
      <c r="D799" s="1" t="s">
        <v>6851</v>
      </c>
      <c r="F799" s="1" t="s">
        <v>6914</v>
      </c>
      <c r="H799" s="1" t="s">
        <v>6915</v>
      </c>
      <c r="J799" s="1" t="s">
        <v>1324</v>
      </c>
      <c r="L799" s="1" t="s">
        <v>1325</v>
      </c>
      <c r="M799" s="1" t="s">
        <v>1333</v>
      </c>
      <c r="N799" s="1" t="s">
        <v>8343</v>
      </c>
      <c r="P799" s="1" t="s">
        <v>8344</v>
      </c>
      <c r="Q799" s="3">
        <v>1</v>
      </c>
      <c r="R799" s="23" t="s">
        <v>6854</v>
      </c>
      <c r="S799" s="23" t="s">
        <v>6849</v>
      </c>
      <c r="T799" s="23" t="s">
        <v>4864</v>
      </c>
      <c r="U799" s="3">
        <v>35</v>
      </c>
      <c r="V799" s="3" t="s">
        <v>8302</v>
      </c>
      <c r="W799" s="45" t="str">
        <f>HYPERLINK("http://ictvonline.org/taxonomy/p/taxonomy-history?taxnode_id=201907964","ICTVonline=201907964")</f>
        <v>ICTVonline=201907964</v>
      </c>
      <c r="Y799" s="1" t="s">
        <v>8345</v>
      </c>
      <c r="AA799" s="1">
        <v>201900000</v>
      </c>
      <c r="AB799" s="1">
        <v>35</v>
      </c>
    </row>
    <row r="800" spans="1:28" x14ac:dyDescent="0.2">
      <c r="A800" s="1">
        <v>2146</v>
      </c>
      <c r="B800" s="1" t="s">
        <v>6850</v>
      </c>
      <c r="D800" s="1" t="s">
        <v>6851</v>
      </c>
      <c r="F800" s="1" t="s">
        <v>6914</v>
      </c>
      <c r="H800" s="1" t="s">
        <v>6915</v>
      </c>
      <c r="J800" s="1" t="s">
        <v>1324</v>
      </c>
      <c r="L800" s="1" t="s">
        <v>1325</v>
      </c>
      <c r="M800" s="1" t="s">
        <v>1333</v>
      </c>
      <c r="N800" s="1" t="s">
        <v>8346</v>
      </c>
      <c r="P800" s="1" t="s">
        <v>8347</v>
      </c>
      <c r="Q800" s="3">
        <v>0</v>
      </c>
      <c r="R800" s="23" t="s">
        <v>6854</v>
      </c>
      <c r="S800" s="23" t="s">
        <v>6849</v>
      </c>
      <c r="T800" s="23" t="s">
        <v>4864</v>
      </c>
      <c r="U800" s="3">
        <v>35</v>
      </c>
      <c r="V800" s="3" t="s">
        <v>8302</v>
      </c>
      <c r="W800" s="45" t="str">
        <f>HYPERLINK("http://ictvonline.org/taxonomy/p/taxonomy-history?taxnode_id=201907980","ICTVonline=201907980")</f>
        <v>ICTVonline=201907980</v>
      </c>
      <c r="Y800" s="1" t="s">
        <v>8348</v>
      </c>
      <c r="AA800" s="1">
        <v>201900000</v>
      </c>
      <c r="AB800" s="1">
        <v>35</v>
      </c>
    </row>
    <row r="801" spans="1:28" x14ac:dyDescent="0.2">
      <c r="A801" s="1">
        <v>2148</v>
      </c>
      <c r="B801" s="1" t="s">
        <v>6850</v>
      </c>
      <c r="D801" s="1" t="s">
        <v>6851</v>
      </c>
      <c r="F801" s="1" t="s">
        <v>6914</v>
      </c>
      <c r="H801" s="1" t="s">
        <v>6915</v>
      </c>
      <c r="J801" s="1" t="s">
        <v>1324</v>
      </c>
      <c r="L801" s="1" t="s">
        <v>1325</v>
      </c>
      <c r="M801" s="1" t="s">
        <v>1333</v>
      </c>
      <c r="N801" s="1" t="s">
        <v>8346</v>
      </c>
      <c r="P801" s="1" t="s">
        <v>8349</v>
      </c>
      <c r="Q801" s="3">
        <v>1</v>
      </c>
      <c r="R801" s="23" t="s">
        <v>6854</v>
      </c>
      <c r="S801" s="23" t="s">
        <v>6849</v>
      </c>
      <c r="T801" s="23" t="s">
        <v>4864</v>
      </c>
      <c r="U801" s="3">
        <v>35</v>
      </c>
      <c r="V801" s="3" t="s">
        <v>8302</v>
      </c>
      <c r="W801" s="45" t="str">
        <f>HYPERLINK("http://ictvonline.org/taxonomy/p/taxonomy-history?taxnode_id=201907979","ICTVonline=201907979")</f>
        <v>ICTVonline=201907979</v>
      </c>
      <c r="Y801" s="1" t="s">
        <v>8350</v>
      </c>
      <c r="AA801" s="1">
        <v>201900000</v>
      </c>
      <c r="AB801" s="1">
        <v>35</v>
      </c>
    </row>
    <row r="802" spans="1:28" x14ac:dyDescent="0.2">
      <c r="A802" s="1">
        <v>2152</v>
      </c>
      <c r="B802" s="1" t="s">
        <v>6850</v>
      </c>
      <c r="D802" s="1" t="s">
        <v>6851</v>
      </c>
      <c r="F802" s="1" t="s">
        <v>6914</v>
      </c>
      <c r="H802" s="1" t="s">
        <v>6915</v>
      </c>
      <c r="J802" s="1" t="s">
        <v>1324</v>
      </c>
      <c r="L802" s="1" t="s">
        <v>1325</v>
      </c>
      <c r="M802" s="1" t="s">
        <v>1333</v>
      </c>
      <c r="N802" s="1" t="s">
        <v>8351</v>
      </c>
      <c r="P802" s="1" t="s">
        <v>2738</v>
      </c>
      <c r="Q802" s="3">
        <v>1</v>
      </c>
      <c r="R802" s="23" t="s">
        <v>6854</v>
      </c>
      <c r="S802" s="23" t="s">
        <v>6849</v>
      </c>
      <c r="T802" s="23" t="s">
        <v>6395</v>
      </c>
      <c r="U802" s="3">
        <v>35</v>
      </c>
      <c r="V802" s="3" t="s">
        <v>8302</v>
      </c>
      <c r="W802" s="45" t="str">
        <f>HYPERLINK("http://ictvonline.org/taxonomy/p/taxonomy-history?taxnode_id=201900231","ICTVonline=201900231")</f>
        <v>ICTVonline=201900231</v>
      </c>
      <c r="Y802" s="1" t="s">
        <v>8352</v>
      </c>
      <c r="AA802" s="1">
        <v>201900000</v>
      </c>
      <c r="AB802" s="1">
        <v>35</v>
      </c>
    </row>
    <row r="803" spans="1:28" x14ac:dyDescent="0.2">
      <c r="A803" s="1">
        <v>2156</v>
      </c>
      <c r="B803" s="1" t="s">
        <v>6850</v>
      </c>
      <c r="D803" s="1" t="s">
        <v>6851</v>
      </c>
      <c r="F803" s="1" t="s">
        <v>6914</v>
      </c>
      <c r="H803" s="1" t="s">
        <v>6915</v>
      </c>
      <c r="J803" s="1" t="s">
        <v>1324</v>
      </c>
      <c r="L803" s="1" t="s">
        <v>1325</v>
      </c>
      <c r="M803" s="1" t="s">
        <v>1333</v>
      </c>
      <c r="N803" s="1" t="s">
        <v>8353</v>
      </c>
      <c r="P803" s="1" t="s">
        <v>8354</v>
      </c>
      <c r="Q803" s="3">
        <v>1</v>
      </c>
      <c r="R803" s="23" t="s">
        <v>6854</v>
      </c>
      <c r="S803" s="23" t="s">
        <v>6849</v>
      </c>
      <c r="T803" s="23" t="s">
        <v>4864</v>
      </c>
      <c r="U803" s="3">
        <v>35</v>
      </c>
      <c r="V803" s="3" t="s">
        <v>8302</v>
      </c>
      <c r="W803" s="45" t="str">
        <f>HYPERLINK("http://ictvonline.org/taxonomy/p/taxonomy-history?taxnode_id=201907968","ICTVonline=201907968")</f>
        <v>ICTVonline=201907968</v>
      </c>
      <c r="Y803" s="1" t="s">
        <v>8355</v>
      </c>
      <c r="AA803" s="1">
        <v>201900000</v>
      </c>
      <c r="AB803" s="1">
        <v>35</v>
      </c>
    </row>
    <row r="804" spans="1:28" x14ac:dyDescent="0.2">
      <c r="A804" s="1">
        <v>2160</v>
      </c>
      <c r="B804" s="1" t="s">
        <v>6850</v>
      </c>
      <c r="D804" s="1" t="s">
        <v>6851</v>
      </c>
      <c r="F804" s="1" t="s">
        <v>6914</v>
      </c>
      <c r="H804" s="1" t="s">
        <v>6915</v>
      </c>
      <c r="J804" s="1" t="s">
        <v>1324</v>
      </c>
      <c r="L804" s="1" t="s">
        <v>1325</v>
      </c>
      <c r="M804" s="1" t="s">
        <v>1333</v>
      </c>
      <c r="N804" s="1" t="s">
        <v>6064</v>
      </c>
      <c r="P804" s="1" t="s">
        <v>6065</v>
      </c>
      <c r="Q804" s="3">
        <v>0</v>
      </c>
      <c r="R804" s="23" t="s">
        <v>6854</v>
      </c>
      <c r="S804" s="23" t="s">
        <v>6845</v>
      </c>
      <c r="T804" s="23" t="s">
        <v>4866</v>
      </c>
      <c r="U804" s="3">
        <v>35</v>
      </c>
      <c r="W804" s="45" t="str">
        <f>HYPERLINK("http://ictvonline.org/taxonomy/p/taxonomy-history?taxnode_id=201907028","ICTVonline=201907028")</f>
        <v>ICTVonline=201907028</v>
      </c>
      <c r="Y804" s="1" t="s">
        <v>8356</v>
      </c>
      <c r="Z804" s="1" t="s">
        <v>8357</v>
      </c>
      <c r="AA804" s="1">
        <v>201900000</v>
      </c>
      <c r="AB804" s="1">
        <v>35</v>
      </c>
    </row>
    <row r="805" spans="1:28" x14ac:dyDescent="0.2">
      <c r="A805" s="1">
        <v>2162</v>
      </c>
      <c r="B805" s="1" t="s">
        <v>6850</v>
      </c>
      <c r="D805" s="1" t="s">
        <v>6851</v>
      </c>
      <c r="F805" s="1" t="s">
        <v>6914</v>
      </c>
      <c r="H805" s="1" t="s">
        <v>6915</v>
      </c>
      <c r="J805" s="1" t="s">
        <v>1324</v>
      </c>
      <c r="L805" s="1" t="s">
        <v>1325</v>
      </c>
      <c r="M805" s="1" t="s">
        <v>1333</v>
      </c>
      <c r="N805" s="1" t="s">
        <v>6064</v>
      </c>
      <c r="P805" s="1" t="s">
        <v>2744</v>
      </c>
      <c r="Q805" s="3">
        <v>1</v>
      </c>
      <c r="R805" s="23" t="s">
        <v>6854</v>
      </c>
      <c r="S805" s="23" t="s">
        <v>6845</v>
      </c>
      <c r="T805" s="23" t="s">
        <v>4866</v>
      </c>
      <c r="U805" s="3">
        <v>35</v>
      </c>
      <c r="W805" s="45" t="str">
        <f>HYPERLINK("http://ictvonline.org/taxonomy/p/taxonomy-history?taxnode_id=201900238","ICTVonline=201900238")</f>
        <v>ICTVonline=201900238</v>
      </c>
      <c r="AA805" s="1">
        <v>201900000</v>
      </c>
      <c r="AB805" s="1">
        <v>35</v>
      </c>
    </row>
    <row r="806" spans="1:28" x14ac:dyDescent="0.2">
      <c r="A806" s="1">
        <v>2164</v>
      </c>
      <c r="B806" s="1" t="s">
        <v>6850</v>
      </c>
      <c r="D806" s="1" t="s">
        <v>6851</v>
      </c>
      <c r="F806" s="1" t="s">
        <v>6914</v>
      </c>
      <c r="H806" s="1" t="s">
        <v>6915</v>
      </c>
      <c r="J806" s="1" t="s">
        <v>1324</v>
      </c>
      <c r="L806" s="1" t="s">
        <v>1325</v>
      </c>
      <c r="M806" s="1" t="s">
        <v>1333</v>
      </c>
      <c r="N806" s="1" t="s">
        <v>6064</v>
      </c>
      <c r="P806" s="1" t="s">
        <v>6066</v>
      </c>
      <c r="Q806" s="3">
        <v>0</v>
      </c>
      <c r="R806" s="23" t="s">
        <v>6854</v>
      </c>
      <c r="S806" s="23" t="s">
        <v>6845</v>
      </c>
      <c r="T806" s="23" t="s">
        <v>4866</v>
      </c>
      <c r="U806" s="3">
        <v>35</v>
      </c>
      <c r="W806" s="45" t="str">
        <f>HYPERLINK("http://ictvonline.org/taxonomy/p/taxonomy-history?taxnode_id=201907029","ICTVonline=201907029")</f>
        <v>ICTVonline=201907029</v>
      </c>
      <c r="Y806" s="1" t="s">
        <v>8358</v>
      </c>
      <c r="Z806" s="1" t="s">
        <v>8359</v>
      </c>
      <c r="AA806" s="1">
        <v>201900000</v>
      </c>
      <c r="AB806" s="1">
        <v>35</v>
      </c>
    </row>
    <row r="807" spans="1:28" x14ac:dyDescent="0.2">
      <c r="A807" s="1">
        <v>2166</v>
      </c>
      <c r="B807" s="1" t="s">
        <v>6850</v>
      </c>
      <c r="D807" s="1" t="s">
        <v>6851</v>
      </c>
      <c r="F807" s="1" t="s">
        <v>6914</v>
      </c>
      <c r="H807" s="1" t="s">
        <v>6915</v>
      </c>
      <c r="J807" s="1" t="s">
        <v>1324</v>
      </c>
      <c r="L807" s="1" t="s">
        <v>1325</v>
      </c>
      <c r="M807" s="1" t="s">
        <v>1333</v>
      </c>
      <c r="N807" s="1" t="s">
        <v>6064</v>
      </c>
      <c r="P807" s="1" t="s">
        <v>6067</v>
      </c>
      <c r="Q807" s="3">
        <v>0</v>
      </c>
      <c r="R807" s="23" t="s">
        <v>6854</v>
      </c>
      <c r="S807" s="23" t="s">
        <v>6845</v>
      </c>
      <c r="T807" s="23" t="s">
        <v>4866</v>
      </c>
      <c r="U807" s="3">
        <v>35</v>
      </c>
      <c r="W807" s="45" t="str">
        <f>HYPERLINK("http://ictvonline.org/taxonomy/p/taxonomy-history?taxnode_id=201907030","ICTVonline=201907030")</f>
        <v>ICTVonline=201907030</v>
      </c>
      <c r="Y807" s="1" t="s">
        <v>8360</v>
      </c>
      <c r="Z807" s="1" t="s">
        <v>8361</v>
      </c>
      <c r="AA807" s="1">
        <v>201900000</v>
      </c>
      <c r="AB807" s="1">
        <v>35</v>
      </c>
    </row>
    <row r="808" spans="1:28" x14ac:dyDescent="0.2">
      <c r="A808" s="1">
        <v>2168</v>
      </c>
      <c r="B808" s="1" t="s">
        <v>6850</v>
      </c>
      <c r="D808" s="1" t="s">
        <v>6851</v>
      </c>
      <c r="F808" s="1" t="s">
        <v>6914</v>
      </c>
      <c r="H808" s="1" t="s">
        <v>6915</v>
      </c>
      <c r="J808" s="1" t="s">
        <v>1324</v>
      </c>
      <c r="L808" s="1" t="s">
        <v>1325</v>
      </c>
      <c r="M808" s="1" t="s">
        <v>1333</v>
      </c>
      <c r="N808" s="1" t="s">
        <v>6064</v>
      </c>
      <c r="P808" s="1" t="s">
        <v>2745</v>
      </c>
      <c r="Q808" s="3">
        <v>0</v>
      </c>
      <c r="R808" s="23" t="s">
        <v>6854</v>
      </c>
      <c r="S808" s="23" t="s">
        <v>6845</v>
      </c>
      <c r="T808" s="23" t="s">
        <v>4866</v>
      </c>
      <c r="U808" s="3">
        <v>35</v>
      </c>
      <c r="W808" s="45" t="str">
        <f>HYPERLINK("http://ictvonline.org/taxonomy/p/taxonomy-history?taxnode_id=201900239","ICTVonline=201900239")</f>
        <v>ICTVonline=201900239</v>
      </c>
      <c r="AA808" s="1">
        <v>201900000</v>
      </c>
      <c r="AB808" s="1">
        <v>35</v>
      </c>
    </row>
    <row r="809" spans="1:28" x14ac:dyDescent="0.2">
      <c r="A809" s="1">
        <v>2170</v>
      </c>
      <c r="B809" s="1" t="s">
        <v>6850</v>
      </c>
      <c r="D809" s="1" t="s">
        <v>6851</v>
      </c>
      <c r="F809" s="1" t="s">
        <v>6914</v>
      </c>
      <c r="H809" s="1" t="s">
        <v>6915</v>
      </c>
      <c r="J809" s="1" t="s">
        <v>1324</v>
      </c>
      <c r="L809" s="1" t="s">
        <v>1325</v>
      </c>
      <c r="M809" s="1" t="s">
        <v>1333</v>
      </c>
      <c r="N809" s="1" t="s">
        <v>6064</v>
      </c>
      <c r="P809" s="1" t="s">
        <v>2751</v>
      </c>
      <c r="Q809" s="3">
        <v>0</v>
      </c>
      <c r="R809" s="23" t="s">
        <v>6854</v>
      </c>
      <c r="S809" s="23" t="s">
        <v>6845</v>
      </c>
      <c r="T809" s="23" t="s">
        <v>4866</v>
      </c>
      <c r="U809" s="3">
        <v>35</v>
      </c>
      <c r="W809" s="45" t="str">
        <f>HYPERLINK("http://ictvonline.org/taxonomy/p/taxonomy-history?taxnode_id=201900246","ICTVonline=201900246")</f>
        <v>ICTVonline=201900246</v>
      </c>
      <c r="AA809" s="1">
        <v>201900000</v>
      </c>
      <c r="AB809" s="1">
        <v>35</v>
      </c>
    </row>
    <row r="810" spans="1:28" x14ac:dyDescent="0.2">
      <c r="A810" s="1">
        <v>2174</v>
      </c>
      <c r="B810" s="1" t="s">
        <v>6850</v>
      </c>
      <c r="D810" s="1" t="s">
        <v>6851</v>
      </c>
      <c r="F810" s="1" t="s">
        <v>6914</v>
      </c>
      <c r="H810" s="1" t="s">
        <v>6915</v>
      </c>
      <c r="J810" s="1" t="s">
        <v>1324</v>
      </c>
      <c r="L810" s="1" t="s">
        <v>1325</v>
      </c>
      <c r="M810" s="1" t="s">
        <v>1333</v>
      </c>
      <c r="N810" s="1" t="s">
        <v>8362</v>
      </c>
      <c r="P810" s="1" t="s">
        <v>8363</v>
      </c>
      <c r="Q810" s="3">
        <v>1</v>
      </c>
      <c r="R810" s="23" t="s">
        <v>6854</v>
      </c>
      <c r="S810" s="23" t="s">
        <v>6849</v>
      </c>
      <c r="T810" s="23" t="s">
        <v>4864</v>
      </c>
      <c r="U810" s="3">
        <v>35</v>
      </c>
      <c r="V810" s="3" t="s">
        <v>8302</v>
      </c>
      <c r="W810" s="45" t="str">
        <f>HYPERLINK("http://ictvonline.org/taxonomy/p/taxonomy-history?taxnode_id=201907948","ICTVonline=201907948")</f>
        <v>ICTVonline=201907948</v>
      </c>
      <c r="Y810" s="1" t="s">
        <v>8364</v>
      </c>
      <c r="AA810" s="1">
        <v>201900000</v>
      </c>
      <c r="AB810" s="1">
        <v>35</v>
      </c>
    </row>
    <row r="811" spans="1:28" x14ac:dyDescent="0.2">
      <c r="A811" s="1">
        <v>2178</v>
      </c>
      <c r="B811" s="1" t="s">
        <v>6850</v>
      </c>
      <c r="D811" s="1" t="s">
        <v>6851</v>
      </c>
      <c r="F811" s="1" t="s">
        <v>6914</v>
      </c>
      <c r="H811" s="1" t="s">
        <v>6915</v>
      </c>
      <c r="J811" s="1" t="s">
        <v>1324</v>
      </c>
      <c r="L811" s="1" t="s">
        <v>1325</v>
      </c>
      <c r="M811" s="1" t="s">
        <v>1333</v>
      </c>
      <c r="N811" s="1" t="s">
        <v>8365</v>
      </c>
      <c r="P811" s="1" t="s">
        <v>8366</v>
      </c>
      <c r="Q811" s="3">
        <v>1</v>
      </c>
      <c r="R811" s="23" t="s">
        <v>6854</v>
      </c>
      <c r="S811" s="23" t="s">
        <v>6849</v>
      </c>
      <c r="T811" s="23" t="s">
        <v>4864</v>
      </c>
      <c r="U811" s="3">
        <v>35</v>
      </c>
      <c r="V811" s="3" t="s">
        <v>8302</v>
      </c>
      <c r="W811" s="45" t="str">
        <f>HYPERLINK("http://ictvonline.org/taxonomy/p/taxonomy-history?taxnode_id=201907941","ICTVonline=201907941")</f>
        <v>ICTVonline=201907941</v>
      </c>
      <c r="Y811" s="1" t="s">
        <v>8367</v>
      </c>
      <c r="AA811" s="1">
        <v>201900000</v>
      </c>
      <c r="AB811" s="1">
        <v>35</v>
      </c>
    </row>
    <row r="812" spans="1:28" x14ac:dyDescent="0.2">
      <c r="A812" s="1">
        <v>2182</v>
      </c>
      <c r="B812" s="1" t="s">
        <v>6850</v>
      </c>
      <c r="D812" s="1" t="s">
        <v>6851</v>
      </c>
      <c r="F812" s="1" t="s">
        <v>6914</v>
      </c>
      <c r="H812" s="1" t="s">
        <v>6915</v>
      </c>
      <c r="J812" s="1" t="s">
        <v>1324</v>
      </c>
      <c r="L812" s="1" t="s">
        <v>1325</v>
      </c>
      <c r="M812" s="1" t="s">
        <v>1333</v>
      </c>
      <c r="N812" s="1" t="s">
        <v>8368</v>
      </c>
      <c r="P812" s="1" t="s">
        <v>8369</v>
      </c>
      <c r="Q812" s="3">
        <v>1</v>
      </c>
      <c r="R812" s="23" t="s">
        <v>6854</v>
      </c>
      <c r="S812" s="23" t="s">
        <v>6849</v>
      </c>
      <c r="T812" s="23" t="s">
        <v>4864</v>
      </c>
      <c r="U812" s="3">
        <v>35</v>
      </c>
      <c r="V812" s="3" t="s">
        <v>8302</v>
      </c>
      <c r="W812" s="45" t="str">
        <f>HYPERLINK("http://ictvonline.org/taxonomy/p/taxonomy-history?taxnode_id=201907954","ICTVonline=201907954")</f>
        <v>ICTVonline=201907954</v>
      </c>
      <c r="Y812" s="1" t="s">
        <v>8370</v>
      </c>
      <c r="AA812" s="1">
        <v>201900000</v>
      </c>
      <c r="AB812" s="1">
        <v>35</v>
      </c>
    </row>
    <row r="813" spans="1:28" x14ac:dyDescent="0.2">
      <c r="A813" s="1">
        <v>2186</v>
      </c>
      <c r="B813" s="1" t="s">
        <v>6850</v>
      </c>
      <c r="D813" s="1" t="s">
        <v>6851</v>
      </c>
      <c r="F813" s="1" t="s">
        <v>6914</v>
      </c>
      <c r="H813" s="1" t="s">
        <v>6915</v>
      </c>
      <c r="J813" s="1" t="s">
        <v>1324</v>
      </c>
      <c r="L813" s="1" t="s">
        <v>1325</v>
      </c>
      <c r="M813" s="1" t="s">
        <v>1333</v>
      </c>
      <c r="N813" s="1" t="s">
        <v>8371</v>
      </c>
      <c r="P813" s="1" t="s">
        <v>8372</v>
      </c>
      <c r="Q813" s="3">
        <v>1</v>
      </c>
      <c r="R813" s="23" t="s">
        <v>6854</v>
      </c>
      <c r="S813" s="23" t="s">
        <v>6849</v>
      </c>
      <c r="T813" s="23" t="s">
        <v>4864</v>
      </c>
      <c r="U813" s="3">
        <v>35</v>
      </c>
      <c r="V813" s="3" t="s">
        <v>8302</v>
      </c>
      <c r="W813" s="45" t="str">
        <f>HYPERLINK("http://ictvonline.org/taxonomy/p/taxonomy-history?taxnode_id=201907960","ICTVonline=201907960")</f>
        <v>ICTVonline=201907960</v>
      </c>
      <c r="Y813" s="1" t="s">
        <v>8373</v>
      </c>
      <c r="AA813" s="1">
        <v>201900000</v>
      </c>
      <c r="AB813" s="1">
        <v>35</v>
      </c>
    </row>
    <row r="814" spans="1:28" x14ac:dyDescent="0.2">
      <c r="A814" s="1">
        <v>2190</v>
      </c>
      <c r="B814" s="1" t="s">
        <v>6850</v>
      </c>
      <c r="D814" s="1" t="s">
        <v>6851</v>
      </c>
      <c r="F814" s="1" t="s">
        <v>6914</v>
      </c>
      <c r="H814" s="1" t="s">
        <v>6915</v>
      </c>
      <c r="J814" s="1" t="s">
        <v>1324</v>
      </c>
      <c r="L814" s="1" t="s">
        <v>1325</v>
      </c>
      <c r="M814" s="1" t="s">
        <v>1333</v>
      </c>
      <c r="N814" s="1" t="s">
        <v>8374</v>
      </c>
      <c r="P814" s="1" t="s">
        <v>8375</v>
      </c>
      <c r="Q814" s="3">
        <v>1</v>
      </c>
      <c r="R814" s="23" t="s">
        <v>6854</v>
      </c>
      <c r="S814" s="23" t="s">
        <v>6849</v>
      </c>
      <c r="T814" s="23" t="s">
        <v>4864</v>
      </c>
      <c r="U814" s="3">
        <v>35</v>
      </c>
      <c r="V814" s="3" t="s">
        <v>8302</v>
      </c>
      <c r="W814" s="45" t="str">
        <f>HYPERLINK("http://ictvonline.org/taxonomy/p/taxonomy-history?taxnode_id=201907944","ICTVonline=201907944")</f>
        <v>ICTVonline=201907944</v>
      </c>
      <c r="Y814" s="1" t="s">
        <v>8376</v>
      </c>
      <c r="AA814" s="1">
        <v>201900000</v>
      </c>
      <c r="AB814" s="1">
        <v>35</v>
      </c>
    </row>
    <row r="815" spans="1:28" x14ac:dyDescent="0.2">
      <c r="A815" s="1">
        <v>2194</v>
      </c>
      <c r="B815" s="1" t="s">
        <v>6850</v>
      </c>
      <c r="D815" s="1" t="s">
        <v>6851</v>
      </c>
      <c r="F815" s="1" t="s">
        <v>6914</v>
      </c>
      <c r="H815" s="1" t="s">
        <v>6915</v>
      </c>
      <c r="J815" s="1" t="s">
        <v>1324</v>
      </c>
      <c r="L815" s="1" t="s">
        <v>1325</v>
      </c>
      <c r="M815" s="1" t="s">
        <v>1333</v>
      </c>
      <c r="N815" s="1" t="s">
        <v>8377</v>
      </c>
      <c r="P815" s="1" t="s">
        <v>8378</v>
      </c>
      <c r="Q815" s="3">
        <v>1</v>
      </c>
      <c r="R815" s="23" t="s">
        <v>6854</v>
      </c>
      <c r="S815" s="23" t="s">
        <v>6849</v>
      </c>
      <c r="T815" s="23" t="s">
        <v>4864</v>
      </c>
      <c r="U815" s="3">
        <v>35</v>
      </c>
      <c r="V815" s="3" t="s">
        <v>8302</v>
      </c>
      <c r="W815" s="45" t="str">
        <f>HYPERLINK("http://ictvonline.org/taxonomy/p/taxonomy-history?taxnode_id=201907966","ICTVonline=201907966")</f>
        <v>ICTVonline=201907966</v>
      </c>
      <c r="Y815" s="1" t="s">
        <v>8379</v>
      </c>
      <c r="AA815" s="1">
        <v>201900000</v>
      </c>
      <c r="AB815" s="1">
        <v>35</v>
      </c>
    </row>
    <row r="816" spans="1:28" x14ac:dyDescent="0.2">
      <c r="A816" s="1">
        <v>2198</v>
      </c>
      <c r="B816" s="1" t="s">
        <v>6850</v>
      </c>
      <c r="D816" s="1" t="s">
        <v>6851</v>
      </c>
      <c r="F816" s="1" t="s">
        <v>6914</v>
      </c>
      <c r="H816" s="1" t="s">
        <v>6915</v>
      </c>
      <c r="J816" s="1" t="s">
        <v>1324</v>
      </c>
      <c r="L816" s="1" t="s">
        <v>1325</v>
      </c>
      <c r="M816" s="1" t="s">
        <v>1333</v>
      </c>
      <c r="N816" s="1" t="s">
        <v>8380</v>
      </c>
      <c r="P816" s="1" t="s">
        <v>6068</v>
      </c>
      <c r="Q816" s="3">
        <v>1</v>
      </c>
      <c r="R816" s="23" t="s">
        <v>6854</v>
      </c>
      <c r="S816" s="23" t="s">
        <v>6849</v>
      </c>
      <c r="T816" s="23" t="s">
        <v>6395</v>
      </c>
      <c r="U816" s="3">
        <v>35</v>
      </c>
      <c r="V816" s="3" t="s">
        <v>8302</v>
      </c>
      <c r="W816" s="45" t="str">
        <f>HYPERLINK("http://ictvonline.org/taxonomy/p/taxonomy-history?taxnode_id=201907031","ICTVonline=201907031")</f>
        <v>ICTVonline=201907031</v>
      </c>
      <c r="Y816" s="1" t="s">
        <v>8381</v>
      </c>
      <c r="AA816" s="1">
        <v>201900000</v>
      </c>
      <c r="AB816" s="1">
        <v>35</v>
      </c>
    </row>
    <row r="817" spans="1:28" x14ac:dyDescent="0.2">
      <c r="A817" s="1">
        <v>2202</v>
      </c>
      <c r="B817" s="1" t="s">
        <v>6850</v>
      </c>
      <c r="D817" s="1" t="s">
        <v>6851</v>
      </c>
      <c r="F817" s="1" t="s">
        <v>6914</v>
      </c>
      <c r="H817" s="1" t="s">
        <v>6915</v>
      </c>
      <c r="J817" s="1" t="s">
        <v>1324</v>
      </c>
      <c r="L817" s="1" t="s">
        <v>1325</v>
      </c>
      <c r="M817" s="1" t="s">
        <v>1333</v>
      </c>
      <c r="N817" s="1" t="s">
        <v>8382</v>
      </c>
      <c r="P817" s="1" t="s">
        <v>8383</v>
      </c>
      <c r="Q817" s="3">
        <v>0</v>
      </c>
      <c r="R817" s="23" t="s">
        <v>6854</v>
      </c>
      <c r="S817" s="23" t="s">
        <v>6849</v>
      </c>
      <c r="T817" s="23" t="s">
        <v>4864</v>
      </c>
      <c r="U817" s="3">
        <v>35</v>
      </c>
      <c r="V817" s="3" t="s">
        <v>8302</v>
      </c>
      <c r="W817" s="45" t="str">
        <f>HYPERLINK("http://ictvonline.org/taxonomy/p/taxonomy-history?taxnode_id=201907977","ICTVonline=201907977")</f>
        <v>ICTVonline=201907977</v>
      </c>
      <c r="Y817" s="1" t="s">
        <v>8384</v>
      </c>
      <c r="AA817" s="1">
        <v>201900000</v>
      </c>
      <c r="AB817" s="1">
        <v>35</v>
      </c>
    </row>
    <row r="818" spans="1:28" x14ac:dyDescent="0.2">
      <c r="A818" s="1">
        <v>2204</v>
      </c>
      <c r="B818" s="1" t="s">
        <v>6850</v>
      </c>
      <c r="D818" s="1" t="s">
        <v>6851</v>
      </c>
      <c r="F818" s="1" t="s">
        <v>6914</v>
      </c>
      <c r="H818" s="1" t="s">
        <v>6915</v>
      </c>
      <c r="J818" s="1" t="s">
        <v>1324</v>
      </c>
      <c r="L818" s="1" t="s">
        <v>1325</v>
      </c>
      <c r="M818" s="1" t="s">
        <v>1333</v>
      </c>
      <c r="N818" s="1" t="s">
        <v>8382</v>
      </c>
      <c r="P818" s="1" t="s">
        <v>2740</v>
      </c>
      <c r="Q818" s="3">
        <v>1</v>
      </c>
      <c r="R818" s="23" t="s">
        <v>6854</v>
      </c>
      <c r="S818" s="23" t="s">
        <v>6849</v>
      </c>
      <c r="T818" s="23" t="s">
        <v>6395</v>
      </c>
      <c r="U818" s="3">
        <v>35</v>
      </c>
      <c r="V818" s="3" t="s">
        <v>8302</v>
      </c>
      <c r="W818" s="45" t="str">
        <f>HYPERLINK("http://ictvonline.org/taxonomy/p/taxonomy-history?taxnode_id=201900234","ICTVonline=201900234")</f>
        <v>ICTVonline=201900234</v>
      </c>
      <c r="Y818" s="1" t="s">
        <v>8385</v>
      </c>
      <c r="AA818" s="1">
        <v>201900000</v>
      </c>
      <c r="AB818" s="1">
        <v>35</v>
      </c>
    </row>
    <row r="819" spans="1:28" x14ac:dyDescent="0.2">
      <c r="A819" s="1">
        <v>2206</v>
      </c>
      <c r="B819" s="1" t="s">
        <v>6850</v>
      </c>
      <c r="D819" s="1" t="s">
        <v>6851</v>
      </c>
      <c r="F819" s="1" t="s">
        <v>6914</v>
      </c>
      <c r="H819" s="1" t="s">
        <v>6915</v>
      </c>
      <c r="J819" s="1" t="s">
        <v>1324</v>
      </c>
      <c r="L819" s="1" t="s">
        <v>1325</v>
      </c>
      <c r="M819" s="1" t="s">
        <v>1333</v>
      </c>
      <c r="N819" s="1" t="s">
        <v>8382</v>
      </c>
      <c r="P819" s="1" t="s">
        <v>2741</v>
      </c>
      <c r="Q819" s="3">
        <v>0</v>
      </c>
      <c r="R819" s="23" t="s">
        <v>6854</v>
      </c>
      <c r="S819" s="23" t="s">
        <v>6849</v>
      </c>
      <c r="T819" s="23" t="s">
        <v>4866</v>
      </c>
      <c r="U819" s="3">
        <v>35</v>
      </c>
      <c r="V819" s="3" t="s">
        <v>8302</v>
      </c>
      <c r="W819" s="45" t="str">
        <f>HYPERLINK("http://ictvonline.org/taxonomy/p/taxonomy-history?taxnode_id=201900235","ICTVonline=201900235")</f>
        <v>ICTVonline=201900235</v>
      </c>
      <c r="Y819" s="1" t="s">
        <v>8386</v>
      </c>
      <c r="AA819" s="1">
        <v>201900000</v>
      </c>
      <c r="AB819" s="1">
        <v>35</v>
      </c>
    </row>
    <row r="820" spans="1:28" x14ac:dyDescent="0.2">
      <c r="A820" s="1">
        <v>2208</v>
      </c>
      <c r="B820" s="1" t="s">
        <v>6850</v>
      </c>
      <c r="D820" s="1" t="s">
        <v>6851</v>
      </c>
      <c r="F820" s="1" t="s">
        <v>6914</v>
      </c>
      <c r="H820" s="1" t="s">
        <v>6915</v>
      </c>
      <c r="J820" s="1" t="s">
        <v>1324</v>
      </c>
      <c r="L820" s="1" t="s">
        <v>1325</v>
      </c>
      <c r="M820" s="1" t="s">
        <v>1333</v>
      </c>
      <c r="N820" s="1" t="s">
        <v>8382</v>
      </c>
      <c r="P820" s="1" t="s">
        <v>2742</v>
      </c>
      <c r="Q820" s="3">
        <v>0</v>
      </c>
      <c r="R820" s="23" t="s">
        <v>6854</v>
      </c>
      <c r="S820" s="23" t="s">
        <v>6849</v>
      </c>
      <c r="T820" s="23" t="s">
        <v>4866</v>
      </c>
      <c r="U820" s="3">
        <v>35</v>
      </c>
      <c r="V820" s="3" t="s">
        <v>8302</v>
      </c>
      <c r="W820" s="45" t="str">
        <f>HYPERLINK("http://ictvonline.org/taxonomy/p/taxonomy-history?taxnode_id=201900236","ICTVonline=201900236")</f>
        <v>ICTVonline=201900236</v>
      </c>
      <c r="Y820" s="1" t="s">
        <v>8387</v>
      </c>
      <c r="AA820" s="1">
        <v>201900000</v>
      </c>
      <c r="AB820" s="1">
        <v>35</v>
      </c>
    </row>
    <row r="821" spans="1:28" x14ac:dyDescent="0.2">
      <c r="A821" s="1">
        <v>2212</v>
      </c>
      <c r="B821" s="1" t="s">
        <v>6850</v>
      </c>
      <c r="D821" s="1" t="s">
        <v>6851</v>
      </c>
      <c r="F821" s="1" t="s">
        <v>6914</v>
      </c>
      <c r="H821" s="1" t="s">
        <v>6915</v>
      </c>
      <c r="J821" s="1" t="s">
        <v>1324</v>
      </c>
      <c r="L821" s="1" t="s">
        <v>1325</v>
      </c>
      <c r="M821" s="1" t="s">
        <v>1333</v>
      </c>
      <c r="N821" s="1" t="s">
        <v>8388</v>
      </c>
      <c r="P821" s="1" t="s">
        <v>8389</v>
      </c>
      <c r="Q821" s="3">
        <v>1</v>
      </c>
      <c r="R821" s="23" t="s">
        <v>6854</v>
      </c>
      <c r="S821" s="23" t="s">
        <v>6849</v>
      </c>
      <c r="T821" s="23" t="s">
        <v>4864</v>
      </c>
      <c r="U821" s="3">
        <v>35</v>
      </c>
      <c r="V821" s="3" t="s">
        <v>8302</v>
      </c>
      <c r="W821" s="45" t="str">
        <f>HYPERLINK("http://ictvonline.org/taxonomy/p/taxonomy-history?taxnode_id=201907939","ICTVonline=201907939")</f>
        <v>ICTVonline=201907939</v>
      </c>
      <c r="Y821" s="1" t="s">
        <v>8390</v>
      </c>
      <c r="AA821" s="1">
        <v>201900000</v>
      </c>
      <c r="AB821" s="1">
        <v>35</v>
      </c>
    </row>
    <row r="822" spans="1:28" x14ac:dyDescent="0.2">
      <c r="A822" s="1">
        <v>2216</v>
      </c>
      <c r="B822" s="1" t="s">
        <v>6850</v>
      </c>
      <c r="D822" s="1" t="s">
        <v>6851</v>
      </c>
      <c r="F822" s="1" t="s">
        <v>6914</v>
      </c>
      <c r="H822" s="1" t="s">
        <v>6915</v>
      </c>
      <c r="J822" s="1" t="s">
        <v>1324</v>
      </c>
      <c r="L822" s="1" t="s">
        <v>1325</v>
      </c>
      <c r="M822" s="1" t="s">
        <v>1333</v>
      </c>
      <c r="N822" s="1" t="s">
        <v>8391</v>
      </c>
      <c r="P822" s="1" t="s">
        <v>8392</v>
      </c>
      <c r="Q822" s="3">
        <v>1</v>
      </c>
      <c r="R822" s="23" t="s">
        <v>6854</v>
      </c>
      <c r="S822" s="23" t="s">
        <v>6849</v>
      </c>
      <c r="T822" s="23" t="s">
        <v>4864</v>
      </c>
      <c r="U822" s="3">
        <v>35</v>
      </c>
      <c r="V822" s="3" t="s">
        <v>8302</v>
      </c>
      <c r="W822" s="45" t="str">
        <f>HYPERLINK("http://ictvonline.org/taxonomy/p/taxonomy-history?taxnode_id=201907952","ICTVonline=201907952")</f>
        <v>ICTVonline=201907952</v>
      </c>
      <c r="Y822" s="1" t="s">
        <v>8393</v>
      </c>
      <c r="AA822" s="1">
        <v>201900000</v>
      </c>
      <c r="AB822" s="1">
        <v>35</v>
      </c>
    </row>
    <row r="823" spans="1:28" x14ac:dyDescent="0.2">
      <c r="A823" s="1">
        <v>2222</v>
      </c>
      <c r="B823" s="1" t="s">
        <v>6850</v>
      </c>
      <c r="D823" s="1" t="s">
        <v>6851</v>
      </c>
      <c r="F823" s="1" t="s">
        <v>6914</v>
      </c>
      <c r="H823" s="1" t="s">
        <v>6915</v>
      </c>
      <c r="J823" s="1" t="s">
        <v>1324</v>
      </c>
      <c r="L823" s="1" t="s">
        <v>1325</v>
      </c>
      <c r="M823" s="1" t="s">
        <v>1335</v>
      </c>
      <c r="N823" s="1" t="s">
        <v>6069</v>
      </c>
      <c r="P823" s="1" t="s">
        <v>2771</v>
      </c>
      <c r="Q823" s="3">
        <v>0</v>
      </c>
      <c r="R823" s="23" t="s">
        <v>6854</v>
      </c>
      <c r="S823" s="23" t="s">
        <v>6845</v>
      </c>
      <c r="T823" s="23" t="s">
        <v>4866</v>
      </c>
      <c r="U823" s="3">
        <v>35</v>
      </c>
      <c r="W823" s="45" t="str">
        <f>HYPERLINK("http://ictvonline.org/taxonomy/p/taxonomy-history?taxnode_id=201900286","ICTVonline=201900286")</f>
        <v>ICTVonline=201900286</v>
      </c>
      <c r="Y823" s="1" t="s">
        <v>8394</v>
      </c>
      <c r="Z823" s="1" t="s">
        <v>8395</v>
      </c>
      <c r="AA823" s="1">
        <v>201900000</v>
      </c>
      <c r="AB823" s="1">
        <v>35</v>
      </c>
    </row>
    <row r="824" spans="1:28" x14ac:dyDescent="0.2">
      <c r="A824" s="1">
        <v>2224</v>
      </c>
      <c r="B824" s="1" t="s">
        <v>6850</v>
      </c>
      <c r="D824" s="1" t="s">
        <v>6851</v>
      </c>
      <c r="F824" s="1" t="s">
        <v>6914</v>
      </c>
      <c r="H824" s="1" t="s">
        <v>6915</v>
      </c>
      <c r="J824" s="1" t="s">
        <v>1324</v>
      </c>
      <c r="L824" s="1" t="s">
        <v>1325</v>
      </c>
      <c r="M824" s="1" t="s">
        <v>1335</v>
      </c>
      <c r="N824" s="1" t="s">
        <v>6069</v>
      </c>
      <c r="P824" s="1" t="s">
        <v>2772</v>
      </c>
      <c r="Q824" s="3">
        <v>0</v>
      </c>
      <c r="R824" s="23" t="s">
        <v>6854</v>
      </c>
      <c r="S824" s="23" t="s">
        <v>6845</v>
      </c>
      <c r="T824" s="23" t="s">
        <v>4866</v>
      </c>
      <c r="U824" s="3">
        <v>35</v>
      </c>
      <c r="W824" s="45" t="str">
        <f>HYPERLINK("http://ictvonline.org/taxonomy/p/taxonomy-history?taxnode_id=201900287","ICTVonline=201900287")</f>
        <v>ICTVonline=201900287</v>
      </c>
      <c r="Y824" s="1" t="s">
        <v>8396</v>
      </c>
      <c r="Z824" s="1" t="s">
        <v>8397</v>
      </c>
      <c r="AA824" s="1">
        <v>201900000</v>
      </c>
      <c r="AB824" s="1">
        <v>35</v>
      </c>
    </row>
    <row r="825" spans="1:28" x14ac:dyDescent="0.2">
      <c r="A825" s="1">
        <v>2226</v>
      </c>
      <c r="B825" s="1" t="s">
        <v>6850</v>
      </c>
      <c r="D825" s="1" t="s">
        <v>6851</v>
      </c>
      <c r="F825" s="1" t="s">
        <v>6914</v>
      </c>
      <c r="H825" s="1" t="s">
        <v>6915</v>
      </c>
      <c r="J825" s="1" t="s">
        <v>1324</v>
      </c>
      <c r="L825" s="1" t="s">
        <v>1325</v>
      </c>
      <c r="M825" s="1" t="s">
        <v>1335</v>
      </c>
      <c r="N825" s="1" t="s">
        <v>6069</v>
      </c>
      <c r="P825" s="1" t="s">
        <v>2773</v>
      </c>
      <c r="Q825" s="3">
        <v>0</v>
      </c>
      <c r="R825" s="23" t="s">
        <v>6854</v>
      </c>
      <c r="S825" s="23" t="s">
        <v>6845</v>
      </c>
      <c r="T825" s="23" t="s">
        <v>4866</v>
      </c>
      <c r="U825" s="3">
        <v>35</v>
      </c>
      <c r="W825" s="45" t="str">
        <f>HYPERLINK("http://ictvonline.org/taxonomy/p/taxonomy-history?taxnode_id=201900288","ICTVonline=201900288")</f>
        <v>ICTVonline=201900288</v>
      </c>
      <c r="Y825" s="1" t="s">
        <v>8398</v>
      </c>
      <c r="Z825" s="1" t="s">
        <v>8399</v>
      </c>
      <c r="AA825" s="1">
        <v>201900000</v>
      </c>
      <c r="AB825" s="1">
        <v>35</v>
      </c>
    </row>
    <row r="826" spans="1:28" x14ac:dyDescent="0.2">
      <c r="A826" s="1">
        <v>2228</v>
      </c>
      <c r="B826" s="1" t="s">
        <v>6850</v>
      </c>
      <c r="D826" s="1" t="s">
        <v>6851</v>
      </c>
      <c r="F826" s="1" t="s">
        <v>6914</v>
      </c>
      <c r="H826" s="1" t="s">
        <v>6915</v>
      </c>
      <c r="J826" s="1" t="s">
        <v>1324</v>
      </c>
      <c r="L826" s="1" t="s">
        <v>1325</v>
      </c>
      <c r="M826" s="1" t="s">
        <v>1335</v>
      </c>
      <c r="N826" s="1" t="s">
        <v>6069</v>
      </c>
      <c r="P826" s="1" t="s">
        <v>2774</v>
      </c>
      <c r="Q826" s="3">
        <v>1</v>
      </c>
      <c r="R826" s="23" t="s">
        <v>6854</v>
      </c>
      <c r="S826" s="23" t="s">
        <v>6845</v>
      </c>
      <c r="T826" s="23" t="s">
        <v>4866</v>
      </c>
      <c r="U826" s="3">
        <v>35</v>
      </c>
      <c r="W826" s="45" t="str">
        <f>HYPERLINK("http://ictvonline.org/taxonomy/p/taxonomy-history?taxnode_id=201900289","ICTVonline=201900289")</f>
        <v>ICTVonline=201900289</v>
      </c>
      <c r="AA826" s="1">
        <v>201900000</v>
      </c>
      <c r="AB826" s="1">
        <v>35</v>
      </c>
    </row>
    <row r="827" spans="1:28" x14ac:dyDescent="0.2">
      <c r="A827" s="1">
        <v>2230</v>
      </c>
      <c r="B827" s="1" t="s">
        <v>6850</v>
      </c>
      <c r="D827" s="1" t="s">
        <v>6851</v>
      </c>
      <c r="F827" s="1" t="s">
        <v>6914</v>
      </c>
      <c r="H827" s="1" t="s">
        <v>6915</v>
      </c>
      <c r="J827" s="1" t="s">
        <v>1324</v>
      </c>
      <c r="L827" s="1" t="s">
        <v>1325</v>
      </c>
      <c r="M827" s="1" t="s">
        <v>1335</v>
      </c>
      <c r="N827" s="1" t="s">
        <v>6069</v>
      </c>
      <c r="P827" s="1" t="s">
        <v>6070</v>
      </c>
      <c r="Q827" s="3">
        <v>0</v>
      </c>
      <c r="R827" s="23" t="s">
        <v>6854</v>
      </c>
      <c r="S827" s="23" t="s">
        <v>6845</v>
      </c>
      <c r="T827" s="23" t="s">
        <v>4866</v>
      </c>
      <c r="U827" s="3">
        <v>35</v>
      </c>
      <c r="W827" s="45" t="str">
        <f>HYPERLINK("http://ictvonline.org/taxonomy/p/taxonomy-history?taxnode_id=201907034","ICTVonline=201907034")</f>
        <v>ICTVonline=201907034</v>
      </c>
      <c r="Y827" s="1" t="s">
        <v>8400</v>
      </c>
      <c r="Z827" s="1" t="s">
        <v>8401</v>
      </c>
      <c r="AA827" s="1">
        <v>201900000</v>
      </c>
      <c r="AB827" s="1">
        <v>35</v>
      </c>
    </row>
    <row r="828" spans="1:28" x14ac:dyDescent="0.2">
      <c r="A828" s="1">
        <v>2232</v>
      </c>
      <c r="B828" s="1" t="s">
        <v>6850</v>
      </c>
      <c r="D828" s="1" t="s">
        <v>6851</v>
      </c>
      <c r="F828" s="1" t="s">
        <v>6914</v>
      </c>
      <c r="H828" s="1" t="s">
        <v>6915</v>
      </c>
      <c r="J828" s="1" t="s">
        <v>1324</v>
      </c>
      <c r="L828" s="1" t="s">
        <v>1325</v>
      </c>
      <c r="M828" s="1" t="s">
        <v>1335</v>
      </c>
      <c r="N828" s="1" t="s">
        <v>6069</v>
      </c>
      <c r="P828" s="1" t="s">
        <v>4147</v>
      </c>
      <c r="Q828" s="3">
        <v>0</v>
      </c>
      <c r="R828" s="23" t="s">
        <v>6854</v>
      </c>
      <c r="S828" s="23" t="s">
        <v>6845</v>
      </c>
      <c r="T828" s="23" t="s">
        <v>4866</v>
      </c>
      <c r="U828" s="3">
        <v>35</v>
      </c>
      <c r="W828" s="45" t="str">
        <f>HYPERLINK("http://ictvonline.org/taxonomy/p/taxonomy-history?taxnode_id=201900290","ICTVonline=201900290")</f>
        <v>ICTVonline=201900290</v>
      </c>
      <c r="Y828" s="1" t="s">
        <v>8402</v>
      </c>
      <c r="Z828" s="1" t="s">
        <v>8403</v>
      </c>
      <c r="AA828" s="1">
        <v>201900000</v>
      </c>
      <c r="AB828" s="1">
        <v>35</v>
      </c>
    </row>
    <row r="829" spans="1:28" x14ac:dyDescent="0.2">
      <c r="A829" s="1">
        <v>2234</v>
      </c>
      <c r="B829" s="1" t="s">
        <v>6850</v>
      </c>
      <c r="D829" s="1" t="s">
        <v>6851</v>
      </c>
      <c r="F829" s="1" t="s">
        <v>6914</v>
      </c>
      <c r="H829" s="1" t="s">
        <v>6915</v>
      </c>
      <c r="J829" s="1" t="s">
        <v>1324</v>
      </c>
      <c r="L829" s="1" t="s">
        <v>1325</v>
      </c>
      <c r="M829" s="1" t="s">
        <v>1335</v>
      </c>
      <c r="N829" s="1" t="s">
        <v>6069</v>
      </c>
      <c r="P829" s="1" t="s">
        <v>2775</v>
      </c>
      <c r="Q829" s="3">
        <v>0</v>
      </c>
      <c r="R829" s="23" t="s">
        <v>6854</v>
      </c>
      <c r="S829" s="23" t="s">
        <v>6845</v>
      </c>
      <c r="T829" s="23" t="s">
        <v>4866</v>
      </c>
      <c r="U829" s="3">
        <v>35</v>
      </c>
      <c r="W829" s="45" t="str">
        <f>HYPERLINK("http://ictvonline.org/taxonomy/p/taxonomy-history?taxnode_id=201900291","ICTVonline=201900291")</f>
        <v>ICTVonline=201900291</v>
      </c>
      <c r="Y829" s="1" t="s">
        <v>8404</v>
      </c>
      <c r="Z829" s="1" t="s">
        <v>8405</v>
      </c>
      <c r="AA829" s="1">
        <v>201900000</v>
      </c>
      <c r="AB829" s="1">
        <v>35</v>
      </c>
    </row>
    <row r="830" spans="1:28" x14ac:dyDescent="0.2">
      <c r="A830" s="1">
        <v>2236</v>
      </c>
      <c r="B830" s="1" t="s">
        <v>6850</v>
      </c>
      <c r="D830" s="1" t="s">
        <v>6851</v>
      </c>
      <c r="F830" s="1" t="s">
        <v>6914</v>
      </c>
      <c r="H830" s="1" t="s">
        <v>6915</v>
      </c>
      <c r="J830" s="1" t="s">
        <v>1324</v>
      </c>
      <c r="L830" s="1" t="s">
        <v>1325</v>
      </c>
      <c r="M830" s="1" t="s">
        <v>1335</v>
      </c>
      <c r="N830" s="1" t="s">
        <v>6069</v>
      </c>
      <c r="P830" s="1" t="s">
        <v>6071</v>
      </c>
      <c r="Q830" s="3">
        <v>0</v>
      </c>
      <c r="R830" s="23" t="s">
        <v>6854</v>
      </c>
      <c r="S830" s="23" t="s">
        <v>6845</v>
      </c>
      <c r="T830" s="23" t="s">
        <v>4866</v>
      </c>
      <c r="U830" s="3">
        <v>35</v>
      </c>
      <c r="W830" s="45" t="str">
        <f>HYPERLINK("http://ictvonline.org/taxonomy/p/taxonomy-history?taxnode_id=201907035","ICTVonline=201907035")</f>
        <v>ICTVonline=201907035</v>
      </c>
      <c r="Y830" s="1" t="s">
        <v>8406</v>
      </c>
      <c r="Z830" s="1" t="s">
        <v>8407</v>
      </c>
      <c r="AA830" s="1">
        <v>201900000</v>
      </c>
      <c r="AB830" s="1">
        <v>35</v>
      </c>
    </row>
    <row r="831" spans="1:28" x14ac:dyDescent="0.2">
      <c r="A831" s="1">
        <v>2240</v>
      </c>
      <c r="B831" s="1" t="s">
        <v>6850</v>
      </c>
      <c r="D831" s="1" t="s">
        <v>6851</v>
      </c>
      <c r="F831" s="1" t="s">
        <v>6914</v>
      </c>
      <c r="H831" s="1" t="s">
        <v>6915</v>
      </c>
      <c r="J831" s="1" t="s">
        <v>1324</v>
      </c>
      <c r="L831" s="1" t="s">
        <v>1325</v>
      </c>
      <c r="M831" s="1" t="s">
        <v>1335</v>
      </c>
      <c r="N831" s="1" t="s">
        <v>6072</v>
      </c>
      <c r="P831" s="1" t="s">
        <v>2787</v>
      </c>
      <c r="Q831" s="3">
        <v>0</v>
      </c>
      <c r="R831" s="23" t="s">
        <v>6854</v>
      </c>
      <c r="S831" s="23" t="s">
        <v>6845</v>
      </c>
      <c r="T831" s="23" t="s">
        <v>4866</v>
      </c>
      <c r="U831" s="3">
        <v>35</v>
      </c>
      <c r="W831" s="45" t="str">
        <f>HYPERLINK("http://ictvonline.org/taxonomy/p/taxonomy-history?taxnode_id=201900318","ICTVonline=201900318")</f>
        <v>ICTVonline=201900318</v>
      </c>
      <c r="Y831" s="1" t="s">
        <v>8408</v>
      </c>
      <c r="Z831" s="1" t="s">
        <v>8409</v>
      </c>
      <c r="AA831" s="1">
        <v>201900000</v>
      </c>
      <c r="AB831" s="1">
        <v>35</v>
      </c>
    </row>
    <row r="832" spans="1:28" x14ac:dyDescent="0.2">
      <c r="A832" s="1">
        <v>2242</v>
      </c>
      <c r="B832" s="1" t="s">
        <v>6850</v>
      </c>
      <c r="D832" s="1" t="s">
        <v>6851</v>
      </c>
      <c r="F832" s="1" t="s">
        <v>6914</v>
      </c>
      <c r="H832" s="1" t="s">
        <v>6915</v>
      </c>
      <c r="J832" s="1" t="s">
        <v>1324</v>
      </c>
      <c r="L832" s="1" t="s">
        <v>1325</v>
      </c>
      <c r="M832" s="1" t="s">
        <v>1335</v>
      </c>
      <c r="N832" s="1" t="s">
        <v>6072</v>
      </c>
      <c r="P832" s="1" t="s">
        <v>2788</v>
      </c>
      <c r="Q832" s="3">
        <v>0</v>
      </c>
      <c r="R832" s="23" t="s">
        <v>6854</v>
      </c>
      <c r="S832" s="23" t="s">
        <v>6845</v>
      </c>
      <c r="T832" s="23" t="s">
        <v>4866</v>
      </c>
      <c r="U832" s="3">
        <v>35</v>
      </c>
      <c r="W832" s="45" t="str">
        <f>HYPERLINK("http://ictvonline.org/taxonomy/p/taxonomy-history?taxnode_id=201900319","ICTVonline=201900319")</f>
        <v>ICTVonline=201900319</v>
      </c>
      <c r="Y832" s="1" t="s">
        <v>8410</v>
      </c>
      <c r="Z832" s="1" t="s">
        <v>8411</v>
      </c>
      <c r="AA832" s="1">
        <v>201900000</v>
      </c>
      <c r="AB832" s="1">
        <v>35</v>
      </c>
    </row>
    <row r="833" spans="1:28" x14ac:dyDescent="0.2">
      <c r="A833" s="1">
        <v>2244</v>
      </c>
      <c r="B833" s="1" t="s">
        <v>6850</v>
      </c>
      <c r="D833" s="1" t="s">
        <v>6851</v>
      </c>
      <c r="F833" s="1" t="s">
        <v>6914</v>
      </c>
      <c r="H833" s="1" t="s">
        <v>6915</v>
      </c>
      <c r="J833" s="1" t="s">
        <v>1324</v>
      </c>
      <c r="L833" s="1" t="s">
        <v>1325</v>
      </c>
      <c r="M833" s="1" t="s">
        <v>1335</v>
      </c>
      <c r="N833" s="1" t="s">
        <v>6072</v>
      </c>
      <c r="P833" s="1" t="s">
        <v>2789</v>
      </c>
      <c r="Q833" s="3">
        <v>0</v>
      </c>
      <c r="R833" s="23" t="s">
        <v>6854</v>
      </c>
      <c r="S833" s="23" t="s">
        <v>6845</v>
      </c>
      <c r="T833" s="23" t="s">
        <v>4866</v>
      </c>
      <c r="U833" s="3">
        <v>35</v>
      </c>
      <c r="W833" s="45" t="str">
        <f>HYPERLINK("http://ictvonline.org/taxonomy/p/taxonomy-history?taxnode_id=201900320","ICTVonline=201900320")</f>
        <v>ICTVonline=201900320</v>
      </c>
      <c r="Y833" s="1" t="s">
        <v>8412</v>
      </c>
      <c r="Z833" s="1" t="s">
        <v>8413</v>
      </c>
      <c r="AA833" s="1">
        <v>201900000</v>
      </c>
      <c r="AB833" s="1">
        <v>35</v>
      </c>
    </row>
    <row r="834" spans="1:28" x14ac:dyDescent="0.2">
      <c r="A834" s="1">
        <v>2246</v>
      </c>
      <c r="B834" s="1" t="s">
        <v>6850</v>
      </c>
      <c r="D834" s="1" t="s">
        <v>6851</v>
      </c>
      <c r="F834" s="1" t="s">
        <v>6914</v>
      </c>
      <c r="H834" s="1" t="s">
        <v>6915</v>
      </c>
      <c r="J834" s="1" t="s">
        <v>1324</v>
      </c>
      <c r="L834" s="1" t="s">
        <v>1325</v>
      </c>
      <c r="M834" s="1" t="s">
        <v>1335</v>
      </c>
      <c r="N834" s="1" t="s">
        <v>6072</v>
      </c>
      <c r="P834" s="1" t="s">
        <v>2790</v>
      </c>
      <c r="Q834" s="3">
        <v>0</v>
      </c>
      <c r="R834" s="23" t="s">
        <v>6854</v>
      </c>
      <c r="S834" s="23" t="s">
        <v>6845</v>
      </c>
      <c r="T834" s="23" t="s">
        <v>4866</v>
      </c>
      <c r="U834" s="3">
        <v>35</v>
      </c>
      <c r="W834" s="45" t="str">
        <f>HYPERLINK("http://ictvonline.org/taxonomy/p/taxonomy-history?taxnode_id=201900321","ICTVonline=201900321")</f>
        <v>ICTVonline=201900321</v>
      </c>
      <c r="Y834" s="1" t="s">
        <v>8414</v>
      </c>
      <c r="Z834" s="1" t="s">
        <v>8415</v>
      </c>
      <c r="AA834" s="1">
        <v>201900000</v>
      </c>
      <c r="AB834" s="1">
        <v>35</v>
      </c>
    </row>
    <row r="835" spans="1:28" x14ac:dyDescent="0.2">
      <c r="A835" s="1">
        <v>2248</v>
      </c>
      <c r="B835" s="1" t="s">
        <v>6850</v>
      </c>
      <c r="D835" s="1" t="s">
        <v>6851</v>
      </c>
      <c r="F835" s="1" t="s">
        <v>6914</v>
      </c>
      <c r="H835" s="1" t="s">
        <v>6915</v>
      </c>
      <c r="J835" s="1" t="s">
        <v>1324</v>
      </c>
      <c r="L835" s="1" t="s">
        <v>1325</v>
      </c>
      <c r="M835" s="1" t="s">
        <v>1335</v>
      </c>
      <c r="N835" s="1" t="s">
        <v>6072</v>
      </c>
      <c r="P835" s="1" t="s">
        <v>2791</v>
      </c>
      <c r="Q835" s="3">
        <v>1</v>
      </c>
      <c r="R835" s="23" t="s">
        <v>6854</v>
      </c>
      <c r="S835" s="23" t="s">
        <v>6845</v>
      </c>
      <c r="T835" s="23" t="s">
        <v>4866</v>
      </c>
      <c r="U835" s="3">
        <v>35</v>
      </c>
      <c r="W835" s="45" t="str">
        <f>HYPERLINK("http://ictvonline.org/taxonomy/p/taxonomy-history?taxnode_id=201900322","ICTVonline=201900322")</f>
        <v>ICTVonline=201900322</v>
      </c>
      <c r="Y835" s="1" t="s">
        <v>8416</v>
      </c>
      <c r="Z835" s="1" t="s">
        <v>8417</v>
      </c>
      <c r="AA835" s="1">
        <v>201900000</v>
      </c>
      <c r="AB835" s="1">
        <v>35</v>
      </c>
    </row>
    <row r="836" spans="1:28" x14ac:dyDescent="0.2">
      <c r="A836" s="1">
        <v>2252</v>
      </c>
      <c r="B836" s="1" t="s">
        <v>6850</v>
      </c>
      <c r="D836" s="1" t="s">
        <v>6851</v>
      </c>
      <c r="F836" s="1" t="s">
        <v>6914</v>
      </c>
      <c r="H836" s="1" t="s">
        <v>6915</v>
      </c>
      <c r="J836" s="1" t="s">
        <v>1324</v>
      </c>
      <c r="L836" s="1" t="s">
        <v>1325</v>
      </c>
      <c r="M836" s="1" t="s">
        <v>1335</v>
      </c>
      <c r="N836" s="1" t="s">
        <v>6073</v>
      </c>
      <c r="P836" s="1" t="s">
        <v>6074</v>
      </c>
      <c r="Q836" s="3">
        <v>0</v>
      </c>
      <c r="R836" s="23" t="s">
        <v>6854</v>
      </c>
      <c r="S836" s="23" t="s">
        <v>6845</v>
      </c>
      <c r="T836" s="23" t="s">
        <v>4866</v>
      </c>
      <c r="U836" s="3">
        <v>35</v>
      </c>
      <c r="W836" s="45" t="str">
        <f>HYPERLINK("http://ictvonline.org/taxonomy/p/taxonomy-history?taxnode_id=201907047","ICTVonline=201907047")</f>
        <v>ICTVonline=201907047</v>
      </c>
      <c r="Y836" s="1" t="s">
        <v>8418</v>
      </c>
      <c r="Z836" s="1" t="s">
        <v>8419</v>
      </c>
      <c r="AA836" s="1">
        <v>201900000</v>
      </c>
      <c r="AB836" s="1">
        <v>35</v>
      </c>
    </row>
    <row r="837" spans="1:28" x14ac:dyDescent="0.2">
      <c r="A837" s="1">
        <v>2254</v>
      </c>
      <c r="B837" s="1" t="s">
        <v>6850</v>
      </c>
      <c r="D837" s="1" t="s">
        <v>6851</v>
      </c>
      <c r="F837" s="1" t="s">
        <v>6914</v>
      </c>
      <c r="H837" s="1" t="s">
        <v>6915</v>
      </c>
      <c r="J837" s="1" t="s">
        <v>1324</v>
      </c>
      <c r="L837" s="1" t="s">
        <v>1325</v>
      </c>
      <c r="M837" s="1" t="s">
        <v>1335</v>
      </c>
      <c r="N837" s="1" t="s">
        <v>6073</v>
      </c>
      <c r="P837" s="1" t="s">
        <v>2782</v>
      </c>
      <c r="Q837" s="3">
        <v>1</v>
      </c>
      <c r="R837" s="23" t="s">
        <v>6854</v>
      </c>
      <c r="S837" s="23" t="s">
        <v>6845</v>
      </c>
      <c r="T837" s="23" t="s">
        <v>4866</v>
      </c>
      <c r="U837" s="3">
        <v>35</v>
      </c>
      <c r="W837" s="45" t="str">
        <f>HYPERLINK("http://ictvonline.org/taxonomy/p/taxonomy-history?taxnode_id=201900311","ICTVonline=201900311")</f>
        <v>ICTVonline=201900311</v>
      </c>
      <c r="Y837" s="1" t="s">
        <v>8420</v>
      </c>
      <c r="Z837" s="1" t="s">
        <v>8421</v>
      </c>
      <c r="AA837" s="1">
        <v>201900000</v>
      </c>
      <c r="AB837" s="1">
        <v>35</v>
      </c>
    </row>
    <row r="838" spans="1:28" x14ac:dyDescent="0.2">
      <c r="A838" s="1">
        <v>2256</v>
      </c>
      <c r="B838" s="1" t="s">
        <v>6850</v>
      </c>
      <c r="D838" s="1" t="s">
        <v>6851</v>
      </c>
      <c r="F838" s="1" t="s">
        <v>6914</v>
      </c>
      <c r="H838" s="1" t="s">
        <v>6915</v>
      </c>
      <c r="J838" s="1" t="s">
        <v>1324</v>
      </c>
      <c r="L838" s="1" t="s">
        <v>1325</v>
      </c>
      <c r="M838" s="1" t="s">
        <v>1335</v>
      </c>
      <c r="N838" s="1" t="s">
        <v>6073</v>
      </c>
      <c r="P838" s="1" t="s">
        <v>2783</v>
      </c>
      <c r="Q838" s="3">
        <v>0</v>
      </c>
      <c r="R838" s="23" t="s">
        <v>6854</v>
      </c>
      <c r="S838" s="23" t="s">
        <v>6845</v>
      </c>
      <c r="T838" s="23" t="s">
        <v>4866</v>
      </c>
      <c r="U838" s="3">
        <v>35</v>
      </c>
      <c r="W838" s="45" t="str">
        <f>HYPERLINK("http://ictvonline.org/taxonomy/p/taxonomy-history?taxnode_id=201900312","ICTVonline=201900312")</f>
        <v>ICTVonline=201900312</v>
      </c>
      <c r="Y838" s="1" t="s">
        <v>8422</v>
      </c>
      <c r="Z838" s="1" t="s">
        <v>8423</v>
      </c>
      <c r="AA838" s="1">
        <v>201900000</v>
      </c>
      <c r="AB838" s="1">
        <v>35</v>
      </c>
    </row>
    <row r="839" spans="1:28" x14ac:dyDescent="0.2">
      <c r="A839" s="1">
        <v>2258</v>
      </c>
      <c r="B839" s="1" t="s">
        <v>6850</v>
      </c>
      <c r="D839" s="1" t="s">
        <v>6851</v>
      </c>
      <c r="F839" s="1" t="s">
        <v>6914</v>
      </c>
      <c r="H839" s="1" t="s">
        <v>6915</v>
      </c>
      <c r="J839" s="1" t="s">
        <v>1324</v>
      </c>
      <c r="L839" s="1" t="s">
        <v>1325</v>
      </c>
      <c r="M839" s="1" t="s">
        <v>1335</v>
      </c>
      <c r="N839" s="1" t="s">
        <v>6073</v>
      </c>
      <c r="P839" s="1" t="s">
        <v>6075</v>
      </c>
      <c r="Q839" s="3">
        <v>0</v>
      </c>
      <c r="R839" s="23" t="s">
        <v>6854</v>
      </c>
      <c r="S839" s="23" t="s">
        <v>6845</v>
      </c>
      <c r="T839" s="23" t="s">
        <v>4866</v>
      </c>
      <c r="U839" s="3">
        <v>35</v>
      </c>
      <c r="W839" s="45" t="str">
        <f>HYPERLINK("http://ictvonline.org/taxonomy/p/taxonomy-history?taxnode_id=201907048","ICTVonline=201907048")</f>
        <v>ICTVonline=201907048</v>
      </c>
      <c r="Y839" s="1" t="s">
        <v>8424</v>
      </c>
      <c r="Z839" s="1" t="s">
        <v>8425</v>
      </c>
      <c r="AA839" s="1">
        <v>201900000</v>
      </c>
      <c r="AB839" s="1">
        <v>35</v>
      </c>
    </row>
    <row r="840" spans="1:28" x14ac:dyDescent="0.2">
      <c r="A840" s="1">
        <v>2262</v>
      </c>
      <c r="B840" s="1" t="s">
        <v>6850</v>
      </c>
      <c r="D840" s="1" t="s">
        <v>6851</v>
      </c>
      <c r="F840" s="1" t="s">
        <v>6914</v>
      </c>
      <c r="H840" s="1" t="s">
        <v>6915</v>
      </c>
      <c r="J840" s="1" t="s">
        <v>1324</v>
      </c>
      <c r="L840" s="1" t="s">
        <v>1325</v>
      </c>
      <c r="M840" s="1" t="s">
        <v>1335</v>
      </c>
      <c r="N840" s="1" t="s">
        <v>6076</v>
      </c>
      <c r="P840" s="1" t="s">
        <v>4145</v>
      </c>
      <c r="Q840" s="3">
        <v>1</v>
      </c>
      <c r="R840" s="23" t="s">
        <v>6854</v>
      </c>
      <c r="S840" s="23" t="s">
        <v>6845</v>
      </c>
      <c r="T840" s="23" t="s">
        <v>4866</v>
      </c>
      <c r="U840" s="3">
        <v>35</v>
      </c>
      <c r="W840" s="45" t="str">
        <f>HYPERLINK("http://ictvonline.org/taxonomy/p/taxonomy-history?taxnode_id=201900283","ICTVonline=201900283")</f>
        <v>ICTVonline=201900283</v>
      </c>
      <c r="Y840" s="1" t="s">
        <v>8426</v>
      </c>
      <c r="Z840" s="1" t="s">
        <v>8427</v>
      </c>
      <c r="AA840" s="1">
        <v>201900000</v>
      </c>
      <c r="AB840" s="1">
        <v>35</v>
      </c>
    </row>
    <row r="841" spans="1:28" x14ac:dyDescent="0.2">
      <c r="A841" s="1">
        <v>2264</v>
      </c>
      <c r="B841" s="1" t="s">
        <v>6850</v>
      </c>
      <c r="D841" s="1" t="s">
        <v>6851</v>
      </c>
      <c r="F841" s="1" t="s">
        <v>6914</v>
      </c>
      <c r="H841" s="1" t="s">
        <v>6915</v>
      </c>
      <c r="J841" s="1" t="s">
        <v>1324</v>
      </c>
      <c r="L841" s="1" t="s">
        <v>1325</v>
      </c>
      <c r="M841" s="1" t="s">
        <v>1335</v>
      </c>
      <c r="N841" s="1" t="s">
        <v>6076</v>
      </c>
      <c r="P841" s="1" t="s">
        <v>4146</v>
      </c>
      <c r="Q841" s="3">
        <v>0</v>
      </c>
      <c r="R841" s="23" t="s">
        <v>6854</v>
      </c>
      <c r="S841" s="23" t="s">
        <v>6845</v>
      </c>
      <c r="T841" s="23" t="s">
        <v>4866</v>
      </c>
      <c r="U841" s="3">
        <v>35</v>
      </c>
      <c r="W841" s="45" t="str">
        <f>HYPERLINK("http://ictvonline.org/taxonomy/p/taxonomy-history?taxnode_id=201900284","ICTVonline=201900284")</f>
        <v>ICTVonline=201900284</v>
      </c>
      <c r="Y841" s="1" t="s">
        <v>8428</v>
      </c>
      <c r="Z841" s="1" t="s">
        <v>8429</v>
      </c>
      <c r="AA841" s="1">
        <v>201900000</v>
      </c>
      <c r="AB841" s="1">
        <v>35</v>
      </c>
    </row>
    <row r="842" spans="1:28" x14ac:dyDescent="0.2">
      <c r="A842" s="1">
        <v>2268</v>
      </c>
      <c r="B842" s="1" t="s">
        <v>6850</v>
      </c>
      <c r="D842" s="1" t="s">
        <v>6851</v>
      </c>
      <c r="F842" s="1" t="s">
        <v>6914</v>
      </c>
      <c r="H842" s="1" t="s">
        <v>6915</v>
      </c>
      <c r="J842" s="1" t="s">
        <v>1324</v>
      </c>
      <c r="L842" s="1" t="s">
        <v>1325</v>
      </c>
      <c r="M842" s="1" t="s">
        <v>1335</v>
      </c>
      <c r="N842" s="1" t="s">
        <v>6077</v>
      </c>
      <c r="P842" s="1" t="s">
        <v>2770</v>
      </c>
      <c r="Q842" s="3">
        <v>0</v>
      </c>
      <c r="R842" s="23" t="s">
        <v>6854</v>
      </c>
      <c r="S842" s="23" t="s">
        <v>6845</v>
      </c>
      <c r="T842" s="23" t="s">
        <v>4866</v>
      </c>
      <c r="U842" s="3">
        <v>35</v>
      </c>
      <c r="W842" s="45" t="str">
        <f>HYPERLINK("http://ictvonline.org/taxonomy/p/taxonomy-history?taxnode_id=201900280","ICTVonline=201900280")</f>
        <v>ICTVonline=201900280</v>
      </c>
      <c r="Y842" s="1" t="s">
        <v>8430</v>
      </c>
      <c r="Z842" s="1" t="s">
        <v>8431</v>
      </c>
      <c r="AA842" s="1">
        <v>201900000</v>
      </c>
      <c r="AB842" s="1">
        <v>35</v>
      </c>
    </row>
    <row r="843" spans="1:28" x14ac:dyDescent="0.2">
      <c r="A843" s="1">
        <v>2270</v>
      </c>
      <c r="B843" s="1" t="s">
        <v>6850</v>
      </c>
      <c r="D843" s="1" t="s">
        <v>6851</v>
      </c>
      <c r="F843" s="1" t="s">
        <v>6914</v>
      </c>
      <c r="H843" s="1" t="s">
        <v>6915</v>
      </c>
      <c r="J843" s="1" t="s">
        <v>1324</v>
      </c>
      <c r="L843" s="1" t="s">
        <v>1325</v>
      </c>
      <c r="M843" s="1" t="s">
        <v>1335</v>
      </c>
      <c r="N843" s="1" t="s">
        <v>6077</v>
      </c>
      <c r="P843" s="1" t="s">
        <v>4869</v>
      </c>
      <c r="Q843" s="3">
        <v>1</v>
      </c>
      <c r="R843" s="23" t="s">
        <v>6854</v>
      </c>
      <c r="S843" s="23" t="s">
        <v>6845</v>
      </c>
      <c r="T843" s="23" t="s">
        <v>4866</v>
      </c>
      <c r="U843" s="3">
        <v>35</v>
      </c>
      <c r="W843" s="45" t="str">
        <f>HYPERLINK("http://ictvonline.org/taxonomy/p/taxonomy-history?taxnode_id=201900281","ICTVonline=201900281")</f>
        <v>ICTVonline=201900281</v>
      </c>
      <c r="AA843" s="1">
        <v>201900000</v>
      </c>
      <c r="AB843" s="1">
        <v>35</v>
      </c>
    </row>
    <row r="844" spans="1:28" x14ac:dyDescent="0.2">
      <c r="A844" s="1">
        <v>2274</v>
      </c>
      <c r="B844" s="1" t="s">
        <v>6850</v>
      </c>
      <c r="D844" s="1" t="s">
        <v>6851</v>
      </c>
      <c r="F844" s="1" t="s">
        <v>6914</v>
      </c>
      <c r="H844" s="1" t="s">
        <v>6915</v>
      </c>
      <c r="J844" s="1" t="s">
        <v>1324</v>
      </c>
      <c r="L844" s="1" t="s">
        <v>1325</v>
      </c>
      <c r="M844" s="1" t="s">
        <v>1335</v>
      </c>
      <c r="N844" s="1" t="s">
        <v>6078</v>
      </c>
      <c r="P844" s="1" t="s">
        <v>6079</v>
      </c>
      <c r="Q844" s="3">
        <v>0</v>
      </c>
      <c r="R844" s="23" t="s">
        <v>6854</v>
      </c>
      <c r="S844" s="23" t="s">
        <v>6845</v>
      </c>
      <c r="T844" s="23" t="s">
        <v>4866</v>
      </c>
      <c r="U844" s="3">
        <v>35</v>
      </c>
      <c r="W844" s="45" t="str">
        <f>HYPERLINK("http://ictvonline.org/taxonomy/p/taxonomy-history?taxnode_id=201907038","ICTVonline=201907038")</f>
        <v>ICTVonline=201907038</v>
      </c>
      <c r="Y844" s="1" t="s">
        <v>8432</v>
      </c>
      <c r="Z844" s="1" t="s">
        <v>8433</v>
      </c>
      <c r="AA844" s="1">
        <v>201900000</v>
      </c>
      <c r="AB844" s="1">
        <v>35</v>
      </c>
    </row>
    <row r="845" spans="1:28" x14ac:dyDescent="0.2">
      <c r="A845" s="1">
        <v>2276</v>
      </c>
      <c r="B845" s="1" t="s">
        <v>6850</v>
      </c>
      <c r="D845" s="1" t="s">
        <v>6851</v>
      </c>
      <c r="F845" s="1" t="s">
        <v>6914</v>
      </c>
      <c r="H845" s="1" t="s">
        <v>6915</v>
      </c>
      <c r="J845" s="1" t="s">
        <v>1324</v>
      </c>
      <c r="L845" s="1" t="s">
        <v>1325</v>
      </c>
      <c r="M845" s="1" t="s">
        <v>1335</v>
      </c>
      <c r="N845" s="1" t="s">
        <v>6078</v>
      </c>
      <c r="P845" s="1" t="s">
        <v>6080</v>
      </c>
      <c r="Q845" s="3">
        <v>0</v>
      </c>
      <c r="R845" s="23" t="s">
        <v>6854</v>
      </c>
      <c r="S845" s="23" t="s">
        <v>6845</v>
      </c>
      <c r="T845" s="23" t="s">
        <v>4866</v>
      </c>
      <c r="U845" s="3">
        <v>35</v>
      </c>
      <c r="W845" s="45" t="str">
        <f>HYPERLINK("http://ictvonline.org/taxonomy/p/taxonomy-history?taxnode_id=201907039","ICTVonline=201907039")</f>
        <v>ICTVonline=201907039</v>
      </c>
      <c r="Y845" s="1" t="s">
        <v>8434</v>
      </c>
      <c r="Z845" s="1" t="s">
        <v>8435</v>
      </c>
      <c r="AA845" s="1">
        <v>201900000</v>
      </c>
      <c r="AB845" s="1">
        <v>35</v>
      </c>
    </row>
    <row r="846" spans="1:28" x14ac:dyDescent="0.2">
      <c r="A846" s="1">
        <v>2278</v>
      </c>
      <c r="B846" s="1" t="s">
        <v>6850</v>
      </c>
      <c r="D846" s="1" t="s">
        <v>6851</v>
      </c>
      <c r="F846" s="1" t="s">
        <v>6914</v>
      </c>
      <c r="H846" s="1" t="s">
        <v>6915</v>
      </c>
      <c r="J846" s="1" t="s">
        <v>1324</v>
      </c>
      <c r="L846" s="1" t="s">
        <v>1325</v>
      </c>
      <c r="M846" s="1" t="s">
        <v>1335</v>
      </c>
      <c r="N846" s="1" t="s">
        <v>6078</v>
      </c>
      <c r="P846" s="1" t="s">
        <v>4156</v>
      </c>
      <c r="Q846" s="3">
        <v>0</v>
      </c>
      <c r="R846" s="23" t="s">
        <v>6854</v>
      </c>
      <c r="S846" s="23" t="s">
        <v>6845</v>
      </c>
      <c r="T846" s="23" t="s">
        <v>4866</v>
      </c>
      <c r="U846" s="3">
        <v>35</v>
      </c>
      <c r="W846" s="45" t="str">
        <f>HYPERLINK("http://ictvonline.org/taxonomy/p/taxonomy-history?taxnode_id=201900302","ICTVonline=201900302")</f>
        <v>ICTVonline=201900302</v>
      </c>
      <c r="Y846" s="1" t="s">
        <v>8436</v>
      </c>
      <c r="Z846" s="1" t="s">
        <v>8437</v>
      </c>
      <c r="AA846" s="1">
        <v>201900000</v>
      </c>
      <c r="AB846" s="1">
        <v>35</v>
      </c>
    </row>
    <row r="847" spans="1:28" x14ac:dyDescent="0.2">
      <c r="A847" s="1">
        <v>2280</v>
      </c>
      <c r="B847" s="1" t="s">
        <v>6850</v>
      </c>
      <c r="D847" s="1" t="s">
        <v>6851</v>
      </c>
      <c r="F847" s="1" t="s">
        <v>6914</v>
      </c>
      <c r="H847" s="1" t="s">
        <v>6915</v>
      </c>
      <c r="J847" s="1" t="s">
        <v>1324</v>
      </c>
      <c r="L847" s="1" t="s">
        <v>1325</v>
      </c>
      <c r="M847" s="1" t="s">
        <v>1335</v>
      </c>
      <c r="N847" s="1" t="s">
        <v>6078</v>
      </c>
      <c r="P847" s="1" t="s">
        <v>2776</v>
      </c>
      <c r="Q847" s="3">
        <v>0</v>
      </c>
      <c r="R847" s="23" t="s">
        <v>6854</v>
      </c>
      <c r="S847" s="23" t="s">
        <v>6845</v>
      </c>
      <c r="T847" s="23" t="s">
        <v>4866</v>
      </c>
      <c r="U847" s="3">
        <v>35</v>
      </c>
      <c r="W847" s="45" t="str">
        <f>HYPERLINK("http://ictvonline.org/taxonomy/p/taxonomy-history?taxnode_id=201900303","ICTVonline=201900303")</f>
        <v>ICTVonline=201900303</v>
      </c>
      <c r="AA847" s="1">
        <v>201900000</v>
      </c>
      <c r="AB847" s="1">
        <v>35</v>
      </c>
    </row>
    <row r="848" spans="1:28" x14ac:dyDescent="0.2">
      <c r="A848" s="1">
        <v>2282</v>
      </c>
      <c r="B848" s="1" t="s">
        <v>6850</v>
      </c>
      <c r="D848" s="1" t="s">
        <v>6851</v>
      </c>
      <c r="F848" s="1" t="s">
        <v>6914</v>
      </c>
      <c r="H848" s="1" t="s">
        <v>6915</v>
      </c>
      <c r="J848" s="1" t="s">
        <v>1324</v>
      </c>
      <c r="L848" s="1" t="s">
        <v>1325</v>
      </c>
      <c r="M848" s="1" t="s">
        <v>1335</v>
      </c>
      <c r="N848" s="1" t="s">
        <v>6078</v>
      </c>
      <c r="P848" s="1" t="s">
        <v>2777</v>
      </c>
      <c r="Q848" s="3">
        <v>1</v>
      </c>
      <c r="R848" s="23" t="s">
        <v>6854</v>
      </c>
      <c r="S848" s="23" t="s">
        <v>6845</v>
      </c>
      <c r="T848" s="23" t="s">
        <v>4866</v>
      </c>
      <c r="U848" s="3">
        <v>35</v>
      </c>
      <c r="W848" s="45" t="str">
        <f>HYPERLINK("http://ictvonline.org/taxonomy/p/taxonomy-history?taxnode_id=201900304","ICTVonline=201900304")</f>
        <v>ICTVonline=201900304</v>
      </c>
      <c r="AA848" s="1">
        <v>201900000</v>
      </c>
      <c r="AB848" s="1">
        <v>35</v>
      </c>
    </row>
    <row r="849" spans="1:28" x14ac:dyDescent="0.2">
      <c r="A849" s="1">
        <v>2286</v>
      </c>
      <c r="B849" s="1" t="s">
        <v>6850</v>
      </c>
      <c r="D849" s="1" t="s">
        <v>6851</v>
      </c>
      <c r="F849" s="1" t="s">
        <v>6914</v>
      </c>
      <c r="H849" s="1" t="s">
        <v>6915</v>
      </c>
      <c r="J849" s="1" t="s">
        <v>1324</v>
      </c>
      <c r="L849" s="1" t="s">
        <v>1325</v>
      </c>
      <c r="M849" s="1" t="s">
        <v>1335</v>
      </c>
      <c r="N849" s="1" t="s">
        <v>4153</v>
      </c>
      <c r="P849" s="1" t="s">
        <v>6081</v>
      </c>
      <c r="Q849" s="3">
        <v>0</v>
      </c>
      <c r="R849" s="23" t="s">
        <v>6854</v>
      </c>
      <c r="S849" s="23" t="s">
        <v>6845</v>
      </c>
      <c r="T849" s="23" t="s">
        <v>4866</v>
      </c>
      <c r="U849" s="3">
        <v>35</v>
      </c>
      <c r="W849" s="45" t="str">
        <f>HYPERLINK("http://ictvonline.org/taxonomy/p/taxonomy-history?taxnode_id=201907037","ICTVonline=201907037")</f>
        <v>ICTVonline=201907037</v>
      </c>
      <c r="Y849" s="1" t="s">
        <v>8438</v>
      </c>
      <c r="Z849" s="1" t="s">
        <v>8439</v>
      </c>
      <c r="AA849" s="1">
        <v>201900000</v>
      </c>
      <c r="AB849" s="1">
        <v>35</v>
      </c>
    </row>
    <row r="850" spans="1:28" x14ac:dyDescent="0.2">
      <c r="A850" s="1">
        <v>2288</v>
      </c>
      <c r="B850" s="1" t="s">
        <v>6850</v>
      </c>
      <c r="D850" s="1" t="s">
        <v>6851</v>
      </c>
      <c r="F850" s="1" t="s">
        <v>6914</v>
      </c>
      <c r="H850" s="1" t="s">
        <v>6915</v>
      </c>
      <c r="J850" s="1" t="s">
        <v>1324</v>
      </c>
      <c r="L850" s="1" t="s">
        <v>1325</v>
      </c>
      <c r="M850" s="1" t="s">
        <v>1335</v>
      </c>
      <c r="N850" s="1" t="s">
        <v>4153</v>
      </c>
      <c r="P850" s="1" t="s">
        <v>4154</v>
      </c>
      <c r="Q850" s="3">
        <v>0</v>
      </c>
      <c r="R850" s="23" t="s">
        <v>6854</v>
      </c>
      <c r="S850" s="23" t="s">
        <v>6845</v>
      </c>
      <c r="T850" s="23" t="s">
        <v>4866</v>
      </c>
      <c r="U850" s="3">
        <v>35</v>
      </c>
      <c r="W850" s="45" t="str">
        <f>HYPERLINK("http://ictvonline.org/taxonomy/p/taxonomy-history?taxnode_id=201900299","ICTVonline=201900299")</f>
        <v>ICTVonline=201900299</v>
      </c>
      <c r="Y850" s="1" t="s">
        <v>8440</v>
      </c>
      <c r="Z850" s="1" t="s">
        <v>8441</v>
      </c>
      <c r="AA850" s="1">
        <v>201900000</v>
      </c>
      <c r="AB850" s="1">
        <v>35</v>
      </c>
    </row>
    <row r="851" spans="1:28" x14ac:dyDescent="0.2">
      <c r="A851" s="1">
        <v>2290</v>
      </c>
      <c r="B851" s="1" t="s">
        <v>6850</v>
      </c>
      <c r="D851" s="1" t="s">
        <v>6851</v>
      </c>
      <c r="F851" s="1" t="s">
        <v>6914</v>
      </c>
      <c r="H851" s="1" t="s">
        <v>6915</v>
      </c>
      <c r="J851" s="1" t="s">
        <v>1324</v>
      </c>
      <c r="L851" s="1" t="s">
        <v>1325</v>
      </c>
      <c r="M851" s="1" t="s">
        <v>1335</v>
      </c>
      <c r="N851" s="1" t="s">
        <v>4153</v>
      </c>
      <c r="P851" s="1" t="s">
        <v>4155</v>
      </c>
      <c r="Q851" s="3">
        <v>1</v>
      </c>
      <c r="R851" s="23" t="s">
        <v>6854</v>
      </c>
      <c r="S851" s="23" t="s">
        <v>6845</v>
      </c>
      <c r="T851" s="23" t="s">
        <v>4866</v>
      </c>
      <c r="U851" s="3">
        <v>35</v>
      </c>
      <c r="W851" s="45" t="str">
        <f>HYPERLINK("http://ictvonline.org/taxonomy/p/taxonomy-history?taxnode_id=201900300","ICTVonline=201900300")</f>
        <v>ICTVonline=201900300</v>
      </c>
      <c r="Y851" s="1" t="s">
        <v>8442</v>
      </c>
      <c r="Z851" s="1" t="s">
        <v>8443</v>
      </c>
      <c r="AA851" s="1">
        <v>201900000</v>
      </c>
      <c r="AB851" s="1">
        <v>35</v>
      </c>
    </row>
    <row r="852" spans="1:28" x14ac:dyDescent="0.2">
      <c r="A852" s="1">
        <v>2294</v>
      </c>
      <c r="B852" s="1" t="s">
        <v>6850</v>
      </c>
      <c r="D852" s="1" t="s">
        <v>6851</v>
      </c>
      <c r="F852" s="1" t="s">
        <v>6914</v>
      </c>
      <c r="H852" s="1" t="s">
        <v>6915</v>
      </c>
      <c r="J852" s="1" t="s">
        <v>1324</v>
      </c>
      <c r="L852" s="1" t="s">
        <v>1325</v>
      </c>
      <c r="M852" s="1" t="s">
        <v>1335</v>
      </c>
      <c r="N852" s="1" t="s">
        <v>6082</v>
      </c>
      <c r="P852" s="1" t="s">
        <v>6083</v>
      </c>
      <c r="Q852" s="3">
        <v>0</v>
      </c>
      <c r="R852" s="23" t="s">
        <v>6854</v>
      </c>
      <c r="S852" s="23" t="s">
        <v>6845</v>
      </c>
      <c r="T852" s="23" t="s">
        <v>4866</v>
      </c>
      <c r="U852" s="3">
        <v>35</v>
      </c>
      <c r="W852" s="45" t="str">
        <f>HYPERLINK("http://ictvonline.org/taxonomy/p/taxonomy-history?taxnode_id=201907042","ICTVonline=201907042")</f>
        <v>ICTVonline=201907042</v>
      </c>
      <c r="Y852" s="1" t="s">
        <v>8444</v>
      </c>
      <c r="Z852" s="1" t="s">
        <v>8445</v>
      </c>
      <c r="AA852" s="1">
        <v>201900000</v>
      </c>
      <c r="AB852" s="1">
        <v>35</v>
      </c>
    </row>
    <row r="853" spans="1:28" x14ac:dyDescent="0.2">
      <c r="A853" s="1">
        <v>2296</v>
      </c>
      <c r="B853" s="1" t="s">
        <v>6850</v>
      </c>
      <c r="D853" s="1" t="s">
        <v>6851</v>
      </c>
      <c r="F853" s="1" t="s">
        <v>6914</v>
      </c>
      <c r="H853" s="1" t="s">
        <v>6915</v>
      </c>
      <c r="J853" s="1" t="s">
        <v>1324</v>
      </c>
      <c r="L853" s="1" t="s">
        <v>1325</v>
      </c>
      <c r="M853" s="1" t="s">
        <v>1335</v>
      </c>
      <c r="N853" s="1" t="s">
        <v>6082</v>
      </c>
      <c r="P853" s="1" t="s">
        <v>6084</v>
      </c>
      <c r="Q853" s="3">
        <v>0</v>
      </c>
      <c r="R853" s="23" t="s">
        <v>6854</v>
      </c>
      <c r="S853" s="23" t="s">
        <v>6845</v>
      </c>
      <c r="T853" s="23" t="s">
        <v>4866</v>
      </c>
      <c r="U853" s="3">
        <v>35</v>
      </c>
      <c r="W853" s="45" t="str">
        <f>HYPERLINK("http://ictvonline.org/taxonomy/p/taxonomy-history?taxnode_id=201907041","ICTVonline=201907041")</f>
        <v>ICTVonline=201907041</v>
      </c>
      <c r="Y853" s="1" t="s">
        <v>8446</v>
      </c>
      <c r="Z853" s="1" t="s">
        <v>8447</v>
      </c>
      <c r="AA853" s="1">
        <v>201900000</v>
      </c>
      <c r="AB853" s="1">
        <v>35</v>
      </c>
    </row>
    <row r="854" spans="1:28" x14ac:dyDescent="0.2">
      <c r="A854" s="1">
        <v>2298</v>
      </c>
      <c r="B854" s="1" t="s">
        <v>6850</v>
      </c>
      <c r="D854" s="1" t="s">
        <v>6851</v>
      </c>
      <c r="F854" s="1" t="s">
        <v>6914</v>
      </c>
      <c r="H854" s="1" t="s">
        <v>6915</v>
      </c>
      <c r="J854" s="1" t="s">
        <v>1324</v>
      </c>
      <c r="L854" s="1" t="s">
        <v>1325</v>
      </c>
      <c r="M854" s="1" t="s">
        <v>1335</v>
      </c>
      <c r="N854" s="1" t="s">
        <v>6082</v>
      </c>
      <c r="P854" s="1" t="s">
        <v>2778</v>
      </c>
      <c r="Q854" s="3">
        <v>0</v>
      </c>
      <c r="R854" s="23" t="s">
        <v>6854</v>
      </c>
      <c r="S854" s="23" t="s">
        <v>6845</v>
      </c>
      <c r="T854" s="23" t="s">
        <v>4866</v>
      </c>
      <c r="U854" s="3">
        <v>35</v>
      </c>
      <c r="W854" s="45" t="str">
        <f>HYPERLINK("http://ictvonline.org/taxonomy/p/taxonomy-history?taxnode_id=201900306","ICTVonline=201900306")</f>
        <v>ICTVonline=201900306</v>
      </c>
      <c r="Y854" s="1" t="s">
        <v>8448</v>
      </c>
      <c r="Z854" s="1" t="s">
        <v>8449</v>
      </c>
      <c r="AA854" s="1">
        <v>201900000</v>
      </c>
      <c r="AB854" s="1">
        <v>35</v>
      </c>
    </row>
    <row r="855" spans="1:28" x14ac:dyDescent="0.2">
      <c r="A855" s="1">
        <v>2300</v>
      </c>
      <c r="B855" s="1" t="s">
        <v>6850</v>
      </c>
      <c r="D855" s="1" t="s">
        <v>6851</v>
      </c>
      <c r="F855" s="1" t="s">
        <v>6914</v>
      </c>
      <c r="H855" s="1" t="s">
        <v>6915</v>
      </c>
      <c r="J855" s="1" t="s">
        <v>1324</v>
      </c>
      <c r="L855" s="1" t="s">
        <v>1325</v>
      </c>
      <c r="M855" s="1" t="s">
        <v>1335</v>
      </c>
      <c r="N855" s="1" t="s">
        <v>6082</v>
      </c>
      <c r="P855" s="1" t="s">
        <v>2779</v>
      </c>
      <c r="Q855" s="3">
        <v>0</v>
      </c>
      <c r="R855" s="23" t="s">
        <v>6854</v>
      </c>
      <c r="S855" s="23" t="s">
        <v>6845</v>
      </c>
      <c r="T855" s="23" t="s">
        <v>4866</v>
      </c>
      <c r="U855" s="3">
        <v>35</v>
      </c>
      <c r="W855" s="45" t="str">
        <f>HYPERLINK("http://ictvonline.org/taxonomy/p/taxonomy-history?taxnode_id=201900307","ICTVonline=201900307")</f>
        <v>ICTVonline=201900307</v>
      </c>
      <c r="Y855" s="1" t="s">
        <v>8450</v>
      </c>
      <c r="Z855" s="1" t="s">
        <v>8451</v>
      </c>
      <c r="AA855" s="1">
        <v>201900000</v>
      </c>
      <c r="AB855" s="1">
        <v>35</v>
      </c>
    </row>
    <row r="856" spans="1:28" x14ac:dyDescent="0.2">
      <c r="A856" s="1">
        <v>2302</v>
      </c>
      <c r="B856" s="1" t="s">
        <v>6850</v>
      </c>
      <c r="D856" s="1" t="s">
        <v>6851</v>
      </c>
      <c r="F856" s="1" t="s">
        <v>6914</v>
      </c>
      <c r="H856" s="1" t="s">
        <v>6915</v>
      </c>
      <c r="J856" s="1" t="s">
        <v>1324</v>
      </c>
      <c r="L856" s="1" t="s">
        <v>1325</v>
      </c>
      <c r="M856" s="1" t="s">
        <v>1335</v>
      </c>
      <c r="N856" s="1" t="s">
        <v>6082</v>
      </c>
      <c r="P856" s="1" t="s">
        <v>6085</v>
      </c>
      <c r="Q856" s="3">
        <v>0</v>
      </c>
      <c r="R856" s="23" t="s">
        <v>6854</v>
      </c>
      <c r="S856" s="23" t="s">
        <v>6845</v>
      </c>
      <c r="T856" s="23" t="s">
        <v>4866</v>
      </c>
      <c r="U856" s="3">
        <v>35</v>
      </c>
      <c r="W856" s="45" t="str">
        <f>HYPERLINK("http://ictvonline.org/taxonomy/p/taxonomy-history?taxnode_id=201907045","ICTVonline=201907045")</f>
        <v>ICTVonline=201907045</v>
      </c>
      <c r="Y856" s="1" t="s">
        <v>8452</v>
      </c>
      <c r="Z856" s="1" t="s">
        <v>8453</v>
      </c>
      <c r="AA856" s="1">
        <v>201900000</v>
      </c>
      <c r="AB856" s="1">
        <v>35</v>
      </c>
    </row>
    <row r="857" spans="1:28" x14ac:dyDescent="0.2">
      <c r="A857" s="1">
        <v>2304</v>
      </c>
      <c r="B857" s="1" t="s">
        <v>6850</v>
      </c>
      <c r="D857" s="1" t="s">
        <v>6851</v>
      </c>
      <c r="F857" s="1" t="s">
        <v>6914</v>
      </c>
      <c r="H857" s="1" t="s">
        <v>6915</v>
      </c>
      <c r="J857" s="1" t="s">
        <v>1324</v>
      </c>
      <c r="L857" s="1" t="s">
        <v>1325</v>
      </c>
      <c r="M857" s="1" t="s">
        <v>1335</v>
      </c>
      <c r="N857" s="1" t="s">
        <v>6082</v>
      </c>
      <c r="P857" s="1" t="s">
        <v>6086</v>
      </c>
      <c r="Q857" s="3">
        <v>0</v>
      </c>
      <c r="R857" s="23" t="s">
        <v>6854</v>
      </c>
      <c r="S857" s="23" t="s">
        <v>6845</v>
      </c>
      <c r="T857" s="23" t="s">
        <v>4866</v>
      </c>
      <c r="U857" s="3">
        <v>35</v>
      </c>
      <c r="W857" s="45" t="str">
        <f>HYPERLINK("http://ictvonline.org/taxonomy/p/taxonomy-history?taxnode_id=201907046","ICTVonline=201907046")</f>
        <v>ICTVonline=201907046</v>
      </c>
      <c r="Y857" s="1" t="s">
        <v>8454</v>
      </c>
      <c r="Z857" s="1" t="s">
        <v>8455</v>
      </c>
      <c r="AA857" s="1">
        <v>201900000</v>
      </c>
      <c r="AB857" s="1">
        <v>35</v>
      </c>
    </row>
    <row r="858" spans="1:28" x14ac:dyDescent="0.2">
      <c r="A858" s="1">
        <v>2306</v>
      </c>
      <c r="B858" s="1" t="s">
        <v>6850</v>
      </c>
      <c r="D858" s="1" t="s">
        <v>6851</v>
      </c>
      <c r="F858" s="1" t="s">
        <v>6914</v>
      </c>
      <c r="H858" s="1" t="s">
        <v>6915</v>
      </c>
      <c r="J858" s="1" t="s">
        <v>1324</v>
      </c>
      <c r="L858" s="1" t="s">
        <v>1325</v>
      </c>
      <c r="M858" s="1" t="s">
        <v>1335</v>
      </c>
      <c r="N858" s="1" t="s">
        <v>6082</v>
      </c>
      <c r="P858" s="1" t="s">
        <v>6087</v>
      </c>
      <c r="Q858" s="3">
        <v>0</v>
      </c>
      <c r="R858" s="23" t="s">
        <v>6854</v>
      </c>
      <c r="S858" s="23" t="s">
        <v>6845</v>
      </c>
      <c r="T858" s="23" t="s">
        <v>4866</v>
      </c>
      <c r="U858" s="3">
        <v>35</v>
      </c>
      <c r="W858" s="45" t="str">
        <f>HYPERLINK("http://ictvonline.org/taxonomy/p/taxonomy-history?taxnode_id=201907040","ICTVonline=201907040")</f>
        <v>ICTVonline=201907040</v>
      </c>
      <c r="Y858" s="1" t="s">
        <v>8456</v>
      </c>
      <c r="Z858" s="1" t="s">
        <v>8457</v>
      </c>
      <c r="AA858" s="1">
        <v>201900000</v>
      </c>
      <c r="AB858" s="1">
        <v>35</v>
      </c>
    </row>
    <row r="859" spans="1:28" x14ac:dyDescent="0.2">
      <c r="A859" s="1">
        <v>2308</v>
      </c>
      <c r="B859" s="1" t="s">
        <v>6850</v>
      </c>
      <c r="D859" s="1" t="s">
        <v>6851</v>
      </c>
      <c r="F859" s="1" t="s">
        <v>6914</v>
      </c>
      <c r="H859" s="1" t="s">
        <v>6915</v>
      </c>
      <c r="J859" s="1" t="s">
        <v>1324</v>
      </c>
      <c r="L859" s="1" t="s">
        <v>1325</v>
      </c>
      <c r="M859" s="1" t="s">
        <v>1335</v>
      </c>
      <c r="N859" s="1" t="s">
        <v>6082</v>
      </c>
      <c r="P859" s="1" t="s">
        <v>2780</v>
      </c>
      <c r="Q859" s="3">
        <v>1</v>
      </c>
      <c r="R859" s="23" t="s">
        <v>6854</v>
      </c>
      <c r="S859" s="23" t="s">
        <v>6845</v>
      </c>
      <c r="T859" s="23" t="s">
        <v>4866</v>
      </c>
      <c r="U859" s="3">
        <v>35</v>
      </c>
      <c r="W859" s="45" t="str">
        <f>HYPERLINK("http://ictvonline.org/taxonomy/p/taxonomy-history?taxnode_id=201900308","ICTVonline=201900308")</f>
        <v>ICTVonline=201900308</v>
      </c>
      <c r="AA859" s="1">
        <v>201900000</v>
      </c>
      <c r="AB859" s="1">
        <v>35</v>
      </c>
    </row>
    <row r="860" spans="1:28" x14ac:dyDescent="0.2">
      <c r="A860" s="1">
        <v>2310</v>
      </c>
      <c r="B860" s="1" t="s">
        <v>6850</v>
      </c>
      <c r="D860" s="1" t="s">
        <v>6851</v>
      </c>
      <c r="F860" s="1" t="s">
        <v>6914</v>
      </c>
      <c r="H860" s="1" t="s">
        <v>6915</v>
      </c>
      <c r="J860" s="1" t="s">
        <v>1324</v>
      </c>
      <c r="L860" s="1" t="s">
        <v>1325</v>
      </c>
      <c r="M860" s="1" t="s">
        <v>1335</v>
      </c>
      <c r="N860" s="1" t="s">
        <v>6082</v>
      </c>
      <c r="P860" s="1" t="s">
        <v>6088</v>
      </c>
      <c r="Q860" s="3">
        <v>0</v>
      </c>
      <c r="R860" s="23" t="s">
        <v>6854</v>
      </c>
      <c r="S860" s="23" t="s">
        <v>6845</v>
      </c>
      <c r="T860" s="23" t="s">
        <v>4866</v>
      </c>
      <c r="U860" s="3">
        <v>35</v>
      </c>
      <c r="W860" s="45" t="str">
        <f>HYPERLINK("http://ictvonline.org/taxonomy/p/taxonomy-history?taxnode_id=201907043","ICTVonline=201907043")</f>
        <v>ICTVonline=201907043</v>
      </c>
      <c r="Y860" s="1" t="s">
        <v>8458</v>
      </c>
      <c r="Z860" s="1" t="s">
        <v>8459</v>
      </c>
      <c r="AA860" s="1">
        <v>201900000</v>
      </c>
      <c r="AB860" s="1">
        <v>35</v>
      </c>
    </row>
    <row r="861" spans="1:28" x14ac:dyDescent="0.2">
      <c r="A861" s="1">
        <v>2312</v>
      </c>
      <c r="B861" s="1" t="s">
        <v>6850</v>
      </c>
      <c r="D861" s="1" t="s">
        <v>6851</v>
      </c>
      <c r="F861" s="1" t="s">
        <v>6914</v>
      </c>
      <c r="H861" s="1" t="s">
        <v>6915</v>
      </c>
      <c r="J861" s="1" t="s">
        <v>1324</v>
      </c>
      <c r="L861" s="1" t="s">
        <v>1325</v>
      </c>
      <c r="M861" s="1" t="s">
        <v>1335</v>
      </c>
      <c r="N861" s="1" t="s">
        <v>6082</v>
      </c>
      <c r="P861" s="1" t="s">
        <v>6089</v>
      </c>
      <c r="Q861" s="3">
        <v>0</v>
      </c>
      <c r="R861" s="23" t="s">
        <v>6854</v>
      </c>
      <c r="S861" s="23" t="s">
        <v>6845</v>
      </c>
      <c r="T861" s="23" t="s">
        <v>4866</v>
      </c>
      <c r="U861" s="3">
        <v>35</v>
      </c>
      <c r="W861" s="45" t="str">
        <f>HYPERLINK("http://ictvonline.org/taxonomy/p/taxonomy-history?taxnode_id=201907044","ICTVonline=201907044")</f>
        <v>ICTVonline=201907044</v>
      </c>
      <c r="Y861" s="1" t="s">
        <v>8460</v>
      </c>
      <c r="Z861" s="1" t="s">
        <v>8461</v>
      </c>
      <c r="AA861" s="1">
        <v>201900000</v>
      </c>
      <c r="AB861" s="1">
        <v>35</v>
      </c>
    </row>
    <row r="862" spans="1:28" x14ac:dyDescent="0.2">
      <c r="A862" s="1">
        <v>2314</v>
      </c>
      <c r="B862" s="1" t="s">
        <v>6850</v>
      </c>
      <c r="D862" s="1" t="s">
        <v>6851</v>
      </c>
      <c r="F862" s="1" t="s">
        <v>6914</v>
      </c>
      <c r="H862" s="1" t="s">
        <v>6915</v>
      </c>
      <c r="J862" s="1" t="s">
        <v>1324</v>
      </c>
      <c r="L862" s="1" t="s">
        <v>1325</v>
      </c>
      <c r="M862" s="1" t="s">
        <v>1335</v>
      </c>
      <c r="N862" s="1" t="s">
        <v>6082</v>
      </c>
      <c r="P862" s="1" t="s">
        <v>2781</v>
      </c>
      <c r="Q862" s="3">
        <v>0</v>
      </c>
      <c r="R862" s="23" t="s">
        <v>6854</v>
      </c>
      <c r="S862" s="23" t="s">
        <v>6845</v>
      </c>
      <c r="T862" s="23" t="s">
        <v>4866</v>
      </c>
      <c r="U862" s="3">
        <v>35</v>
      </c>
      <c r="W862" s="45" t="str">
        <f>HYPERLINK("http://ictvonline.org/taxonomy/p/taxonomy-history?taxnode_id=201900309","ICTVonline=201900309")</f>
        <v>ICTVonline=201900309</v>
      </c>
      <c r="Y862" s="1" t="s">
        <v>8462</v>
      </c>
      <c r="Z862" s="1" t="s">
        <v>8463</v>
      </c>
      <c r="AA862" s="1">
        <v>201900000</v>
      </c>
      <c r="AB862" s="1">
        <v>35</v>
      </c>
    </row>
    <row r="863" spans="1:28" x14ac:dyDescent="0.2">
      <c r="A863" s="1">
        <v>2318</v>
      </c>
      <c r="B863" s="1" t="s">
        <v>6850</v>
      </c>
      <c r="D863" s="1" t="s">
        <v>6851</v>
      </c>
      <c r="F863" s="1" t="s">
        <v>6914</v>
      </c>
      <c r="H863" s="1" t="s">
        <v>6915</v>
      </c>
      <c r="J863" s="1" t="s">
        <v>1324</v>
      </c>
      <c r="L863" s="1" t="s">
        <v>1325</v>
      </c>
      <c r="M863" s="1" t="s">
        <v>1335</v>
      </c>
      <c r="N863" s="1" t="s">
        <v>6090</v>
      </c>
      <c r="P863" s="1" t="s">
        <v>2784</v>
      </c>
      <c r="Q863" s="3">
        <v>1</v>
      </c>
      <c r="R863" s="23" t="s">
        <v>6854</v>
      </c>
      <c r="S863" s="23" t="s">
        <v>6845</v>
      </c>
      <c r="T863" s="23" t="s">
        <v>4866</v>
      </c>
      <c r="U863" s="3">
        <v>35</v>
      </c>
      <c r="W863" s="45" t="str">
        <f>HYPERLINK("http://ictvonline.org/taxonomy/p/taxonomy-history?taxnode_id=201900314","ICTVonline=201900314")</f>
        <v>ICTVonline=201900314</v>
      </c>
      <c r="AA863" s="1">
        <v>201900000</v>
      </c>
      <c r="AB863" s="1">
        <v>35</v>
      </c>
    </row>
    <row r="864" spans="1:28" x14ac:dyDescent="0.2">
      <c r="A864" s="1">
        <v>2320</v>
      </c>
      <c r="B864" s="1" t="s">
        <v>6850</v>
      </c>
      <c r="D864" s="1" t="s">
        <v>6851</v>
      </c>
      <c r="F864" s="1" t="s">
        <v>6914</v>
      </c>
      <c r="H864" s="1" t="s">
        <v>6915</v>
      </c>
      <c r="J864" s="1" t="s">
        <v>1324</v>
      </c>
      <c r="L864" s="1" t="s">
        <v>1325</v>
      </c>
      <c r="M864" s="1" t="s">
        <v>1335</v>
      </c>
      <c r="N864" s="1" t="s">
        <v>6090</v>
      </c>
      <c r="P864" s="1" t="s">
        <v>2785</v>
      </c>
      <c r="Q864" s="3">
        <v>0</v>
      </c>
      <c r="R864" s="23" t="s">
        <v>6854</v>
      </c>
      <c r="S864" s="23" t="s">
        <v>6845</v>
      </c>
      <c r="T864" s="23" t="s">
        <v>4866</v>
      </c>
      <c r="U864" s="3">
        <v>35</v>
      </c>
      <c r="W864" s="45" t="str">
        <f>HYPERLINK("http://ictvonline.org/taxonomy/p/taxonomy-history?taxnode_id=201900315","ICTVonline=201900315")</f>
        <v>ICTVonline=201900315</v>
      </c>
      <c r="AA864" s="1">
        <v>201900000</v>
      </c>
      <c r="AB864" s="1">
        <v>35</v>
      </c>
    </row>
    <row r="865" spans="1:28" x14ac:dyDescent="0.2">
      <c r="A865" s="1">
        <v>2322</v>
      </c>
      <c r="B865" s="1" t="s">
        <v>6850</v>
      </c>
      <c r="D865" s="1" t="s">
        <v>6851</v>
      </c>
      <c r="F865" s="1" t="s">
        <v>6914</v>
      </c>
      <c r="H865" s="1" t="s">
        <v>6915</v>
      </c>
      <c r="J865" s="1" t="s">
        <v>1324</v>
      </c>
      <c r="L865" s="1" t="s">
        <v>1325</v>
      </c>
      <c r="M865" s="1" t="s">
        <v>1335</v>
      </c>
      <c r="N865" s="1" t="s">
        <v>6090</v>
      </c>
      <c r="P865" s="1" t="s">
        <v>2786</v>
      </c>
      <c r="Q865" s="3">
        <v>0</v>
      </c>
      <c r="R865" s="23" t="s">
        <v>6854</v>
      </c>
      <c r="S865" s="23" t="s">
        <v>6845</v>
      </c>
      <c r="T865" s="23" t="s">
        <v>4866</v>
      </c>
      <c r="U865" s="3">
        <v>35</v>
      </c>
      <c r="W865" s="45" t="str">
        <f>HYPERLINK("http://ictvonline.org/taxonomy/p/taxonomy-history?taxnode_id=201900316","ICTVonline=201900316")</f>
        <v>ICTVonline=201900316</v>
      </c>
      <c r="Y865" s="1" t="s">
        <v>8464</v>
      </c>
      <c r="Z865" s="1" t="s">
        <v>8465</v>
      </c>
      <c r="AA865" s="1">
        <v>201900000</v>
      </c>
      <c r="AB865" s="1">
        <v>35</v>
      </c>
    </row>
    <row r="866" spans="1:28" x14ac:dyDescent="0.2">
      <c r="A866" s="1">
        <v>2326</v>
      </c>
      <c r="B866" s="1" t="s">
        <v>6850</v>
      </c>
      <c r="D866" s="1" t="s">
        <v>6851</v>
      </c>
      <c r="F866" s="1" t="s">
        <v>6914</v>
      </c>
      <c r="H866" s="1" t="s">
        <v>6915</v>
      </c>
      <c r="J866" s="1" t="s">
        <v>1324</v>
      </c>
      <c r="L866" s="1" t="s">
        <v>1325</v>
      </c>
      <c r="M866" s="1" t="s">
        <v>1335</v>
      </c>
      <c r="N866" s="1" t="s">
        <v>6091</v>
      </c>
      <c r="P866" s="1" t="s">
        <v>4148</v>
      </c>
      <c r="Q866" s="3">
        <v>0</v>
      </c>
      <c r="R866" s="23" t="s">
        <v>6854</v>
      </c>
      <c r="S866" s="23" t="s">
        <v>6845</v>
      </c>
      <c r="T866" s="23" t="s">
        <v>4866</v>
      </c>
      <c r="U866" s="3">
        <v>35</v>
      </c>
      <c r="W866" s="45" t="str">
        <f>HYPERLINK("http://ictvonline.org/taxonomy/p/taxonomy-history?taxnode_id=201900293","ICTVonline=201900293")</f>
        <v>ICTVonline=201900293</v>
      </c>
      <c r="Y866" s="1" t="s">
        <v>8466</v>
      </c>
      <c r="Z866" s="1" t="s">
        <v>8467</v>
      </c>
      <c r="AA866" s="1">
        <v>201900000</v>
      </c>
      <c r="AB866" s="1">
        <v>35</v>
      </c>
    </row>
    <row r="867" spans="1:28" x14ac:dyDescent="0.2">
      <c r="A867" s="1">
        <v>2328</v>
      </c>
      <c r="B867" s="1" t="s">
        <v>6850</v>
      </c>
      <c r="D867" s="1" t="s">
        <v>6851</v>
      </c>
      <c r="F867" s="1" t="s">
        <v>6914</v>
      </c>
      <c r="H867" s="1" t="s">
        <v>6915</v>
      </c>
      <c r="J867" s="1" t="s">
        <v>1324</v>
      </c>
      <c r="L867" s="1" t="s">
        <v>1325</v>
      </c>
      <c r="M867" s="1" t="s">
        <v>1335</v>
      </c>
      <c r="N867" s="1" t="s">
        <v>6091</v>
      </c>
      <c r="P867" s="1" t="s">
        <v>4149</v>
      </c>
      <c r="Q867" s="3">
        <v>1</v>
      </c>
      <c r="R867" s="23" t="s">
        <v>6854</v>
      </c>
      <c r="S867" s="23" t="s">
        <v>6845</v>
      </c>
      <c r="T867" s="23" t="s">
        <v>4866</v>
      </c>
      <c r="U867" s="3">
        <v>35</v>
      </c>
      <c r="W867" s="45" t="str">
        <f>HYPERLINK("http://ictvonline.org/taxonomy/p/taxonomy-history?taxnode_id=201900294","ICTVonline=201900294")</f>
        <v>ICTVonline=201900294</v>
      </c>
      <c r="Y867" s="1" t="s">
        <v>8468</v>
      </c>
      <c r="Z867" s="1" t="s">
        <v>8469</v>
      </c>
      <c r="AA867" s="1">
        <v>201900000</v>
      </c>
      <c r="AB867" s="1">
        <v>35</v>
      </c>
    </row>
    <row r="868" spans="1:28" x14ac:dyDescent="0.2">
      <c r="A868" s="1">
        <v>2330</v>
      </c>
      <c r="B868" s="1" t="s">
        <v>6850</v>
      </c>
      <c r="D868" s="1" t="s">
        <v>6851</v>
      </c>
      <c r="F868" s="1" t="s">
        <v>6914</v>
      </c>
      <c r="H868" s="1" t="s">
        <v>6915</v>
      </c>
      <c r="J868" s="1" t="s">
        <v>1324</v>
      </c>
      <c r="L868" s="1" t="s">
        <v>1325</v>
      </c>
      <c r="M868" s="1" t="s">
        <v>1335</v>
      </c>
      <c r="N868" s="1" t="s">
        <v>6091</v>
      </c>
      <c r="P868" s="1" t="s">
        <v>4150</v>
      </c>
      <c r="Q868" s="3">
        <v>0</v>
      </c>
      <c r="R868" s="23" t="s">
        <v>6854</v>
      </c>
      <c r="S868" s="23" t="s">
        <v>6845</v>
      </c>
      <c r="T868" s="23" t="s">
        <v>4866</v>
      </c>
      <c r="U868" s="3">
        <v>35</v>
      </c>
      <c r="W868" s="45" t="str">
        <f>HYPERLINK("http://ictvonline.org/taxonomy/p/taxonomy-history?taxnode_id=201900295","ICTVonline=201900295")</f>
        <v>ICTVonline=201900295</v>
      </c>
      <c r="Y868" s="1" t="s">
        <v>8470</v>
      </c>
      <c r="Z868" s="1" t="s">
        <v>8471</v>
      </c>
      <c r="AA868" s="1">
        <v>201900000</v>
      </c>
      <c r="AB868" s="1">
        <v>35</v>
      </c>
    </row>
    <row r="869" spans="1:28" x14ac:dyDescent="0.2">
      <c r="A869" s="1">
        <v>2332</v>
      </c>
      <c r="B869" s="1" t="s">
        <v>6850</v>
      </c>
      <c r="D869" s="1" t="s">
        <v>6851</v>
      </c>
      <c r="F869" s="1" t="s">
        <v>6914</v>
      </c>
      <c r="H869" s="1" t="s">
        <v>6915</v>
      </c>
      <c r="J869" s="1" t="s">
        <v>1324</v>
      </c>
      <c r="L869" s="1" t="s">
        <v>1325</v>
      </c>
      <c r="M869" s="1" t="s">
        <v>1335</v>
      </c>
      <c r="N869" s="1" t="s">
        <v>6091</v>
      </c>
      <c r="P869" s="1" t="s">
        <v>4151</v>
      </c>
      <c r="Q869" s="3">
        <v>0</v>
      </c>
      <c r="R869" s="23" t="s">
        <v>6854</v>
      </c>
      <c r="S869" s="23" t="s">
        <v>6845</v>
      </c>
      <c r="T869" s="23" t="s">
        <v>4866</v>
      </c>
      <c r="U869" s="3">
        <v>35</v>
      </c>
      <c r="W869" s="45" t="str">
        <f>HYPERLINK("http://ictvonline.org/taxonomy/p/taxonomy-history?taxnode_id=201900296","ICTVonline=201900296")</f>
        <v>ICTVonline=201900296</v>
      </c>
      <c r="Y869" s="1" t="s">
        <v>8472</v>
      </c>
      <c r="Z869" s="1" t="s">
        <v>8473</v>
      </c>
      <c r="AA869" s="1">
        <v>201900000</v>
      </c>
      <c r="AB869" s="1">
        <v>35</v>
      </c>
    </row>
    <row r="870" spans="1:28" x14ac:dyDescent="0.2">
      <c r="A870" s="1">
        <v>2334</v>
      </c>
      <c r="B870" s="1" t="s">
        <v>6850</v>
      </c>
      <c r="D870" s="1" t="s">
        <v>6851</v>
      </c>
      <c r="F870" s="1" t="s">
        <v>6914</v>
      </c>
      <c r="H870" s="1" t="s">
        <v>6915</v>
      </c>
      <c r="J870" s="1" t="s">
        <v>1324</v>
      </c>
      <c r="L870" s="1" t="s">
        <v>1325</v>
      </c>
      <c r="M870" s="1" t="s">
        <v>1335</v>
      </c>
      <c r="N870" s="1" t="s">
        <v>6091</v>
      </c>
      <c r="P870" s="1" t="s">
        <v>4152</v>
      </c>
      <c r="Q870" s="3">
        <v>0</v>
      </c>
      <c r="R870" s="23" t="s">
        <v>6854</v>
      </c>
      <c r="S870" s="23" t="s">
        <v>6845</v>
      </c>
      <c r="T870" s="23" t="s">
        <v>4866</v>
      </c>
      <c r="U870" s="3">
        <v>35</v>
      </c>
      <c r="W870" s="45" t="str">
        <f>HYPERLINK("http://ictvonline.org/taxonomy/p/taxonomy-history?taxnode_id=201900297","ICTVonline=201900297")</f>
        <v>ICTVonline=201900297</v>
      </c>
      <c r="Y870" s="1" t="s">
        <v>8474</v>
      </c>
      <c r="Z870" s="1" t="s">
        <v>8475</v>
      </c>
      <c r="AA870" s="1">
        <v>201900000</v>
      </c>
      <c r="AB870" s="1">
        <v>35</v>
      </c>
    </row>
    <row r="871" spans="1:28" x14ac:dyDescent="0.2">
      <c r="A871" s="1">
        <v>2336</v>
      </c>
      <c r="B871" s="1" t="s">
        <v>6850</v>
      </c>
      <c r="D871" s="1" t="s">
        <v>6851</v>
      </c>
      <c r="F871" s="1" t="s">
        <v>6914</v>
      </c>
      <c r="H871" s="1" t="s">
        <v>6915</v>
      </c>
      <c r="J871" s="1" t="s">
        <v>1324</v>
      </c>
      <c r="L871" s="1" t="s">
        <v>1325</v>
      </c>
      <c r="M871" s="1" t="s">
        <v>1335</v>
      </c>
      <c r="N871" s="1" t="s">
        <v>6091</v>
      </c>
      <c r="P871" s="1" t="s">
        <v>6092</v>
      </c>
      <c r="Q871" s="3">
        <v>0</v>
      </c>
      <c r="R871" s="23" t="s">
        <v>6854</v>
      </c>
      <c r="S871" s="23" t="s">
        <v>6845</v>
      </c>
      <c r="T871" s="23" t="s">
        <v>4866</v>
      </c>
      <c r="U871" s="3">
        <v>35</v>
      </c>
      <c r="W871" s="45" t="str">
        <f>HYPERLINK("http://ictvonline.org/taxonomy/p/taxonomy-history?taxnode_id=201907036","ICTVonline=201907036")</f>
        <v>ICTVonline=201907036</v>
      </c>
      <c r="Y871" s="1" t="s">
        <v>8476</v>
      </c>
      <c r="Z871" s="1" t="s">
        <v>8477</v>
      </c>
      <c r="AA871" s="1">
        <v>201900000</v>
      </c>
      <c r="AB871" s="1">
        <v>35</v>
      </c>
    </row>
    <row r="872" spans="1:28" x14ac:dyDescent="0.2">
      <c r="A872" s="1">
        <v>2340</v>
      </c>
      <c r="B872" s="1" t="s">
        <v>6850</v>
      </c>
      <c r="D872" s="1" t="s">
        <v>6851</v>
      </c>
      <c r="F872" s="1" t="s">
        <v>6914</v>
      </c>
      <c r="H872" s="1" t="s">
        <v>6915</v>
      </c>
      <c r="J872" s="1" t="s">
        <v>1324</v>
      </c>
      <c r="L872" s="1" t="s">
        <v>1325</v>
      </c>
      <c r="M872" s="1" t="s">
        <v>1335</v>
      </c>
      <c r="N872" s="1" t="s">
        <v>6093</v>
      </c>
      <c r="P872" s="1" t="s">
        <v>2792</v>
      </c>
      <c r="Q872" s="3">
        <v>0</v>
      </c>
      <c r="R872" s="23" t="s">
        <v>6854</v>
      </c>
      <c r="S872" s="23" t="s">
        <v>6845</v>
      </c>
      <c r="T872" s="23" t="s">
        <v>4866</v>
      </c>
      <c r="U872" s="3">
        <v>35</v>
      </c>
      <c r="W872" s="45" t="str">
        <f>HYPERLINK("http://ictvonline.org/taxonomy/p/taxonomy-history?taxnode_id=201900324","ICTVonline=201900324")</f>
        <v>ICTVonline=201900324</v>
      </c>
      <c r="Y872" s="1" t="s">
        <v>8478</v>
      </c>
      <c r="Z872" s="1" t="s">
        <v>8479</v>
      </c>
      <c r="AA872" s="1">
        <v>201900000</v>
      </c>
      <c r="AB872" s="1">
        <v>35</v>
      </c>
    </row>
    <row r="873" spans="1:28" x14ac:dyDescent="0.2">
      <c r="A873" s="1">
        <v>2342</v>
      </c>
      <c r="B873" s="1" t="s">
        <v>6850</v>
      </c>
      <c r="D873" s="1" t="s">
        <v>6851</v>
      </c>
      <c r="F873" s="1" t="s">
        <v>6914</v>
      </c>
      <c r="H873" s="1" t="s">
        <v>6915</v>
      </c>
      <c r="J873" s="1" t="s">
        <v>1324</v>
      </c>
      <c r="L873" s="1" t="s">
        <v>1325</v>
      </c>
      <c r="M873" s="1" t="s">
        <v>1335</v>
      </c>
      <c r="N873" s="1" t="s">
        <v>6093</v>
      </c>
      <c r="P873" s="1" t="s">
        <v>2793</v>
      </c>
      <c r="Q873" s="3">
        <v>0</v>
      </c>
      <c r="R873" s="23" t="s">
        <v>6854</v>
      </c>
      <c r="S873" s="23" t="s">
        <v>6845</v>
      </c>
      <c r="T873" s="23" t="s">
        <v>4866</v>
      </c>
      <c r="U873" s="3">
        <v>35</v>
      </c>
      <c r="W873" s="45" t="str">
        <f>HYPERLINK("http://ictvonline.org/taxonomy/p/taxonomy-history?taxnode_id=201900325","ICTVonline=201900325")</f>
        <v>ICTVonline=201900325</v>
      </c>
      <c r="Y873" s="1" t="s">
        <v>8480</v>
      </c>
      <c r="Z873" s="1" t="s">
        <v>8481</v>
      </c>
      <c r="AA873" s="1">
        <v>201900000</v>
      </c>
      <c r="AB873" s="1">
        <v>35</v>
      </c>
    </row>
    <row r="874" spans="1:28" x14ac:dyDescent="0.2">
      <c r="A874" s="1">
        <v>2344</v>
      </c>
      <c r="B874" s="1" t="s">
        <v>6850</v>
      </c>
      <c r="D874" s="1" t="s">
        <v>6851</v>
      </c>
      <c r="F874" s="1" t="s">
        <v>6914</v>
      </c>
      <c r="H874" s="1" t="s">
        <v>6915</v>
      </c>
      <c r="J874" s="1" t="s">
        <v>1324</v>
      </c>
      <c r="L874" s="1" t="s">
        <v>1325</v>
      </c>
      <c r="M874" s="1" t="s">
        <v>1335</v>
      </c>
      <c r="N874" s="1" t="s">
        <v>6093</v>
      </c>
      <c r="P874" s="1" t="s">
        <v>6094</v>
      </c>
      <c r="Q874" s="3">
        <v>0</v>
      </c>
      <c r="R874" s="23" t="s">
        <v>6854</v>
      </c>
      <c r="S874" s="23" t="s">
        <v>6845</v>
      </c>
      <c r="T874" s="23" t="s">
        <v>4866</v>
      </c>
      <c r="U874" s="3">
        <v>35</v>
      </c>
      <c r="W874" s="45" t="str">
        <f>HYPERLINK("http://ictvonline.org/taxonomy/p/taxonomy-history?taxnode_id=201907051","ICTVonline=201907051")</f>
        <v>ICTVonline=201907051</v>
      </c>
      <c r="Y874" s="1" t="s">
        <v>8482</v>
      </c>
      <c r="Z874" s="1" t="s">
        <v>8483</v>
      </c>
      <c r="AA874" s="1">
        <v>201900000</v>
      </c>
      <c r="AB874" s="1">
        <v>35</v>
      </c>
    </row>
    <row r="875" spans="1:28" x14ac:dyDescent="0.2">
      <c r="A875" s="1">
        <v>2346</v>
      </c>
      <c r="B875" s="1" t="s">
        <v>6850</v>
      </c>
      <c r="D875" s="1" t="s">
        <v>6851</v>
      </c>
      <c r="F875" s="1" t="s">
        <v>6914</v>
      </c>
      <c r="H875" s="1" t="s">
        <v>6915</v>
      </c>
      <c r="J875" s="1" t="s">
        <v>1324</v>
      </c>
      <c r="L875" s="1" t="s">
        <v>1325</v>
      </c>
      <c r="M875" s="1" t="s">
        <v>1335</v>
      </c>
      <c r="N875" s="1" t="s">
        <v>6093</v>
      </c>
      <c r="P875" s="1" t="s">
        <v>2794</v>
      </c>
      <c r="Q875" s="3">
        <v>0</v>
      </c>
      <c r="R875" s="23" t="s">
        <v>6854</v>
      </c>
      <c r="S875" s="23" t="s">
        <v>6845</v>
      </c>
      <c r="T875" s="23" t="s">
        <v>4866</v>
      </c>
      <c r="U875" s="3">
        <v>35</v>
      </c>
      <c r="W875" s="45" t="str">
        <f>HYPERLINK("http://ictvonline.org/taxonomy/p/taxonomy-history?taxnode_id=201900326","ICTVonline=201900326")</f>
        <v>ICTVonline=201900326</v>
      </c>
      <c r="Y875" s="1" t="s">
        <v>8484</v>
      </c>
      <c r="Z875" s="1" t="s">
        <v>8485</v>
      </c>
      <c r="AA875" s="1">
        <v>201900000</v>
      </c>
      <c r="AB875" s="1">
        <v>35</v>
      </c>
    </row>
    <row r="876" spans="1:28" x14ac:dyDescent="0.2">
      <c r="A876" s="1">
        <v>2348</v>
      </c>
      <c r="B876" s="1" t="s">
        <v>6850</v>
      </c>
      <c r="D876" s="1" t="s">
        <v>6851</v>
      </c>
      <c r="F876" s="1" t="s">
        <v>6914</v>
      </c>
      <c r="H876" s="1" t="s">
        <v>6915</v>
      </c>
      <c r="J876" s="1" t="s">
        <v>1324</v>
      </c>
      <c r="L876" s="1" t="s">
        <v>1325</v>
      </c>
      <c r="M876" s="1" t="s">
        <v>1335</v>
      </c>
      <c r="N876" s="1" t="s">
        <v>6093</v>
      </c>
      <c r="P876" s="1" t="s">
        <v>2795</v>
      </c>
      <c r="Q876" s="3">
        <v>0</v>
      </c>
      <c r="R876" s="23" t="s">
        <v>6854</v>
      </c>
      <c r="S876" s="23" t="s">
        <v>6845</v>
      </c>
      <c r="T876" s="23" t="s">
        <v>4866</v>
      </c>
      <c r="U876" s="3">
        <v>35</v>
      </c>
      <c r="W876" s="45" t="str">
        <f>HYPERLINK("http://ictvonline.org/taxonomy/p/taxonomy-history?taxnode_id=201900327","ICTVonline=201900327")</f>
        <v>ICTVonline=201900327</v>
      </c>
      <c r="Y876" s="1" t="s">
        <v>8486</v>
      </c>
      <c r="Z876" s="1" t="s">
        <v>8487</v>
      </c>
      <c r="AA876" s="1">
        <v>201900000</v>
      </c>
      <c r="AB876" s="1">
        <v>35</v>
      </c>
    </row>
    <row r="877" spans="1:28" x14ac:dyDescent="0.2">
      <c r="A877" s="1">
        <v>2350</v>
      </c>
      <c r="B877" s="1" t="s">
        <v>6850</v>
      </c>
      <c r="D877" s="1" t="s">
        <v>6851</v>
      </c>
      <c r="F877" s="1" t="s">
        <v>6914</v>
      </c>
      <c r="H877" s="1" t="s">
        <v>6915</v>
      </c>
      <c r="J877" s="1" t="s">
        <v>1324</v>
      </c>
      <c r="L877" s="1" t="s">
        <v>1325</v>
      </c>
      <c r="M877" s="1" t="s">
        <v>1335</v>
      </c>
      <c r="N877" s="1" t="s">
        <v>6093</v>
      </c>
      <c r="P877" s="1" t="s">
        <v>4157</v>
      </c>
      <c r="Q877" s="3">
        <v>0</v>
      </c>
      <c r="R877" s="23" t="s">
        <v>6854</v>
      </c>
      <c r="S877" s="23" t="s">
        <v>6845</v>
      </c>
      <c r="T877" s="23" t="s">
        <v>4866</v>
      </c>
      <c r="U877" s="3">
        <v>35</v>
      </c>
      <c r="W877" s="45" t="str">
        <f>HYPERLINK("http://ictvonline.org/taxonomy/p/taxonomy-history?taxnode_id=201900328","ICTVonline=201900328")</f>
        <v>ICTVonline=201900328</v>
      </c>
      <c r="Y877" s="1" t="s">
        <v>8488</v>
      </c>
      <c r="Z877" s="1" t="s">
        <v>8489</v>
      </c>
      <c r="AA877" s="1">
        <v>201900000</v>
      </c>
      <c r="AB877" s="1">
        <v>35</v>
      </c>
    </row>
    <row r="878" spans="1:28" x14ac:dyDescent="0.2">
      <c r="A878" s="1">
        <v>2352</v>
      </c>
      <c r="B878" s="1" t="s">
        <v>6850</v>
      </c>
      <c r="D878" s="1" t="s">
        <v>6851</v>
      </c>
      <c r="F878" s="1" t="s">
        <v>6914</v>
      </c>
      <c r="H878" s="1" t="s">
        <v>6915</v>
      </c>
      <c r="J878" s="1" t="s">
        <v>1324</v>
      </c>
      <c r="L878" s="1" t="s">
        <v>1325</v>
      </c>
      <c r="M878" s="1" t="s">
        <v>1335</v>
      </c>
      <c r="N878" s="1" t="s">
        <v>6093</v>
      </c>
      <c r="P878" s="1" t="s">
        <v>6095</v>
      </c>
      <c r="Q878" s="3">
        <v>0</v>
      </c>
      <c r="R878" s="23" t="s">
        <v>6854</v>
      </c>
      <c r="S878" s="23" t="s">
        <v>6845</v>
      </c>
      <c r="T878" s="23" t="s">
        <v>4866</v>
      </c>
      <c r="U878" s="3">
        <v>35</v>
      </c>
      <c r="W878" s="45" t="str">
        <f>HYPERLINK("http://ictvonline.org/taxonomy/p/taxonomy-history?taxnode_id=201907049","ICTVonline=201907049")</f>
        <v>ICTVonline=201907049</v>
      </c>
      <c r="Y878" s="1" t="s">
        <v>8490</v>
      </c>
      <c r="Z878" s="1" t="s">
        <v>8491</v>
      </c>
      <c r="AA878" s="1">
        <v>201900000</v>
      </c>
      <c r="AB878" s="1">
        <v>35</v>
      </c>
    </row>
    <row r="879" spans="1:28" x14ac:dyDescent="0.2">
      <c r="A879" s="1">
        <v>2354</v>
      </c>
      <c r="B879" s="1" t="s">
        <v>6850</v>
      </c>
      <c r="D879" s="1" t="s">
        <v>6851</v>
      </c>
      <c r="F879" s="1" t="s">
        <v>6914</v>
      </c>
      <c r="H879" s="1" t="s">
        <v>6915</v>
      </c>
      <c r="J879" s="1" t="s">
        <v>1324</v>
      </c>
      <c r="L879" s="1" t="s">
        <v>1325</v>
      </c>
      <c r="M879" s="1" t="s">
        <v>1335</v>
      </c>
      <c r="N879" s="1" t="s">
        <v>6093</v>
      </c>
      <c r="P879" s="1" t="s">
        <v>2796</v>
      </c>
      <c r="Q879" s="3">
        <v>0</v>
      </c>
      <c r="R879" s="23" t="s">
        <v>6854</v>
      </c>
      <c r="S879" s="23" t="s">
        <v>6845</v>
      </c>
      <c r="T879" s="23" t="s">
        <v>4866</v>
      </c>
      <c r="U879" s="3">
        <v>35</v>
      </c>
      <c r="W879" s="45" t="str">
        <f>HYPERLINK("http://ictvonline.org/taxonomy/p/taxonomy-history?taxnode_id=201900329","ICTVonline=201900329")</f>
        <v>ICTVonline=201900329</v>
      </c>
      <c r="Y879" s="1" t="s">
        <v>8492</v>
      </c>
      <c r="Z879" s="1" t="s">
        <v>8493</v>
      </c>
      <c r="AA879" s="1">
        <v>201900000</v>
      </c>
      <c r="AB879" s="1">
        <v>35</v>
      </c>
    </row>
    <row r="880" spans="1:28" x14ac:dyDescent="0.2">
      <c r="A880" s="1">
        <v>2356</v>
      </c>
      <c r="B880" s="1" t="s">
        <v>6850</v>
      </c>
      <c r="D880" s="1" t="s">
        <v>6851</v>
      </c>
      <c r="F880" s="1" t="s">
        <v>6914</v>
      </c>
      <c r="H880" s="1" t="s">
        <v>6915</v>
      </c>
      <c r="J880" s="1" t="s">
        <v>1324</v>
      </c>
      <c r="L880" s="1" t="s">
        <v>1325</v>
      </c>
      <c r="M880" s="1" t="s">
        <v>1335</v>
      </c>
      <c r="N880" s="1" t="s">
        <v>6093</v>
      </c>
      <c r="P880" s="1" t="s">
        <v>2797</v>
      </c>
      <c r="Q880" s="3">
        <v>0</v>
      </c>
      <c r="R880" s="23" t="s">
        <v>6854</v>
      </c>
      <c r="S880" s="23" t="s">
        <v>6845</v>
      </c>
      <c r="T880" s="23" t="s">
        <v>4866</v>
      </c>
      <c r="U880" s="3">
        <v>35</v>
      </c>
      <c r="W880" s="45" t="str">
        <f>HYPERLINK("http://ictvonline.org/taxonomy/p/taxonomy-history?taxnode_id=201900330","ICTVonline=201900330")</f>
        <v>ICTVonline=201900330</v>
      </c>
      <c r="Y880" s="1" t="s">
        <v>8494</v>
      </c>
      <c r="Z880" s="1" t="s">
        <v>8495</v>
      </c>
      <c r="AA880" s="1">
        <v>201900000</v>
      </c>
      <c r="AB880" s="1">
        <v>35</v>
      </c>
    </row>
    <row r="881" spans="1:28" x14ac:dyDescent="0.2">
      <c r="A881" s="1">
        <v>2358</v>
      </c>
      <c r="B881" s="1" t="s">
        <v>6850</v>
      </c>
      <c r="D881" s="1" t="s">
        <v>6851</v>
      </c>
      <c r="F881" s="1" t="s">
        <v>6914</v>
      </c>
      <c r="H881" s="1" t="s">
        <v>6915</v>
      </c>
      <c r="J881" s="1" t="s">
        <v>1324</v>
      </c>
      <c r="L881" s="1" t="s">
        <v>1325</v>
      </c>
      <c r="M881" s="1" t="s">
        <v>1335</v>
      </c>
      <c r="N881" s="1" t="s">
        <v>6093</v>
      </c>
      <c r="P881" s="1" t="s">
        <v>2798</v>
      </c>
      <c r="Q881" s="3">
        <v>0</v>
      </c>
      <c r="R881" s="23" t="s">
        <v>6854</v>
      </c>
      <c r="S881" s="23" t="s">
        <v>6845</v>
      </c>
      <c r="T881" s="23" t="s">
        <v>4866</v>
      </c>
      <c r="U881" s="3">
        <v>35</v>
      </c>
      <c r="W881" s="45" t="str">
        <f>HYPERLINK("http://ictvonline.org/taxonomy/p/taxonomy-history?taxnode_id=201900331","ICTVonline=201900331")</f>
        <v>ICTVonline=201900331</v>
      </c>
      <c r="AA881" s="1">
        <v>201900000</v>
      </c>
      <c r="AB881" s="1">
        <v>35</v>
      </c>
    </row>
    <row r="882" spans="1:28" x14ac:dyDescent="0.2">
      <c r="A882" s="1">
        <v>2360</v>
      </c>
      <c r="B882" s="1" t="s">
        <v>6850</v>
      </c>
      <c r="D882" s="1" t="s">
        <v>6851</v>
      </c>
      <c r="F882" s="1" t="s">
        <v>6914</v>
      </c>
      <c r="H882" s="1" t="s">
        <v>6915</v>
      </c>
      <c r="J882" s="1" t="s">
        <v>1324</v>
      </c>
      <c r="L882" s="1" t="s">
        <v>1325</v>
      </c>
      <c r="M882" s="1" t="s">
        <v>1335</v>
      </c>
      <c r="N882" s="1" t="s">
        <v>6093</v>
      </c>
      <c r="P882" s="1" t="s">
        <v>6096</v>
      </c>
      <c r="Q882" s="3">
        <v>0</v>
      </c>
      <c r="R882" s="23" t="s">
        <v>6854</v>
      </c>
      <c r="S882" s="23" t="s">
        <v>6845</v>
      </c>
      <c r="T882" s="23" t="s">
        <v>4866</v>
      </c>
      <c r="U882" s="3">
        <v>35</v>
      </c>
      <c r="W882" s="45" t="str">
        <f>HYPERLINK("http://ictvonline.org/taxonomy/p/taxonomy-history?taxnode_id=201907054","ICTVonline=201907054")</f>
        <v>ICTVonline=201907054</v>
      </c>
      <c r="Y882" s="1" t="s">
        <v>8496</v>
      </c>
      <c r="Z882" s="1" t="s">
        <v>8497</v>
      </c>
      <c r="AA882" s="1">
        <v>201900000</v>
      </c>
      <c r="AB882" s="1">
        <v>35</v>
      </c>
    </row>
    <row r="883" spans="1:28" x14ac:dyDescent="0.2">
      <c r="A883" s="1">
        <v>2362</v>
      </c>
      <c r="B883" s="1" t="s">
        <v>6850</v>
      </c>
      <c r="D883" s="1" t="s">
        <v>6851</v>
      </c>
      <c r="F883" s="1" t="s">
        <v>6914</v>
      </c>
      <c r="H883" s="1" t="s">
        <v>6915</v>
      </c>
      <c r="J883" s="1" t="s">
        <v>1324</v>
      </c>
      <c r="L883" s="1" t="s">
        <v>1325</v>
      </c>
      <c r="M883" s="1" t="s">
        <v>1335</v>
      </c>
      <c r="N883" s="1" t="s">
        <v>6093</v>
      </c>
      <c r="P883" s="1" t="s">
        <v>6097</v>
      </c>
      <c r="Q883" s="3">
        <v>0</v>
      </c>
      <c r="R883" s="23" t="s">
        <v>6854</v>
      </c>
      <c r="S883" s="23" t="s">
        <v>6845</v>
      </c>
      <c r="T883" s="23" t="s">
        <v>4866</v>
      </c>
      <c r="U883" s="3">
        <v>35</v>
      </c>
      <c r="W883" s="45" t="str">
        <f>HYPERLINK("http://ictvonline.org/taxonomy/p/taxonomy-history?taxnode_id=201907056","ICTVonline=201907056")</f>
        <v>ICTVonline=201907056</v>
      </c>
      <c r="Y883" s="1" t="s">
        <v>8498</v>
      </c>
      <c r="Z883" s="1" t="s">
        <v>8499</v>
      </c>
      <c r="AA883" s="1">
        <v>201900000</v>
      </c>
      <c r="AB883" s="1">
        <v>35</v>
      </c>
    </row>
    <row r="884" spans="1:28" x14ac:dyDescent="0.2">
      <c r="A884" s="1">
        <v>2364</v>
      </c>
      <c r="B884" s="1" t="s">
        <v>6850</v>
      </c>
      <c r="D884" s="1" t="s">
        <v>6851</v>
      </c>
      <c r="F884" s="1" t="s">
        <v>6914</v>
      </c>
      <c r="H884" s="1" t="s">
        <v>6915</v>
      </c>
      <c r="J884" s="1" t="s">
        <v>1324</v>
      </c>
      <c r="L884" s="1" t="s">
        <v>1325</v>
      </c>
      <c r="M884" s="1" t="s">
        <v>1335</v>
      </c>
      <c r="N884" s="1" t="s">
        <v>6093</v>
      </c>
      <c r="P884" s="1" t="s">
        <v>2799</v>
      </c>
      <c r="Q884" s="3">
        <v>1</v>
      </c>
      <c r="R884" s="23" t="s">
        <v>6854</v>
      </c>
      <c r="S884" s="23" t="s">
        <v>6845</v>
      </c>
      <c r="T884" s="23" t="s">
        <v>4866</v>
      </c>
      <c r="U884" s="3">
        <v>35</v>
      </c>
      <c r="W884" s="45" t="str">
        <f>HYPERLINK("http://ictvonline.org/taxonomy/p/taxonomy-history?taxnode_id=201900332","ICTVonline=201900332")</f>
        <v>ICTVonline=201900332</v>
      </c>
      <c r="AA884" s="1">
        <v>201900000</v>
      </c>
      <c r="AB884" s="1">
        <v>35</v>
      </c>
    </row>
    <row r="885" spans="1:28" x14ac:dyDescent="0.2">
      <c r="A885" s="1">
        <v>2366</v>
      </c>
      <c r="B885" s="1" t="s">
        <v>6850</v>
      </c>
      <c r="D885" s="1" t="s">
        <v>6851</v>
      </c>
      <c r="F885" s="1" t="s">
        <v>6914</v>
      </c>
      <c r="H885" s="1" t="s">
        <v>6915</v>
      </c>
      <c r="J885" s="1" t="s">
        <v>1324</v>
      </c>
      <c r="L885" s="1" t="s">
        <v>1325</v>
      </c>
      <c r="M885" s="1" t="s">
        <v>1335</v>
      </c>
      <c r="N885" s="1" t="s">
        <v>6093</v>
      </c>
      <c r="P885" s="1" t="s">
        <v>2800</v>
      </c>
      <c r="Q885" s="3">
        <v>0</v>
      </c>
      <c r="R885" s="23" t="s">
        <v>6854</v>
      </c>
      <c r="S885" s="23" t="s">
        <v>6845</v>
      </c>
      <c r="T885" s="23" t="s">
        <v>4866</v>
      </c>
      <c r="U885" s="3">
        <v>35</v>
      </c>
      <c r="W885" s="45" t="str">
        <f>HYPERLINK("http://ictvonline.org/taxonomy/p/taxonomy-history?taxnode_id=201900333","ICTVonline=201900333")</f>
        <v>ICTVonline=201900333</v>
      </c>
      <c r="Y885" s="1" t="s">
        <v>8500</v>
      </c>
      <c r="Z885" s="1" t="s">
        <v>8501</v>
      </c>
      <c r="AA885" s="1">
        <v>201900000</v>
      </c>
      <c r="AB885" s="1">
        <v>35</v>
      </c>
    </row>
    <row r="886" spans="1:28" x14ac:dyDescent="0.2">
      <c r="A886" s="1">
        <v>2368</v>
      </c>
      <c r="B886" s="1" t="s">
        <v>6850</v>
      </c>
      <c r="D886" s="1" t="s">
        <v>6851</v>
      </c>
      <c r="F886" s="1" t="s">
        <v>6914</v>
      </c>
      <c r="H886" s="1" t="s">
        <v>6915</v>
      </c>
      <c r="J886" s="1" t="s">
        <v>1324</v>
      </c>
      <c r="L886" s="1" t="s">
        <v>1325</v>
      </c>
      <c r="M886" s="1" t="s">
        <v>1335</v>
      </c>
      <c r="N886" s="1" t="s">
        <v>6093</v>
      </c>
      <c r="P886" s="1" t="s">
        <v>6098</v>
      </c>
      <c r="Q886" s="3">
        <v>0</v>
      </c>
      <c r="R886" s="23" t="s">
        <v>6854</v>
      </c>
      <c r="S886" s="23" t="s">
        <v>6845</v>
      </c>
      <c r="T886" s="23" t="s">
        <v>4866</v>
      </c>
      <c r="U886" s="3">
        <v>35</v>
      </c>
      <c r="W886" s="45" t="str">
        <f>HYPERLINK("http://ictvonline.org/taxonomy/p/taxonomy-history?taxnode_id=201907050","ICTVonline=201907050")</f>
        <v>ICTVonline=201907050</v>
      </c>
      <c r="Y886" s="1" t="s">
        <v>8502</v>
      </c>
      <c r="Z886" s="1" t="s">
        <v>8503</v>
      </c>
      <c r="AA886" s="1">
        <v>201900000</v>
      </c>
      <c r="AB886" s="1">
        <v>35</v>
      </c>
    </row>
    <row r="887" spans="1:28" x14ac:dyDescent="0.2">
      <c r="A887" s="1">
        <v>2370</v>
      </c>
      <c r="B887" s="1" t="s">
        <v>6850</v>
      </c>
      <c r="D887" s="1" t="s">
        <v>6851</v>
      </c>
      <c r="F887" s="1" t="s">
        <v>6914</v>
      </c>
      <c r="H887" s="1" t="s">
        <v>6915</v>
      </c>
      <c r="J887" s="1" t="s">
        <v>1324</v>
      </c>
      <c r="L887" s="1" t="s">
        <v>1325</v>
      </c>
      <c r="M887" s="1" t="s">
        <v>1335</v>
      </c>
      <c r="N887" s="1" t="s">
        <v>6093</v>
      </c>
      <c r="P887" s="1" t="s">
        <v>6099</v>
      </c>
      <c r="Q887" s="3">
        <v>0</v>
      </c>
      <c r="R887" s="23" t="s">
        <v>6854</v>
      </c>
      <c r="S887" s="23" t="s">
        <v>6845</v>
      </c>
      <c r="T887" s="23" t="s">
        <v>4866</v>
      </c>
      <c r="U887" s="3">
        <v>35</v>
      </c>
      <c r="W887" s="45" t="str">
        <f>HYPERLINK("http://ictvonline.org/taxonomy/p/taxonomy-history?taxnode_id=201907052","ICTVonline=201907052")</f>
        <v>ICTVonline=201907052</v>
      </c>
      <c r="Y887" s="1" t="s">
        <v>8504</v>
      </c>
      <c r="Z887" s="1" t="s">
        <v>8505</v>
      </c>
      <c r="AA887" s="1">
        <v>201900000</v>
      </c>
      <c r="AB887" s="1">
        <v>35</v>
      </c>
    </row>
    <row r="888" spans="1:28" x14ac:dyDescent="0.2">
      <c r="A888" s="1">
        <v>2372</v>
      </c>
      <c r="B888" s="1" t="s">
        <v>6850</v>
      </c>
      <c r="D888" s="1" t="s">
        <v>6851</v>
      </c>
      <c r="F888" s="1" t="s">
        <v>6914</v>
      </c>
      <c r="H888" s="1" t="s">
        <v>6915</v>
      </c>
      <c r="J888" s="1" t="s">
        <v>1324</v>
      </c>
      <c r="L888" s="1" t="s">
        <v>1325</v>
      </c>
      <c r="M888" s="1" t="s">
        <v>1335</v>
      </c>
      <c r="N888" s="1" t="s">
        <v>6093</v>
      </c>
      <c r="P888" s="1" t="s">
        <v>6100</v>
      </c>
      <c r="Q888" s="3">
        <v>0</v>
      </c>
      <c r="R888" s="23" t="s">
        <v>6854</v>
      </c>
      <c r="S888" s="23" t="s">
        <v>6845</v>
      </c>
      <c r="T888" s="23" t="s">
        <v>4866</v>
      </c>
      <c r="U888" s="3">
        <v>35</v>
      </c>
      <c r="W888" s="45" t="str">
        <f>HYPERLINK("http://ictvonline.org/taxonomy/p/taxonomy-history?taxnode_id=201907053","ICTVonline=201907053")</f>
        <v>ICTVonline=201907053</v>
      </c>
      <c r="Y888" s="1" t="s">
        <v>8506</v>
      </c>
      <c r="Z888" s="1" t="s">
        <v>8507</v>
      </c>
      <c r="AA888" s="1">
        <v>201900000</v>
      </c>
      <c r="AB888" s="1">
        <v>35</v>
      </c>
    </row>
    <row r="889" spans="1:28" x14ac:dyDescent="0.2">
      <c r="A889" s="1">
        <v>2374</v>
      </c>
      <c r="B889" s="1" t="s">
        <v>6850</v>
      </c>
      <c r="D889" s="1" t="s">
        <v>6851</v>
      </c>
      <c r="F889" s="1" t="s">
        <v>6914</v>
      </c>
      <c r="H889" s="1" t="s">
        <v>6915</v>
      </c>
      <c r="J889" s="1" t="s">
        <v>1324</v>
      </c>
      <c r="L889" s="1" t="s">
        <v>1325</v>
      </c>
      <c r="M889" s="1" t="s">
        <v>1335</v>
      </c>
      <c r="N889" s="1" t="s">
        <v>6093</v>
      </c>
      <c r="P889" s="1" t="s">
        <v>6101</v>
      </c>
      <c r="Q889" s="3">
        <v>0</v>
      </c>
      <c r="R889" s="23" t="s">
        <v>6854</v>
      </c>
      <c r="S889" s="23" t="s">
        <v>6845</v>
      </c>
      <c r="T889" s="23" t="s">
        <v>4866</v>
      </c>
      <c r="U889" s="3">
        <v>35</v>
      </c>
      <c r="W889" s="45" t="str">
        <f>HYPERLINK("http://ictvonline.org/taxonomy/p/taxonomy-history?taxnode_id=201907055","ICTVonline=201907055")</f>
        <v>ICTVonline=201907055</v>
      </c>
      <c r="Y889" s="1" t="s">
        <v>8508</v>
      </c>
      <c r="Z889" s="1" t="s">
        <v>8509</v>
      </c>
      <c r="AA889" s="1">
        <v>201900000</v>
      </c>
      <c r="AB889" s="1">
        <v>35</v>
      </c>
    </row>
    <row r="890" spans="1:28" x14ac:dyDescent="0.2">
      <c r="A890" s="1">
        <v>2376</v>
      </c>
      <c r="B890" s="1" t="s">
        <v>6850</v>
      </c>
      <c r="D890" s="1" t="s">
        <v>6851</v>
      </c>
      <c r="F890" s="1" t="s">
        <v>6914</v>
      </c>
      <c r="H890" s="1" t="s">
        <v>6915</v>
      </c>
      <c r="J890" s="1" t="s">
        <v>1324</v>
      </c>
      <c r="L890" s="1" t="s">
        <v>1325</v>
      </c>
      <c r="M890" s="1" t="s">
        <v>1335</v>
      </c>
      <c r="N890" s="1" t="s">
        <v>6093</v>
      </c>
      <c r="P890" s="1" t="s">
        <v>2801</v>
      </c>
      <c r="Q890" s="3">
        <v>0</v>
      </c>
      <c r="R890" s="23" t="s">
        <v>6854</v>
      </c>
      <c r="S890" s="23" t="s">
        <v>6845</v>
      </c>
      <c r="T890" s="23" t="s">
        <v>4866</v>
      </c>
      <c r="U890" s="3">
        <v>35</v>
      </c>
      <c r="W890" s="45" t="str">
        <f>HYPERLINK("http://ictvonline.org/taxonomy/p/taxonomy-history?taxnode_id=201900334","ICTVonline=201900334")</f>
        <v>ICTVonline=201900334</v>
      </c>
      <c r="Y890" s="1" t="s">
        <v>8510</v>
      </c>
      <c r="Z890" s="1" t="s">
        <v>8511</v>
      </c>
      <c r="AA890" s="1">
        <v>201900000</v>
      </c>
      <c r="AB890" s="1">
        <v>35</v>
      </c>
    </row>
    <row r="891" spans="1:28" x14ac:dyDescent="0.2">
      <c r="A891" s="1">
        <v>2378</v>
      </c>
      <c r="B891" s="1" t="s">
        <v>6850</v>
      </c>
      <c r="D891" s="1" t="s">
        <v>6851</v>
      </c>
      <c r="F891" s="1" t="s">
        <v>6914</v>
      </c>
      <c r="H891" s="1" t="s">
        <v>6915</v>
      </c>
      <c r="J891" s="1" t="s">
        <v>1324</v>
      </c>
      <c r="L891" s="1" t="s">
        <v>1325</v>
      </c>
      <c r="M891" s="1" t="s">
        <v>1335</v>
      </c>
      <c r="N891" s="1" t="s">
        <v>6093</v>
      </c>
      <c r="P891" s="1" t="s">
        <v>2802</v>
      </c>
      <c r="Q891" s="3">
        <v>0</v>
      </c>
      <c r="R891" s="23" t="s">
        <v>6854</v>
      </c>
      <c r="S891" s="23" t="s">
        <v>6845</v>
      </c>
      <c r="T891" s="23" t="s">
        <v>4866</v>
      </c>
      <c r="U891" s="3">
        <v>35</v>
      </c>
      <c r="W891" s="45" t="str">
        <f>HYPERLINK("http://ictvonline.org/taxonomy/p/taxonomy-history?taxnode_id=201900335","ICTVonline=201900335")</f>
        <v>ICTVonline=201900335</v>
      </c>
      <c r="Y891" s="1" t="s">
        <v>8512</v>
      </c>
      <c r="Z891" s="1" t="s">
        <v>8513</v>
      </c>
      <c r="AA891" s="1">
        <v>201900000</v>
      </c>
      <c r="AB891" s="1">
        <v>35</v>
      </c>
    </row>
    <row r="892" spans="1:28" x14ac:dyDescent="0.2">
      <c r="A892" s="1">
        <v>2380</v>
      </c>
      <c r="B892" s="1" t="s">
        <v>6850</v>
      </c>
      <c r="D892" s="1" t="s">
        <v>6851</v>
      </c>
      <c r="F892" s="1" t="s">
        <v>6914</v>
      </c>
      <c r="H892" s="1" t="s">
        <v>6915</v>
      </c>
      <c r="J892" s="1" t="s">
        <v>1324</v>
      </c>
      <c r="L892" s="1" t="s">
        <v>1325</v>
      </c>
      <c r="M892" s="1" t="s">
        <v>1335</v>
      </c>
      <c r="N892" s="1" t="s">
        <v>6093</v>
      </c>
      <c r="P892" s="1" t="s">
        <v>2803</v>
      </c>
      <c r="Q892" s="3">
        <v>0</v>
      </c>
      <c r="R892" s="23" t="s">
        <v>6854</v>
      </c>
      <c r="S892" s="23" t="s">
        <v>6845</v>
      </c>
      <c r="T892" s="23" t="s">
        <v>4866</v>
      </c>
      <c r="U892" s="3">
        <v>35</v>
      </c>
      <c r="W892" s="45" t="str">
        <f>HYPERLINK("http://ictvonline.org/taxonomy/p/taxonomy-history?taxnode_id=201900336","ICTVonline=201900336")</f>
        <v>ICTVonline=201900336</v>
      </c>
      <c r="Y892" s="1" t="s">
        <v>8514</v>
      </c>
      <c r="Z892" s="1" t="s">
        <v>8515</v>
      </c>
      <c r="AA892" s="1">
        <v>201900000</v>
      </c>
      <c r="AB892" s="1">
        <v>35</v>
      </c>
    </row>
    <row r="893" spans="1:28" x14ac:dyDescent="0.2">
      <c r="A893" s="1">
        <v>2383</v>
      </c>
      <c r="B893" s="1" t="s">
        <v>6850</v>
      </c>
      <c r="D893" s="1" t="s">
        <v>6851</v>
      </c>
      <c r="F893" s="1" t="s">
        <v>6914</v>
      </c>
      <c r="H893" s="1" t="s">
        <v>6915</v>
      </c>
      <c r="J893" s="1" t="s">
        <v>1324</v>
      </c>
      <c r="L893" s="1" t="s">
        <v>1325</v>
      </c>
      <c r="M893" s="1" t="s">
        <v>1335</v>
      </c>
      <c r="P893" s="1" t="s">
        <v>2804</v>
      </c>
      <c r="Q893" s="3">
        <v>0</v>
      </c>
      <c r="R893" s="23" t="s">
        <v>6854</v>
      </c>
      <c r="S893" s="23" t="s">
        <v>6845</v>
      </c>
      <c r="T893" s="23" t="s">
        <v>4866</v>
      </c>
      <c r="U893" s="3">
        <v>35</v>
      </c>
      <c r="W893" s="45" t="str">
        <f>HYPERLINK("http://ictvonline.org/taxonomy/p/taxonomy-history?taxnode_id=201900338","ICTVonline=201900338")</f>
        <v>ICTVonline=201900338</v>
      </c>
      <c r="AA893" s="1">
        <v>201900000</v>
      </c>
      <c r="AB893" s="1">
        <v>35</v>
      </c>
    </row>
    <row r="894" spans="1:28" x14ac:dyDescent="0.2">
      <c r="A894" s="1">
        <v>2385</v>
      </c>
      <c r="B894" s="1" t="s">
        <v>6850</v>
      </c>
      <c r="D894" s="1" t="s">
        <v>6851</v>
      </c>
      <c r="F894" s="1" t="s">
        <v>6914</v>
      </c>
      <c r="H894" s="1" t="s">
        <v>6915</v>
      </c>
      <c r="J894" s="1" t="s">
        <v>1324</v>
      </c>
      <c r="L894" s="1" t="s">
        <v>1325</v>
      </c>
      <c r="M894" s="1" t="s">
        <v>1335</v>
      </c>
      <c r="P894" s="1" t="s">
        <v>2805</v>
      </c>
      <c r="Q894" s="3">
        <v>0</v>
      </c>
      <c r="R894" s="23" t="s">
        <v>6854</v>
      </c>
      <c r="S894" s="23" t="s">
        <v>6845</v>
      </c>
      <c r="T894" s="23" t="s">
        <v>4866</v>
      </c>
      <c r="U894" s="3">
        <v>35</v>
      </c>
      <c r="W894" s="45" t="str">
        <f>HYPERLINK("http://ictvonline.org/taxonomy/p/taxonomy-history?taxnode_id=201900339","ICTVonline=201900339")</f>
        <v>ICTVonline=201900339</v>
      </c>
      <c r="AA894" s="1">
        <v>201900000</v>
      </c>
      <c r="AB894" s="1">
        <v>35</v>
      </c>
    </row>
    <row r="895" spans="1:28" x14ac:dyDescent="0.2">
      <c r="A895" s="1">
        <v>2387</v>
      </c>
      <c r="B895" s="1" t="s">
        <v>6850</v>
      </c>
      <c r="D895" s="1" t="s">
        <v>6851</v>
      </c>
      <c r="F895" s="1" t="s">
        <v>6914</v>
      </c>
      <c r="H895" s="1" t="s">
        <v>6915</v>
      </c>
      <c r="J895" s="1" t="s">
        <v>1324</v>
      </c>
      <c r="L895" s="1" t="s">
        <v>1325</v>
      </c>
      <c r="M895" s="1" t="s">
        <v>1335</v>
      </c>
      <c r="P895" s="1" t="s">
        <v>2806</v>
      </c>
      <c r="Q895" s="3">
        <v>0</v>
      </c>
      <c r="R895" s="23" t="s">
        <v>6854</v>
      </c>
      <c r="S895" s="23" t="s">
        <v>6845</v>
      </c>
      <c r="T895" s="23" t="s">
        <v>4866</v>
      </c>
      <c r="U895" s="3">
        <v>35</v>
      </c>
      <c r="W895" s="45" t="str">
        <f>HYPERLINK("http://ictvonline.org/taxonomy/p/taxonomy-history?taxnode_id=201900340","ICTVonline=201900340")</f>
        <v>ICTVonline=201900340</v>
      </c>
      <c r="AA895" s="1">
        <v>201900000</v>
      </c>
      <c r="AB895" s="1">
        <v>35</v>
      </c>
    </row>
    <row r="896" spans="1:28" x14ac:dyDescent="0.2">
      <c r="A896" s="1">
        <v>2389</v>
      </c>
      <c r="B896" s="1" t="s">
        <v>6850</v>
      </c>
      <c r="D896" s="1" t="s">
        <v>6851</v>
      </c>
      <c r="F896" s="1" t="s">
        <v>6914</v>
      </c>
      <c r="H896" s="1" t="s">
        <v>6915</v>
      </c>
      <c r="J896" s="1" t="s">
        <v>1324</v>
      </c>
      <c r="L896" s="1" t="s">
        <v>1325</v>
      </c>
      <c r="M896" s="1" t="s">
        <v>1335</v>
      </c>
      <c r="P896" s="1" t="s">
        <v>2807</v>
      </c>
      <c r="Q896" s="3">
        <v>0</v>
      </c>
      <c r="R896" s="23" t="s">
        <v>6854</v>
      </c>
      <c r="S896" s="23" t="s">
        <v>6845</v>
      </c>
      <c r="T896" s="23" t="s">
        <v>4866</v>
      </c>
      <c r="U896" s="3">
        <v>35</v>
      </c>
      <c r="W896" s="45" t="str">
        <f>HYPERLINK("http://ictvonline.org/taxonomy/p/taxonomy-history?taxnode_id=201900341","ICTVonline=201900341")</f>
        <v>ICTVonline=201900341</v>
      </c>
      <c r="AA896" s="1">
        <v>201900000</v>
      </c>
      <c r="AB896" s="1">
        <v>35</v>
      </c>
    </row>
    <row r="897" spans="1:28" x14ac:dyDescent="0.2">
      <c r="A897" s="1">
        <v>2391</v>
      </c>
      <c r="B897" s="1" t="s">
        <v>6850</v>
      </c>
      <c r="D897" s="1" t="s">
        <v>6851</v>
      </c>
      <c r="F897" s="1" t="s">
        <v>6914</v>
      </c>
      <c r="H897" s="1" t="s">
        <v>6915</v>
      </c>
      <c r="J897" s="1" t="s">
        <v>1324</v>
      </c>
      <c r="L897" s="1" t="s">
        <v>1325</v>
      </c>
      <c r="M897" s="1" t="s">
        <v>1335</v>
      </c>
      <c r="P897" s="1" t="s">
        <v>2808</v>
      </c>
      <c r="Q897" s="3">
        <v>0</v>
      </c>
      <c r="R897" s="23" t="s">
        <v>6854</v>
      </c>
      <c r="S897" s="23" t="s">
        <v>6845</v>
      </c>
      <c r="T897" s="23" t="s">
        <v>4866</v>
      </c>
      <c r="U897" s="3">
        <v>35</v>
      </c>
      <c r="W897" s="45" t="str">
        <f>HYPERLINK("http://ictvonline.org/taxonomy/p/taxonomy-history?taxnode_id=201900342","ICTVonline=201900342")</f>
        <v>ICTVonline=201900342</v>
      </c>
      <c r="AA897" s="1">
        <v>201900000</v>
      </c>
      <c r="AB897" s="1">
        <v>35</v>
      </c>
    </row>
    <row r="898" spans="1:28" x14ac:dyDescent="0.2">
      <c r="A898" s="1">
        <v>2393</v>
      </c>
      <c r="B898" s="1" t="s">
        <v>6850</v>
      </c>
      <c r="D898" s="1" t="s">
        <v>6851</v>
      </c>
      <c r="F898" s="1" t="s">
        <v>6914</v>
      </c>
      <c r="H898" s="1" t="s">
        <v>6915</v>
      </c>
      <c r="J898" s="1" t="s">
        <v>1324</v>
      </c>
      <c r="L898" s="1" t="s">
        <v>1325</v>
      </c>
      <c r="M898" s="1" t="s">
        <v>1335</v>
      </c>
      <c r="P898" s="1" t="s">
        <v>2809</v>
      </c>
      <c r="Q898" s="3">
        <v>0</v>
      </c>
      <c r="R898" s="23" t="s">
        <v>6854</v>
      </c>
      <c r="S898" s="23" t="s">
        <v>6845</v>
      </c>
      <c r="T898" s="23" t="s">
        <v>4866</v>
      </c>
      <c r="U898" s="3">
        <v>35</v>
      </c>
      <c r="W898" s="45" t="str">
        <f>HYPERLINK("http://ictvonline.org/taxonomy/p/taxonomy-history?taxnode_id=201900343","ICTVonline=201900343")</f>
        <v>ICTVonline=201900343</v>
      </c>
      <c r="AA898" s="1">
        <v>201900000</v>
      </c>
      <c r="AB898" s="1">
        <v>35</v>
      </c>
    </row>
    <row r="899" spans="1:28" x14ac:dyDescent="0.2">
      <c r="A899" s="1">
        <v>2395</v>
      </c>
      <c r="B899" s="1" t="s">
        <v>6850</v>
      </c>
      <c r="D899" s="1" t="s">
        <v>6851</v>
      </c>
      <c r="F899" s="1" t="s">
        <v>6914</v>
      </c>
      <c r="H899" s="1" t="s">
        <v>6915</v>
      </c>
      <c r="J899" s="1" t="s">
        <v>1324</v>
      </c>
      <c r="L899" s="1" t="s">
        <v>1325</v>
      </c>
      <c r="M899" s="1" t="s">
        <v>1335</v>
      </c>
      <c r="P899" s="1" t="s">
        <v>2810</v>
      </c>
      <c r="Q899" s="3">
        <v>0</v>
      </c>
      <c r="R899" s="23" t="s">
        <v>6854</v>
      </c>
      <c r="S899" s="23" t="s">
        <v>6845</v>
      </c>
      <c r="T899" s="23" t="s">
        <v>4866</v>
      </c>
      <c r="U899" s="3">
        <v>35</v>
      </c>
      <c r="W899" s="45" t="str">
        <f>HYPERLINK("http://ictvonline.org/taxonomy/p/taxonomy-history?taxnode_id=201900344","ICTVonline=201900344")</f>
        <v>ICTVonline=201900344</v>
      </c>
      <c r="AA899" s="1">
        <v>201900000</v>
      </c>
      <c r="AB899" s="1">
        <v>35</v>
      </c>
    </row>
    <row r="900" spans="1:28" x14ac:dyDescent="0.2">
      <c r="A900" s="1">
        <v>2400</v>
      </c>
      <c r="B900" s="1" t="s">
        <v>6850</v>
      </c>
      <c r="D900" s="1" t="s">
        <v>6851</v>
      </c>
      <c r="F900" s="1" t="s">
        <v>6914</v>
      </c>
      <c r="H900" s="1" t="s">
        <v>6915</v>
      </c>
      <c r="J900" s="1" t="s">
        <v>1324</v>
      </c>
      <c r="L900" s="1" t="s">
        <v>1325</v>
      </c>
      <c r="M900" s="1" t="s">
        <v>2811</v>
      </c>
      <c r="N900" s="1" t="s">
        <v>6102</v>
      </c>
      <c r="P900" s="1" t="s">
        <v>6103</v>
      </c>
      <c r="Q900" s="3">
        <v>1</v>
      </c>
      <c r="R900" s="23" t="s">
        <v>6854</v>
      </c>
      <c r="S900" s="23" t="s">
        <v>6845</v>
      </c>
      <c r="T900" s="23" t="s">
        <v>4866</v>
      </c>
      <c r="U900" s="3">
        <v>35</v>
      </c>
      <c r="W900" s="45" t="str">
        <f>HYPERLINK("http://ictvonline.org/taxonomy/p/taxonomy-history?taxnode_id=201907080","ICTVonline=201907080")</f>
        <v>ICTVonline=201907080</v>
      </c>
      <c r="Y900" s="1" t="s">
        <v>8516</v>
      </c>
      <c r="Z900" s="1" t="s">
        <v>8517</v>
      </c>
      <c r="AA900" s="1">
        <v>201900000</v>
      </c>
      <c r="AB900" s="1">
        <v>35</v>
      </c>
    </row>
    <row r="901" spans="1:28" x14ac:dyDescent="0.2">
      <c r="A901" s="1">
        <v>2404</v>
      </c>
      <c r="B901" s="1" t="s">
        <v>6850</v>
      </c>
      <c r="D901" s="1" t="s">
        <v>6851</v>
      </c>
      <c r="F901" s="1" t="s">
        <v>6914</v>
      </c>
      <c r="H901" s="1" t="s">
        <v>6915</v>
      </c>
      <c r="J901" s="1" t="s">
        <v>1324</v>
      </c>
      <c r="L901" s="1" t="s">
        <v>1325</v>
      </c>
      <c r="M901" s="1" t="s">
        <v>2811</v>
      </c>
      <c r="N901" s="1" t="s">
        <v>6104</v>
      </c>
      <c r="P901" s="1" t="s">
        <v>2812</v>
      </c>
      <c r="Q901" s="3">
        <v>1</v>
      </c>
      <c r="R901" s="23" t="s">
        <v>6854</v>
      </c>
      <c r="S901" s="23" t="s">
        <v>6845</v>
      </c>
      <c r="T901" s="23" t="s">
        <v>4866</v>
      </c>
      <c r="U901" s="3">
        <v>35</v>
      </c>
      <c r="W901" s="45" t="str">
        <f>HYPERLINK("http://ictvonline.org/taxonomy/p/taxonomy-history?taxnode_id=201900347","ICTVonline=201900347")</f>
        <v>ICTVonline=201900347</v>
      </c>
      <c r="Y901" s="1" t="s">
        <v>8518</v>
      </c>
      <c r="Z901" s="1" t="s">
        <v>8519</v>
      </c>
      <c r="AA901" s="1">
        <v>201900000</v>
      </c>
      <c r="AB901" s="1">
        <v>35</v>
      </c>
    </row>
    <row r="902" spans="1:28" x14ac:dyDescent="0.2">
      <c r="A902" s="1">
        <v>2406</v>
      </c>
      <c r="B902" s="1" t="s">
        <v>6850</v>
      </c>
      <c r="D902" s="1" t="s">
        <v>6851</v>
      </c>
      <c r="F902" s="1" t="s">
        <v>6914</v>
      </c>
      <c r="H902" s="1" t="s">
        <v>6915</v>
      </c>
      <c r="J902" s="1" t="s">
        <v>1324</v>
      </c>
      <c r="L902" s="1" t="s">
        <v>1325</v>
      </c>
      <c r="M902" s="1" t="s">
        <v>2811</v>
      </c>
      <c r="N902" s="1" t="s">
        <v>6104</v>
      </c>
      <c r="P902" s="1" t="s">
        <v>2813</v>
      </c>
      <c r="Q902" s="3">
        <v>0</v>
      </c>
      <c r="R902" s="23" t="s">
        <v>6854</v>
      </c>
      <c r="S902" s="23" t="s">
        <v>6845</v>
      </c>
      <c r="T902" s="23" t="s">
        <v>4866</v>
      </c>
      <c r="U902" s="3">
        <v>35</v>
      </c>
      <c r="W902" s="45" t="str">
        <f>HYPERLINK("http://ictvonline.org/taxonomy/p/taxonomy-history?taxnode_id=201900348","ICTVonline=201900348")</f>
        <v>ICTVonline=201900348</v>
      </c>
      <c r="Y902" s="1" t="s">
        <v>8520</v>
      </c>
      <c r="Z902" s="1" t="s">
        <v>8521</v>
      </c>
      <c r="AA902" s="1">
        <v>201900000</v>
      </c>
      <c r="AB902" s="1">
        <v>35</v>
      </c>
    </row>
    <row r="903" spans="1:28" x14ac:dyDescent="0.2">
      <c r="A903" s="1">
        <v>2408</v>
      </c>
      <c r="B903" s="1" t="s">
        <v>6850</v>
      </c>
      <c r="D903" s="1" t="s">
        <v>6851</v>
      </c>
      <c r="F903" s="1" t="s">
        <v>6914</v>
      </c>
      <c r="H903" s="1" t="s">
        <v>6915</v>
      </c>
      <c r="J903" s="1" t="s">
        <v>1324</v>
      </c>
      <c r="L903" s="1" t="s">
        <v>1325</v>
      </c>
      <c r="M903" s="1" t="s">
        <v>2811</v>
      </c>
      <c r="N903" s="1" t="s">
        <v>6104</v>
      </c>
      <c r="P903" s="1" t="s">
        <v>2814</v>
      </c>
      <c r="Q903" s="3">
        <v>0</v>
      </c>
      <c r="R903" s="23" t="s">
        <v>6854</v>
      </c>
      <c r="S903" s="23" t="s">
        <v>6845</v>
      </c>
      <c r="T903" s="23" t="s">
        <v>4866</v>
      </c>
      <c r="U903" s="3">
        <v>35</v>
      </c>
      <c r="W903" s="45" t="str">
        <f>HYPERLINK("http://ictvonline.org/taxonomy/p/taxonomy-history?taxnode_id=201900349","ICTVonline=201900349")</f>
        <v>ICTVonline=201900349</v>
      </c>
      <c r="Y903" s="1" t="s">
        <v>8522</v>
      </c>
      <c r="Z903" s="1" t="s">
        <v>8523</v>
      </c>
      <c r="AA903" s="1">
        <v>201900000</v>
      </c>
      <c r="AB903" s="1">
        <v>35</v>
      </c>
    </row>
    <row r="904" spans="1:28" x14ac:dyDescent="0.2">
      <c r="A904" s="1">
        <v>2410</v>
      </c>
      <c r="B904" s="1" t="s">
        <v>6850</v>
      </c>
      <c r="D904" s="1" t="s">
        <v>6851</v>
      </c>
      <c r="F904" s="1" t="s">
        <v>6914</v>
      </c>
      <c r="H904" s="1" t="s">
        <v>6915</v>
      </c>
      <c r="J904" s="1" t="s">
        <v>1324</v>
      </c>
      <c r="L904" s="1" t="s">
        <v>1325</v>
      </c>
      <c r="M904" s="1" t="s">
        <v>2811</v>
      </c>
      <c r="N904" s="1" t="s">
        <v>6104</v>
      </c>
      <c r="P904" s="1" t="s">
        <v>4158</v>
      </c>
      <c r="Q904" s="3">
        <v>0</v>
      </c>
      <c r="R904" s="23" t="s">
        <v>6854</v>
      </c>
      <c r="S904" s="23" t="s">
        <v>6845</v>
      </c>
      <c r="T904" s="23" t="s">
        <v>4866</v>
      </c>
      <c r="U904" s="3">
        <v>35</v>
      </c>
      <c r="W904" s="45" t="str">
        <f>HYPERLINK("http://ictvonline.org/taxonomy/p/taxonomy-history?taxnode_id=201900350","ICTVonline=201900350")</f>
        <v>ICTVonline=201900350</v>
      </c>
      <c r="Y904" s="1" t="s">
        <v>8524</v>
      </c>
      <c r="Z904" s="1" t="s">
        <v>8525</v>
      </c>
      <c r="AA904" s="1">
        <v>201900000</v>
      </c>
      <c r="AB904" s="1">
        <v>35</v>
      </c>
    </row>
    <row r="905" spans="1:28" x14ac:dyDescent="0.2">
      <c r="A905" s="1">
        <v>2412</v>
      </c>
      <c r="B905" s="1" t="s">
        <v>6850</v>
      </c>
      <c r="D905" s="1" t="s">
        <v>6851</v>
      </c>
      <c r="F905" s="1" t="s">
        <v>6914</v>
      </c>
      <c r="H905" s="1" t="s">
        <v>6915</v>
      </c>
      <c r="J905" s="1" t="s">
        <v>1324</v>
      </c>
      <c r="L905" s="1" t="s">
        <v>1325</v>
      </c>
      <c r="M905" s="1" t="s">
        <v>2811</v>
      </c>
      <c r="N905" s="1" t="s">
        <v>6104</v>
      </c>
      <c r="P905" s="1" t="s">
        <v>4159</v>
      </c>
      <c r="Q905" s="3">
        <v>0</v>
      </c>
      <c r="R905" s="23" t="s">
        <v>6854</v>
      </c>
      <c r="S905" s="23" t="s">
        <v>6845</v>
      </c>
      <c r="T905" s="23" t="s">
        <v>4866</v>
      </c>
      <c r="U905" s="3">
        <v>35</v>
      </c>
      <c r="W905" s="45" t="str">
        <f>HYPERLINK("http://ictvonline.org/taxonomy/p/taxonomy-history?taxnode_id=201900351","ICTVonline=201900351")</f>
        <v>ICTVonline=201900351</v>
      </c>
      <c r="Y905" s="1" t="s">
        <v>8526</v>
      </c>
      <c r="Z905" s="1" t="s">
        <v>8527</v>
      </c>
      <c r="AA905" s="1">
        <v>201900000</v>
      </c>
      <c r="AB905" s="1">
        <v>35</v>
      </c>
    </row>
    <row r="906" spans="1:28" x14ac:dyDescent="0.2">
      <c r="A906" s="1">
        <v>2416</v>
      </c>
      <c r="B906" s="1" t="s">
        <v>6850</v>
      </c>
      <c r="D906" s="1" t="s">
        <v>6851</v>
      </c>
      <c r="F906" s="1" t="s">
        <v>6914</v>
      </c>
      <c r="H906" s="1" t="s">
        <v>6915</v>
      </c>
      <c r="J906" s="1" t="s">
        <v>1324</v>
      </c>
      <c r="L906" s="1" t="s">
        <v>1325</v>
      </c>
      <c r="M906" s="1" t="s">
        <v>2811</v>
      </c>
      <c r="N906" s="1" t="s">
        <v>6105</v>
      </c>
      <c r="P906" s="1" t="s">
        <v>2815</v>
      </c>
      <c r="Q906" s="3">
        <v>0</v>
      </c>
      <c r="R906" s="23" t="s">
        <v>6854</v>
      </c>
      <c r="S906" s="23" t="s">
        <v>6845</v>
      </c>
      <c r="T906" s="23" t="s">
        <v>4866</v>
      </c>
      <c r="U906" s="3">
        <v>35</v>
      </c>
      <c r="W906" s="45" t="str">
        <f>HYPERLINK("http://ictvonline.org/taxonomy/p/taxonomy-history?taxnode_id=201900353","ICTVonline=201900353")</f>
        <v>ICTVonline=201900353</v>
      </c>
      <c r="Y906" s="1" t="s">
        <v>8528</v>
      </c>
      <c r="Z906" s="1" t="s">
        <v>8529</v>
      </c>
      <c r="AA906" s="1">
        <v>201900000</v>
      </c>
      <c r="AB906" s="1">
        <v>35</v>
      </c>
    </row>
    <row r="907" spans="1:28" x14ac:dyDescent="0.2">
      <c r="A907" s="1">
        <v>2418</v>
      </c>
      <c r="B907" s="1" t="s">
        <v>6850</v>
      </c>
      <c r="D907" s="1" t="s">
        <v>6851</v>
      </c>
      <c r="F907" s="1" t="s">
        <v>6914</v>
      </c>
      <c r="H907" s="1" t="s">
        <v>6915</v>
      </c>
      <c r="J907" s="1" t="s">
        <v>1324</v>
      </c>
      <c r="L907" s="1" t="s">
        <v>1325</v>
      </c>
      <c r="M907" s="1" t="s">
        <v>2811</v>
      </c>
      <c r="N907" s="1" t="s">
        <v>6105</v>
      </c>
      <c r="P907" s="1" t="s">
        <v>2816</v>
      </c>
      <c r="Q907" s="3">
        <v>0</v>
      </c>
      <c r="R907" s="23" t="s">
        <v>6854</v>
      </c>
      <c r="S907" s="23" t="s">
        <v>6845</v>
      </c>
      <c r="T907" s="23" t="s">
        <v>4866</v>
      </c>
      <c r="U907" s="3">
        <v>35</v>
      </c>
      <c r="W907" s="45" t="str">
        <f>HYPERLINK("http://ictvonline.org/taxonomy/p/taxonomy-history?taxnode_id=201900354","ICTVonline=201900354")</f>
        <v>ICTVonline=201900354</v>
      </c>
      <c r="Y907" s="1" t="s">
        <v>8530</v>
      </c>
      <c r="Z907" s="1" t="s">
        <v>8531</v>
      </c>
      <c r="AA907" s="1">
        <v>201900000</v>
      </c>
      <c r="AB907" s="1">
        <v>35</v>
      </c>
    </row>
    <row r="908" spans="1:28" x14ac:dyDescent="0.2">
      <c r="A908" s="1">
        <v>2420</v>
      </c>
      <c r="B908" s="1" t="s">
        <v>6850</v>
      </c>
      <c r="D908" s="1" t="s">
        <v>6851</v>
      </c>
      <c r="F908" s="1" t="s">
        <v>6914</v>
      </c>
      <c r="H908" s="1" t="s">
        <v>6915</v>
      </c>
      <c r="J908" s="1" t="s">
        <v>1324</v>
      </c>
      <c r="L908" s="1" t="s">
        <v>1325</v>
      </c>
      <c r="M908" s="1" t="s">
        <v>2811</v>
      </c>
      <c r="N908" s="1" t="s">
        <v>6105</v>
      </c>
      <c r="P908" s="1" t="s">
        <v>6106</v>
      </c>
      <c r="Q908" s="3">
        <v>1</v>
      </c>
      <c r="R908" s="23" t="s">
        <v>6854</v>
      </c>
      <c r="S908" s="23" t="s">
        <v>6845</v>
      </c>
      <c r="T908" s="23" t="s">
        <v>4866</v>
      </c>
      <c r="U908" s="3">
        <v>35</v>
      </c>
      <c r="W908" s="45" t="str">
        <f>HYPERLINK("http://ictvonline.org/taxonomy/p/taxonomy-history?taxnode_id=201900355","ICTVonline=201900355")</f>
        <v>ICTVonline=201900355</v>
      </c>
      <c r="Y908" s="1" t="s">
        <v>8532</v>
      </c>
      <c r="Z908" s="1" t="s">
        <v>8533</v>
      </c>
      <c r="AA908" s="1">
        <v>201900000</v>
      </c>
      <c r="AB908" s="1">
        <v>35</v>
      </c>
    </row>
    <row r="909" spans="1:28" x14ac:dyDescent="0.2">
      <c r="A909" s="1">
        <v>2422</v>
      </c>
      <c r="B909" s="1" t="s">
        <v>6850</v>
      </c>
      <c r="D909" s="1" t="s">
        <v>6851</v>
      </c>
      <c r="F909" s="1" t="s">
        <v>6914</v>
      </c>
      <c r="H909" s="1" t="s">
        <v>6915</v>
      </c>
      <c r="J909" s="1" t="s">
        <v>1324</v>
      </c>
      <c r="L909" s="1" t="s">
        <v>1325</v>
      </c>
      <c r="M909" s="1" t="s">
        <v>2811</v>
      </c>
      <c r="N909" s="1" t="s">
        <v>6105</v>
      </c>
      <c r="P909" s="1" t="s">
        <v>2817</v>
      </c>
      <c r="Q909" s="3">
        <v>0</v>
      </c>
      <c r="R909" s="23" t="s">
        <v>6854</v>
      </c>
      <c r="S909" s="23" t="s">
        <v>6845</v>
      </c>
      <c r="T909" s="23" t="s">
        <v>4866</v>
      </c>
      <c r="U909" s="3">
        <v>35</v>
      </c>
      <c r="W909" s="45" t="str">
        <f>HYPERLINK("http://ictvonline.org/taxonomy/p/taxonomy-history?taxnode_id=201900356","ICTVonline=201900356")</f>
        <v>ICTVonline=201900356</v>
      </c>
      <c r="Y909" s="1" t="s">
        <v>8534</v>
      </c>
      <c r="Z909" s="1" t="s">
        <v>8535</v>
      </c>
      <c r="AA909" s="1">
        <v>201900000</v>
      </c>
      <c r="AB909" s="1">
        <v>35</v>
      </c>
    </row>
    <row r="910" spans="1:28" x14ac:dyDescent="0.2">
      <c r="A910" s="1">
        <v>2426</v>
      </c>
      <c r="B910" s="1" t="s">
        <v>6850</v>
      </c>
      <c r="D910" s="1" t="s">
        <v>6851</v>
      </c>
      <c r="F910" s="1" t="s">
        <v>6914</v>
      </c>
      <c r="H910" s="1" t="s">
        <v>6915</v>
      </c>
      <c r="J910" s="1" t="s">
        <v>1324</v>
      </c>
      <c r="L910" s="1" t="s">
        <v>1325</v>
      </c>
      <c r="M910" s="1" t="s">
        <v>2811</v>
      </c>
      <c r="N910" s="1" t="s">
        <v>6107</v>
      </c>
      <c r="P910" s="1" t="s">
        <v>6108</v>
      </c>
      <c r="Q910" s="3">
        <v>0</v>
      </c>
      <c r="R910" s="23" t="s">
        <v>6854</v>
      </c>
      <c r="S910" s="23" t="s">
        <v>6845</v>
      </c>
      <c r="T910" s="23" t="s">
        <v>4866</v>
      </c>
      <c r="U910" s="3">
        <v>35</v>
      </c>
      <c r="W910" s="45" t="str">
        <f>HYPERLINK("http://ictvonline.org/taxonomy/p/taxonomy-history?taxnode_id=201907083","ICTVonline=201907083")</f>
        <v>ICTVonline=201907083</v>
      </c>
      <c r="Y910" s="1" t="s">
        <v>8536</v>
      </c>
      <c r="Z910" s="1" t="s">
        <v>8537</v>
      </c>
      <c r="AA910" s="1">
        <v>201900000</v>
      </c>
      <c r="AB910" s="1">
        <v>35</v>
      </c>
    </row>
    <row r="911" spans="1:28" x14ac:dyDescent="0.2">
      <c r="A911" s="1">
        <v>2428</v>
      </c>
      <c r="B911" s="1" t="s">
        <v>6850</v>
      </c>
      <c r="D911" s="1" t="s">
        <v>6851</v>
      </c>
      <c r="F911" s="1" t="s">
        <v>6914</v>
      </c>
      <c r="H911" s="1" t="s">
        <v>6915</v>
      </c>
      <c r="J911" s="1" t="s">
        <v>1324</v>
      </c>
      <c r="L911" s="1" t="s">
        <v>1325</v>
      </c>
      <c r="M911" s="1" t="s">
        <v>2811</v>
      </c>
      <c r="N911" s="1" t="s">
        <v>6107</v>
      </c>
      <c r="P911" s="1" t="s">
        <v>2818</v>
      </c>
      <c r="Q911" s="3">
        <v>0</v>
      </c>
      <c r="R911" s="23" t="s">
        <v>6854</v>
      </c>
      <c r="S911" s="23" t="s">
        <v>6845</v>
      </c>
      <c r="T911" s="23" t="s">
        <v>4866</v>
      </c>
      <c r="U911" s="3">
        <v>35</v>
      </c>
      <c r="W911" s="45" t="str">
        <f>HYPERLINK("http://ictvonline.org/taxonomy/p/taxonomy-history?taxnode_id=201900358","ICTVonline=201900358")</f>
        <v>ICTVonline=201900358</v>
      </c>
      <c r="Y911" s="1" t="s">
        <v>8538</v>
      </c>
      <c r="Z911" s="1" t="s">
        <v>8539</v>
      </c>
      <c r="AA911" s="1">
        <v>201900000</v>
      </c>
      <c r="AB911" s="1">
        <v>35</v>
      </c>
    </row>
    <row r="912" spans="1:28" x14ac:dyDescent="0.2">
      <c r="A912" s="1">
        <v>2430</v>
      </c>
      <c r="B912" s="1" t="s">
        <v>6850</v>
      </c>
      <c r="D912" s="1" t="s">
        <v>6851</v>
      </c>
      <c r="F912" s="1" t="s">
        <v>6914</v>
      </c>
      <c r="H912" s="1" t="s">
        <v>6915</v>
      </c>
      <c r="J912" s="1" t="s">
        <v>1324</v>
      </c>
      <c r="L912" s="1" t="s">
        <v>1325</v>
      </c>
      <c r="M912" s="1" t="s">
        <v>2811</v>
      </c>
      <c r="N912" s="1" t="s">
        <v>6107</v>
      </c>
      <c r="P912" s="1" t="s">
        <v>2819</v>
      </c>
      <c r="Q912" s="3">
        <v>0</v>
      </c>
      <c r="R912" s="23" t="s">
        <v>6854</v>
      </c>
      <c r="S912" s="23" t="s">
        <v>6845</v>
      </c>
      <c r="T912" s="23" t="s">
        <v>4866</v>
      </c>
      <c r="U912" s="3">
        <v>35</v>
      </c>
      <c r="W912" s="45" t="str">
        <f>HYPERLINK("http://ictvonline.org/taxonomy/p/taxonomy-history?taxnode_id=201900359","ICTVonline=201900359")</f>
        <v>ICTVonline=201900359</v>
      </c>
      <c r="Y912" s="1" t="s">
        <v>8540</v>
      </c>
      <c r="Z912" s="1" t="s">
        <v>8541</v>
      </c>
      <c r="AA912" s="1">
        <v>201900000</v>
      </c>
      <c r="AB912" s="1">
        <v>35</v>
      </c>
    </row>
    <row r="913" spans="1:28" x14ac:dyDescent="0.2">
      <c r="A913" s="1">
        <v>2432</v>
      </c>
      <c r="B913" s="1" t="s">
        <v>6850</v>
      </c>
      <c r="D913" s="1" t="s">
        <v>6851</v>
      </c>
      <c r="F913" s="1" t="s">
        <v>6914</v>
      </c>
      <c r="H913" s="1" t="s">
        <v>6915</v>
      </c>
      <c r="J913" s="1" t="s">
        <v>1324</v>
      </c>
      <c r="L913" s="1" t="s">
        <v>1325</v>
      </c>
      <c r="M913" s="1" t="s">
        <v>2811</v>
      </c>
      <c r="N913" s="1" t="s">
        <v>6107</v>
      </c>
      <c r="P913" s="1" t="s">
        <v>2820</v>
      </c>
      <c r="Q913" s="3">
        <v>0</v>
      </c>
      <c r="R913" s="23" t="s">
        <v>6854</v>
      </c>
      <c r="S913" s="23" t="s">
        <v>6845</v>
      </c>
      <c r="T913" s="23" t="s">
        <v>4866</v>
      </c>
      <c r="U913" s="3">
        <v>35</v>
      </c>
      <c r="W913" s="45" t="str">
        <f>HYPERLINK("http://ictvonline.org/taxonomy/p/taxonomy-history?taxnode_id=201900360","ICTVonline=201900360")</f>
        <v>ICTVonline=201900360</v>
      </c>
      <c r="Y913" s="1" t="s">
        <v>8542</v>
      </c>
      <c r="Z913" s="1" t="s">
        <v>8543</v>
      </c>
      <c r="AA913" s="1">
        <v>201900000</v>
      </c>
      <c r="AB913" s="1">
        <v>35</v>
      </c>
    </row>
    <row r="914" spans="1:28" x14ac:dyDescent="0.2">
      <c r="A914" s="1">
        <v>2434</v>
      </c>
      <c r="B914" s="1" t="s">
        <v>6850</v>
      </c>
      <c r="D914" s="1" t="s">
        <v>6851</v>
      </c>
      <c r="F914" s="1" t="s">
        <v>6914</v>
      </c>
      <c r="H914" s="1" t="s">
        <v>6915</v>
      </c>
      <c r="J914" s="1" t="s">
        <v>1324</v>
      </c>
      <c r="L914" s="1" t="s">
        <v>1325</v>
      </c>
      <c r="M914" s="1" t="s">
        <v>2811</v>
      </c>
      <c r="N914" s="1" t="s">
        <v>6107</v>
      </c>
      <c r="P914" s="1" t="s">
        <v>6109</v>
      </c>
      <c r="Q914" s="3">
        <v>0</v>
      </c>
      <c r="R914" s="23" t="s">
        <v>6854</v>
      </c>
      <c r="S914" s="23" t="s">
        <v>6845</v>
      </c>
      <c r="T914" s="23" t="s">
        <v>4866</v>
      </c>
      <c r="U914" s="3">
        <v>35</v>
      </c>
      <c r="W914" s="45" t="str">
        <f>HYPERLINK("http://ictvonline.org/taxonomy/p/taxonomy-history?taxnode_id=201907082","ICTVonline=201907082")</f>
        <v>ICTVonline=201907082</v>
      </c>
      <c r="Y914" s="1" t="s">
        <v>8544</v>
      </c>
      <c r="Z914" s="1" t="s">
        <v>8545</v>
      </c>
      <c r="AA914" s="1">
        <v>201900000</v>
      </c>
      <c r="AB914" s="1">
        <v>35</v>
      </c>
    </row>
    <row r="915" spans="1:28" x14ac:dyDescent="0.2">
      <c r="A915" s="1">
        <v>2436</v>
      </c>
      <c r="B915" s="1" t="s">
        <v>6850</v>
      </c>
      <c r="D915" s="1" t="s">
        <v>6851</v>
      </c>
      <c r="F915" s="1" t="s">
        <v>6914</v>
      </c>
      <c r="H915" s="1" t="s">
        <v>6915</v>
      </c>
      <c r="J915" s="1" t="s">
        <v>1324</v>
      </c>
      <c r="L915" s="1" t="s">
        <v>1325</v>
      </c>
      <c r="M915" s="1" t="s">
        <v>2811</v>
      </c>
      <c r="N915" s="1" t="s">
        <v>6107</v>
      </c>
      <c r="P915" s="1" t="s">
        <v>6110</v>
      </c>
      <c r="Q915" s="3">
        <v>0</v>
      </c>
      <c r="R915" s="23" t="s">
        <v>6854</v>
      </c>
      <c r="S915" s="23" t="s">
        <v>6845</v>
      </c>
      <c r="T915" s="23" t="s">
        <v>4866</v>
      </c>
      <c r="U915" s="3">
        <v>35</v>
      </c>
      <c r="W915" s="45" t="str">
        <f>HYPERLINK("http://ictvonline.org/taxonomy/p/taxonomy-history?taxnode_id=201907081","ICTVonline=201907081")</f>
        <v>ICTVonline=201907081</v>
      </c>
      <c r="Y915" s="1" t="s">
        <v>8546</v>
      </c>
      <c r="Z915" s="1" t="s">
        <v>8547</v>
      </c>
      <c r="AA915" s="1">
        <v>201900000</v>
      </c>
      <c r="AB915" s="1">
        <v>35</v>
      </c>
    </row>
    <row r="916" spans="1:28" x14ac:dyDescent="0.2">
      <c r="A916" s="1">
        <v>2438</v>
      </c>
      <c r="B916" s="1" t="s">
        <v>6850</v>
      </c>
      <c r="D916" s="1" t="s">
        <v>6851</v>
      </c>
      <c r="F916" s="1" t="s">
        <v>6914</v>
      </c>
      <c r="H916" s="1" t="s">
        <v>6915</v>
      </c>
      <c r="J916" s="1" t="s">
        <v>1324</v>
      </c>
      <c r="L916" s="1" t="s">
        <v>1325</v>
      </c>
      <c r="M916" s="1" t="s">
        <v>2811</v>
      </c>
      <c r="N916" s="1" t="s">
        <v>6107</v>
      </c>
      <c r="P916" s="1" t="s">
        <v>2821</v>
      </c>
      <c r="Q916" s="3">
        <v>1</v>
      </c>
      <c r="R916" s="23" t="s">
        <v>6854</v>
      </c>
      <c r="S916" s="23" t="s">
        <v>6845</v>
      </c>
      <c r="T916" s="23" t="s">
        <v>4866</v>
      </c>
      <c r="U916" s="3">
        <v>35</v>
      </c>
      <c r="W916" s="45" t="str">
        <f>HYPERLINK("http://ictvonline.org/taxonomy/p/taxonomy-history?taxnode_id=201900361","ICTVonline=201900361")</f>
        <v>ICTVonline=201900361</v>
      </c>
      <c r="Y916" s="1" t="s">
        <v>8548</v>
      </c>
      <c r="Z916" s="1" t="s">
        <v>8549</v>
      </c>
      <c r="AA916" s="1">
        <v>201900000</v>
      </c>
      <c r="AB916" s="1">
        <v>35</v>
      </c>
    </row>
    <row r="917" spans="1:28" x14ac:dyDescent="0.2">
      <c r="A917" s="1">
        <v>2440</v>
      </c>
      <c r="B917" s="1" t="s">
        <v>6850</v>
      </c>
      <c r="D917" s="1" t="s">
        <v>6851</v>
      </c>
      <c r="F917" s="1" t="s">
        <v>6914</v>
      </c>
      <c r="H917" s="1" t="s">
        <v>6915</v>
      </c>
      <c r="J917" s="1" t="s">
        <v>1324</v>
      </c>
      <c r="L917" s="1" t="s">
        <v>1325</v>
      </c>
      <c r="M917" s="1" t="s">
        <v>2811</v>
      </c>
      <c r="N917" s="1" t="s">
        <v>6107</v>
      </c>
      <c r="P917" s="1" t="s">
        <v>6111</v>
      </c>
      <c r="Q917" s="3">
        <v>0</v>
      </c>
      <c r="R917" s="23" t="s">
        <v>6854</v>
      </c>
      <c r="S917" s="23" t="s">
        <v>6845</v>
      </c>
      <c r="T917" s="23" t="s">
        <v>4866</v>
      </c>
      <c r="U917" s="3">
        <v>35</v>
      </c>
      <c r="W917" s="45" t="str">
        <f>HYPERLINK("http://ictvonline.org/taxonomy/p/taxonomy-history?taxnode_id=201907084","ICTVonline=201907084")</f>
        <v>ICTVonline=201907084</v>
      </c>
      <c r="Y917" s="1" t="s">
        <v>8550</v>
      </c>
      <c r="Z917" s="1" t="s">
        <v>8551</v>
      </c>
      <c r="AA917" s="1">
        <v>201900000</v>
      </c>
      <c r="AB917" s="1">
        <v>35</v>
      </c>
    </row>
    <row r="918" spans="1:28" x14ac:dyDescent="0.2">
      <c r="A918" s="1">
        <v>2445</v>
      </c>
      <c r="B918" s="1" t="s">
        <v>6850</v>
      </c>
      <c r="D918" s="1" t="s">
        <v>6851</v>
      </c>
      <c r="F918" s="1" t="s">
        <v>6914</v>
      </c>
      <c r="H918" s="1" t="s">
        <v>6915</v>
      </c>
      <c r="J918" s="1" t="s">
        <v>1324</v>
      </c>
      <c r="L918" s="1" t="s">
        <v>1325</v>
      </c>
      <c r="N918" s="1" t="s">
        <v>4160</v>
      </c>
      <c r="P918" s="1" t="s">
        <v>4161</v>
      </c>
      <c r="Q918" s="3">
        <v>1</v>
      </c>
      <c r="R918" s="23" t="s">
        <v>6854</v>
      </c>
      <c r="S918" s="23" t="s">
        <v>6845</v>
      </c>
      <c r="T918" s="23" t="s">
        <v>4866</v>
      </c>
      <c r="U918" s="3">
        <v>35</v>
      </c>
      <c r="W918" s="45" t="str">
        <f>HYPERLINK("http://ictvonline.org/taxonomy/p/taxonomy-history?taxnode_id=201900364","ICTVonline=201900364")</f>
        <v>ICTVonline=201900364</v>
      </c>
      <c r="Y918" s="1" t="s">
        <v>8552</v>
      </c>
      <c r="Z918" s="1" t="s">
        <v>8553</v>
      </c>
      <c r="AA918" s="1">
        <v>201900000</v>
      </c>
      <c r="AB918" s="1">
        <v>35</v>
      </c>
    </row>
    <row r="919" spans="1:28" x14ac:dyDescent="0.2">
      <c r="A919" s="1">
        <v>2447</v>
      </c>
      <c r="B919" s="1" t="s">
        <v>6850</v>
      </c>
      <c r="D919" s="1" t="s">
        <v>6851</v>
      </c>
      <c r="F919" s="1" t="s">
        <v>6914</v>
      </c>
      <c r="H919" s="1" t="s">
        <v>6915</v>
      </c>
      <c r="J919" s="1" t="s">
        <v>1324</v>
      </c>
      <c r="L919" s="1" t="s">
        <v>1325</v>
      </c>
      <c r="N919" s="1" t="s">
        <v>4160</v>
      </c>
      <c r="P919" s="1" t="s">
        <v>4162</v>
      </c>
      <c r="Q919" s="3">
        <v>0</v>
      </c>
      <c r="R919" s="23" t="s">
        <v>6854</v>
      </c>
      <c r="S919" s="23" t="s">
        <v>6845</v>
      </c>
      <c r="T919" s="23" t="s">
        <v>4866</v>
      </c>
      <c r="U919" s="3">
        <v>35</v>
      </c>
      <c r="W919" s="45" t="str">
        <f>HYPERLINK("http://ictvonline.org/taxonomy/p/taxonomy-history?taxnode_id=201900365","ICTVonline=201900365")</f>
        <v>ICTVonline=201900365</v>
      </c>
      <c r="Y919" s="1" t="s">
        <v>8554</v>
      </c>
      <c r="Z919" s="1" t="s">
        <v>8555</v>
      </c>
      <c r="AA919" s="1">
        <v>201900000</v>
      </c>
      <c r="AB919" s="1">
        <v>35</v>
      </c>
    </row>
    <row r="920" spans="1:28" x14ac:dyDescent="0.2">
      <c r="A920" s="1">
        <v>2451</v>
      </c>
      <c r="B920" s="1" t="s">
        <v>6850</v>
      </c>
      <c r="D920" s="1" t="s">
        <v>6851</v>
      </c>
      <c r="F920" s="1" t="s">
        <v>6914</v>
      </c>
      <c r="H920" s="1" t="s">
        <v>6915</v>
      </c>
      <c r="J920" s="1" t="s">
        <v>1324</v>
      </c>
      <c r="L920" s="1" t="s">
        <v>1325</v>
      </c>
      <c r="N920" s="1" t="s">
        <v>8556</v>
      </c>
      <c r="P920" s="1" t="s">
        <v>8557</v>
      </c>
      <c r="Q920" s="3">
        <v>1</v>
      </c>
      <c r="R920" s="23" t="s">
        <v>6854</v>
      </c>
      <c r="S920" s="23" t="s">
        <v>6849</v>
      </c>
      <c r="T920" s="23" t="s">
        <v>4864</v>
      </c>
      <c r="U920" s="3">
        <v>35</v>
      </c>
      <c r="V920" s="3" t="s">
        <v>8558</v>
      </c>
      <c r="W920" s="45" t="str">
        <f>HYPERLINK("http://ictvonline.org/taxonomy/p/taxonomy-history?taxnode_id=201907799","ICTVonline=201907799")</f>
        <v>ICTVonline=201907799</v>
      </c>
      <c r="Y920" s="1" t="s">
        <v>8559</v>
      </c>
      <c r="AA920" s="1">
        <v>201900000</v>
      </c>
      <c r="AB920" s="1">
        <v>35</v>
      </c>
    </row>
    <row r="921" spans="1:28" x14ac:dyDescent="0.2">
      <c r="A921" s="1">
        <v>2455</v>
      </c>
      <c r="B921" s="1" t="s">
        <v>6850</v>
      </c>
      <c r="D921" s="1" t="s">
        <v>6851</v>
      </c>
      <c r="F921" s="1" t="s">
        <v>6914</v>
      </c>
      <c r="H921" s="1" t="s">
        <v>6915</v>
      </c>
      <c r="J921" s="1" t="s">
        <v>1324</v>
      </c>
      <c r="L921" s="1" t="s">
        <v>1325</v>
      </c>
      <c r="N921" s="1" t="s">
        <v>6112</v>
      </c>
      <c r="P921" s="1" t="s">
        <v>4163</v>
      </c>
      <c r="Q921" s="3">
        <v>0</v>
      </c>
      <c r="R921" s="23" t="s">
        <v>6854</v>
      </c>
      <c r="S921" s="23" t="s">
        <v>6845</v>
      </c>
      <c r="T921" s="23" t="s">
        <v>4866</v>
      </c>
      <c r="U921" s="3">
        <v>35</v>
      </c>
      <c r="W921" s="45" t="str">
        <f>HYPERLINK("http://ictvonline.org/taxonomy/p/taxonomy-history?taxnode_id=201900371","ICTVonline=201900371")</f>
        <v>ICTVonline=201900371</v>
      </c>
      <c r="Y921" s="1" t="s">
        <v>8560</v>
      </c>
      <c r="Z921" s="1" t="s">
        <v>8561</v>
      </c>
      <c r="AA921" s="1">
        <v>201900000</v>
      </c>
      <c r="AB921" s="1">
        <v>35</v>
      </c>
    </row>
    <row r="922" spans="1:28" x14ac:dyDescent="0.2">
      <c r="A922" s="1">
        <v>2457</v>
      </c>
      <c r="B922" s="1" t="s">
        <v>6850</v>
      </c>
      <c r="D922" s="1" t="s">
        <v>6851</v>
      </c>
      <c r="F922" s="1" t="s">
        <v>6914</v>
      </c>
      <c r="H922" s="1" t="s">
        <v>6915</v>
      </c>
      <c r="J922" s="1" t="s">
        <v>1324</v>
      </c>
      <c r="L922" s="1" t="s">
        <v>1325</v>
      </c>
      <c r="N922" s="1" t="s">
        <v>6112</v>
      </c>
      <c r="P922" s="1" t="s">
        <v>6113</v>
      </c>
      <c r="Q922" s="3">
        <v>0</v>
      </c>
      <c r="R922" s="23" t="s">
        <v>6854</v>
      </c>
      <c r="S922" s="23" t="s">
        <v>6845</v>
      </c>
      <c r="T922" s="23" t="s">
        <v>4866</v>
      </c>
      <c r="U922" s="3">
        <v>35</v>
      </c>
      <c r="W922" s="45" t="str">
        <f>HYPERLINK("http://ictvonline.org/taxonomy/p/taxonomy-history?taxnode_id=201906995","ICTVonline=201906995")</f>
        <v>ICTVonline=201906995</v>
      </c>
      <c r="Y922" s="1" t="s">
        <v>8562</v>
      </c>
      <c r="Z922" s="1" t="s">
        <v>8563</v>
      </c>
      <c r="AA922" s="1">
        <v>201900000</v>
      </c>
      <c r="AB922" s="1">
        <v>35</v>
      </c>
    </row>
    <row r="923" spans="1:28" x14ac:dyDescent="0.2">
      <c r="A923" s="1">
        <v>2459</v>
      </c>
      <c r="B923" s="1" t="s">
        <v>6850</v>
      </c>
      <c r="D923" s="1" t="s">
        <v>6851</v>
      </c>
      <c r="F923" s="1" t="s">
        <v>6914</v>
      </c>
      <c r="H923" s="1" t="s">
        <v>6915</v>
      </c>
      <c r="J923" s="1" t="s">
        <v>1324</v>
      </c>
      <c r="L923" s="1" t="s">
        <v>1325</v>
      </c>
      <c r="N923" s="1" t="s">
        <v>6112</v>
      </c>
      <c r="P923" s="1" t="s">
        <v>4164</v>
      </c>
      <c r="Q923" s="3">
        <v>1</v>
      </c>
      <c r="R923" s="23" t="s">
        <v>6854</v>
      </c>
      <c r="S923" s="23" t="s">
        <v>6845</v>
      </c>
      <c r="T923" s="23" t="s">
        <v>4866</v>
      </c>
      <c r="U923" s="3">
        <v>35</v>
      </c>
      <c r="W923" s="45" t="str">
        <f>HYPERLINK("http://ictvonline.org/taxonomy/p/taxonomy-history?taxnode_id=201900372","ICTVonline=201900372")</f>
        <v>ICTVonline=201900372</v>
      </c>
      <c r="Y923" s="1" t="s">
        <v>8564</v>
      </c>
      <c r="Z923" s="1" t="s">
        <v>8565</v>
      </c>
      <c r="AA923" s="1">
        <v>201900000</v>
      </c>
      <c r="AB923" s="1">
        <v>35</v>
      </c>
    </row>
    <row r="924" spans="1:28" x14ac:dyDescent="0.2">
      <c r="A924" s="1">
        <v>2461</v>
      </c>
      <c r="B924" s="1" t="s">
        <v>6850</v>
      </c>
      <c r="D924" s="1" t="s">
        <v>6851</v>
      </c>
      <c r="F924" s="1" t="s">
        <v>6914</v>
      </c>
      <c r="H924" s="1" t="s">
        <v>6915</v>
      </c>
      <c r="J924" s="1" t="s">
        <v>1324</v>
      </c>
      <c r="L924" s="1" t="s">
        <v>1325</v>
      </c>
      <c r="N924" s="1" t="s">
        <v>6112</v>
      </c>
      <c r="P924" s="1" t="s">
        <v>4165</v>
      </c>
      <c r="Q924" s="3">
        <v>0</v>
      </c>
      <c r="R924" s="23" t="s">
        <v>6854</v>
      </c>
      <c r="S924" s="23" t="s">
        <v>6845</v>
      </c>
      <c r="T924" s="23" t="s">
        <v>4866</v>
      </c>
      <c r="U924" s="3">
        <v>35</v>
      </c>
      <c r="W924" s="45" t="str">
        <f>HYPERLINK("http://ictvonline.org/taxonomy/p/taxonomy-history?taxnode_id=201900373","ICTVonline=201900373")</f>
        <v>ICTVonline=201900373</v>
      </c>
      <c r="Y924" s="1" t="s">
        <v>8566</v>
      </c>
      <c r="Z924" s="1" t="s">
        <v>8567</v>
      </c>
      <c r="AA924" s="1">
        <v>201900000</v>
      </c>
      <c r="AB924" s="1">
        <v>35</v>
      </c>
    </row>
    <row r="925" spans="1:28" x14ac:dyDescent="0.2">
      <c r="A925" s="1">
        <v>2463</v>
      </c>
      <c r="B925" s="1" t="s">
        <v>6850</v>
      </c>
      <c r="D925" s="1" t="s">
        <v>6851</v>
      </c>
      <c r="F925" s="1" t="s">
        <v>6914</v>
      </c>
      <c r="H925" s="1" t="s">
        <v>6915</v>
      </c>
      <c r="J925" s="1" t="s">
        <v>1324</v>
      </c>
      <c r="L925" s="1" t="s">
        <v>1325</v>
      </c>
      <c r="N925" s="1" t="s">
        <v>6112</v>
      </c>
      <c r="P925" s="1" t="s">
        <v>4166</v>
      </c>
      <c r="Q925" s="3">
        <v>0</v>
      </c>
      <c r="R925" s="23" t="s">
        <v>6854</v>
      </c>
      <c r="S925" s="23" t="s">
        <v>6845</v>
      </c>
      <c r="T925" s="23" t="s">
        <v>4866</v>
      </c>
      <c r="U925" s="3">
        <v>35</v>
      </c>
      <c r="W925" s="45" t="str">
        <f>HYPERLINK("http://ictvonline.org/taxonomy/p/taxonomy-history?taxnode_id=201900374","ICTVonline=201900374")</f>
        <v>ICTVonline=201900374</v>
      </c>
      <c r="Y925" s="1" t="s">
        <v>8568</v>
      </c>
      <c r="Z925" s="1" t="s">
        <v>8569</v>
      </c>
      <c r="AA925" s="1">
        <v>201900000</v>
      </c>
      <c r="AB925" s="1">
        <v>35</v>
      </c>
    </row>
    <row r="926" spans="1:28" x14ac:dyDescent="0.2">
      <c r="A926" s="1">
        <v>2465</v>
      </c>
      <c r="B926" s="1" t="s">
        <v>6850</v>
      </c>
      <c r="D926" s="1" t="s">
        <v>6851</v>
      </c>
      <c r="F926" s="1" t="s">
        <v>6914</v>
      </c>
      <c r="H926" s="1" t="s">
        <v>6915</v>
      </c>
      <c r="J926" s="1" t="s">
        <v>1324</v>
      </c>
      <c r="L926" s="1" t="s">
        <v>1325</v>
      </c>
      <c r="N926" s="1" t="s">
        <v>6112</v>
      </c>
      <c r="P926" s="1" t="s">
        <v>4167</v>
      </c>
      <c r="Q926" s="3">
        <v>0</v>
      </c>
      <c r="R926" s="23" t="s">
        <v>6854</v>
      </c>
      <c r="S926" s="23" t="s">
        <v>6845</v>
      </c>
      <c r="T926" s="23" t="s">
        <v>4866</v>
      </c>
      <c r="U926" s="3">
        <v>35</v>
      </c>
      <c r="W926" s="45" t="str">
        <f>HYPERLINK("http://ictvonline.org/taxonomy/p/taxonomy-history?taxnode_id=201900375","ICTVonline=201900375")</f>
        <v>ICTVonline=201900375</v>
      </c>
      <c r="Y926" s="1" t="s">
        <v>8570</v>
      </c>
      <c r="Z926" s="1" t="s">
        <v>8571</v>
      </c>
      <c r="AA926" s="1">
        <v>201900000</v>
      </c>
      <c r="AB926" s="1">
        <v>35</v>
      </c>
    </row>
    <row r="927" spans="1:28" x14ac:dyDescent="0.2">
      <c r="A927" s="1">
        <v>2469</v>
      </c>
      <c r="B927" s="1" t="s">
        <v>6850</v>
      </c>
      <c r="D927" s="1" t="s">
        <v>6851</v>
      </c>
      <c r="F927" s="1" t="s">
        <v>6914</v>
      </c>
      <c r="H927" s="1" t="s">
        <v>6915</v>
      </c>
      <c r="J927" s="1" t="s">
        <v>1324</v>
      </c>
      <c r="L927" s="1" t="s">
        <v>1325</v>
      </c>
      <c r="N927" s="1" t="s">
        <v>8572</v>
      </c>
      <c r="P927" s="1" t="s">
        <v>8573</v>
      </c>
      <c r="Q927" s="3">
        <v>1</v>
      </c>
      <c r="R927" s="23" t="s">
        <v>6854</v>
      </c>
      <c r="S927" s="23" t="s">
        <v>6849</v>
      </c>
      <c r="T927" s="23" t="s">
        <v>4864</v>
      </c>
      <c r="U927" s="3">
        <v>35</v>
      </c>
      <c r="V927" s="3" t="s">
        <v>8558</v>
      </c>
      <c r="W927" s="45" t="str">
        <f>HYPERLINK("http://ictvonline.org/taxonomy/p/taxonomy-history?taxnode_id=201907803","ICTVonline=201907803")</f>
        <v>ICTVonline=201907803</v>
      </c>
      <c r="Y927" s="1" t="s">
        <v>8574</v>
      </c>
      <c r="AA927" s="1">
        <v>201900000</v>
      </c>
      <c r="AB927" s="1">
        <v>35</v>
      </c>
    </row>
    <row r="928" spans="1:28" x14ac:dyDescent="0.2">
      <c r="A928" s="1">
        <v>2473</v>
      </c>
      <c r="B928" s="1" t="s">
        <v>6850</v>
      </c>
      <c r="D928" s="1" t="s">
        <v>6851</v>
      </c>
      <c r="F928" s="1" t="s">
        <v>6914</v>
      </c>
      <c r="H928" s="1" t="s">
        <v>6915</v>
      </c>
      <c r="J928" s="1" t="s">
        <v>1324</v>
      </c>
      <c r="L928" s="1" t="s">
        <v>1325</v>
      </c>
      <c r="N928" s="1" t="s">
        <v>6114</v>
      </c>
      <c r="P928" s="1" t="s">
        <v>6115</v>
      </c>
      <c r="Q928" s="3">
        <v>1</v>
      </c>
      <c r="R928" s="23" t="s">
        <v>6854</v>
      </c>
      <c r="S928" s="23" t="s">
        <v>6845</v>
      </c>
      <c r="T928" s="23" t="s">
        <v>4866</v>
      </c>
      <c r="U928" s="3">
        <v>35</v>
      </c>
      <c r="W928" s="45" t="str">
        <f>HYPERLINK("http://ictvonline.org/taxonomy/p/taxonomy-history?taxnode_id=201906654","ICTVonline=201906654")</f>
        <v>ICTVonline=201906654</v>
      </c>
      <c r="Y928" s="1" t="s">
        <v>8575</v>
      </c>
      <c r="Z928" s="1" t="s">
        <v>8576</v>
      </c>
      <c r="AA928" s="1">
        <v>201900000</v>
      </c>
      <c r="AB928" s="1">
        <v>35</v>
      </c>
    </row>
    <row r="929" spans="1:28" x14ac:dyDescent="0.2">
      <c r="A929" s="1">
        <v>2475</v>
      </c>
      <c r="B929" s="1" t="s">
        <v>6850</v>
      </c>
      <c r="D929" s="1" t="s">
        <v>6851</v>
      </c>
      <c r="F929" s="1" t="s">
        <v>6914</v>
      </c>
      <c r="H929" s="1" t="s">
        <v>6915</v>
      </c>
      <c r="J929" s="1" t="s">
        <v>1324</v>
      </c>
      <c r="L929" s="1" t="s">
        <v>1325</v>
      </c>
      <c r="N929" s="1" t="s">
        <v>6114</v>
      </c>
      <c r="P929" s="1" t="s">
        <v>6116</v>
      </c>
      <c r="Q929" s="3">
        <v>0</v>
      </c>
      <c r="R929" s="23" t="s">
        <v>6854</v>
      </c>
      <c r="S929" s="23" t="s">
        <v>6845</v>
      </c>
      <c r="T929" s="23" t="s">
        <v>4866</v>
      </c>
      <c r="U929" s="3">
        <v>35</v>
      </c>
      <c r="W929" s="45" t="str">
        <f>HYPERLINK("http://ictvonline.org/taxonomy/p/taxonomy-history?taxnode_id=201906655","ICTVonline=201906655")</f>
        <v>ICTVonline=201906655</v>
      </c>
      <c r="Y929" s="1" t="s">
        <v>8577</v>
      </c>
      <c r="Z929" s="1" t="s">
        <v>8578</v>
      </c>
      <c r="AA929" s="1">
        <v>201900000</v>
      </c>
      <c r="AB929" s="1">
        <v>35</v>
      </c>
    </row>
    <row r="930" spans="1:28" x14ac:dyDescent="0.2">
      <c r="A930" s="1">
        <v>2479</v>
      </c>
      <c r="B930" s="1" t="s">
        <v>6850</v>
      </c>
      <c r="D930" s="1" t="s">
        <v>6851</v>
      </c>
      <c r="F930" s="1" t="s">
        <v>6914</v>
      </c>
      <c r="H930" s="1" t="s">
        <v>6915</v>
      </c>
      <c r="J930" s="1" t="s">
        <v>1324</v>
      </c>
      <c r="L930" s="1" t="s">
        <v>1325</v>
      </c>
      <c r="N930" s="1" t="s">
        <v>8579</v>
      </c>
      <c r="P930" s="1" t="s">
        <v>8580</v>
      </c>
      <c r="Q930" s="3">
        <v>0</v>
      </c>
      <c r="R930" s="23" t="s">
        <v>6854</v>
      </c>
      <c r="S930" s="23" t="s">
        <v>6849</v>
      </c>
      <c r="T930" s="23" t="s">
        <v>4864</v>
      </c>
      <c r="U930" s="3">
        <v>35</v>
      </c>
      <c r="V930" s="3" t="s">
        <v>8581</v>
      </c>
      <c r="W930" s="45" t="str">
        <f>HYPERLINK("http://ictvonline.org/taxonomy/p/taxonomy-history?taxnode_id=201907921","ICTVonline=201907921")</f>
        <v>ICTVonline=201907921</v>
      </c>
      <c r="Y930" s="1" t="s">
        <v>8582</v>
      </c>
      <c r="AA930" s="1">
        <v>201900000</v>
      </c>
      <c r="AB930" s="1">
        <v>35</v>
      </c>
    </row>
    <row r="931" spans="1:28" x14ac:dyDescent="0.2">
      <c r="A931" s="1">
        <v>2481</v>
      </c>
      <c r="B931" s="1" t="s">
        <v>6850</v>
      </c>
      <c r="D931" s="1" t="s">
        <v>6851</v>
      </c>
      <c r="F931" s="1" t="s">
        <v>6914</v>
      </c>
      <c r="H931" s="1" t="s">
        <v>6915</v>
      </c>
      <c r="J931" s="1" t="s">
        <v>1324</v>
      </c>
      <c r="L931" s="1" t="s">
        <v>1325</v>
      </c>
      <c r="N931" s="1" t="s">
        <v>8579</v>
      </c>
      <c r="P931" s="1" t="s">
        <v>8583</v>
      </c>
      <c r="Q931" s="3">
        <v>1</v>
      </c>
      <c r="R931" s="23" t="s">
        <v>6854</v>
      </c>
      <c r="S931" s="23" t="s">
        <v>6849</v>
      </c>
      <c r="T931" s="23" t="s">
        <v>4864</v>
      </c>
      <c r="U931" s="3">
        <v>35</v>
      </c>
      <c r="V931" s="3" t="s">
        <v>8581</v>
      </c>
      <c r="W931" s="45" t="str">
        <f>HYPERLINK("http://ictvonline.org/taxonomy/p/taxonomy-history?taxnode_id=201907920","ICTVonline=201907920")</f>
        <v>ICTVonline=201907920</v>
      </c>
      <c r="Y931" s="1" t="s">
        <v>8584</v>
      </c>
      <c r="AA931" s="1">
        <v>201900000</v>
      </c>
      <c r="AB931" s="1">
        <v>35</v>
      </c>
    </row>
    <row r="932" spans="1:28" x14ac:dyDescent="0.2">
      <c r="A932" s="1">
        <v>2485</v>
      </c>
      <c r="B932" s="1" t="s">
        <v>6850</v>
      </c>
      <c r="D932" s="1" t="s">
        <v>6851</v>
      </c>
      <c r="F932" s="1" t="s">
        <v>6914</v>
      </c>
      <c r="H932" s="1" t="s">
        <v>6915</v>
      </c>
      <c r="J932" s="1" t="s">
        <v>1324</v>
      </c>
      <c r="L932" s="1" t="s">
        <v>1325</v>
      </c>
      <c r="N932" s="1" t="s">
        <v>8585</v>
      </c>
      <c r="P932" s="1" t="s">
        <v>8586</v>
      </c>
      <c r="Q932" s="3">
        <v>1</v>
      </c>
      <c r="R932" s="23" t="s">
        <v>6854</v>
      </c>
      <c r="S932" s="23" t="s">
        <v>6849</v>
      </c>
      <c r="T932" s="23" t="s">
        <v>4864</v>
      </c>
      <c r="U932" s="3">
        <v>35</v>
      </c>
      <c r="V932" s="3" t="s">
        <v>8581</v>
      </c>
      <c r="W932" s="45" t="str">
        <f>HYPERLINK("http://ictvonline.org/taxonomy/p/taxonomy-history?taxnode_id=201907910","ICTVonline=201907910")</f>
        <v>ICTVonline=201907910</v>
      </c>
      <c r="Y932" s="1" t="s">
        <v>8587</v>
      </c>
      <c r="AA932" s="1">
        <v>201900000</v>
      </c>
      <c r="AB932" s="1">
        <v>35</v>
      </c>
    </row>
    <row r="933" spans="1:28" x14ac:dyDescent="0.2">
      <c r="A933" s="1">
        <v>2489</v>
      </c>
      <c r="B933" s="1" t="s">
        <v>6850</v>
      </c>
      <c r="D933" s="1" t="s">
        <v>6851</v>
      </c>
      <c r="F933" s="1" t="s">
        <v>6914</v>
      </c>
      <c r="H933" s="1" t="s">
        <v>6915</v>
      </c>
      <c r="J933" s="1" t="s">
        <v>1324</v>
      </c>
      <c r="L933" s="1" t="s">
        <v>1325</v>
      </c>
      <c r="N933" s="1" t="s">
        <v>8588</v>
      </c>
      <c r="P933" s="1" t="s">
        <v>8589</v>
      </c>
      <c r="Q933" s="3">
        <v>1</v>
      </c>
      <c r="R933" s="23" t="s">
        <v>6854</v>
      </c>
      <c r="S933" s="23" t="s">
        <v>6845</v>
      </c>
      <c r="T933" s="23" t="s">
        <v>4864</v>
      </c>
      <c r="U933" s="3">
        <v>35</v>
      </c>
      <c r="V933" s="3" t="s">
        <v>8590</v>
      </c>
      <c r="W933" s="45" t="str">
        <f>HYPERLINK("http://ictvonline.org/taxonomy/p/taxonomy-history?taxnode_id=201907772","ICTVonline=201907772")</f>
        <v>ICTVonline=201907772</v>
      </c>
      <c r="Y933" s="1" t="s">
        <v>8591</v>
      </c>
      <c r="AA933" s="1">
        <v>201900000</v>
      </c>
      <c r="AB933" s="1">
        <v>35</v>
      </c>
    </row>
    <row r="934" spans="1:28" x14ac:dyDescent="0.2">
      <c r="A934" s="1">
        <v>2493</v>
      </c>
      <c r="B934" s="1" t="s">
        <v>6850</v>
      </c>
      <c r="D934" s="1" t="s">
        <v>6851</v>
      </c>
      <c r="F934" s="1" t="s">
        <v>6914</v>
      </c>
      <c r="H934" s="1" t="s">
        <v>6915</v>
      </c>
      <c r="J934" s="1" t="s">
        <v>1324</v>
      </c>
      <c r="L934" s="1" t="s">
        <v>1325</v>
      </c>
      <c r="N934" s="1" t="s">
        <v>8592</v>
      </c>
      <c r="P934" s="1" t="s">
        <v>8593</v>
      </c>
      <c r="Q934" s="3">
        <v>1</v>
      </c>
      <c r="R934" s="23" t="s">
        <v>6854</v>
      </c>
      <c r="S934" s="23" t="s">
        <v>6849</v>
      </c>
      <c r="T934" s="23" t="s">
        <v>4864</v>
      </c>
      <c r="U934" s="3">
        <v>35</v>
      </c>
      <c r="V934" s="3" t="s">
        <v>8590</v>
      </c>
      <c r="W934" s="45" t="str">
        <f>HYPERLINK("http://ictvonline.org/taxonomy/p/taxonomy-history?taxnode_id=201907764","ICTVonline=201907764")</f>
        <v>ICTVonline=201907764</v>
      </c>
      <c r="Y934" s="1" t="s">
        <v>8594</v>
      </c>
      <c r="AA934" s="1">
        <v>201900000</v>
      </c>
      <c r="AB934" s="1">
        <v>35</v>
      </c>
    </row>
    <row r="935" spans="1:28" x14ac:dyDescent="0.2">
      <c r="A935" s="1">
        <v>2497</v>
      </c>
      <c r="B935" s="1" t="s">
        <v>6850</v>
      </c>
      <c r="D935" s="1" t="s">
        <v>6851</v>
      </c>
      <c r="F935" s="1" t="s">
        <v>6914</v>
      </c>
      <c r="H935" s="1" t="s">
        <v>6915</v>
      </c>
      <c r="J935" s="1" t="s">
        <v>1324</v>
      </c>
      <c r="L935" s="1" t="s">
        <v>1325</v>
      </c>
      <c r="N935" s="1" t="s">
        <v>6117</v>
      </c>
      <c r="P935" s="1" t="s">
        <v>6118</v>
      </c>
      <c r="Q935" s="3">
        <v>1</v>
      </c>
      <c r="R935" s="23" t="s">
        <v>6854</v>
      </c>
      <c r="S935" s="23" t="s">
        <v>6845</v>
      </c>
      <c r="T935" s="23" t="s">
        <v>4866</v>
      </c>
      <c r="U935" s="3">
        <v>35</v>
      </c>
      <c r="W935" s="45" t="str">
        <f>HYPERLINK("http://ictvonline.org/taxonomy/p/taxonomy-history?taxnode_id=201906799","ICTVonline=201906799")</f>
        <v>ICTVonline=201906799</v>
      </c>
      <c r="Y935" s="1" t="s">
        <v>8595</v>
      </c>
      <c r="Z935" s="1" t="s">
        <v>8596</v>
      </c>
      <c r="AA935" s="1">
        <v>201900000</v>
      </c>
      <c r="AB935" s="1">
        <v>35</v>
      </c>
    </row>
    <row r="936" spans="1:28" x14ac:dyDescent="0.2">
      <c r="A936" s="1">
        <v>2501</v>
      </c>
      <c r="B936" s="1" t="s">
        <v>6850</v>
      </c>
      <c r="D936" s="1" t="s">
        <v>6851</v>
      </c>
      <c r="F936" s="1" t="s">
        <v>6914</v>
      </c>
      <c r="H936" s="1" t="s">
        <v>6915</v>
      </c>
      <c r="J936" s="1" t="s">
        <v>1324</v>
      </c>
      <c r="L936" s="1" t="s">
        <v>1325</v>
      </c>
      <c r="N936" s="1" t="s">
        <v>6119</v>
      </c>
      <c r="P936" s="1" t="s">
        <v>6120</v>
      </c>
      <c r="Q936" s="3">
        <v>0</v>
      </c>
      <c r="R936" s="23" t="s">
        <v>6854</v>
      </c>
      <c r="S936" s="23" t="s">
        <v>6845</v>
      </c>
      <c r="T936" s="23" t="s">
        <v>4866</v>
      </c>
      <c r="U936" s="3">
        <v>35</v>
      </c>
      <c r="W936" s="45" t="str">
        <f>HYPERLINK("http://ictvonline.org/taxonomy/p/taxonomy-history?taxnode_id=201906660","ICTVonline=201906660")</f>
        <v>ICTVonline=201906660</v>
      </c>
      <c r="Y936" s="1" t="s">
        <v>8597</v>
      </c>
      <c r="Z936" s="1" t="s">
        <v>8598</v>
      </c>
      <c r="AA936" s="1">
        <v>201900000</v>
      </c>
      <c r="AB936" s="1">
        <v>35</v>
      </c>
    </row>
    <row r="937" spans="1:28" x14ac:dyDescent="0.2">
      <c r="A937" s="1">
        <v>2503</v>
      </c>
      <c r="B937" s="1" t="s">
        <v>6850</v>
      </c>
      <c r="D937" s="1" t="s">
        <v>6851</v>
      </c>
      <c r="F937" s="1" t="s">
        <v>6914</v>
      </c>
      <c r="H937" s="1" t="s">
        <v>6915</v>
      </c>
      <c r="J937" s="1" t="s">
        <v>1324</v>
      </c>
      <c r="L937" s="1" t="s">
        <v>1325</v>
      </c>
      <c r="N937" s="1" t="s">
        <v>6119</v>
      </c>
      <c r="P937" s="1" t="s">
        <v>6121</v>
      </c>
      <c r="Q937" s="3">
        <v>1</v>
      </c>
      <c r="R937" s="23" t="s">
        <v>6854</v>
      </c>
      <c r="S937" s="23" t="s">
        <v>6845</v>
      </c>
      <c r="T937" s="23" t="s">
        <v>4866</v>
      </c>
      <c r="U937" s="3">
        <v>35</v>
      </c>
      <c r="W937" s="45" t="str">
        <f>HYPERLINK("http://ictvonline.org/taxonomy/p/taxonomy-history?taxnode_id=201906659","ICTVonline=201906659")</f>
        <v>ICTVonline=201906659</v>
      </c>
      <c r="Y937" s="1" t="s">
        <v>8599</v>
      </c>
      <c r="Z937" s="1" t="s">
        <v>8600</v>
      </c>
      <c r="AA937" s="1">
        <v>201900000</v>
      </c>
      <c r="AB937" s="1">
        <v>35</v>
      </c>
    </row>
    <row r="938" spans="1:28" x14ac:dyDescent="0.2">
      <c r="A938" s="1">
        <v>2507</v>
      </c>
      <c r="B938" s="1" t="s">
        <v>6850</v>
      </c>
      <c r="D938" s="1" t="s">
        <v>6851</v>
      </c>
      <c r="F938" s="1" t="s">
        <v>6914</v>
      </c>
      <c r="H938" s="1" t="s">
        <v>6915</v>
      </c>
      <c r="J938" s="1" t="s">
        <v>1324</v>
      </c>
      <c r="L938" s="1" t="s">
        <v>1325</v>
      </c>
      <c r="N938" s="1" t="s">
        <v>8601</v>
      </c>
      <c r="P938" s="1" t="s">
        <v>8602</v>
      </c>
      <c r="Q938" s="3">
        <v>0</v>
      </c>
      <c r="R938" s="23" t="s">
        <v>6854</v>
      </c>
      <c r="S938" s="23" t="s">
        <v>6849</v>
      </c>
      <c r="T938" s="23" t="s">
        <v>4864</v>
      </c>
      <c r="U938" s="3">
        <v>35</v>
      </c>
      <c r="V938" s="3" t="s">
        <v>8590</v>
      </c>
      <c r="W938" s="45" t="str">
        <f>HYPERLINK("http://ictvonline.org/taxonomy/p/taxonomy-history?taxnode_id=201907755","ICTVonline=201907755")</f>
        <v>ICTVonline=201907755</v>
      </c>
      <c r="Y938" s="1" t="s">
        <v>8603</v>
      </c>
      <c r="AA938" s="1">
        <v>201900000</v>
      </c>
      <c r="AB938" s="1">
        <v>35</v>
      </c>
    </row>
    <row r="939" spans="1:28" x14ac:dyDescent="0.2">
      <c r="A939" s="1">
        <v>2509</v>
      </c>
      <c r="B939" s="1" t="s">
        <v>6850</v>
      </c>
      <c r="D939" s="1" t="s">
        <v>6851</v>
      </c>
      <c r="F939" s="1" t="s">
        <v>6914</v>
      </c>
      <c r="H939" s="1" t="s">
        <v>6915</v>
      </c>
      <c r="J939" s="1" t="s">
        <v>1324</v>
      </c>
      <c r="L939" s="1" t="s">
        <v>1325</v>
      </c>
      <c r="N939" s="1" t="s">
        <v>8601</v>
      </c>
      <c r="P939" s="1" t="s">
        <v>8604</v>
      </c>
      <c r="Q939" s="3">
        <v>1</v>
      </c>
      <c r="R939" s="23" t="s">
        <v>6854</v>
      </c>
      <c r="S939" s="23" t="s">
        <v>6849</v>
      </c>
      <c r="T939" s="23" t="s">
        <v>4864</v>
      </c>
      <c r="U939" s="3">
        <v>35</v>
      </c>
      <c r="V939" s="3" t="s">
        <v>8590</v>
      </c>
      <c r="W939" s="45" t="str">
        <f>HYPERLINK("http://ictvonline.org/taxonomy/p/taxonomy-history?taxnode_id=201907754","ICTVonline=201907754")</f>
        <v>ICTVonline=201907754</v>
      </c>
      <c r="Y939" s="1" t="s">
        <v>8605</v>
      </c>
      <c r="AA939" s="1">
        <v>201900000</v>
      </c>
      <c r="AB939" s="1">
        <v>35</v>
      </c>
    </row>
    <row r="940" spans="1:28" x14ac:dyDescent="0.2">
      <c r="A940" s="1">
        <v>2511</v>
      </c>
      <c r="B940" s="1" t="s">
        <v>6850</v>
      </c>
      <c r="D940" s="1" t="s">
        <v>6851</v>
      </c>
      <c r="F940" s="1" t="s">
        <v>6914</v>
      </c>
      <c r="H940" s="1" t="s">
        <v>6915</v>
      </c>
      <c r="J940" s="1" t="s">
        <v>1324</v>
      </c>
      <c r="L940" s="1" t="s">
        <v>1325</v>
      </c>
      <c r="N940" s="1" t="s">
        <v>8601</v>
      </c>
      <c r="P940" s="1" t="s">
        <v>8606</v>
      </c>
      <c r="Q940" s="3">
        <v>0</v>
      </c>
      <c r="R940" s="23" t="s">
        <v>6854</v>
      </c>
      <c r="S940" s="23" t="s">
        <v>6849</v>
      </c>
      <c r="T940" s="23" t="s">
        <v>4864</v>
      </c>
      <c r="U940" s="3">
        <v>35</v>
      </c>
      <c r="V940" s="3" t="s">
        <v>8590</v>
      </c>
      <c r="W940" s="45" t="str">
        <f>HYPERLINK("http://ictvonline.org/taxonomy/p/taxonomy-history?taxnode_id=201907756","ICTVonline=201907756")</f>
        <v>ICTVonline=201907756</v>
      </c>
      <c r="Y940" s="1" t="s">
        <v>8607</v>
      </c>
      <c r="AA940" s="1">
        <v>201900000</v>
      </c>
      <c r="AB940" s="1">
        <v>35</v>
      </c>
    </row>
    <row r="941" spans="1:28" x14ac:dyDescent="0.2">
      <c r="A941" s="1">
        <v>2515</v>
      </c>
      <c r="B941" s="1" t="s">
        <v>6850</v>
      </c>
      <c r="D941" s="1" t="s">
        <v>6851</v>
      </c>
      <c r="F941" s="1" t="s">
        <v>6914</v>
      </c>
      <c r="H941" s="1" t="s">
        <v>6915</v>
      </c>
      <c r="J941" s="1" t="s">
        <v>1324</v>
      </c>
      <c r="L941" s="1" t="s">
        <v>1325</v>
      </c>
      <c r="N941" s="1" t="s">
        <v>8608</v>
      </c>
      <c r="P941" s="1" t="s">
        <v>8609</v>
      </c>
      <c r="Q941" s="3">
        <v>1</v>
      </c>
      <c r="R941" s="23" t="s">
        <v>6854</v>
      </c>
      <c r="S941" s="23" t="s">
        <v>6849</v>
      </c>
      <c r="T941" s="23" t="s">
        <v>4864</v>
      </c>
      <c r="U941" s="3">
        <v>35</v>
      </c>
      <c r="V941" s="3" t="s">
        <v>8590</v>
      </c>
      <c r="W941" s="45" t="str">
        <f>HYPERLINK("http://ictvonline.org/taxonomy/p/taxonomy-history?taxnode_id=201907766","ICTVonline=201907766")</f>
        <v>ICTVonline=201907766</v>
      </c>
      <c r="Y941" s="1" t="s">
        <v>8610</v>
      </c>
      <c r="AA941" s="1">
        <v>201900000</v>
      </c>
      <c r="AB941" s="1">
        <v>35</v>
      </c>
    </row>
    <row r="942" spans="1:28" x14ac:dyDescent="0.2">
      <c r="A942" s="1">
        <v>2519</v>
      </c>
      <c r="B942" s="1" t="s">
        <v>6850</v>
      </c>
      <c r="D942" s="1" t="s">
        <v>6851</v>
      </c>
      <c r="F942" s="1" t="s">
        <v>6914</v>
      </c>
      <c r="H942" s="1" t="s">
        <v>6915</v>
      </c>
      <c r="J942" s="1" t="s">
        <v>1324</v>
      </c>
      <c r="L942" s="1" t="s">
        <v>1325</v>
      </c>
      <c r="N942" s="1" t="s">
        <v>8611</v>
      </c>
      <c r="P942" s="1" t="s">
        <v>8612</v>
      </c>
      <c r="Q942" s="3">
        <v>1</v>
      </c>
      <c r="R942" s="23" t="s">
        <v>6854</v>
      </c>
      <c r="S942" s="23" t="s">
        <v>6849</v>
      </c>
      <c r="T942" s="23" t="s">
        <v>4864</v>
      </c>
      <c r="U942" s="3">
        <v>35</v>
      </c>
      <c r="V942" s="3" t="s">
        <v>8581</v>
      </c>
      <c r="W942" s="45" t="str">
        <f>HYPERLINK("http://ictvonline.org/taxonomy/p/taxonomy-history?taxnode_id=201907912","ICTVonline=201907912")</f>
        <v>ICTVonline=201907912</v>
      </c>
      <c r="Y942" s="1" t="s">
        <v>8613</v>
      </c>
      <c r="AA942" s="1">
        <v>201900000</v>
      </c>
      <c r="AB942" s="1">
        <v>35</v>
      </c>
    </row>
    <row r="943" spans="1:28" x14ac:dyDescent="0.2">
      <c r="A943" s="1">
        <v>2523</v>
      </c>
      <c r="B943" s="1" t="s">
        <v>6850</v>
      </c>
      <c r="D943" s="1" t="s">
        <v>6851</v>
      </c>
      <c r="F943" s="1" t="s">
        <v>6914</v>
      </c>
      <c r="H943" s="1" t="s">
        <v>6915</v>
      </c>
      <c r="J943" s="1" t="s">
        <v>1324</v>
      </c>
      <c r="L943" s="1" t="s">
        <v>1325</v>
      </c>
      <c r="N943" s="1" t="s">
        <v>8614</v>
      </c>
      <c r="P943" s="1" t="s">
        <v>8615</v>
      </c>
      <c r="Q943" s="3">
        <v>1</v>
      </c>
      <c r="R943" s="23" t="s">
        <v>6854</v>
      </c>
      <c r="S943" s="23" t="s">
        <v>6849</v>
      </c>
      <c r="T943" s="23" t="s">
        <v>4864</v>
      </c>
      <c r="U943" s="3">
        <v>35</v>
      </c>
      <c r="V943" s="3" t="s">
        <v>8616</v>
      </c>
      <c r="W943" s="45" t="str">
        <f>HYPERLINK("http://ictvonline.org/taxonomy/p/taxonomy-history?taxnode_id=201907108","ICTVonline=201907108")</f>
        <v>ICTVonline=201907108</v>
      </c>
      <c r="Y943" s="1" t="s">
        <v>8617</v>
      </c>
      <c r="AA943" s="1">
        <v>201900000</v>
      </c>
      <c r="AB943" s="1">
        <v>35</v>
      </c>
    </row>
    <row r="944" spans="1:28" x14ac:dyDescent="0.2">
      <c r="A944" s="1">
        <v>2525</v>
      </c>
      <c r="B944" s="1" t="s">
        <v>6850</v>
      </c>
      <c r="D944" s="1" t="s">
        <v>6851</v>
      </c>
      <c r="F944" s="1" t="s">
        <v>6914</v>
      </c>
      <c r="H944" s="1" t="s">
        <v>6915</v>
      </c>
      <c r="J944" s="1" t="s">
        <v>1324</v>
      </c>
      <c r="L944" s="1" t="s">
        <v>1325</v>
      </c>
      <c r="N944" s="1" t="s">
        <v>8614</v>
      </c>
      <c r="P944" s="1" t="s">
        <v>8618</v>
      </c>
      <c r="Q944" s="3">
        <v>0</v>
      </c>
      <c r="R944" s="23" t="s">
        <v>6854</v>
      </c>
      <c r="S944" s="23" t="s">
        <v>6849</v>
      </c>
      <c r="T944" s="23" t="s">
        <v>4864</v>
      </c>
      <c r="U944" s="3">
        <v>35</v>
      </c>
      <c r="V944" s="3" t="s">
        <v>8616</v>
      </c>
      <c r="W944" s="45" t="str">
        <f>HYPERLINK("http://ictvonline.org/taxonomy/p/taxonomy-history?taxnode_id=201907112","ICTVonline=201907112")</f>
        <v>ICTVonline=201907112</v>
      </c>
      <c r="Y944" s="1" t="s">
        <v>8619</v>
      </c>
      <c r="AA944" s="1">
        <v>201900000</v>
      </c>
      <c r="AB944" s="1">
        <v>35</v>
      </c>
    </row>
    <row r="945" spans="1:28" x14ac:dyDescent="0.2">
      <c r="A945" s="1">
        <v>2527</v>
      </c>
      <c r="B945" s="1" t="s">
        <v>6850</v>
      </c>
      <c r="D945" s="1" t="s">
        <v>6851</v>
      </c>
      <c r="F945" s="1" t="s">
        <v>6914</v>
      </c>
      <c r="H945" s="1" t="s">
        <v>6915</v>
      </c>
      <c r="J945" s="1" t="s">
        <v>1324</v>
      </c>
      <c r="L945" s="1" t="s">
        <v>1325</v>
      </c>
      <c r="N945" s="1" t="s">
        <v>8614</v>
      </c>
      <c r="P945" s="1" t="s">
        <v>8620</v>
      </c>
      <c r="Q945" s="3">
        <v>0</v>
      </c>
      <c r="R945" s="23" t="s">
        <v>6854</v>
      </c>
      <c r="S945" s="23" t="s">
        <v>6849</v>
      </c>
      <c r="T945" s="23" t="s">
        <v>4864</v>
      </c>
      <c r="U945" s="3">
        <v>35</v>
      </c>
      <c r="V945" s="3" t="s">
        <v>8616</v>
      </c>
      <c r="W945" s="45" t="str">
        <f>HYPERLINK("http://ictvonline.org/taxonomy/p/taxonomy-history?taxnode_id=201907109","ICTVonline=201907109")</f>
        <v>ICTVonline=201907109</v>
      </c>
      <c r="Y945" s="1" t="s">
        <v>8621</v>
      </c>
      <c r="AA945" s="1">
        <v>201900000</v>
      </c>
      <c r="AB945" s="1">
        <v>35</v>
      </c>
    </row>
    <row r="946" spans="1:28" x14ac:dyDescent="0.2">
      <c r="A946" s="1">
        <v>2529</v>
      </c>
      <c r="B946" s="1" t="s">
        <v>6850</v>
      </c>
      <c r="D946" s="1" t="s">
        <v>6851</v>
      </c>
      <c r="F946" s="1" t="s">
        <v>6914</v>
      </c>
      <c r="H946" s="1" t="s">
        <v>6915</v>
      </c>
      <c r="J946" s="1" t="s">
        <v>1324</v>
      </c>
      <c r="L946" s="1" t="s">
        <v>1325</v>
      </c>
      <c r="N946" s="1" t="s">
        <v>8614</v>
      </c>
      <c r="P946" s="1" t="s">
        <v>8622</v>
      </c>
      <c r="Q946" s="3">
        <v>0</v>
      </c>
      <c r="R946" s="23" t="s">
        <v>6854</v>
      </c>
      <c r="S946" s="23" t="s">
        <v>6849</v>
      </c>
      <c r="T946" s="23" t="s">
        <v>4864</v>
      </c>
      <c r="U946" s="3">
        <v>35</v>
      </c>
      <c r="V946" s="3" t="s">
        <v>8616</v>
      </c>
      <c r="W946" s="45" t="str">
        <f>HYPERLINK("http://ictvonline.org/taxonomy/p/taxonomy-history?taxnode_id=201907110","ICTVonline=201907110")</f>
        <v>ICTVonline=201907110</v>
      </c>
      <c r="Y946" s="1" t="s">
        <v>8623</v>
      </c>
      <c r="AA946" s="1">
        <v>201900000</v>
      </c>
      <c r="AB946" s="1">
        <v>35</v>
      </c>
    </row>
    <row r="947" spans="1:28" x14ac:dyDescent="0.2">
      <c r="A947" s="1">
        <v>2531</v>
      </c>
      <c r="B947" s="1" t="s">
        <v>6850</v>
      </c>
      <c r="D947" s="1" t="s">
        <v>6851</v>
      </c>
      <c r="F947" s="1" t="s">
        <v>6914</v>
      </c>
      <c r="H947" s="1" t="s">
        <v>6915</v>
      </c>
      <c r="J947" s="1" t="s">
        <v>1324</v>
      </c>
      <c r="L947" s="1" t="s">
        <v>1325</v>
      </c>
      <c r="N947" s="1" t="s">
        <v>8614</v>
      </c>
      <c r="P947" s="1" t="s">
        <v>8624</v>
      </c>
      <c r="Q947" s="3">
        <v>0</v>
      </c>
      <c r="R947" s="23" t="s">
        <v>6854</v>
      </c>
      <c r="S947" s="23" t="s">
        <v>6849</v>
      </c>
      <c r="T947" s="23" t="s">
        <v>4864</v>
      </c>
      <c r="U947" s="3">
        <v>35</v>
      </c>
      <c r="V947" s="3" t="s">
        <v>8616</v>
      </c>
      <c r="W947" s="45" t="str">
        <f>HYPERLINK("http://ictvonline.org/taxonomy/p/taxonomy-history?taxnode_id=201907111","ICTVonline=201907111")</f>
        <v>ICTVonline=201907111</v>
      </c>
      <c r="Y947" s="1" t="s">
        <v>8625</v>
      </c>
      <c r="AA947" s="1">
        <v>201900000</v>
      </c>
      <c r="AB947" s="1">
        <v>35</v>
      </c>
    </row>
    <row r="948" spans="1:28" x14ac:dyDescent="0.2">
      <c r="A948" s="1">
        <v>2535</v>
      </c>
      <c r="B948" s="1" t="s">
        <v>6850</v>
      </c>
      <c r="D948" s="1" t="s">
        <v>6851</v>
      </c>
      <c r="F948" s="1" t="s">
        <v>6914</v>
      </c>
      <c r="H948" s="1" t="s">
        <v>6915</v>
      </c>
      <c r="J948" s="1" t="s">
        <v>1324</v>
      </c>
      <c r="L948" s="1" t="s">
        <v>1325</v>
      </c>
      <c r="N948" s="1" t="s">
        <v>2847</v>
      </c>
      <c r="P948" s="1" t="s">
        <v>2848</v>
      </c>
      <c r="Q948" s="3">
        <v>1</v>
      </c>
      <c r="R948" s="23" t="s">
        <v>6854</v>
      </c>
      <c r="S948" s="23" t="s">
        <v>6845</v>
      </c>
      <c r="T948" s="23" t="s">
        <v>4866</v>
      </c>
      <c r="U948" s="3">
        <v>35</v>
      </c>
      <c r="W948" s="45" t="str">
        <f>HYPERLINK("http://ictvonline.org/taxonomy/p/taxonomy-history?taxnode_id=201900408","ICTVonline=201900408")</f>
        <v>ICTVonline=201900408</v>
      </c>
      <c r="AA948" s="1">
        <v>201900000</v>
      </c>
      <c r="AB948" s="1">
        <v>35</v>
      </c>
    </row>
    <row r="949" spans="1:28" x14ac:dyDescent="0.2">
      <c r="A949" s="1">
        <v>2537</v>
      </c>
      <c r="B949" s="1" t="s">
        <v>6850</v>
      </c>
      <c r="D949" s="1" t="s">
        <v>6851</v>
      </c>
      <c r="F949" s="1" t="s">
        <v>6914</v>
      </c>
      <c r="H949" s="1" t="s">
        <v>6915</v>
      </c>
      <c r="J949" s="1" t="s">
        <v>1324</v>
      </c>
      <c r="L949" s="1" t="s">
        <v>1325</v>
      </c>
      <c r="N949" s="1" t="s">
        <v>2847</v>
      </c>
      <c r="P949" s="1" t="s">
        <v>2849</v>
      </c>
      <c r="Q949" s="3">
        <v>0</v>
      </c>
      <c r="R949" s="23" t="s">
        <v>6854</v>
      </c>
      <c r="S949" s="23" t="s">
        <v>6845</v>
      </c>
      <c r="T949" s="23" t="s">
        <v>4866</v>
      </c>
      <c r="U949" s="3">
        <v>35</v>
      </c>
      <c r="W949" s="45" t="str">
        <f>HYPERLINK("http://ictvonline.org/taxonomy/p/taxonomy-history?taxnode_id=201900409","ICTVonline=201900409")</f>
        <v>ICTVonline=201900409</v>
      </c>
      <c r="AA949" s="1">
        <v>201900000</v>
      </c>
      <c r="AB949" s="1">
        <v>35</v>
      </c>
    </row>
    <row r="950" spans="1:28" x14ac:dyDescent="0.2">
      <c r="A950" s="1">
        <v>2541</v>
      </c>
      <c r="B950" s="1" t="s">
        <v>6850</v>
      </c>
      <c r="D950" s="1" t="s">
        <v>6851</v>
      </c>
      <c r="F950" s="1" t="s">
        <v>6914</v>
      </c>
      <c r="H950" s="1" t="s">
        <v>6915</v>
      </c>
      <c r="J950" s="1" t="s">
        <v>1324</v>
      </c>
      <c r="L950" s="1" t="s">
        <v>1325</v>
      </c>
      <c r="N950" s="1" t="s">
        <v>8626</v>
      </c>
      <c r="P950" s="1" t="s">
        <v>8627</v>
      </c>
      <c r="Q950" s="3">
        <v>1</v>
      </c>
      <c r="R950" s="23" t="s">
        <v>6854</v>
      </c>
      <c r="S950" s="23" t="s">
        <v>6849</v>
      </c>
      <c r="T950" s="23" t="s">
        <v>4864</v>
      </c>
      <c r="U950" s="3">
        <v>35</v>
      </c>
      <c r="V950" s="3" t="s">
        <v>8558</v>
      </c>
      <c r="W950" s="45" t="str">
        <f>HYPERLINK("http://ictvonline.org/taxonomy/p/taxonomy-history?taxnode_id=201907785","ICTVonline=201907785")</f>
        <v>ICTVonline=201907785</v>
      </c>
      <c r="Y950" s="1" t="s">
        <v>8628</v>
      </c>
      <c r="AA950" s="1">
        <v>201900000</v>
      </c>
      <c r="AB950" s="1">
        <v>35</v>
      </c>
    </row>
    <row r="951" spans="1:28" x14ac:dyDescent="0.2">
      <c r="A951" s="1">
        <v>2545</v>
      </c>
      <c r="B951" s="1" t="s">
        <v>6850</v>
      </c>
      <c r="D951" s="1" t="s">
        <v>6851</v>
      </c>
      <c r="F951" s="1" t="s">
        <v>6914</v>
      </c>
      <c r="H951" s="1" t="s">
        <v>6915</v>
      </c>
      <c r="J951" s="1" t="s">
        <v>1324</v>
      </c>
      <c r="L951" s="1" t="s">
        <v>1325</v>
      </c>
      <c r="N951" s="1" t="s">
        <v>6340</v>
      </c>
      <c r="P951" s="1" t="s">
        <v>6341</v>
      </c>
      <c r="Q951" s="3">
        <v>1</v>
      </c>
      <c r="R951" s="23" t="s">
        <v>6854</v>
      </c>
      <c r="S951" s="23" t="s">
        <v>6845</v>
      </c>
      <c r="T951" s="23" t="s">
        <v>4866</v>
      </c>
      <c r="U951" s="3">
        <v>35</v>
      </c>
      <c r="W951" s="45" t="str">
        <f>HYPERLINK("http://ictvonline.org/taxonomy/p/taxonomy-history?taxnode_id=201906394","ICTVonline=201906394")</f>
        <v>ICTVonline=201906394</v>
      </c>
      <c r="Y951" s="1" t="s">
        <v>8629</v>
      </c>
      <c r="Z951" s="1" t="s">
        <v>8630</v>
      </c>
      <c r="AA951" s="1">
        <v>201900000</v>
      </c>
      <c r="AB951" s="1">
        <v>35</v>
      </c>
    </row>
    <row r="952" spans="1:28" x14ac:dyDescent="0.2">
      <c r="A952" s="1">
        <v>2549</v>
      </c>
      <c r="B952" s="1" t="s">
        <v>6850</v>
      </c>
      <c r="D952" s="1" t="s">
        <v>6851</v>
      </c>
      <c r="F952" s="1" t="s">
        <v>6914</v>
      </c>
      <c r="H952" s="1" t="s">
        <v>6915</v>
      </c>
      <c r="J952" s="1" t="s">
        <v>1324</v>
      </c>
      <c r="L952" s="1" t="s">
        <v>1325</v>
      </c>
      <c r="N952" s="1" t="s">
        <v>2850</v>
      </c>
      <c r="P952" s="1" t="s">
        <v>2851</v>
      </c>
      <c r="Q952" s="3">
        <v>1</v>
      </c>
      <c r="R952" s="23" t="s">
        <v>6854</v>
      </c>
      <c r="S952" s="23" t="s">
        <v>6845</v>
      </c>
      <c r="T952" s="23" t="s">
        <v>4866</v>
      </c>
      <c r="U952" s="3">
        <v>35</v>
      </c>
      <c r="W952" s="45" t="str">
        <f>HYPERLINK("http://ictvonline.org/taxonomy/p/taxonomy-history?taxnode_id=201900411","ICTVonline=201900411")</f>
        <v>ICTVonline=201900411</v>
      </c>
      <c r="Y952" s="1" t="s">
        <v>8631</v>
      </c>
      <c r="Z952" s="1" t="s">
        <v>8632</v>
      </c>
      <c r="AA952" s="1">
        <v>201900000</v>
      </c>
      <c r="AB952" s="1">
        <v>35</v>
      </c>
    </row>
    <row r="953" spans="1:28" x14ac:dyDescent="0.2">
      <c r="A953" s="1">
        <v>2553</v>
      </c>
      <c r="B953" s="1" t="s">
        <v>6850</v>
      </c>
      <c r="D953" s="1" t="s">
        <v>6851</v>
      </c>
      <c r="F953" s="1" t="s">
        <v>6914</v>
      </c>
      <c r="H953" s="1" t="s">
        <v>6915</v>
      </c>
      <c r="J953" s="1" t="s">
        <v>1324</v>
      </c>
      <c r="L953" s="1" t="s">
        <v>1325</v>
      </c>
      <c r="N953" s="1" t="s">
        <v>6123</v>
      </c>
      <c r="P953" s="1" t="s">
        <v>4173</v>
      </c>
      <c r="Q953" s="3">
        <v>0</v>
      </c>
      <c r="R953" s="23" t="s">
        <v>6854</v>
      </c>
      <c r="S953" s="23" t="s">
        <v>6845</v>
      </c>
      <c r="T953" s="23" t="s">
        <v>4866</v>
      </c>
      <c r="U953" s="3">
        <v>35</v>
      </c>
      <c r="W953" s="45" t="str">
        <f>HYPERLINK("http://ictvonline.org/taxonomy/p/taxonomy-history?taxnode_id=201900413","ICTVonline=201900413")</f>
        <v>ICTVonline=201900413</v>
      </c>
      <c r="Y953" s="1" t="s">
        <v>8633</v>
      </c>
      <c r="Z953" s="1" t="s">
        <v>8634</v>
      </c>
      <c r="AA953" s="1">
        <v>201900000</v>
      </c>
      <c r="AB953" s="1">
        <v>35</v>
      </c>
    </row>
    <row r="954" spans="1:28" x14ac:dyDescent="0.2">
      <c r="A954" s="1">
        <v>2555</v>
      </c>
      <c r="B954" s="1" t="s">
        <v>6850</v>
      </c>
      <c r="D954" s="1" t="s">
        <v>6851</v>
      </c>
      <c r="F954" s="1" t="s">
        <v>6914</v>
      </c>
      <c r="H954" s="1" t="s">
        <v>6915</v>
      </c>
      <c r="J954" s="1" t="s">
        <v>1324</v>
      </c>
      <c r="L954" s="1" t="s">
        <v>1325</v>
      </c>
      <c r="N954" s="1" t="s">
        <v>6123</v>
      </c>
      <c r="P954" s="1" t="s">
        <v>4174</v>
      </c>
      <c r="Q954" s="3">
        <v>0</v>
      </c>
      <c r="R954" s="23" t="s">
        <v>6854</v>
      </c>
      <c r="S954" s="23" t="s">
        <v>6845</v>
      </c>
      <c r="T954" s="23" t="s">
        <v>4866</v>
      </c>
      <c r="U954" s="3">
        <v>35</v>
      </c>
      <c r="W954" s="45" t="str">
        <f>HYPERLINK("http://ictvonline.org/taxonomy/p/taxonomy-history?taxnode_id=201900414","ICTVonline=201900414")</f>
        <v>ICTVonline=201900414</v>
      </c>
      <c r="Y954" s="1" t="s">
        <v>8635</v>
      </c>
      <c r="Z954" s="1" t="s">
        <v>8636</v>
      </c>
      <c r="AA954" s="1">
        <v>201900000</v>
      </c>
      <c r="AB954" s="1">
        <v>35</v>
      </c>
    </row>
    <row r="955" spans="1:28" x14ac:dyDescent="0.2">
      <c r="A955" s="1">
        <v>2557</v>
      </c>
      <c r="B955" s="1" t="s">
        <v>6850</v>
      </c>
      <c r="D955" s="1" t="s">
        <v>6851</v>
      </c>
      <c r="F955" s="1" t="s">
        <v>6914</v>
      </c>
      <c r="H955" s="1" t="s">
        <v>6915</v>
      </c>
      <c r="J955" s="1" t="s">
        <v>1324</v>
      </c>
      <c r="L955" s="1" t="s">
        <v>1325</v>
      </c>
      <c r="N955" s="1" t="s">
        <v>6123</v>
      </c>
      <c r="P955" s="1" t="s">
        <v>4175</v>
      </c>
      <c r="Q955" s="3">
        <v>0</v>
      </c>
      <c r="R955" s="23" t="s">
        <v>6854</v>
      </c>
      <c r="S955" s="23" t="s">
        <v>6845</v>
      </c>
      <c r="T955" s="23" t="s">
        <v>4866</v>
      </c>
      <c r="U955" s="3">
        <v>35</v>
      </c>
      <c r="W955" s="45" t="str">
        <f>HYPERLINK("http://ictvonline.org/taxonomy/p/taxonomy-history?taxnode_id=201900415","ICTVonline=201900415")</f>
        <v>ICTVonline=201900415</v>
      </c>
      <c r="Y955" s="1" t="s">
        <v>8637</v>
      </c>
      <c r="Z955" s="1" t="s">
        <v>8638</v>
      </c>
      <c r="AA955" s="1">
        <v>201900000</v>
      </c>
      <c r="AB955" s="1">
        <v>35</v>
      </c>
    </row>
    <row r="956" spans="1:28" x14ac:dyDescent="0.2">
      <c r="A956" s="1">
        <v>2559</v>
      </c>
      <c r="B956" s="1" t="s">
        <v>6850</v>
      </c>
      <c r="D956" s="1" t="s">
        <v>6851</v>
      </c>
      <c r="F956" s="1" t="s">
        <v>6914</v>
      </c>
      <c r="H956" s="1" t="s">
        <v>6915</v>
      </c>
      <c r="J956" s="1" t="s">
        <v>1324</v>
      </c>
      <c r="L956" s="1" t="s">
        <v>1325</v>
      </c>
      <c r="N956" s="1" t="s">
        <v>6123</v>
      </c>
      <c r="P956" s="1" t="s">
        <v>4176</v>
      </c>
      <c r="Q956" s="3">
        <v>0</v>
      </c>
      <c r="R956" s="23" t="s">
        <v>6854</v>
      </c>
      <c r="S956" s="23" t="s">
        <v>6845</v>
      </c>
      <c r="T956" s="23" t="s">
        <v>4866</v>
      </c>
      <c r="U956" s="3">
        <v>35</v>
      </c>
      <c r="W956" s="45" t="str">
        <f>HYPERLINK("http://ictvonline.org/taxonomy/p/taxonomy-history?taxnode_id=201900416","ICTVonline=201900416")</f>
        <v>ICTVonline=201900416</v>
      </c>
      <c r="Y956" s="1" t="s">
        <v>8639</v>
      </c>
      <c r="Z956" s="1" t="s">
        <v>8640</v>
      </c>
      <c r="AA956" s="1">
        <v>201900000</v>
      </c>
      <c r="AB956" s="1">
        <v>35</v>
      </c>
    </row>
    <row r="957" spans="1:28" x14ac:dyDescent="0.2">
      <c r="A957" s="1">
        <v>2561</v>
      </c>
      <c r="B957" s="1" t="s">
        <v>6850</v>
      </c>
      <c r="D957" s="1" t="s">
        <v>6851</v>
      </c>
      <c r="F957" s="1" t="s">
        <v>6914</v>
      </c>
      <c r="H957" s="1" t="s">
        <v>6915</v>
      </c>
      <c r="J957" s="1" t="s">
        <v>1324</v>
      </c>
      <c r="L957" s="1" t="s">
        <v>1325</v>
      </c>
      <c r="N957" s="1" t="s">
        <v>6123</v>
      </c>
      <c r="P957" s="1" t="s">
        <v>2852</v>
      </c>
      <c r="Q957" s="3">
        <v>1</v>
      </c>
      <c r="R957" s="23" t="s">
        <v>6854</v>
      </c>
      <c r="S957" s="23" t="s">
        <v>6845</v>
      </c>
      <c r="T957" s="23" t="s">
        <v>4866</v>
      </c>
      <c r="U957" s="3">
        <v>35</v>
      </c>
      <c r="W957" s="45" t="str">
        <f>HYPERLINK("http://ictvonline.org/taxonomy/p/taxonomy-history?taxnode_id=201900417","ICTVonline=201900417")</f>
        <v>ICTVonline=201900417</v>
      </c>
      <c r="AA957" s="1">
        <v>201900000</v>
      </c>
      <c r="AB957" s="1">
        <v>35</v>
      </c>
    </row>
    <row r="958" spans="1:28" x14ac:dyDescent="0.2">
      <c r="A958" s="1">
        <v>2563</v>
      </c>
      <c r="B958" s="1" t="s">
        <v>6850</v>
      </c>
      <c r="D958" s="1" t="s">
        <v>6851</v>
      </c>
      <c r="F958" s="1" t="s">
        <v>6914</v>
      </c>
      <c r="H958" s="1" t="s">
        <v>6915</v>
      </c>
      <c r="J958" s="1" t="s">
        <v>1324</v>
      </c>
      <c r="L958" s="1" t="s">
        <v>1325</v>
      </c>
      <c r="N958" s="1" t="s">
        <v>6123</v>
      </c>
      <c r="P958" s="1" t="s">
        <v>6124</v>
      </c>
      <c r="Q958" s="3">
        <v>0</v>
      </c>
      <c r="R958" s="23" t="s">
        <v>6854</v>
      </c>
      <c r="S958" s="23" t="s">
        <v>6845</v>
      </c>
      <c r="T958" s="23" t="s">
        <v>4866</v>
      </c>
      <c r="U958" s="3">
        <v>35</v>
      </c>
      <c r="W958" s="45" t="str">
        <f>HYPERLINK("http://ictvonline.org/taxonomy/p/taxonomy-history?taxnode_id=201906997","ICTVonline=201906997")</f>
        <v>ICTVonline=201906997</v>
      </c>
      <c r="Y958" s="1" t="s">
        <v>8641</v>
      </c>
      <c r="Z958" s="1" t="s">
        <v>8642</v>
      </c>
      <c r="AA958" s="1">
        <v>201900000</v>
      </c>
      <c r="AB958" s="1">
        <v>35</v>
      </c>
    </row>
    <row r="959" spans="1:28" x14ac:dyDescent="0.2">
      <c r="A959" s="1">
        <v>2565</v>
      </c>
      <c r="B959" s="1" t="s">
        <v>6850</v>
      </c>
      <c r="D959" s="1" t="s">
        <v>6851</v>
      </c>
      <c r="F959" s="1" t="s">
        <v>6914</v>
      </c>
      <c r="H959" s="1" t="s">
        <v>6915</v>
      </c>
      <c r="J959" s="1" t="s">
        <v>1324</v>
      </c>
      <c r="L959" s="1" t="s">
        <v>1325</v>
      </c>
      <c r="N959" s="1" t="s">
        <v>6123</v>
      </c>
      <c r="P959" s="1" t="s">
        <v>4177</v>
      </c>
      <c r="Q959" s="3">
        <v>0</v>
      </c>
      <c r="R959" s="23" t="s">
        <v>6854</v>
      </c>
      <c r="S959" s="23" t="s">
        <v>6845</v>
      </c>
      <c r="T959" s="23" t="s">
        <v>4866</v>
      </c>
      <c r="U959" s="3">
        <v>35</v>
      </c>
      <c r="W959" s="45" t="str">
        <f>HYPERLINK("http://ictvonline.org/taxonomy/p/taxonomy-history?taxnode_id=201900418","ICTVonline=201900418")</f>
        <v>ICTVonline=201900418</v>
      </c>
      <c r="Y959" s="1" t="s">
        <v>8643</v>
      </c>
      <c r="Z959" s="1" t="s">
        <v>8644</v>
      </c>
      <c r="AA959" s="1">
        <v>201900000</v>
      </c>
      <c r="AB959" s="1">
        <v>35</v>
      </c>
    </row>
    <row r="960" spans="1:28" x14ac:dyDescent="0.2">
      <c r="A960" s="1">
        <v>2567</v>
      </c>
      <c r="B960" s="1" t="s">
        <v>6850</v>
      </c>
      <c r="D960" s="1" t="s">
        <v>6851</v>
      </c>
      <c r="F960" s="1" t="s">
        <v>6914</v>
      </c>
      <c r="H960" s="1" t="s">
        <v>6915</v>
      </c>
      <c r="J960" s="1" t="s">
        <v>1324</v>
      </c>
      <c r="L960" s="1" t="s">
        <v>1325</v>
      </c>
      <c r="N960" s="1" t="s">
        <v>6123</v>
      </c>
      <c r="P960" s="1" t="s">
        <v>4178</v>
      </c>
      <c r="Q960" s="3">
        <v>0</v>
      </c>
      <c r="R960" s="23" t="s">
        <v>6854</v>
      </c>
      <c r="S960" s="23" t="s">
        <v>6845</v>
      </c>
      <c r="T960" s="23" t="s">
        <v>4866</v>
      </c>
      <c r="U960" s="3">
        <v>35</v>
      </c>
      <c r="W960" s="45" t="str">
        <f>HYPERLINK("http://ictvonline.org/taxonomy/p/taxonomy-history?taxnode_id=201900419","ICTVonline=201900419")</f>
        <v>ICTVonline=201900419</v>
      </c>
      <c r="Y960" s="1" t="s">
        <v>8645</v>
      </c>
      <c r="Z960" s="1" t="s">
        <v>8646</v>
      </c>
      <c r="AA960" s="1">
        <v>201900000</v>
      </c>
      <c r="AB960" s="1">
        <v>35</v>
      </c>
    </row>
    <row r="961" spans="1:28" x14ac:dyDescent="0.2">
      <c r="A961" s="1">
        <v>2571</v>
      </c>
      <c r="B961" s="1" t="s">
        <v>6850</v>
      </c>
      <c r="D961" s="1" t="s">
        <v>6851</v>
      </c>
      <c r="F961" s="1" t="s">
        <v>6914</v>
      </c>
      <c r="H961" s="1" t="s">
        <v>6915</v>
      </c>
      <c r="J961" s="1" t="s">
        <v>1324</v>
      </c>
      <c r="L961" s="1" t="s">
        <v>1325</v>
      </c>
      <c r="N961" s="1" t="s">
        <v>8647</v>
      </c>
      <c r="P961" s="1" t="s">
        <v>8648</v>
      </c>
      <c r="Q961" s="3">
        <v>1</v>
      </c>
      <c r="R961" s="23" t="s">
        <v>6854</v>
      </c>
      <c r="S961" s="23" t="s">
        <v>6849</v>
      </c>
      <c r="T961" s="23" t="s">
        <v>4864</v>
      </c>
      <c r="U961" s="3">
        <v>35</v>
      </c>
      <c r="V961" s="3" t="s">
        <v>8649</v>
      </c>
      <c r="W961" s="45" t="str">
        <f>HYPERLINK("http://ictvonline.org/taxonomy/p/taxonomy-history?taxnode_id=201908052","ICTVonline=201908052")</f>
        <v>ICTVonline=201908052</v>
      </c>
      <c r="X961" s="1" t="s">
        <v>8650</v>
      </c>
      <c r="Y961" s="1" t="s">
        <v>8651</v>
      </c>
      <c r="Z961" s="1" t="s">
        <v>8652</v>
      </c>
      <c r="AA961" s="1">
        <v>201900000</v>
      </c>
      <c r="AB961" s="1">
        <v>35</v>
      </c>
    </row>
    <row r="962" spans="1:28" x14ac:dyDescent="0.2">
      <c r="A962" s="1">
        <v>2575</v>
      </c>
      <c r="B962" s="1" t="s">
        <v>6850</v>
      </c>
      <c r="D962" s="1" t="s">
        <v>6851</v>
      </c>
      <c r="F962" s="1" t="s">
        <v>6914</v>
      </c>
      <c r="H962" s="1" t="s">
        <v>6915</v>
      </c>
      <c r="J962" s="1" t="s">
        <v>1324</v>
      </c>
      <c r="L962" s="1" t="s">
        <v>1325</v>
      </c>
      <c r="N962" s="1" t="s">
        <v>8653</v>
      </c>
      <c r="P962" s="1" t="s">
        <v>8654</v>
      </c>
      <c r="Q962" s="3">
        <v>0</v>
      </c>
      <c r="R962" s="23" t="s">
        <v>6854</v>
      </c>
      <c r="S962" s="23" t="s">
        <v>6849</v>
      </c>
      <c r="T962" s="23" t="s">
        <v>4864</v>
      </c>
      <c r="U962" s="3">
        <v>35</v>
      </c>
      <c r="V962" s="3" t="s">
        <v>8558</v>
      </c>
      <c r="W962" s="45" t="str">
        <f>HYPERLINK("http://ictvonline.org/taxonomy/p/taxonomy-history?taxnode_id=201907793","ICTVonline=201907793")</f>
        <v>ICTVonline=201907793</v>
      </c>
      <c r="Y962" s="1" t="s">
        <v>8655</v>
      </c>
      <c r="AA962" s="1">
        <v>201900000</v>
      </c>
      <c r="AB962" s="1">
        <v>35</v>
      </c>
    </row>
    <row r="963" spans="1:28" x14ac:dyDescent="0.2">
      <c r="A963" s="1">
        <v>2577</v>
      </c>
      <c r="B963" s="1" t="s">
        <v>6850</v>
      </c>
      <c r="D963" s="1" t="s">
        <v>6851</v>
      </c>
      <c r="F963" s="1" t="s">
        <v>6914</v>
      </c>
      <c r="H963" s="1" t="s">
        <v>6915</v>
      </c>
      <c r="J963" s="1" t="s">
        <v>1324</v>
      </c>
      <c r="L963" s="1" t="s">
        <v>1325</v>
      </c>
      <c r="N963" s="1" t="s">
        <v>8653</v>
      </c>
      <c r="P963" s="1" t="s">
        <v>8656</v>
      </c>
      <c r="Q963" s="3">
        <v>1</v>
      </c>
      <c r="R963" s="23" t="s">
        <v>6854</v>
      </c>
      <c r="S963" s="23" t="s">
        <v>6849</v>
      </c>
      <c r="T963" s="23" t="s">
        <v>4864</v>
      </c>
      <c r="U963" s="3">
        <v>35</v>
      </c>
      <c r="V963" s="3" t="s">
        <v>8558</v>
      </c>
      <c r="W963" s="45" t="str">
        <f>HYPERLINK("http://ictvonline.org/taxonomy/p/taxonomy-history?taxnode_id=201907791","ICTVonline=201907791")</f>
        <v>ICTVonline=201907791</v>
      </c>
      <c r="Y963" s="1" t="s">
        <v>8657</v>
      </c>
      <c r="AA963" s="1">
        <v>201900000</v>
      </c>
      <c r="AB963" s="1">
        <v>35</v>
      </c>
    </row>
    <row r="964" spans="1:28" x14ac:dyDescent="0.2">
      <c r="A964" s="1">
        <v>2579</v>
      </c>
      <c r="B964" s="1" t="s">
        <v>6850</v>
      </c>
      <c r="D964" s="1" t="s">
        <v>6851</v>
      </c>
      <c r="F964" s="1" t="s">
        <v>6914</v>
      </c>
      <c r="H964" s="1" t="s">
        <v>6915</v>
      </c>
      <c r="J964" s="1" t="s">
        <v>1324</v>
      </c>
      <c r="L964" s="1" t="s">
        <v>1325</v>
      </c>
      <c r="N964" s="1" t="s">
        <v>8653</v>
      </c>
      <c r="P964" s="1" t="s">
        <v>8658</v>
      </c>
      <c r="Q964" s="3">
        <v>0</v>
      </c>
      <c r="R964" s="23" t="s">
        <v>6854</v>
      </c>
      <c r="S964" s="23" t="s">
        <v>6849</v>
      </c>
      <c r="T964" s="23" t="s">
        <v>4864</v>
      </c>
      <c r="U964" s="3">
        <v>35</v>
      </c>
      <c r="V964" s="3" t="s">
        <v>8558</v>
      </c>
      <c r="W964" s="45" t="str">
        <f>HYPERLINK("http://ictvonline.org/taxonomy/p/taxonomy-history?taxnode_id=201907792","ICTVonline=201907792")</f>
        <v>ICTVonline=201907792</v>
      </c>
      <c r="Y964" s="1" t="s">
        <v>8659</v>
      </c>
      <c r="AA964" s="1">
        <v>201900000</v>
      </c>
      <c r="AB964" s="1">
        <v>35</v>
      </c>
    </row>
    <row r="965" spans="1:28" x14ac:dyDescent="0.2">
      <c r="A965" s="1">
        <v>2581</v>
      </c>
      <c r="B965" s="1" t="s">
        <v>6850</v>
      </c>
      <c r="D965" s="1" t="s">
        <v>6851</v>
      </c>
      <c r="F965" s="1" t="s">
        <v>6914</v>
      </c>
      <c r="H965" s="1" t="s">
        <v>6915</v>
      </c>
      <c r="J965" s="1" t="s">
        <v>1324</v>
      </c>
      <c r="L965" s="1" t="s">
        <v>1325</v>
      </c>
      <c r="N965" s="1" t="s">
        <v>8653</v>
      </c>
      <c r="P965" s="1" t="s">
        <v>8660</v>
      </c>
      <c r="Q965" s="3">
        <v>0</v>
      </c>
      <c r="R965" s="23" t="s">
        <v>6854</v>
      </c>
      <c r="S965" s="23" t="s">
        <v>6849</v>
      </c>
      <c r="T965" s="23" t="s">
        <v>4864</v>
      </c>
      <c r="U965" s="3">
        <v>35</v>
      </c>
      <c r="V965" s="3" t="s">
        <v>8558</v>
      </c>
      <c r="W965" s="45" t="str">
        <f>HYPERLINK("http://ictvonline.org/taxonomy/p/taxonomy-history?taxnode_id=201907794","ICTVonline=201907794")</f>
        <v>ICTVonline=201907794</v>
      </c>
      <c r="Y965" s="1" t="s">
        <v>8661</v>
      </c>
      <c r="AA965" s="1">
        <v>201900000</v>
      </c>
      <c r="AB965" s="1">
        <v>35</v>
      </c>
    </row>
    <row r="966" spans="1:28" x14ac:dyDescent="0.2">
      <c r="A966" s="1">
        <v>2585</v>
      </c>
      <c r="B966" s="1" t="s">
        <v>6850</v>
      </c>
      <c r="D966" s="1" t="s">
        <v>6851</v>
      </c>
      <c r="F966" s="1" t="s">
        <v>6914</v>
      </c>
      <c r="H966" s="1" t="s">
        <v>6915</v>
      </c>
      <c r="J966" s="1" t="s">
        <v>1324</v>
      </c>
      <c r="L966" s="1" t="s">
        <v>1325</v>
      </c>
      <c r="N966" s="1" t="s">
        <v>6125</v>
      </c>
      <c r="P966" s="1" t="s">
        <v>6126</v>
      </c>
      <c r="Q966" s="3">
        <v>1</v>
      </c>
      <c r="R966" s="23" t="s">
        <v>6854</v>
      </c>
      <c r="S966" s="23" t="s">
        <v>6845</v>
      </c>
      <c r="T966" s="23" t="s">
        <v>4866</v>
      </c>
      <c r="U966" s="3">
        <v>35</v>
      </c>
      <c r="W966" s="45" t="str">
        <f>HYPERLINK("http://ictvonline.org/taxonomy/p/taxonomy-history?taxnode_id=201906810","ICTVonline=201906810")</f>
        <v>ICTVonline=201906810</v>
      </c>
      <c r="Y966" s="1" t="s">
        <v>8662</v>
      </c>
      <c r="Z966" s="1" t="s">
        <v>8663</v>
      </c>
      <c r="AA966" s="1">
        <v>201900000</v>
      </c>
      <c r="AB966" s="1">
        <v>35</v>
      </c>
    </row>
    <row r="967" spans="1:28" x14ac:dyDescent="0.2">
      <c r="A967" s="1">
        <v>2589</v>
      </c>
      <c r="B967" s="1" t="s">
        <v>6850</v>
      </c>
      <c r="D967" s="1" t="s">
        <v>6851</v>
      </c>
      <c r="F967" s="1" t="s">
        <v>6914</v>
      </c>
      <c r="H967" s="1" t="s">
        <v>6915</v>
      </c>
      <c r="J967" s="1" t="s">
        <v>1324</v>
      </c>
      <c r="L967" s="1" t="s">
        <v>1325</v>
      </c>
      <c r="N967" s="1" t="s">
        <v>6127</v>
      </c>
      <c r="P967" s="1" t="s">
        <v>6128</v>
      </c>
      <c r="Q967" s="3">
        <v>1</v>
      </c>
      <c r="R967" s="23" t="s">
        <v>6854</v>
      </c>
      <c r="S967" s="23" t="s">
        <v>6845</v>
      </c>
      <c r="T967" s="23" t="s">
        <v>4866</v>
      </c>
      <c r="U967" s="3">
        <v>35</v>
      </c>
      <c r="W967" s="45" t="str">
        <f>HYPERLINK("http://ictvonline.org/taxonomy/p/taxonomy-history?taxnode_id=201906812","ICTVonline=201906812")</f>
        <v>ICTVonline=201906812</v>
      </c>
      <c r="Y967" s="1" t="s">
        <v>8664</v>
      </c>
      <c r="Z967" s="1" t="s">
        <v>8665</v>
      </c>
      <c r="AA967" s="1">
        <v>201900000</v>
      </c>
      <c r="AB967" s="1">
        <v>35</v>
      </c>
    </row>
    <row r="968" spans="1:28" x14ac:dyDescent="0.2">
      <c r="A968" s="1">
        <v>2593</v>
      </c>
      <c r="B968" s="1" t="s">
        <v>6850</v>
      </c>
      <c r="D968" s="1" t="s">
        <v>6851</v>
      </c>
      <c r="F968" s="1" t="s">
        <v>6914</v>
      </c>
      <c r="H968" s="1" t="s">
        <v>6915</v>
      </c>
      <c r="J968" s="1" t="s">
        <v>1324</v>
      </c>
      <c r="L968" s="1" t="s">
        <v>1325</v>
      </c>
      <c r="N968" s="1" t="s">
        <v>8666</v>
      </c>
      <c r="P968" s="1" t="s">
        <v>8667</v>
      </c>
      <c r="Q968" s="3">
        <v>1</v>
      </c>
      <c r="R968" s="23" t="s">
        <v>6854</v>
      </c>
      <c r="S968" s="23" t="s">
        <v>6849</v>
      </c>
      <c r="T968" s="23" t="s">
        <v>4864</v>
      </c>
      <c r="U968" s="3">
        <v>35</v>
      </c>
      <c r="V968" s="3" t="s">
        <v>8581</v>
      </c>
      <c r="W968" s="45" t="str">
        <f>HYPERLINK("http://ictvonline.org/taxonomy/p/taxonomy-history?taxnode_id=201907928","ICTVonline=201907928")</f>
        <v>ICTVonline=201907928</v>
      </c>
      <c r="Y968" s="1" t="s">
        <v>8668</v>
      </c>
      <c r="AA968" s="1">
        <v>201900000</v>
      </c>
      <c r="AB968" s="1">
        <v>35</v>
      </c>
    </row>
    <row r="969" spans="1:28" x14ac:dyDescent="0.2">
      <c r="A969" s="1">
        <v>2595</v>
      </c>
      <c r="B969" s="1" t="s">
        <v>6850</v>
      </c>
      <c r="D969" s="1" t="s">
        <v>6851</v>
      </c>
      <c r="F969" s="1" t="s">
        <v>6914</v>
      </c>
      <c r="H969" s="1" t="s">
        <v>6915</v>
      </c>
      <c r="J969" s="1" t="s">
        <v>1324</v>
      </c>
      <c r="L969" s="1" t="s">
        <v>1325</v>
      </c>
      <c r="N969" s="1" t="s">
        <v>8666</v>
      </c>
      <c r="P969" s="1" t="s">
        <v>8669</v>
      </c>
      <c r="Q969" s="3">
        <v>0</v>
      </c>
      <c r="R969" s="23" t="s">
        <v>6854</v>
      </c>
      <c r="S969" s="23" t="s">
        <v>6849</v>
      </c>
      <c r="T969" s="23" t="s">
        <v>4864</v>
      </c>
      <c r="U969" s="3">
        <v>35</v>
      </c>
      <c r="V969" s="3" t="s">
        <v>8581</v>
      </c>
      <c r="W969" s="45" t="str">
        <f>HYPERLINK("http://ictvonline.org/taxonomy/p/taxonomy-history?taxnode_id=201907929","ICTVonline=201907929")</f>
        <v>ICTVonline=201907929</v>
      </c>
      <c r="Y969" s="1" t="s">
        <v>8670</v>
      </c>
      <c r="AA969" s="1">
        <v>201900000</v>
      </c>
      <c r="AB969" s="1">
        <v>35</v>
      </c>
    </row>
    <row r="970" spans="1:28" x14ac:dyDescent="0.2">
      <c r="A970" s="1">
        <v>2599</v>
      </c>
      <c r="B970" s="1" t="s">
        <v>6850</v>
      </c>
      <c r="D970" s="1" t="s">
        <v>6851</v>
      </c>
      <c r="F970" s="1" t="s">
        <v>6914</v>
      </c>
      <c r="H970" s="1" t="s">
        <v>6915</v>
      </c>
      <c r="J970" s="1" t="s">
        <v>1324</v>
      </c>
      <c r="L970" s="1" t="s">
        <v>1325</v>
      </c>
      <c r="N970" s="1" t="s">
        <v>6129</v>
      </c>
      <c r="P970" s="1" t="s">
        <v>6130</v>
      </c>
      <c r="Q970" s="3">
        <v>1</v>
      </c>
      <c r="R970" s="23" t="s">
        <v>6854</v>
      </c>
      <c r="S970" s="23" t="s">
        <v>6845</v>
      </c>
      <c r="T970" s="23" t="s">
        <v>4866</v>
      </c>
      <c r="U970" s="3">
        <v>35</v>
      </c>
      <c r="W970" s="45" t="str">
        <f>HYPERLINK("http://ictvonline.org/taxonomy/p/taxonomy-history?taxnode_id=201906814","ICTVonline=201906814")</f>
        <v>ICTVonline=201906814</v>
      </c>
      <c r="Y970" s="1" t="s">
        <v>8671</v>
      </c>
      <c r="Z970" s="1" t="s">
        <v>8672</v>
      </c>
      <c r="AA970" s="1">
        <v>201900000</v>
      </c>
      <c r="AB970" s="1">
        <v>35</v>
      </c>
    </row>
    <row r="971" spans="1:28" x14ac:dyDescent="0.2">
      <c r="A971" s="1">
        <v>2603</v>
      </c>
      <c r="B971" s="1" t="s">
        <v>6850</v>
      </c>
      <c r="D971" s="1" t="s">
        <v>6851</v>
      </c>
      <c r="F971" s="1" t="s">
        <v>6914</v>
      </c>
      <c r="H971" s="1" t="s">
        <v>6915</v>
      </c>
      <c r="J971" s="1" t="s">
        <v>1324</v>
      </c>
      <c r="L971" s="1" t="s">
        <v>1325</v>
      </c>
      <c r="N971" s="1" t="s">
        <v>8673</v>
      </c>
      <c r="P971" s="1" t="s">
        <v>8674</v>
      </c>
      <c r="Q971" s="3">
        <v>1</v>
      </c>
      <c r="R971" s="23" t="s">
        <v>6854</v>
      </c>
      <c r="S971" s="23" t="s">
        <v>6845</v>
      </c>
      <c r="T971" s="23" t="s">
        <v>4864</v>
      </c>
      <c r="U971" s="3">
        <v>35</v>
      </c>
      <c r="V971" s="3" t="s">
        <v>8590</v>
      </c>
      <c r="W971" s="45" t="str">
        <f>HYPERLINK("http://ictvonline.org/taxonomy/p/taxonomy-history?taxnode_id=201907774","ICTVonline=201907774")</f>
        <v>ICTVonline=201907774</v>
      </c>
      <c r="Y971" s="1" t="s">
        <v>8675</v>
      </c>
      <c r="AA971" s="1">
        <v>201900000</v>
      </c>
      <c r="AB971" s="1">
        <v>35</v>
      </c>
    </row>
    <row r="972" spans="1:28" x14ac:dyDescent="0.2">
      <c r="A972" s="1">
        <v>2607</v>
      </c>
      <c r="B972" s="1" t="s">
        <v>6850</v>
      </c>
      <c r="D972" s="1" t="s">
        <v>6851</v>
      </c>
      <c r="F972" s="1" t="s">
        <v>6914</v>
      </c>
      <c r="H972" s="1" t="s">
        <v>6915</v>
      </c>
      <c r="J972" s="1" t="s">
        <v>1324</v>
      </c>
      <c r="L972" s="1" t="s">
        <v>1325</v>
      </c>
      <c r="N972" s="1" t="s">
        <v>6131</v>
      </c>
      <c r="P972" s="1" t="s">
        <v>4194</v>
      </c>
      <c r="Q972" s="3">
        <v>0</v>
      </c>
      <c r="R972" s="23" t="s">
        <v>6854</v>
      </c>
      <c r="S972" s="23" t="s">
        <v>6845</v>
      </c>
      <c r="T972" s="23" t="s">
        <v>4866</v>
      </c>
      <c r="U972" s="3">
        <v>35</v>
      </c>
      <c r="W972" s="45" t="str">
        <f>HYPERLINK("http://ictvonline.org/taxonomy/p/taxonomy-history?taxnode_id=201900493","ICTVonline=201900493")</f>
        <v>ICTVonline=201900493</v>
      </c>
      <c r="Y972" s="1" t="s">
        <v>8676</v>
      </c>
      <c r="Z972" s="1" t="s">
        <v>8677</v>
      </c>
      <c r="AA972" s="1">
        <v>201900000</v>
      </c>
      <c r="AB972" s="1">
        <v>35</v>
      </c>
    </row>
    <row r="973" spans="1:28" x14ac:dyDescent="0.2">
      <c r="A973" s="1">
        <v>2609</v>
      </c>
      <c r="B973" s="1" t="s">
        <v>6850</v>
      </c>
      <c r="D973" s="1" t="s">
        <v>6851</v>
      </c>
      <c r="F973" s="1" t="s">
        <v>6914</v>
      </c>
      <c r="H973" s="1" t="s">
        <v>6915</v>
      </c>
      <c r="J973" s="1" t="s">
        <v>1324</v>
      </c>
      <c r="L973" s="1" t="s">
        <v>1325</v>
      </c>
      <c r="N973" s="1" t="s">
        <v>6131</v>
      </c>
      <c r="P973" s="1" t="s">
        <v>4195</v>
      </c>
      <c r="Q973" s="3">
        <v>1</v>
      </c>
      <c r="R973" s="23" t="s">
        <v>6854</v>
      </c>
      <c r="S973" s="23" t="s">
        <v>6845</v>
      </c>
      <c r="T973" s="23" t="s">
        <v>4866</v>
      </c>
      <c r="U973" s="3">
        <v>35</v>
      </c>
      <c r="W973" s="45" t="str">
        <f>HYPERLINK("http://ictvonline.org/taxonomy/p/taxonomy-history?taxnode_id=201900494","ICTVonline=201900494")</f>
        <v>ICTVonline=201900494</v>
      </c>
      <c r="Y973" s="1" t="s">
        <v>8678</v>
      </c>
      <c r="Z973" s="1" t="s">
        <v>8679</v>
      </c>
      <c r="AA973" s="1">
        <v>201900000</v>
      </c>
      <c r="AB973" s="1">
        <v>35</v>
      </c>
    </row>
    <row r="974" spans="1:28" x14ac:dyDescent="0.2">
      <c r="A974" s="1">
        <v>2613</v>
      </c>
      <c r="B974" s="1" t="s">
        <v>6850</v>
      </c>
      <c r="D974" s="1" t="s">
        <v>6851</v>
      </c>
      <c r="F974" s="1" t="s">
        <v>6914</v>
      </c>
      <c r="H974" s="1" t="s">
        <v>6915</v>
      </c>
      <c r="J974" s="1" t="s">
        <v>1324</v>
      </c>
      <c r="L974" s="1" t="s">
        <v>1325</v>
      </c>
      <c r="N974" s="1" t="s">
        <v>8680</v>
      </c>
      <c r="P974" s="1" t="s">
        <v>8681</v>
      </c>
      <c r="Q974" s="3">
        <v>1</v>
      </c>
      <c r="R974" s="23" t="s">
        <v>6854</v>
      </c>
      <c r="S974" s="23" t="s">
        <v>6845</v>
      </c>
      <c r="T974" s="23" t="s">
        <v>4864</v>
      </c>
      <c r="U974" s="3">
        <v>35</v>
      </c>
      <c r="V974" s="3" t="s">
        <v>8590</v>
      </c>
      <c r="W974" s="45" t="str">
        <f>HYPERLINK("http://ictvonline.org/taxonomy/p/taxonomy-history?taxnode_id=201907776","ICTVonline=201907776")</f>
        <v>ICTVonline=201907776</v>
      </c>
      <c r="Y974" s="1" t="s">
        <v>8682</v>
      </c>
      <c r="AA974" s="1">
        <v>201900000</v>
      </c>
      <c r="AB974" s="1">
        <v>35</v>
      </c>
    </row>
    <row r="975" spans="1:28" x14ac:dyDescent="0.2">
      <c r="A975" s="1">
        <v>2617</v>
      </c>
      <c r="B975" s="1" t="s">
        <v>6850</v>
      </c>
      <c r="D975" s="1" t="s">
        <v>6851</v>
      </c>
      <c r="F975" s="1" t="s">
        <v>6914</v>
      </c>
      <c r="H975" s="1" t="s">
        <v>6915</v>
      </c>
      <c r="J975" s="1" t="s">
        <v>1324</v>
      </c>
      <c r="L975" s="1" t="s">
        <v>1325</v>
      </c>
      <c r="N975" s="1" t="s">
        <v>8683</v>
      </c>
      <c r="P975" s="1" t="s">
        <v>8684</v>
      </c>
      <c r="Q975" s="3">
        <v>1</v>
      </c>
      <c r="R975" s="23" t="s">
        <v>6854</v>
      </c>
      <c r="S975" s="23" t="s">
        <v>6849</v>
      </c>
      <c r="T975" s="23" t="s">
        <v>4864</v>
      </c>
      <c r="U975" s="3">
        <v>35</v>
      </c>
      <c r="V975" s="3" t="s">
        <v>8685</v>
      </c>
      <c r="W975" s="45" t="str">
        <f>HYPERLINK("http://ictvonline.org/taxonomy/p/taxonomy-history?taxnode_id=201907837","ICTVonline=201907837")</f>
        <v>ICTVonline=201907837</v>
      </c>
      <c r="Y975" s="1" t="s">
        <v>8686</v>
      </c>
      <c r="AA975" s="1">
        <v>201900000</v>
      </c>
      <c r="AB975" s="1">
        <v>35</v>
      </c>
    </row>
    <row r="976" spans="1:28" x14ac:dyDescent="0.2">
      <c r="A976" s="1">
        <v>2621</v>
      </c>
      <c r="B976" s="1" t="s">
        <v>6850</v>
      </c>
      <c r="D976" s="1" t="s">
        <v>6851</v>
      </c>
      <c r="F976" s="1" t="s">
        <v>6914</v>
      </c>
      <c r="H976" s="1" t="s">
        <v>6915</v>
      </c>
      <c r="J976" s="1" t="s">
        <v>1324</v>
      </c>
      <c r="L976" s="1" t="s">
        <v>1325</v>
      </c>
      <c r="N976" s="1" t="s">
        <v>4059</v>
      </c>
      <c r="P976" s="1" t="s">
        <v>2906</v>
      </c>
      <c r="Q976" s="3">
        <v>1</v>
      </c>
      <c r="R976" s="23" t="s">
        <v>6854</v>
      </c>
      <c r="S976" s="23" t="s">
        <v>6845</v>
      </c>
      <c r="T976" s="23" t="s">
        <v>4866</v>
      </c>
      <c r="U976" s="3">
        <v>35</v>
      </c>
      <c r="W976" s="45" t="str">
        <f>HYPERLINK("http://ictvonline.org/taxonomy/p/taxonomy-history?taxnode_id=201900432","ICTVonline=201900432")</f>
        <v>ICTVonline=201900432</v>
      </c>
      <c r="Y976" s="1" t="s">
        <v>8687</v>
      </c>
      <c r="Z976" s="1" t="s">
        <v>8688</v>
      </c>
      <c r="AA976" s="1">
        <v>201900000</v>
      </c>
      <c r="AB976" s="1">
        <v>35</v>
      </c>
    </row>
    <row r="977" spans="1:28" x14ac:dyDescent="0.2">
      <c r="A977" s="1">
        <v>2625</v>
      </c>
      <c r="B977" s="1" t="s">
        <v>6850</v>
      </c>
      <c r="D977" s="1" t="s">
        <v>6851</v>
      </c>
      <c r="F977" s="1" t="s">
        <v>6914</v>
      </c>
      <c r="H977" s="1" t="s">
        <v>6915</v>
      </c>
      <c r="J977" s="1" t="s">
        <v>1324</v>
      </c>
      <c r="L977" s="1" t="s">
        <v>1325</v>
      </c>
      <c r="N977" s="1" t="s">
        <v>6132</v>
      </c>
      <c r="P977" s="1" t="s">
        <v>4182</v>
      </c>
      <c r="Q977" s="3">
        <v>0</v>
      </c>
      <c r="R977" s="23" t="s">
        <v>6854</v>
      </c>
      <c r="S977" s="23" t="s">
        <v>6845</v>
      </c>
      <c r="T977" s="23" t="s">
        <v>4866</v>
      </c>
      <c r="U977" s="3">
        <v>35</v>
      </c>
      <c r="W977" s="45" t="str">
        <f>HYPERLINK("http://ictvonline.org/taxonomy/p/taxonomy-history?taxnode_id=201900444","ICTVonline=201900444")</f>
        <v>ICTVonline=201900444</v>
      </c>
      <c r="Y977" s="1" t="s">
        <v>8689</v>
      </c>
      <c r="Z977" s="1" t="s">
        <v>8690</v>
      </c>
      <c r="AA977" s="1">
        <v>201900000</v>
      </c>
      <c r="AB977" s="1">
        <v>35</v>
      </c>
    </row>
    <row r="978" spans="1:28" x14ac:dyDescent="0.2">
      <c r="A978" s="1">
        <v>2627</v>
      </c>
      <c r="B978" s="1" t="s">
        <v>6850</v>
      </c>
      <c r="D978" s="1" t="s">
        <v>6851</v>
      </c>
      <c r="F978" s="1" t="s">
        <v>6914</v>
      </c>
      <c r="H978" s="1" t="s">
        <v>6915</v>
      </c>
      <c r="J978" s="1" t="s">
        <v>1324</v>
      </c>
      <c r="L978" s="1" t="s">
        <v>1325</v>
      </c>
      <c r="N978" s="1" t="s">
        <v>6132</v>
      </c>
      <c r="P978" s="1" t="s">
        <v>4183</v>
      </c>
      <c r="Q978" s="3">
        <v>1</v>
      </c>
      <c r="R978" s="23" t="s">
        <v>6854</v>
      </c>
      <c r="S978" s="23" t="s">
        <v>6845</v>
      </c>
      <c r="T978" s="23" t="s">
        <v>4866</v>
      </c>
      <c r="U978" s="3">
        <v>35</v>
      </c>
      <c r="W978" s="45" t="str">
        <f>HYPERLINK("http://ictvonline.org/taxonomy/p/taxonomy-history?taxnode_id=201900445","ICTVonline=201900445")</f>
        <v>ICTVonline=201900445</v>
      </c>
      <c r="Y978" s="1" t="s">
        <v>8691</v>
      </c>
      <c r="Z978" s="1" t="s">
        <v>8692</v>
      </c>
      <c r="AA978" s="1">
        <v>201900000</v>
      </c>
      <c r="AB978" s="1">
        <v>35</v>
      </c>
    </row>
    <row r="979" spans="1:28" x14ac:dyDescent="0.2">
      <c r="A979" s="1">
        <v>2629</v>
      </c>
      <c r="B979" s="1" t="s">
        <v>6850</v>
      </c>
      <c r="D979" s="1" t="s">
        <v>6851</v>
      </c>
      <c r="F979" s="1" t="s">
        <v>6914</v>
      </c>
      <c r="H979" s="1" t="s">
        <v>6915</v>
      </c>
      <c r="J979" s="1" t="s">
        <v>1324</v>
      </c>
      <c r="L979" s="1" t="s">
        <v>1325</v>
      </c>
      <c r="N979" s="1" t="s">
        <v>6132</v>
      </c>
      <c r="P979" s="1" t="s">
        <v>4184</v>
      </c>
      <c r="Q979" s="3">
        <v>0</v>
      </c>
      <c r="R979" s="23" t="s">
        <v>6854</v>
      </c>
      <c r="S979" s="23" t="s">
        <v>6845</v>
      </c>
      <c r="T979" s="23" t="s">
        <v>4866</v>
      </c>
      <c r="U979" s="3">
        <v>35</v>
      </c>
      <c r="W979" s="45" t="str">
        <f>HYPERLINK("http://ictvonline.org/taxonomy/p/taxonomy-history?taxnode_id=201900446","ICTVonline=201900446")</f>
        <v>ICTVonline=201900446</v>
      </c>
      <c r="Y979" s="1" t="s">
        <v>8693</v>
      </c>
      <c r="Z979" s="1" t="s">
        <v>8694</v>
      </c>
      <c r="AA979" s="1">
        <v>201900000</v>
      </c>
      <c r="AB979" s="1">
        <v>35</v>
      </c>
    </row>
    <row r="980" spans="1:28" x14ac:dyDescent="0.2">
      <c r="A980" s="1">
        <v>2633</v>
      </c>
      <c r="B980" s="1" t="s">
        <v>6850</v>
      </c>
      <c r="D980" s="1" t="s">
        <v>6851</v>
      </c>
      <c r="F980" s="1" t="s">
        <v>6914</v>
      </c>
      <c r="H980" s="1" t="s">
        <v>6915</v>
      </c>
      <c r="J980" s="1" t="s">
        <v>1324</v>
      </c>
      <c r="L980" s="1" t="s">
        <v>1325</v>
      </c>
      <c r="N980" s="1" t="s">
        <v>6133</v>
      </c>
      <c r="P980" s="1" t="s">
        <v>6134</v>
      </c>
      <c r="Q980" s="3">
        <v>1</v>
      </c>
      <c r="R980" s="23" t="s">
        <v>6854</v>
      </c>
      <c r="S980" s="23" t="s">
        <v>6845</v>
      </c>
      <c r="T980" s="23" t="s">
        <v>4866</v>
      </c>
      <c r="U980" s="3">
        <v>35</v>
      </c>
      <c r="W980" s="45" t="str">
        <f>HYPERLINK("http://ictvonline.org/taxonomy/p/taxonomy-history?taxnode_id=201906669","ICTVonline=201906669")</f>
        <v>ICTVonline=201906669</v>
      </c>
      <c r="Y980" s="1" t="s">
        <v>8695</v>
      </c>
      <c r="Z980" s="1" t="s">
        <v>8696</v>
      </c>
      <c r="AA980" s="1">
        <v>201900000</v>
      </c>
      <c r="AB980" s="1">
        <v>35</v>
      </c>
    </row>
    <row r="981" spans="1:28" x14ac:dyDescent="0.2">
      <c r="A981" s="1">
        <v>2635</v>
      </c>
      <c r="B981" s="1" t="s">
        <v>6850</v>
      </c>
      <c r="D981" s="1" t="s">
        <v>6851</v>
      </c>
      <c r="F981" s="1" t="s">
        <v>6914</v>
      </c>
      <c r="H981" s="1" t="s">
        <v>6915</v>
      </c>
      <c r="J981" s="1" t="s">
        <v>1324</v>
      </c>
      <c r="L981" s="1" t="s">
        <v>1325</v>
      </c>
      <c r="N981" s="1" t="s">
        <v>6133</v>
      </c>
      <c r="P981" s="1" t="s">
        <v>6135</v>
      </c>
      <c r="Q981" s="3">
        <v>0</v>
      </c>
      <c r="R981" s="23" t="s">
        <v>6854</v>
      </c>
      <c r="S981" s="23" t="s">
        <v>6845</v>
      </c>
      <c r="T981" s="23" t="s">
        <v>4866</v>
      </c>
      <c r="U981" s="3">
        <v>35</v>
      </c>
      <c r="W981" s="45" t="str">
        <f>HYPERLINK("http://ictvonline.org/taxonomy/p/taxonomy-history?taxnode_id=201906670","ICTVonline=201906670")</f>
        <v>ICTVonline=201906670</v>
      </c>
      <c r="Y981" s="1" t="s">
        <v>8697</v>
      </c>
      <c r="Z981" s="1" t="s">
        <v>8698</v>
      </c>
      <c r="AA981" s="1">
        <v>201900000</v>
      </c>
      <c r="AB981" s="1">
        <v>35</v>
      </c>
    </row>
    <row r="982" spans="1:28" x14ac:dyDescent="0.2">
      <c r="A982" s="1">
        <v>2639</v>
      </c>
      <c r="B982" s="1" t="s">
        <v>6850</v>
      </c>
      <c r="D982" s="1" t="s">
        <v>6851</v>
      </c>
      <c r="F982" s="1" t="s">
        <v>6914</v>
      </c>
      <c r="H982" s="1" t="s">
        <v>6915</v>
      </c>
      <c r="J982" s="1" t="s">
        <v>1324</v>
      </c>
      <c r="L982" s="1" t="s">
        <v>1325</v>
      </c>
      <c r="N982" s="1" t="s">
        <v>8699</v>
      </c>
      <c r="P982" s="1" t="s">
        <v>8700</v>
      </c>
      <c r="Q982" s="3">
        <v>1</v>
      </c>
      <c r="R982" s="23" t="s">
        <v>6854</v>
      </c>
      <c r="S982" s="23" t="s">
        <v>6849</v>
      </c>
      <c r="T982" s="23" t="s">
        <v>4864</v>
      </c>
      <c r="U982" s="3">
        <v>35</v>
      </c>
      <c r="V982" s="3" t="s">
        <v>8649</v>
      </c>
      <c r="W982" s="45" t="str">
        <f>HYPERLINK("http://ictvonline.org/taxonomy/p/taxonomy-history?taxnode_id=201908048","ICTVonline=201908048")</f>
        <v>ICTVonline=201908048</v>
      </c>
      <c r="X982" s="1" t="s">
        <v>8701</v>
      </c>
      <c r="Y982" s="1" t="s">
        <v>8702</v>
      </c>
      <c r="Z982" s="1" t="s">
        <v>8652</v>
      </c>
      <c r="AA982" s="1">
        <v>201900000</v>
      </c>
      <c r="AB982" s="1">
        <v>35</v>
      </c>
    </row>
    <row r="983" spans="1:28" x14ac:dyDescent="0.2">
      <c r="A983" s="1">
        <v>2643</v>
      </c>
      <c r="B983" s="1" t="s">
        <v>6850</v>
      </c>
      <c r="D983" s="1" t="s">
        <v>6851</v>
      </c>
      <c r="F983" s="1" t="s">
        <v>6914</v>
      </c>
      <c r="H983" s="1" t="s">
        <v>6915</v>
      </c>
      <c r="J983" s="1" t="s">
        <v>1324</v>
      </c>
      <c r="L983" s="1" t="s">
        <v>1325</v>
      </c>
      <c r="N983" s="1" t="s">
        <v>6136</v>
      </c>
      <c r="P983" s="1" t="s">
        <v>4942</v>
      </c>
      <c r="Q983" s="3">
        <v>0</v>
      </c>
      <c r="R983" s="23" t="s">
        <v>6854</v>
      </c>
      <c r="S983" s="23" t="s">
        <v>6845</v>
      </c>
      <c r="T983" s="23" t="s">
        <v>4866</v>
      </c>
      <c r="U983" s="3">
        <v>35</v>
      </c>
      <c r="W983" s="45" t="str">
        <f>HYPERLINK("http://ictvonline.org/taxonomy/p/taxonomy-history?taxnode_id=201905480","ICTVonline=201905480")</f>
        <v>ICTVonline=201905480</v>
      </c>
      <c r="AA983" s="1">
        <v>201900000</v>
      </c>
      <c r="AB983" s="1">
        <v>35</v>
      </c>
    </row>
    <row r="984" spans="1:28" x14ac:dyDescent="0.2">
      <c r="A984" s="1">
        <v>2645</v>
      </c>
      <c r="B984" s="1" t="s">
        <v>6850</v>
      </c>
      <c r="D984" s="1" t="s">
        <v>6851</v>
      </c>
      <c r="F984" s="1" t="s">
        <v>6914</v>
      </c>
      <c r="H984" s="1" t="s">
        <v>6915</v>
      </c>
      <c r="J984" s="1" t="s">
        <v>1324</v>
      </c>
      <c r="L984" s="1" t="s">
        <v>1325</v>
      </c>
      <c r="N984" s="1" t="s">
        <v>6136</v>
      </c>
      <c r="P984" s="1" t="s">
        <v>4943</v>
      </c>
      <c r="Q984" s="3">
        <v>1</v>
      </c>
      <c r="R984" s="23" t="s">
        <v>6854</v>
      </c>
      <c r="S984" s="23" t="s">
        <v>6845</v>
      </c>
      <c r="T984" s="23" t="s">
        <v>4866</v>
      </c>
      <c r="U984" s="3">
        <v>35</v>
      </c>
      <c r="W984" s="45" t="str">
        <f>HYPERLINK("http://ictvonline.org/taxonomy/p/taxonomy-history?taxnode_id=201905481","ICTVonline=201905481")</f>
        <v>ICTVonline=201905481</v>
      </c>
      <c r="AA984" s="1">
        <v>201900000</v>
      </c>
      <c r="AB984" s="1">
        <v>35</v>
      </c>
    </row>
    <row r="985" spans="1:28" x14ac:dyDescent="0.2">
      <c r="A985" s="1">
        <v>2649</v>
      </c>
      <c r="B985" s="1" t="s">
        <v>6850</v>
      </c>
      <c r="D985" s="1" t="s">
        <v>6851</v>
      </c>
      <c r="F985" s="1" t="s">
        <v>6914</v>
      </c>
      <c r="H985" s="1" t="s">
        <v>6915</v>
      </c>
      <c r="J985" s="1" t="s">
        <v>1324</v>
      </c>
      <c r="L985" s="1" t="s">
        <v>1325</v>
      </c>
      <c r="N985" s="1" t="s">
        <v>8703</v>
      </c>
      <c r="P985" s="1" t="s">
        <v>8704</v>
      </c>
      <c r="Q985" s="3">
        <v>0</v>
      </c>
      <c r="R985" s="23" t="s">
        <v>6854</v>
      </c>
      <c r="S985" s="23" t="s">
        <v>6845</v>
      </c>
      <c r="T985" s="23" t="s">
        <v>4864</v>
      </c>
      <c r="U985" s="3">
        <v>35</v>
      </c>
      <c r="V985" s="3" t="s">
        <v>8590</v>
      </c>
      <c r="W985" s="45" t="str">
        <f>HYPERLINK("http://ictvonline.org/taxonomy/p/taxonomy-history?taxnode_id=201907779","ICTVonline=201907779")</f>
        <v>ICTVonline=201907779</v>
      </c>
      <c r="Y985" s="1" t="s">
        <v>8705</v>
      </c>
      <c r="AA985" s="1">
        <v>201900000</v>
      </c>
      <c r="AB985" s="1">
        <v>35</v>
      </c>
    </row>
    <row r="986" spans="1:28" x14ac:dyDescent="0.2">
      <c r="A986" s="1">
        <v>2651</v>
      </c>
      <c r="B986" s="1" t="s">
        <v>6850</v>
      </c>
      <c r="D986" s="1" t="s">
        <v>6851</v>
      </c>
      <c r="F986" s="1" t="s">
        <v>6914</v>
      </c>
      <c r="H986" s="1" t="s">
        <v>6915</v>
      </c>
      <c r="J986" s="1" t="s">
        <v>1324</v>
      </c>
      <c r="L986" s="1" t="s">
        <v>1325</v>
      </c>
      <c r="N986" s="1" t="s">
        <v>8703</v>
      </c>
      <c r="P986" s="1" t="s">
        <v>8706</v>
      </c>
      <c r="Q986" s="3">
        <v>1</v>
      </c>
      <c r="R986" s="23" t="s">
        <v>6854</v>
      </c>
      <c r="S986" s="23" t="s">
        <v>6845</v>
      </c>
      <c r="T986" s="23" t="s">
        <v>4864</v>
      </c>
      <c r="U986" s="3">
        <v>35</v>
      </c>
      <c r="V986" s="3" t="s">
        <v>8590</v>
      </c>
      <c r="W986" s="45" t="str">
        <f>HYPERLINK("http://ictvonline.org/taxonomy/p/taxonomy-history?taxnode_id=201907778","ICTVonline=201907778")</f>
        <v>ICTVonline=201907778</v>
      </c>
      <c r="Y986" s="1" t="s">
        <v>8707</v>
      </c>
      <c r="AA986" s="1">
        <v>201900000</v>
      </c>
      <c r="AB986" s="1">
        <v>35</v>
      </c>
    </row>
    <row r="987" spans="1:28" x14ac:dyDescent="0.2">
      <c r="A987" s="1">
        <v>2653</v>
      </c>
      <c r="B987" s="1" t="s">
        <v>6850</v>
      </c>
      <c r="D987" s="1" t="s">
        <v>6851</v>
      </c>
      <c r="F987" s="1" t="s">
        <v>6914</v>
      </c>
      <c r="H987" s="1" t="s">
        <v>6915</v>
      </c>
      <c r="J987" s="1" t="s">
        <v>1324</v>
      </c>
      <c r="L987" s="1" t="s">
        <v>1325</v>
      </c>
      <c r="N987" s="1" t="s">
        <v>8703</v>
      </c>
      <c r="P987" s="1" t="s">
        <v>8708</v>
      </c>
      <c r="Q987" s="3">
        <v>0</v>
      </c>
      <c r="R987" s="23" t="s">
        <v>6854</v>
      </c>
      <c r="S987" s="23" t="s">
        <v>6845</v>
      </c>
      <c r="T987" s="23" t="s">
        <v>4864</v>
      </c>
      <c r="U987" s="3">
        <v>35</v>
      </c>
      <c r="V987" s="3" t="s">
        <v>8590</v>
      </c>
      <c r="W987" s="45" t="str">
        <f>HYPERLINK("http://ictvonline.org/taxonomy/p/taxonomy-history?taxnode_id=201907780","ICTVonline=201907780")</f>
        <v>ICTVonline=201907780</v>
      </c>
      <c r="Y987" s="1" t="s">
        <v>8709</v>
      </c>
      <c r="AA987" s="1">
        <v>201900000</v>
      </c>
      <c r="AB987" s="1">
        <v>35</v>
      </c>
    </row>
    <row r="988" spans="1:28" x14ac:dyDescent="0.2">
      <c r="A988" s="1">
        <v>2657</v>
      </c>
      <c r="B988" s="1" t="s">
        <v>6850</v>
      </c>
      <c r="D988" s="1" t="s">
        <v>6851</v>
      </c>
      <c r="F988" s="1" t="s">
        <v>6914</v>
      </c>
      <c r="H988" s="1" t="s">
        <v>6915</v>
      </c>
      <c r="J988" s="1" t="s">
        <v>1324</v>
      </c>
      <c r="L988" s="1" t="s">
        <v>1325</v>
      </c>
      <c r="N988" s="1" t="s">
        <v>6137</v>
      </c>
      <c r="P988" s="1" t="s">
        <v>6138</v>
      </c>
      <c r="Q988" s="3">
        <v>0</v>
      </c>
      <c r="R988" s="23" t="s">
        <v>6854</v>
      </c>
      <c r="S988" s="23" t="s">
        <v>6845</v>
      </c>
      <c r="T988" s="23" t="s">
        <v>4866</v>
      </c>
      <c r="U988" s="3">
        <v>35</v>
      </c>
      <c r="W988" s="45" t="str">
        <f>HYPERLINK("http://ictvonline.org/taxonomy/p/taxonomy-history?taxnode_id=201906949","ICTVonline=201906949")</f>
        <v>ICTVonline=201906949</v>
      </c>
      <c r="Y988" s="1" t="s">
        <v>8710</v>
      </c>
      <c r="Z988" s="1" t="s">
        <v>8711</v>
      </c>
      <c r="AA988" s="1">
        <v>201900000</v>
      </c>
      <c r="AB988" s="1">
        <v>35</v>
      </c>
    </row>
    <row r="989" spans="1:28" x14ac:dyDescent="0.2">
      <c r="A989" s="1">
        <v>2659</v>
      </c>
      <c r="B989" s="1" t="s">
        <v>6850</v>
      </c>
      <c r="D989" s="1" t="s">
        <v>6851</v>
      </c>
      <c r="F989" s="1" t="s">
        <v>6914</v>
      </c>
      <c r="H989" s="1" t="s">
        <v>6915</v>
      </c>
      <c r="J989" s="1" t="s">
        <v>1324</v>
      </c>
      <c r="L989" s="1" t="s">
        <v>1325</v>
      </c>
      <c r="N989" s="1" t="s">
        <v>6137</v>
      </c>
      <c r="P989" s="1" t="s">
        <v>6139</v>
      </c>
      <c r="Q989" s="3">
        <v>1</v>
      </c>
      <c r="R989" s="23" t="s">
        <v>6854</v>
      </c>
      <c r="S989" s="23" t="s">
        <v>6845</v>
      </c>
      <c r="T989" s="23" t="s">
        <v>4866</v>
      </c>
      <c r="U989" s="3">
        <v>35</v>
      </c>
      <c r="W989" s="45" t="str">
        <f>HYPERLINK("http://ictvonline.org/taxonomy/p/taxonomy-history?taxnode_id=201906950","ICTVonline=201906950")</f>
        <v>ICTVonline=201906950</v>
      </c>
      <c r="Y989" s="1" t="s">
        <v>8712</v>
      </c>
      <c r="Z989" s="1" t="s">
        <v>8713</v>
      </c>
      <c r="AA989" s="1">
        <v>201900000</v>
      </c>
      <c r="AB989" s="1">
        <v>35</v>
      </c>
    </row>
    <row r="990" spans="1:28" x14ac:dyDescent="0.2">
      <c r="A990" s="1">
        <v>2663</v>
      </c>
      <c r="B990" s="1" t="s">
        <v>6850</v>
      </c>
      <c r="D990" s="1" t="s">
        <v>6851</v>
      </c>
      <c r="F990" s="1" t="s">
        <v>6914</v>
      </c>
      <c r="H990" s="1" t="s">
        <v>6915</v>
      </c>
      <c r="J990" s="1" t="s">
        <v>1324</v>
      </c>
      <c r="L990" s="1" t="s">
        <v>1325</v>
      </c>
      <c r="N990" s="1" t="s">
        <v>6140</v>
      </c>
      <c r="P990" s="1" t="s">
        <v>6141</v>
      </c>
      <c r="Q990" s="3">
        <v>0</v>
      </c>
      <c r="R990" s="23" t="s">
        <v>6854</v>
      </c>
      <c r="S990" s="23" t="s">
        <v>6845</v>
      </c>
      <c r="T990" s="23" t="s">
        <v>4866</v>
      </c>
      <c r="U990" s="3">
        <v>35</v>
      </c>
      <c r="W990" s="45" t="str">
        <f>HYPERLINK("http://ictvonline.org/taxonomy/p/taxonomy-history?taxnode_id=201906824","ICTVonline=201906824")</f>
        <v>ICTVonline=201906824</v>
      </c>
      <c r="Y990" s="1" t="s">
        <v>8714</v>
      </c>
      <c r="Z990" s="1" t="s">
        <v>8715</v>
      </c>
      <c r="AA990" s="1">
        <v>201900000</v>
      </c>
      <c r="AB990" s="1">
        <v>35</v>
      </c>
    </row>
    <row r="991" spans="1:28" x14ac:dyDescent="0.2">
      <c r="A991" s="1">
        <v>2665</v>
      </c>
      <c r="B991" s="1" t="s">
        <v>6850</v>
      </c>
      <c r="D991" s="1" t="s">
        <v>6851</v>
      </c>
      <c r="F991" s="1" t="s">
        <v>6914</v>
      </c>
      <c r="H991" s="1" t="s">
        <v>6915</v>
      </c>
      <c r="J991" s="1" t="s">
        <v>1324</v>
      </c>
      <c r="L991" s="1" t="s">
        <v>1325</v>
      </c>
      <c r="N991" s="1" t="s">
        <v>6140</v>
      </c>
      <c r="P991" s="1" t="s">
        <v>6142</v>
      </c>
      <c r="Q991" s="3">
        <v>1</v>
      </c>
      <c r="R991" s="23" t="s">
        <v>6854</v>
      </c>
      <c r="S991" s="23" t="s">
        <v>6845</v>
      </c>
      <c r="T991" s="23" t="s">
        <v>4866</v>
      </c>
      <c r="U991" s="3">
        <v>35</v>
      </c>
      <c r="W991" s="45" t="str">
        <f>HYPERLINK("http://ictvonline.org/taxonomy/p/taxonomy-history?taxnode_id=201906823","ICTVonline=201906823")</f>
        <v>ICTVonline=201906823</v>
      </c>
      <c r="Y991" s="1" t="s">
        <v>8716</v>
      </c>
      <c r="Z991" s="1" t="s">
        <v>8717</v>
      </c>
      <c r="AA991" s="1">
        <v>201900000</v>
      </c>
      <c r="AB991" s="1">
        <v>35</v>
      </c>
    </row>
    <row r="992" spans="1:28" x14ac:dyDescent="0.2">
      <c r="A992" s="1">
        <v>2669</v>
      </c>
      <c r="B992" s="1" t="s">
        <v>6850</v>
      </c>
      <c r="D992" s="1" t="s">
        <v>6851</v>
      </c>
      <c r="F992" s="1" t="s">
        <v>6914</v>
      </c>
      <c r="H992" s="1" t="s">
        <v>6915</v>
      </c>
      <c r="J992" s="1" t="s">
        <v>1324</v>
      </c>
      <c r="L992" s="1" t="s">
        <v>1325</v>
      </c>
      <c r="N992" s="1" t="s">
        <v>6143</v>
      </c>
      <c r="P992" s="1" t="s">
        <v>6144</v>
      </c>
      <c r="Q992" s="3">
        <v>1</v>
      </c>
      <c r="R992" s="23" t="s">
        <v>6854</v>
      </c>
      <c r="S992" s="23" t="s">
        <v>6845</v>
      </c>
      <c r="T992" s="23" t="s">
        <v>4866</v>
      </c>
      <c r="U992" s="3">
        <v>35</v>
      </c>
      <c r="W992" s="45" t="str">
        <f>HYPERLINK("http://ictvonline.org/taxonomy/p/taxonomy-history?taxnode_id=201906769","ICTVonline=201906769")</f>
        <v>ICTVonline=201906769</v>
      </c>
      <c r="Y992" s="1" t="s">
        <v>8718</v>
      </c>
      <c r="Z992" s="1" t="s">
        <v>8719</v>
      </c>
      <c r="AA992" s="1">
        <v>201900000</v>
      </c>
      <c r="AB992" s="1">
        <v>35</v>
      </c>
    </row>
    <row r="993" spans="1:28" x14ac:dyDescent="0.2">
      <c r="A993" s="1">
        <v>2673</v>
      </c>
      <c r="B993" s="1" t="s">
        <v>6850</v>
      </c>
      <c r="D993" s="1" t="s">
        <v>6851</v>
      </c>
      <c r="F993" s="1" t="s">
        <v>6914</v>
      </c>
      <c r="H993" s="1" t="s">
        <v>6915</v>
      </c>
      <c r="J993" s="1" t="s">
        <v>1324</v>
      </c>
      <c r="L993" s="1" t="s">
        <v>1325</v>
      </c>
      <c r="N993" s="1" t="s">
        <v>8720</v>
      </c>
      <c r="P993" s="1" t="s">
        <v>8721</v>
      </c>
      <c r="Q993" s="3">
        <v>1</v>
      </c>
      <c r="R993" s="23" t="s">
        <v>6854</v>
      </c>
      <c r="S993" s="23" t="s">
        <v>6849</v>
      </c>
      <c r="T993" s="23" t="s">
        <v>4864</v>
      </c>
      <c r="U993" s="3">
        <v>35</v>
      </c>
      <c r="V993" s="3" t="s">
        <v>8722</v>
      </c>
      <c r="W993" s="45" t="str">
        <f>HYPERLINK("http://ictvonline.org/taxonomy/p/taxonomy-history?taxnode_id=201907371","ICTVonline=201907371")</f>
        <v>ICTVonline=201907371</v>
      </c>
      <c r="Y993" s="1" t="s">
        <v>8723</v>
      </c>
      <c r="AA993" s="1">
        <v>201900000</v>
      </c>
      <c r="AB993" s="1">
        <v>35</v>
      </c>
    </row>
    <row r="994" spans="1:28" x14ac:dyDescent="0.2">
      <c r="A994" s="1">
        <v>2677</v>
      </c>
      <c r="B994" s="1" t="s">
        <v>6850</v>
      </c>
      <c r="D994" s="1" t="s">
        <v>6851</v>
      </c>
      <c r="F994" s="1" t="s">
        <v>6914</v>
      </c>
      <c r="H994" s="1" t="s">
        <v>6915</v>
      </c>
      <c r="J994" s="1" t="s">
        <v>1324</v>
      </c>
      <c r="L994" s="1" t="s">
        <v>1325</v>
      </c>
      <c r="N994" s="1" t="s">
        <v>2870</v>
      </c>
      <c r="P994" s="1" t="s">
        <v>2871</v>
      </c>
      <c r="Q994" s="3">
        <v>1</v>
      </c>
      <c r="R994" s="23" t="s">
        <v>6854</v>
      </c>
      <c r="S994" s="23" t="s">
        <v>6845</v>
      </c>
      <c r="T994" s="23" t="s">
        <v>4866</v>
      </c>
      <c r="U994" s="3">
        <v>35</v>
      </c>
      <c r="W994" s="45" t="str">
        <f>HYPERLINK("http://ictvonline.org/taxonomy/p/taxonomy-history?taxnode_id=201900434","ICTVonline=201900434")</f>
        <v>ICTVonline=201900434</v>
      </c>
      <c r="AA994" s="1">
        <v>201900000</v>
      </c>
      <c r="AB994" s="1">
        <v>35</v>
      </c>
    </row>
    <row r="995" spans="1:28" x14ac:dyDescent="0.2">
      <c r="A995" s="1">
        <v>2679</v>
      </c>
      <c r="B995" s="1" t="s">
        <v>6850</v>
      </c>
      <c r="D995" s="1" t="s">
        <v>6851</v>
      </c>
      <c r="F995" s="1" t="s">
        <v>6914</v>
      </c>
      <c r="H995" s="1" t="s">
        <v>6915</v>
      </c>
      <c r="J995" s="1" t="s">
        <v>1324</v>
      </c>
      <c r="L995" s="1" t="s">
        <v>1325</v>
      </c>
      <c r="N995" s="1" t="s">
        <v>2870</v>
      </c>
      <c r="P995" s="1" t="s">
        <v>2872</v>
      </c>
      <c r="Q995" s="3">
        <v>0</v>
      </c>
      <c r="R995" s="23" t="s">
        <v>6854</v>
      </c>
      <c r="S995" s="23" t="s">
        <v>6845</v>
      </c>
      <c r="T995" s="23" t="s">
        <v>4866</v>
      </c>
      <c r="U995" s="3">
        <v>35</v>
      </c>
      <c r="W995" s="45" t="str">
        <f>HYPERLINK("http://ictvonline.org/taxonomy/p/taxonomy-history?taxnode_id=201900435","ICTVonline=201900435")</f>
        <v>ICTVonline=201900435</v>
      </c>
      <c r="AA995" s="1">
        <v>201900000</v>
      </c>
      <c r="AB995" s="1">
        <v>35</v>
      </c>
    </row>
    <row r="996" spans="1:28" x14ac:dyDescent="0.2">
      <c r="A996" s="1">
        <v>2683</v>
      </c>
      <c r="B996" s="1" t="s">
        <v>6850</v>
      </c>
      <c r="D996" s="1" t="s">
        <v>6851</v>
      </c>
      <c r="F996" s="1" t="s">
        <v>6914</v>
      </c>
      <c r="H996" s="1" t="s">
        <v>6915</v>
      </c>
      <c r="J996" s="1" t="s">
        <v>1324</v>
      </c>
      <c r="L996" s="1" t="s">
        <v>1325</v>
      </c>
      <c r="N996" s="1" t="s">
        <v>8724</v>
      </c>
      <c r="P996" s="1" t="s">
        <v>8725</v>
      </c>
      <c r="Q996" s="3">
        <v>1</v>
      </c>
      <c r="R996" s="23" t="s">
        <v>6854</v>
      </c>
      <c r="S996" s="23" t="s">
        <v>6849</v>
      </c>
      <c r="T996" s="23" t="s">
        <v>4864</v>
      </c>
      <c r="U996" s="3">
        <v>35</v>
      </c>
      <c r="V996" s="3" t="s">
        <v>8581</v>
      </c>
      <c r="W996" s="45" t="str">
        <f>HYPERLINK("http://ictvonline.org/taxonomy/p/taxonomy-history?taxnode_id=201907908","ICTVonline=201907908")</f>
        <v>ICTVonline=201907908</v>
      </c>
      <c r="Y996" s="1" t="s">
        <v>8726</v>
      </c>
      <c r="AA996" s="1">
        <v>201900000</v>
      </c>
      <c r="AB996" s="1">
        <v>35</v>
      </c>
    </row>
    <row r="997" spans="1:28" x14ac:dyDescent="0.2">
      <c r="A997" s="1">
        <v>2687</v>
      </c>
      <c r="B997" s="1" t="s">
        <v>6850</v>
      </c>
      <c r="D997" s="1" t="s">
        <v>6851</v>
      </c>
      <c r="F997" s="1" t="s">
        <v>6914</v>
      </c>
      <c r="H997" s="1" t="s">
        <v>6915</v>
      </c>
      <c r="J997" s="1" t="s">
        <v>1324</v>
      </c>
      <c r="L997" s="1" t="s">
        <v>1325</v>
      </c>
      <c r="N997" s="1" t="s">
        <v>6145</v>
      </c>
      <c r="P997" s="1" t="s">
        <v>6146</v>
      </c>
      <c r="Q997" s="3">
        <v>1</v>
      </c>
      <c r="R997" s="23" t="s">
        <v>6854</v>
      </c>
      <c r="S997" s="23" t="s">
        <v>6845</v>
      </c>
      <c r="T997" s="23" t="s">
        <v>4866</v>
      </c>
      <c r="U997" s="3">
        <v>35</v>
      </c>
      <c r="W997" s="45" t="str">
        <f>HYPERLINK("http://ictvonline.org/taxonomy/p/taxonomy-history?taxnode_id=201906317","ICTVonline=201906317")</f>
        <v>ICTVonline=201906317</v>
      </c>
      <c r="Y997" s="1" t="s">
        <v>8727</v>
      </c>
      <c r="Z997" s="1" t="s">
        <v>8728</v>
      </c>
      <c r="AA997" s="1">
        <v>201900000</v>
      </c>
      <c r="AB997" s="1">
        <v>35</v>
      </c>
    </row>
    <row r="998" spans="1:28" x14ac:dyDescent="0.2">
      <c r="A998" s="1">
        <v>2691</v>
      </c>
      <c r="B998" s="1" t="s">
        <v>6850</v>
      </c>
      <c r="D998" s="1" t="s">
        <v>6851</v>
      </c>
      <c r="F998" s="1" t="s">
        <v>6914</v>
      </c>
      <c r="H998" s="1" t="s">
        <v>6915</v>
      </c>
      <c r="J998" s="1" t="s">
        <v>1324</v>
      </c>
      <c r="L998" s="1" t="s">
        <v>1325</v>
      </c>
      <c r="N998" s="1" t="s">
        <v>6147</v>
      </c>
      <c r="P998" s="1" t="s">
        <v>6148</v>
      </c>
      <c r="Q998" s="3">
        <v>1</v>
      </c>
      <c r="R998" s="23" t="s">
        <v>6854</v>
      </c>
      <c r="S998" s="23" t="s">
        <v>6845</v>
      </c>
      <c r="T998" s="23" t="s">
        <v>4866</v>
      </c>
      <c r="U998" s="3">
        <v>35</v>
      </c>
      <c r="W998" s="45" t="str">
        <f>HYPERLINK("http://ictvonline.org/taxonomy/p/taxonomy-history?taxnode_id=201906507","ICTVonline=201906507")</f>
        <v>ICTVonline=201906507</v>
      </c>
      <c r="Y998" s="1" t="s">
        <v>8729</v>
      </c>
      <c r="Z998" s="1" t="s">
        <v>8730</v>
      </c>
      <c r="AA998" s="1">
        <v>201900000</v>
      </c>
      <c r="AB998" s="1">
        <v>35</v>
      </c>
    </row>
    <row r="999" spans="1:28" x14ac:dyDescent="0.2">
      <c r="A999" s="1">
        <v>2695</v>
      </c>
      <c r="B999" s="1" t="s">
        <v>6850</v>
      </c>
      <c r="D999" s="1" t="s">
        <v>6851</v>
      </c>
      <c r="F999" s="1" t="s">
        <v>6914</v>
      </c>
      <c r="H999" s="1" t="s">
        <v>6915</v>
      </c>
      <c r="J999" s="1" t="s">
        <v>1324</v>
      </c>
      <c r="L999" s="1" t="s">
        <v>1325</v>
      </c>
      <c r="N999" s="1" t="s">
        <v>6149</v>
      </c>
      <c r="P999" s="1" t="s">
        <v>8731</v>
      </c>
      <c r="Q999" s="3">
        <v>1</v>
      </c>
      <c r="R999" s="23" t="s">
        <v>6854</v>
      </c>
      <c r="S999" s="23" t="s">
        <v>6849</v>
      </c>
      <c r="T999" s="23" t="s">
        <v>4865</v>
      </c>
      <c r="U999" s="3">
        <v>35</v>
      </c>
      <c r="V999" s="3" t="s">
        <v>8732</v>
      </c>
      <c r="W999" s="45" t="str">
        <f>HYPERLINK("http://ictvonline.org/taxonomy/p/taxonomy-history?taxnode_id=201906832","ICTVonline=201906832")</f>
        <v>ICTVonline=201906832</v>
      </c>
      <c r="Y999" s="1" t="s">
        <v>8733</v>
      </c>
      <c r="AA999" s="1">
        <v>201900000</v>
      </c>
      <c r="AB999" s="1">
        <v>35</v>
      </c>
    </row>
    <row r="1000" spans="1:28" x14ac:dyDescent="0.2">
      <c r="A1000" s="1">
        <v>2699</v>
      </c>
      <c r="B1000" s="1" t="s">
        <v>6850</v>
      </c>
      <c r="D1000" s="1" t="s">
        <v>6851</v>
      </c>
      <c r="F1000" s="1" t="s">
        <v>6914</v>
      </c>
      <c r="H1000" s="1" t="s">
        <v>6915</v>
      </c>
      <c r="J1000" s="1" t="s">
        <v>1324</v>
      </c>
      <c r="L1000" s="1" t="s">
        <v>1325</v>
      </c>
      <c r="N1000" s="1" t="s">
        <v>6150</v>
      </c>
      <c r="P1000" s="1" t="s">
        <v>6151</v>
      </c>
      <c r="Q1000" s="3">
        <v>1</v>
      </c>
      <c r="R1000" s="23" t="s">
        <v>6854</v>
      </c>
      <c r="S1000" s="23" t="s">
        <v>6845</v>
      </c>
      <c r="T1000" s="23" t="s">
        <v>4866</v>
      </c>
      <c r="U1000" s="3">
        <v>35</v>
      </c>
      <c r="W1000" s="45" t="str">
        <f>HYPERLINK("http://ictvonline.org/taxonomy/p/taxonomy-history?taxnode_id=201906836","ICTVonline=201906836")</f>
        <v>ICTVonline=201906836</v>
      </c>
      <c r="Y1000" s="1" t="s">
        <v>8734</v>
      </c>
      <c r="Z1000" s="1" t="s">
        <v>8735</v>
      </c>
      <c r="AA1000" s="1">
        <v>201900000</v>
      </c>
      <c r="AB1000" s="1">
        <v>35</v>
      </c>
    </row>
    <row r="1001" spans="1:28" x14ac:dyDescent="0.2">
      <c r="A1001" s="1">
        <v>2701</v>
      </c>
      <c r="B1001" s="1" t="s">
        <v>6850</v>
      </c>
      <c r="D1001" s="1" t="s">
        <v>6851</v>
      </c>
      <c r="F1001" s="1" t="s">
        <v>6914</v>
      </c>
      <c r="H1001" s="1" t="s">
        <v>6915</v>
      </c>
      <c r="J1001" s="1" t="s">
        <v>1324</v>
      </c>
      <c r="L1001" s="1" t="s">
        <v>1325</v>
      </c>
      <c r="N1001" s="1" t="s">
        <v>6150</v>
      </c>
      <c r="P1001" s="1" t="s">
        <v>6152</v>
      </c>
      <c r="Q1001" s="3">
        <v>0</v>
      </c>
      <c r="R1001" s="23" t="s">
        <v>6854</v>
      </c>
      <c r="S1001" s="23" t="s">
        <v>6845</v>
      </c>
      <c r="T1001" s="23" t="s">
        <v>4866</v>
      </c>
      <c r="U1001" s="3">
        <v>35</v>
      </c>
      <c r="W1001" s="45" t="str">
        <f>HYPERLINK("http://ictvonline.org/taxonomy/p/taxonomy-history?taxnode_id=201906837","ICTVonline=201906837")</f>
        <v>ICTVonline=201906837</v>
      </c>
      <c r="Y1001" s="1" t="s">
        <v>8736</v>
      </c>
      <c r="Z1001" s="1" t="s">
        <v>8737</v>
      </c>
      <c r="AA1001" s="1">
        <v>201900000</v>
      </c>
      <c r="AB1001" s="1">
        <v>35</v>
      </c>
    </row>
    <row r="1002" spans="1:28" x14ac:dyDescent="0.2">
      <c r="A1002" s="1">
        <v>2703</v>
      </c>
      <c r="B1002" s="1" t="s">
        <v>6850</v>
      </c>
      <c r="D1002" s="1" t="s">
        <v>6851</v>
      </c>
      <c r="F1002" s="1" t="s">
        <v>6914</v>
      </c>
      <c r="H1002" s="1" t="s">
        <v>6915</v>
      </c>
      <c r="J1002" s="1" t="s">
        <v>1324</v>
      </c>
      <c r="L1002" s="1" t="s">
        <v>1325</v>
      </c>
      <c r="N1002" s="1" t="s">
        <v>6150</v>
      </c>
      <c r="P1002" s="1" t="s">
        <v>6153</v>
      </c>
      <c r="Q1002" s="3">
        <v>0</v>
      </c>
      <c r="R1002" s="23" t="s">
        <v>6854</v>
      </c>
      <c r="S1002" s="23" t="s">
        <v>6845</v>
      </c>
      <c r="T1002" s="23" t="s">
        <v>4866</v>
      </c>
      <c r="U1002" s="3">
        <v>35</v>
      </c>
      <c r="W1002" s="45" t="str">
        <f>HYPERLINK("http://ictvonline.org/taxonomy/p/taxonomy-history?taxnode_id=201906838","ICTVonline=201906838")</f>
        <v>ICTVonline=201906838</v>
      </c>
      <c r="Y1002" s="1" t="s">
        <v>8738</v>
      </c>
      <c r="Z1002" s="1" t="s">
        <v>8739</v>
      </c>
      <c r="AA1002" s="1">
        <v>201900000</v>
      </c>
      <c r="AB1002" s="1">
        <v>35</v>
      </c>
    </row>
    <row r="1003" spans="1:28" x14ac:dyDescent="0.2">
      <c r="A1003" s="1">
        <v>2707</v>
      </c>
      <c r="B1003" s="1" t="s">
        <v>6850</v>
      </c>
      <c r="D1003" s="1" t="s">
        <v>6851</v>
      </c>
      <c r="F1003" s="1" t="s">
        <v>6914</v>
      </c>
      <c r="H1003" s="1" t="s">
        <v>6915</v>
      </c>
      <c r="J1003" s="1" t="s">
        <v>1324</v>
      </c>
      <c r="L1003" s="1" t="s">
        <v>1325</v>
      </c>
      <c r="N1003" s="1" t="s">
        <v>6154</v>
      </c>
      <c r="P1003" s="1" t="s">
        <v>2859</v>
      </c>
      <c r="Q1003" s="3">
        <v>1</v>
      </c>
      <c r="R1003" s="23" t="s">
        <v>6854</v>
      </c>
      <c r="S1003" s="23" t="s">
        <v>6845</v>
      </c>
      <c r="T1003" s="23" t="s">
        <v>4866</v>
      </c>
      <c r="U1003" s="3">
        <v>35</v>
      </c>
      <c r="W1003" s="45" t="str">
        <f>HYPERLINK("http://ictvonline.org/taxonomy/p/taxonomy-history?taxnode_id=201900429","ICTVonline=201900429")</f>
        <v>ICTVonline=201900429</v>
      </c>
      <c r="Y1003" s="1" t="s">
        <v>8740</v>
      </c>
      <c r="Z1003" s="1" t="s">
        <v>8741</v>
      </c>
      <c r="AA1003" s="1">
        <v>201900000</v>
      </c>
      <c r="AB1003" s="1">
        <v>35</v>
      </c>
    </row>
    <row r="1004" spans="1:28" x14ac:dyDescent="0.2">
      <c r="A1004" s="1">
        <v>2709</v>
      </c>
      <c r="B1004" s="1" t="s">
        <v>6850</v>
      </c>
      <c r="D1004" s="1" t="s">
        <v>6851</v>
      </c>
      <c r="F1004" s="1" t="s">
        <v>6914</v>
      </c>
      <c r="H1004" s="1" t="s">
        <v>6915</v>
      </c>
      <c r="J1004" s="1" t="s">
        <v>1324</v>
      </c>
      <c r="L1004" s="1" t="s">
        <v>1325</v>
      </c>
      <c r="N1004" s="1" t="s">
        <v>6154</v>
      </c>
      <c r="P1004" s="1" t="s">
        <v>6155</v>
      </c>
      <c r="Q1004" s="3">
        <v>0</v>
      </c>
      <c r="R1004" s="23" t="s">
        <v>6854</v>
      </c>
      <c r="S1004" s="23" t="s">
        <v>6845</v>
      </c>
      <c r="T1004" s="23" t="s">
        <v>4866</v>
      </c>
      <c r="U1004" s="3">
        <v>35</v>
      </c>
      <c r="W1004" s="45" t="str">
        <f>HYPERLINK("http://ictvonline.org/taxonomy/p/taxonomy-history?taxnode_id=201906999","ICTVonline=201906999")</f>
        <v>ICTVonline=201906999</v>
      </c>
      <c r="Y1004" s="1" t="s">
        <v>8742</v>
      </c>
      <c r="Z1004" s="1" t="s">
        <v>8743</v>
      </c>
      <c r="AA1004" s="1">
        <v>201900000</v>
      </c>
      <c r="AB1004" s="1">
        <v>35</v>
      </c>
    </row>
    <row r="1005" spans="1:28" x14ac:dyDescent="0.2">
      <c r="A1005" s="1">
        <v>2711</v>
      </c>
      <c r="B1005" s="1" t="s">
        <v>6850</v>
      </c>
      <c r="D1005" s="1" t="s">
        <v>6851</v>
      </c>
      <c r="F1005" s="1" t="s">
        <v>6914</v>
      </c>
      <c r="H1005" s="1" t="s">
        <v>6915</v>
      </c>
      <c r="J1005" s="1" t="s">
        <v>1324</v>
      </c>
      <c r="L1005" s="1" t="s">
        <v>1325</v>
      </c>
      <c r="N1005" s="1" t="s">
        <v>6154</v>
      </c>
      <c r="P1005" s="1" t="s">
        <v>2860</v>
      </c>
      <c r="Q1005" s="3">
        <v>0</v>
      </c>
      <c r="R1005" s="23" t="s">
        <v>6854</v>
      </c>
      <c r="S1005" s="23" t="s">
        <v>6845</v>
      </c>
      <c r="T1005" s="23" t="s">
        <v>4866</v>
      </c>
      <c r="U1005" s="3">
        <v>35</v>
      </c>
      <c r="W1005" s="45" t="str">
        <f>HYPERLINK("http://ictvonline.org/taxonomy/p/taxonomy-history?taxnode_id=201900430","ICTVonline=201900430")</f>
        <v>ICTVonline=201900430</v>
      </c>
      <c r="Y1005" s="1" t="s">
        <v>8744</v>
      </c>
      <c r="Z1005" s="1" t="s">
        <v>8745</v>
      </c>
      <c r="AA1005" s="1">
        <v>201900000</v>
      </c>
      <c r="AB1005" s="1">
        <v>35</v>
      </c>
    </row>
    <row r="1006" spans="1:28" x14ac:dyDescent="0.2">
      <c r="A1006" s="1">
        <v>2715</v>
      </c>
      <c r="B1006" s="1" t="s">
        <v>6850</v>
      </c>
      <c r="D1006" s="1" t="s">
        <v>6851</v>
      </c>
      <c r="F1006" s="1" t="s">
        <v>6914</v>
      </c>
      <c r="H1006" s="1" t="s">
        <v>6915</v>
      </c>
      <c r="J1006" s="1" t="s">
        <v>1324</v>
      </c>
      <c r="L1006" s="1" t="s">
        <v>1325</v>
      </c>
      <c r="N1006" s="1" t="s">
        <v>4179</v>
      </c>
      <c r="P1006" s="1" t="s">
        <v>4180</v>
      </c>
      <c r="Q1006" s="3">
        <v>1</v>
      </c>
      <c r="R1006" s="23" t="s">
        <v>6854</v>
      </c>
      <c r="S1006" s="23" t="s">
        <v>6845</v>
      </c>
      <c r="T1006" s="23" t="s">
        <v>4866</v>
      </c>
      <c r="U1006" s="3">
        <v>35</v>
      </c>
      <c r="W1006" s="45" t="str">
        <f>HYPERLINK("http://ictvonline.org/taxonomy/p/taxonomy-history?taxnode_id=201900437","ICTVonline=201900437")</f>
        <v>ICTVonline=201900437</v>
      </c>
      <c r="Y1006" s="1" t="s">
        <v>8746</v>
      </c>
      <c r="Z1006" s="1" t="s">
        <v>8747</v>
      </c>
      <c r="AA1006" s="1">
        <v>201900000</v>
      </c>
      <c r="AB1006" s="1">
        <v>35</v>
      </c>
    </row>
    <row r="1007" spans="1:28" x14ac:dyDescent="0.2">
      <c r="A1007" s="1">
        <v>2717</v>
      </c>
      <c r="B1007" s="1" t="s">
        <v>6850</v>
      </c>
      <c r="D1007" s="1" t="s">
        <v>6851</v>
      </c>
      <c r="F1007" s="1" t="s">
        <v>6914</v>
      </c>
      <c r="H1007" s="1" t="s">
        <v>6915</v>
      </c>
      <c r="J1007" s="1" t="s">
        <v>1324</v>
      </c>
      <c r="L1007" s="1" t="s">
        <v>1325</v>
      </c>
      <c r="N1007" s="1" t="s">
        <v>4179</v>
      </c>
      <c r="P1007" s="1" t="s">
        <v>4181</v>
      </c>
      <c r="Q1007" s="3">
        <v>0</v>
      </c>
      <c r="R1007" s="23" t="s">
        <v>6854</v>
      </c>
      <c r="S1007" s="23" t="s">
        <v>6845</v>
      </c>
      <c r="T1007" s="23" t="s">
        <v>4866</v>
      </c>
      <c r="U1007" s="3">
        <v>35</v>
      </c>
      <c r="W1007" s="45" t="str">
        <f>HYPERLINK("http://ictvonline.org/taxonomy/p/taxonomy-history?taxnode_id=201900438","ICTVonline=201900438")</f>
        <v>ICTVonline=201900438</v>
      </c>
      <c r="Y1007" s="1" t="s">
        <v>8748</v>
      </c>
      <c r="Z1007" s="1" t="s">
        <v>8749</v>
      </c>
      <c r="AA1007" s="1">
        <v>201900000</v>
      </c>
      <c r="AB1007" s="1">
        <v>35</v>
      </c>
    </row>
    <row r="1008" spans="1:28" x14ac:dyDescent="0.2">
      <c r="A1008" s="1">
        <v>2721</v>
      </c>
      <c r="B1008" s="1" t="s">
        <v>6850</v>
      </c>
      <c r="D1008" s="1" t="s">
        <v>6851</v>
      </c>
      <c r="F1008" s="1" t="s">
        <v>6914</v>
      </c>
      <c r="H1008" s="1" t="s">
        <v>6915</v>
      </c>
      <c r="J1008" s="1" t="s">
        <v>1324</v>
      </c>
      <c r="L1008" s="1" t="s">
        <v>1325</v>
      </c>
      <c r="N1008" s="1" t="s">
        <v>8750</v>
      </c>
      <c r="P1008" s="1" t="s">
        <v>8751</v>
      </c>
      <c r="Q1008" s="3">
        <v>1</v>
      </c>
      <c r="R1008" s="23" t="s">
        <v>6854</v>
      </c>
      <c r="S1008" s="23" t="s">
        <v>6849</v>
      </c>
      <c r="T1008" s="23" t="s">
        <v>4864</v>
      </c>
      <c r="U1008" s="3">
        <v>35</v>
      </c>
      <c r="V1008" s="3" t="s">
        <v>8558</v>
      </c>
      <c r="W1008" s="45" t="str">
        <f>HYPERLINK("http://ictvonline.org/taxonomy/p/taxonomy-history?taxnode_id=201907805","ICTVonline=201907805")</f>
        <v>ICTVonline=201907805</v>
      </c>
      <c r="Y1008" s="1" t="s">
        <v>8752</v>
      </c>
      <c r="AA1008" s="1">
        <v>201900000</v>
      </c>
      <c r="AB1008" s="1">
        <v>35</v>
      </c>
    </row>
    <row r="1009" spans="1:28" x14ac:dyDescent="0.2">
      <c r="A1009" s="1">
        <v>2725</v>
      </c>
      <c r="B1009" s="1" t="s">
        <v>6850</v>
      </c>
      <c r="D1009" s="1" t="s">
        <v>6851</v>
      </c>
      <c r="F1009" s="1" t="s">
        <v>6914</v>
      </c>
      <c r="H1009" s="1" t="s">
        <v>6915</v>
      </c>
      <c r="J1009" s="1" t="s">
        <v>1324</v>
      </c>
      <c r="L1009" s="1" t="s">
        <v>1325</v>
      </c>
      <c r="N1009" s="1" t="s">
        <v>6156</v>
      </c>
      <c r="P1009" s="1" t="s">
        <v>2908</v>
      </c>
      <c r="Q1009" s="3">
        <v>1</v>
      </c>
      <c r="R1009" s="23" t="s">
        <v>6854</v>
      </c>
      <c r="S1009" s="23" t="s">
        <v>6845</v>
      </c>
      <c r="T1009" s="23" t="s">
        <v>4866</v>
      </c>
      <c r="U1009" s="3">
        <v>35</v>
      </c>
      <c r="W1009" s="45" t="str">
        <f>HYPERLINK("http://ictvonline.org/taxonomy/p/taxonomy-history?taxnode_id=201900491","ICTVonline=201900491")</f>
        <v>ICTVonline=201900491</v>
      </c>
      <c r="Y1009" s="1" t="s">
        <v>8753</v>
      </c>
      <c r="Z1009" s="1" t="s">
        <v>8754</v>
      </c>
      <c r="AA1009" s="1">
        <v>201900000</v>
      </c>
      <c r="AB1009" s="1">
        <v>35</v>
      </c>
    </row>
    <row r="1010" spans="1:28" x14ac:dyDescent="0.2">
      <c r="A1010" s="1">
        <v>2729</v>
      </c>
      <c r="B1010" s="1" t="s">
        <v>6850</v>
      </c>
      <c r="D1010" s="1" t="s">
        <v>6851</v>
      </c>
      <c r="F1010" s="1" t="s">
        <v>6914</v>
      </c>
      <c r="H1010" s="1" t="s">
        <v>6915</v>
      </c>
      <c r="J1010" s="1" t="s">
        <v>1324</v>
      </c>
      <c r="L1010" s="1" t="s">
        <v>1325</v>
      </c>
      <c r="N1010" s="1" t="s">
        <v>8755</v>
      </c>
      <c r="P1010" s="1" t="s">
        <v>8756</v>
      </c>
      <c r="Q1010" s="3">
        <v>1</v>
      </c>
      <c r="R1010" s="23" t="s">
        <v>6854</v>
      </c>
      <c r="S1010" s="23" t="s">
        <v>6849</v>
      </c>
      <c r="T1010" s="23" t="s">
        <v>4864</v>
      </c>
      <c r="U1010" s="3">
        <v>35</v>
      </c>
      <c r="V1010" s="3" t="s">
        <v>8649</v>
      </c>
      <c r="W1010" s="45" t="str">
        <f>HYPERLINK("http://ictvonline.org/taxonomy/p/taxonomy-history?taxnode_id=201908044","ICTVonline=201908044")</f>
        <v>ICTVonline=201908044</v>
      </c>
      <c r="X1010" s="1" t="s">
        <v>8757</v>
      </c>
      <c r="Y1010" s="1" t="s">
        <v>8758</v>
      </c>
      <c r="Z1010" s="1" t="s">
        <v>8652</v>
      </c>
      <c r="AA1010" s="1">
        <v>201900000</v>
      </c>
      <c r="AB1010" s="1">
        <v>35</v>
      </c>
    </row>
    <row r="1011" spans="1:28" x14ac:dyDescent="0.2">
      <c r="A1011" s="1">
        <v>2733</v>
      </c>
      <c r="B1011" s="1" t="s">
        <v>6850</v>
      </c>
      <c r="D1011" s="1" t="s">
        <v>6851</v>
      </c>
      <c r="F1011" s="1" t="s">
        <v>6914</v>
      </c>
      <c r="H1011" s="1" t="s">
        <v>6915</v>
      </c>
      <c r="J1011" s="1" t="s">
        <v>1324</v>
      </c>
      <c r="L1011" s="1" t="s">
        <v>1325</v>
      </c>
      <c r="N1011" s="1" t="s">
        <v>8759</v>
      </c>
      <c r="P1011" s="1" t="s">
        <v>8760</v>
      </c>
      <c r="Q1011" s="3">
        <v>0</v>
      </c>
      <c r="R1011" s="23" t="s">
        <v>6854</v>
      </c>
      <c r="S1011" s="23" t="s">
        <v>6849</v>
      </c>
      <c r="T1011" s="23" t="s">
        <v>4864</v>
      </c>
      <c r="U1011" s="3">
        <v>35</v>
      </c>
      <c r="V1011" s="3" t="s">
        <v>8558</v>
      </c>
      <c r="W1011" s="45" t="str">
        <f>HYPERLINK("http://ictvonline.org/taxonomy/p/taxonomy-history?taxnode_id=201907814","ICTVonline=201907814")</f>
        <v>ICTVonline=201907814</v>
      </c>
      <c r="Y1011" s="1" t="s">
        <v>8761</v>
      </c>
      <c r="AA1011" s="1">
        <v>201900000</v>
      </c>
      <c r="AB1011" s="1">
        <v>35</v>
      </c>
    </row>
    <row r="1012" spans="1:28" x14ac:dyDescent="0.2">
      <c r="A1012" s="1">
        <v>2735</v>
      </c>
      <c r="B1012" s="1" t="s">
        <v>6850</v>
      </c>
      <c r="D1012" s="1" t="s">
        <v>6851</v>
      </c>
      <c r="F1012" s="1" t="s">
        <v>6914</v>
      </c>
      <c r="H1012" s="1" t="s">
        <v>6915</v>
      </c>
      <c r="J1012" s="1" t="s">
        <v>1324</v>
      </c>
      <c r="L1012" s="1" t="s">
        <v>1325</v>
      </c>
      <c r="N1012" s="1" t="s">
        <v>8759</v>
      </c>
      <c r="P1012" s="1" t="s">
        <v>8762</v>
      </c>
      <c r="Q1012" s="3">
        <v>1</v>
      </c>
      <c r="R1012" s="23" t="s">
        <v>6854</v>
      </c>
      <c r="S1012" s="23" t="s">
        <v>6849</v>
      </c>
      <c r="T1012" s="23" t="s">
        <v>4864</v>
      </c>
      <c r="U1012" s="3">
        <v>35</v>
      </c>
      <c r="V1012" s="3" t="s">
        <v>8558</v>
      </c>
      <c r="W1012" s="45" t="str">
        <f>HYPERLINK("http://ictvonline.org/taxonomy/p/taxonomy-history?taxnode_id=201907813","ICTVonline=201907813")</f>
        <v>ICTVonline=201907813</v>
      </c>
      <c r="Y1012" s="1" t="s">
        <v>8763</v>
      </c>
      <c r="AA1012" s="1">
        <v>201900000</v>
      </c>
      <c r="AB1012" s="1">
        <v>35</v>
      </c>
    </row>
    <row r="1013" spans="1:28" x14ac:dyDescent="0.2">
      <c r="A1013" s="1">
        <v>2739</v>
      </c>
      <c r="B1013" s="1" t="s">
        <v>6850</v>
      </c>
      <c r="D1013" s="1" t="s">
        <v>6851</v>
      </c>
      <c r="F1013" s="1" t="s">
        <v>6914</v>
      </c>
      <c r="H1013" s="1" t="s">
        <v>6915</v>
      </c>
      <c r="J1013" s="1" t="s">
        <v>1324</v>
      </c>
      <c r="L1013" s="1" t="s">
        <v>1325</v>
      </c>
      <c r="N1013" s="1" t="s">
        <v>8764</v>
      </c>
      <c r="P1013" s="1" t="s">
        <v>8765</v>
      </c>
      <c r="Q1013" s="3">
        <v>1</v>
      </c>
      <c r="R1013" s="23" t="s">
        <v>6854</v>
      </c>
      <c r="S1013" s="23" t="s">
        <v>6849</v>
      </c>
      <c r="T1013" s="23" t="s">
        <v>4864</v>
      </c>
      <c r="U1013" s="3">
        <v>35</v>
      </c>
      <c r="V1013" s="3" t="s">
        <v>8558</v>
      </c>
      <c r="W1013" s="45" t="str">
        <f>HYPERLINK("http://ictvonline.org/taxonomy/p/taxonomy-history?taxnode_id=201907821","ICTVonline=201907821")</f>
        <v>ICTVonline=201907821</v>
      </c>
      <c r="Y1013" s="1" t="s">
        <v>8766</v>
      </c>
      <c r="AA1013" s="1">
        <v>201900000</v>
      </c>
      <c r="AB1013" s="1">
        <v>35</v>
      </c>
    </row>
    <row r="1014" spans="1:28" x14ac:dyDescent="0.2">
      <c r="A1014" s="1">
        <v>2743</v>
      </c>
      <c r="B1014" s="1" t="s">
        <v>6850</v>
      </c>
      <c r="D1014" s="1" t="s">
        <v>6851</v>
      </c>
      <c r="F1014" s="1" t="s">
        <v>6914</v>
      </c>
      <c r="H1014" s="1" t="s">
        <v>6915</v>
      </c>
      <c r="J1014" s="1" t="s">
        <v>1324</v>
      </c>
      <c r="L1014" s="1" t="s">
        <v>1325</v>
      </c>
      <c r="N1014" s="1" t="s">
        <v>8767</v>
      </c>
      <c r="P1014" s="1" t="s">
        <v>8768</v>
      </c>
      <c r="Q1014" s="3">
        <v>1</v>
      </c>
      <c r="R1014" s="23" t="s">
        <v>6854</v>
      </c>
      <c r="S1014" s="23" t="s">
        <v>6849</v>
      </c>
      <c r="T1014" s="23" t="s">
        <v>4864</v>
      </c>
      <c r="U1014" s="3">
        <v>35</v>
      </c>
      <c r="V1014" s="3" t="s">
        <v>8590</v>
      </c>
      <c r="W1014" s="45" t="str">
        <f>HYPERLINK("http://ictvonline.org/taxonomy/p/taxonomy-history?taxnode_id=201907758","ICTVonline=201907758")</f>
        <v>ICTVonline=201907758</v>
      </c>
      <c r="Y1014" s="1" t="s">
        <v>8769</v>
      </c>
      <c r="AA1014" s="1">
        <v>201900000</v>
      </c>
      <c r="AB1014" s="1">
        <v>35</v>
      </c>
    </row>
    <row r="1015" spans="1:28" x14ac:dyDescent="0.2">
      <c r="A1015" s="1">
        <v>2747</v>
      </c>
      <c r="B1015" s="1" t="s">
        <v>6850</v>
      </c>
      <c r="D1015" s="1" t="s">
        <v>6851</v>
      </c>
      <c r="F1015" s="1" t="s">
        <v>6914</v>
      </c>
      <c r="H1015" s="1" t="s">
        <v>6915</v>
      </c>
      <c r="J1015" s="1" t="s">
        <v>1324</v>
      </c>
      <c r="L1015" s="1" t="s">
        <v>1325</v>
      </c>
      <c r="N1015" s="1" t="s">
        <v>8770</v>
      </c>
      <c r="P1015" s="1" t="s">
        <v>8771</v>
      </c>
      <c r="Q1015" s="3">
        <v>1</v>
      </c>
      <c r="R1015" s="23" t="s">
        <v>6854</v>
      </c>
      <c r="S1015" s="23" t="s">
        <v>6849</v>
      </c>
      <c r="T1015" s="23" t="s">
        <v>4864</v>
      </c>
      <c r="U1015" s="3">
        <v>35</v>
      </c>
      <c r="V1015" s="3" t="s">
        <v>8581</v>
      </c>
      <c r="W1015" s="45" t="str">
        <f>HYPERLINK("http://ictvonline.org/taxonomy/p/taxonomy-history?taxnode_id=201907914","ICTVonline=201907914")</f>
        <v>ICTVonline=201907914</v>
      </c>
      <c r="Y1015" s="1" t="s">
        <v>8772</v>
      </c>
      <c r="AA1015" s="1">
        <v>201900000</v>
      </c>
      <c r="AB1015" s="1">
        <v>35</v>
      </c>
    </row>
    <row r="1016" spans="1:28" x14ac:dyDescent="0.2">
      <c r="A1016" s="1">
        <v>2751</v>
      </c>
      <c r="B1016" s="1" t="s">
        <v>6850</v>
      </c>
      <c r="D1016" s="1" t="s">
        <v>6851</v>
      </c>
      <c r="F1016" s="1" t="s">
        <v>6914</v>
      </c>
      <c r="H1016" s="1" t="s">
        <v>6915</v>
      </c>
      <c r="J1016" s="1" t="s">
        <v>1324</v>
      </c>
      <c r="L1016" s="1" t="s">
        <v>1325</v>
      </c>
      <c r="N1016" s="1" t="s">
        <v>6157</v>
      </c>
      <c r="P1016" s="1" t="s">
        <v>2853</v>
      </c>
      <c r="Q1016" s="3">
        <v>0</v>
      </c>
      <c r="R1016" s="23" t="s">
        <v>6854</v>
      </c>
      <c r="S1016" s="23" t="s">
        <v>6845</v>
      </c>
      <c r="T1016" s="23" t="s">
        <v>4866</v>
      </c>
      <c r="U1016" s="3">
        <v>35</v>
      </c>
      <c r="W1016" s="45" t="str">
        <f>HYPERLINK("http://ictvonline.org/taxonomy/p/taxonomy-history?taxnode_id=201900421","ICTVonline=201900421")</f>
        <v>ICTVonline=201900421</v>
      </c>
      <c r="AA1016" s="1">
        <v>201900000</v>
      </c>
      <c r="AB1016" s="1">
        <v>35</v>
      </c>
    </row>
    <row r="1017" spans="1:28" x14ac:dyDescent="0.2">
      <c r="A1017" s="1">
        <v>2753</v>
      </c>
      <c r="B1017" s="1" t="s">
        <v>6850</v>
      </c>
      <c r="D1017" s="1" t="s">
        <v>6851</v>
      </c>
      <c r="F1017" s="1" t="s">
        <v>6914</v>
      </c>
      <c r="H1017" s="1" t="s">
        <v>6915</v>
      </c>
      <c r="J1017" s="1" t="s">
        <v>1324</v>
      </c>
      <c r="L1017" s="1" t="s">
        <v>1325</v>
      </c>
      <c r="N1017" s="1" t="s">
        <v>6157</v>
      </c>
      <c r="P1017" s="1" t="s">
        <v>2854</v>
      </c>
      <c r="Q1017" s="3">
        <v>0</v>
      </c>
      <c r="R1017" s="23" t="s">
        <v>6854</v>
      </c>
      <c r="S1017" s="23" t="s">
        <v>6845</v>
      </c>
      <c r="T1017" s="23" t="s">
        <v>4866</v>
      </c>
      <c r="U1017" s="3">
        <v>35</v>
      </c>
      <c r="W1017" s="45" t="str">
        <f>HYPERLINK("http://ictvonline.org/taxonomy/p/taxonomy-history?taxnode_id=201900422","ICTVonline=201900422")</f>
        <v>ICTVonline=201900422</v>
      </c>
      <c r="AA1017" s="1">
        <v>201900000</v>
      </c>
      <c r="AB1017" s="1">
        <v>35</v>
      </c>
    </row>
    <row r="1018" spans="1:28" x14ac:dyDescent="0.2">
      <c r="A1018" s="1">
        <v>2755</v>
      </c>
      <c r="B1018" s="1" t="s">
        <v>6850</v>
      </c>
      <c r="D1018" s="1" t="s">
        <v>6851</v>
      </c>
      <c r="F1018" s="1" t="s">
        <v>6914</v>
      </c>
      <c r="H1018" s="1" t="s">
        <v>6915</v>
      </c>
      <c r="J1018" s="1" t="s">
        <v>1324</v>
      </c>
      <c r="L1018" s="1" t="s">
        <v>1325</v>
      </c>
      <c r="N1018" s="1" t="s">
        <v>6157</v>
      </c>
      <c r="P1018" s="1" t="s">
        <v>2855</v>
      </c>
      <c r="Q1018" s="3">
        <v>1</v>
      </c>
      <c r="R1018" s="23" t="s">
        <v>6854</v>
      </c>
      <c r="S1018" s="23" t="s">
        <v>6845</v>
      </c>
      <c r="T1018" s="23" t="s">
        <v>4866</v>
      </c>
      <c r="U1018" s="3">
        <v>35</v>
      </c>
      <c r="W1018" s="45" t="str">
        <f>HYPERLINK("http://ictvonline.org/taxonomy/p/taxonomy-history?taxnode_id=201900423","ICTVonline=201900423")</f>
        <v>ICTVonline=201900423</v>
      </c>
      <c r="AA1018" s="1">
        <v>201900000</v>
      </c>
      <c r="AB1018" s="1">
        <v>35</v>
      </c>
    </row>
    <row r="1019" spans="1:28" x14ac:dyDescent="0.2">
      <c r="A1019" s="1">
        <v>2759</v>
      </c>
      <c r="B1019" s="1" t="s">
        <v>6850</v>
      </c>
      <c r="D1019" s="1" t="s">
        <v>6851</v>
      </c>
      <c r="F1019" s="1" t="s">
        <v>6914</v>
      </c>
      <c r="H1019" s="1" t="s">
        <v>6915</v>
      </c>
      <c r="J1019" s="1" t="s">
        <v>1324</v>
      </c>
      <c r="L1019" s="1" t="s">
        <v>1325</v>
      </c>
      <c r="N1019" s="1" t="s">
        <v>4944</v>
      </c>
      <c r="P1019" s="1" t="s">
        <v>4945</v>
      </c>
      <c r="Q1019" s="3">
        <v>1</v>
      </c>
      <c r="R1019" s="23" t="s">
        <v>6854</v>
      </c>
      <c r="S1019" s="23" t="s">
        <v>6845</v>
      </c>
      <c r="T1019" s="23" t="s">
        <v>4866</v>
      </c>
      <c r="U1019" s="3">
        <v>35</v>
      </c>
      <c r="W1019" s="45" t="str">
        <f>HYPERLINK("http://ictvonline.org/taxonomy/p/taxonomy-history?taxnode_id=201905483","ICTVonline=201905483")</f>
        <v>ICTVonline=201905483</v>
      </c>
      <c r="AA1019" s="1">
        <v>201900000</v>
      </c>
      <c r="AB1019" s="1">
        <v>35</v>
      </c>
    </row>
    <row r="1020" spans="1:28" x14ac:dyDescent="0.2">
      <c r="A1020" s="1">
        <v>2763</v>
      </c>
      <c r="B1020" s="1" t="s">
        <v>6850</v>
      </c>
      <c r="D1020" s="1" t="s">
        <v>6851</v>
      </c>
      <c r="F1020" s="1" t="s">
        <v>6914</v>
      </c>
      <c r="H1020" s="1" t="s">
        <v>6915</v>
      </c>
      <c r="J1020" s="1" t="s">
        <v>1324</v>
      </c>
      <c r="L1020" s="1" t="s">
        <v>1325</v>
      </c>
      <c r="N1020" s="1" t="s">
        <v>4185</v>
      </c>
      <c r="P1020" s="1" t="s">
        <v>6158</v>
      </c>
      <c r="Q1020" s="3">
        <v>0</v>
      </c>
      <c r="R1020" s="23" t="s">
        <v>6854</v>
      </c>
      <c r="S1020" s="23" t="s">
        <v>6845</v>
      </c>
      <c r="T1020" s="23" t="s">
        <v>4866</v>
      </c>
      <c r="U1020" s="3">
        <v>35</v>
      </c>
      <c r="W1020" s="45" t="str">
        <f>HYPERLINK("http://ictvonline.org/taxonomy/p/taxonomy-history?taxnode_id=201907002","ICTVonline=201907002")</f>
        <v>ICTVonline=201907002</v>
      </c>
      <c r="Y1020" s="1" t="s">
        <v>8773</v>
      </c>
      <c r="Z1020" s="1" t="s">
        <v>8774</v>
      </c>
      <c r="AA1020" s="1">
        <v>201900000</v>
      </c>
      <c r="AB1020" s="1">
        <v>35</v>
      </c>
    </row>
    <row r="1021" spans="1:28" x14ac:dyDescent="0.2">
      <c r="A1021" s="1">
        <v>2765</v>
      </c>
      <c r="B1021" s="1" t="s">
        <v>6850</v>
      </c>
      <c r="D1021" s="1" t="s">
        <v>6851</v>
      </c>
      <c r="F1021" s="1" t="s">
        <v>6914</v>
      </c>
      <c r="H1021" s="1" t="s">
        <v>6915</v>
      </c>
      <c r="J1021" s="1" t="s">
        <v>1324</v>
      </c>
      <c r="L1021" s="1" t="s">
        <v>1325</v>
      </c>
      <c r="N1021" s="1" t="s">
        <v>4185</v>
      </c>
      <c r="P1021" s="1" t="s">
        <v>6159</v>
      </c>
      <c r="Q1021" s="3">
        <v>0</v>
      </c>
      <c r="R1021" s="23" t="s">
        <v>6854</v>
      </c>
      <c r="S1021" s="23" t="s">
        <v>6845</v>
      </c>
      <c r="T1021" s="23" t="s">
        <v>4866</v>
      </c>
      <c r="U1021" s="3">
        <v>35</v>
      </c>
      <c r="W1021" s="45" t="str">
        <f>HYPERLINK("http://ictvonline.org/taxonomy/p/taxonomy-history?taxnode_id=201907003","ICTVonline=201907003")</f>
        <v>ICTVonline=201907003</v>
      </c>
      <c r="Y1021" s="1" t="s">
        <v>8775</v>
      </c>
      <c r="Z1021" s="1" t="s">
        <v>8776</v>
      </c>
      <c r="AA1021" s="1">
        <v>201900000</v>
      </c>
      <c r="AB1021" s="1">
        <v>35</v>
      </c>
    </row>
    <row r="1022" spans="1:28" x14ac:dyDescent="0.2">
      <c r="A1022" s="1">
        <v>2767</v>
      </c>
      <c r="B1022" s="1" t="s">
        <v>6850</v>
      </c>
      <c r="D1022" s="1" t="s">
        <v>6851</v>
      </c>
      <c r="F1022" s="1" t="s">
        <v>6914</v>
      </c>
      <c r="H1022" s="1" t="s">
        <v>6915</v>
      </c>
      <c r="J1022" s="1" t="s">
        <v>1324</v>
      </c>
      <c r="L1022" s="1" t="s">
        <v>1325</v>
      </c>
      <c r="N1022" s="1" t="s">
        <v>4185</v>
      </c>
      <c r="P1022" s="1" t="s">
        <v>4186</v>
      </c>
      <c r="Q1022" s="3">
        <v>0</v>
      </c>
      <c r="R1022" s="23" t="s">
        <v>6854</v>
      </c>
      <c r="S1022" s="23" t="s">
        <v>6845</v>
      </c>
      <c r="T1022" s="23" t="s">
        <v>4866</v>
      </c>
      <c r="U1022" s="3">
        <v>35</v>
      </c>
      <c r="W1022" s="45" t="str">
        <f>HYPERLINK("http://ictvonline.org/taxonomy/p/taxonomy-history?taxnode_id=201900448","ICTVonline=201900448")</f>
        <v>ICTVonline=201900448</v>
      </c>
      <c r="Y1022" s="1" t="s">
        <v>8777</v>
      </c>
      <c r="Z1022" s="1" t="s">
        <v>8778</v>
      </c>
      <c r="AA1022" s="1">
        <v>201900000</v>
      </c>
      <c r="AB1022" s="1">
        <v>35</v>
      </c>
    </row>
    <row r="1023" spans="1:28" x14ac:dyDescent="0.2">
      <c r="A1023" s="1">
        <v>2769</v>
      </c>
      <c r="B1023" s="1" t="s">
        <v>6850</v>
      </c>
      <c r="D1023" s="1" t="s">
        <v>6851</v>
      </c>
      <c r="F1023" s="1" t="s">
        <v>6914</v>
      </c>
      <c r="H1023" s="1" t="s">
        <v>6915</v>
      </c>
      <c r="J1023" s="1" t="s">
        <v>1324</v>
      </c>
      <c r="L1023" s="1" t="s">
        <v>1325</v>
      </c>
      <c r="N1023" s="1" t="s">
        <v>4185</v>
      </c>
      <c r="P1023" s="1" t="s">
        <v>4187</v>
      </c>
      <c r="Q1023" s="3">
        <v>0</v>
      </c>
      <c r="R1023" s="23" t="s">
        <v>6854</v>
      </c>
      <c r="S1023" s="23" t="s">
        <v>6845</v>
      </c>
      <c r="T1023" s="23" t="s">
        <v>4866</v>
      </c>
      <c r="U1023" s="3">
        <v>35</v>
      </c>
      <c r="W1023" s="45" t="str">
        <f>HYPERLINK("http://ictvonline.org/taxonomy/p/taxonomy-history?taxnode_id=201900449","ICTVonline=201900449")</f>
        <v>ICTVonline=201900449</v>
      </c>
      <c r="Y1023" s="1" t="s">
        <v>8779</v>
      </c>
      <c r="Z1023" s="1" t="s">
        <v>8780</v>
      </c>
      <c r="AA1023" s="1">
        <v>201900000</v>
      </c>
      <c r="AB1023" s="1">
        <v>35</v>
      </c>
    </row>
    <row r="1024" spans="1:28" x14ac:dyDescent="0.2">
      <c r="A1024" s="1">
        <v>2771</v>
      </c>
      <c r="B1024" s="1" t="s">
        <v>6850</v>
      </c>
      <c r="D1024" s="1" t="s">
        <v>6851</v>
      </c>
      <c r="F1024" s="1" t="s">
        <v>6914</v>
      </c>
      <c r="H1024" s="1" t="s">
        <v>6915</v>
      </c>
      <c r="J1024" s="1" t="s">
        <v>1324</v>
      </c>
      <c r="L1024" s="1" t="s">
        <v>1325</v>
      </c>
      <c r="N1024" s="1" t="s">
        <v>4185</v>
      </c>
      <c r="P1024" s="1" t="s">
        <v>4188</v>
      </c>
      <c r="Q1024" s="3">
        <v>1</v>
      </c>
      <c r="R1024" s="23" t="s">
        <v>6854</v>
      </c>
      <c r="S1024" s="23" t="s">
        <v>6845</v>
      </c>
      <c r="T1024" s="23" t="s">
        <v>4866</v>
      </c>
      <c r="U1024" s="3">
        <v>35</v>
      </c>
      <c r="W1024" s="45" t="str">
        <f>HYPERLINK("http://ictvonline.org/taxonomy/p/taxonomy-history?taxnode_id=201900450","ICTVonline=201900450")</f>
        <v>ICTVonline=201900450</v>
      </c>
      <c r="Y1024" s="1" t="s">
        <v>8781</v>
      </c>
      <c r="Z1024" s="1" t="s">
        <v>8782</v>
      </c>
      <c r="AA1024" s="1">
        <v>201900000</v>
      </c>
      <c r="AB1024" s="1">
        <v>35</v>
      </c>
    </row>
    <row r="1025" spans="1:28" x14ac:dyDescent="0.2">
      <c r="A1025" s="1">
        <v>2773</v>
      </c>
      <c r="B1025" s="1" t="s">
        <v>6850</v>
      </c>
      <c r="D1025" s="1" t="s">
        <v>6851</v>
      </c>
      <c r="F1025" s="1" t="s">
        <v>6914</v>
      </c>
      <c r="H1025" s="1" t="s">
        <v>6915</v>
      </c>
      <c r="J1025" s="1" t="s">
        <v>1324</v>
      </c>
      <c r="L1025" s="1" t="s">
        <v>1325</v>
      </c>
      <c r="N1025" s="1" t="s">
        <v>4185</v>
      </c>
      <c r="P1025" s="1" t="s">
        <v>6160</v>
      </c>
      <c r="Q1025" s="3">
        <v>0</v>
      </c>
      <c r="R1025" s="23" t="s">
        <v>6854</v>
      </c>
      <c r="S1025" s="23" t="s">
        <v>6845</v>
      </c>
      <c r="T1025" s="23" t="s">
        <v>4866</v>
      </c>
      <c r="U1025" s="3">
        <v>35</v>
      </c>
      <c r="W1025" s="45" t="str">
        <f>HYPERLINK("http://ictvonline.org/taxonomy/p/taxonomy-history?taxnode_id=201907004","ICTVonline=201907004")</f>
        <v>ICTVonline=201907004</v>
      </c>
      <c r="Y1025" s="1" t="s">
        <v>8783</v>
      </c>
      <c r="Z1025" s="1" t="s">
        <v>8784</v>
      </c>
      <c r="AA1025" s="1">
        <v>201900000</v>
      </c>
      <c r="AB1025" s="1">
        <v>35</v>
      </c>
    </row>
    <row r="1026" spans="1:28" x14ac:dyDescent="0.2">
      <c r="A1026" s="1">
        <v>2775</v>
      </c>
      <c r="B1026" s="1" t="s">
        <v>6850</v>
      </c>
      <c r="D1026" s="1" t="s">
        <v>6851</v>
      </c>
      <c r="F1026" s="1" t="s">
        <v>6914</v>
      </c>
      <c r="H1026" s="1" t="s">
        <v>6915</v>
      </c>
      <c r="J1026" s="1" t="s">
        <v>1324</v>
      </c>
      <c r="L1026" s="1" t="s">
        <v>1325</v>
      </c>
      <c r="N1026" s="1" t="s">
        <v>4185</v>
      </c>
      <c r="P1026" s="1" t="s">
        <v>6161</v>
      </c>
      <c r="Q1026" s="3">
        <v>0</v>
      </c>
      <c r="R1026" s="23" t="s">
        <v>6854</v>
      </c>
      <c r="S1026" s="23" t="s">
        <v>6845</v>
      </c>
      <c r="T1026" s="23" t="s">
        <v>4866</v>
      </c>
      <c r="U1026" s="3">
        <v>35</v>
      </c>
      <c r="W1026" s="45" t="str">
        <f>HYPERLINK("http://ictvonline.org/taxonomy/p/taxonomy-history?taxnode_id=201907005","ICTVonline=201907005")</f>
        <v>ICTVonline=201907005</v>
      </c>
      <c r="Y1026" s="1" t="s">
        <v>8785</v>
      </c>
      <c r="Z1026" s="1" t="s">
        <v>8786</v>
      </c>
      <c r="AA1026" s="1">
        <v>201900000</v>
      </c>
      <c r="AB1026" s="1">
        <v>35</v>
      </c>
    </row>
    <row r="1027" spans="1:28" x14ac:dyDescent="0.2">
      <c r="A1027" s="1">
        <v>2777</v>
      </c>
      <c r="B1027" s="1" t="s">
        <v>6850</v>
      </c>
      <c r="D1027" s="1" t="s">
        <v>6851</v>
      </c>
      <c r="F1027" s="1" t="s">
        <v>6914</v>
      </c>
      <c r="H1027" s="1" t="s">
        <v>6915</v>
      </c>
      <c r="J1027" s="1" t="s">
        <v>1324</v>
      </c>
      <c r="L1027" s="1" t="s">
        <v>1325</v>
      </c>
      <c r="N1027" s="1" t="s">
        <v>4185</v>
      </c>
      <c r="P1027" s="1" t="s">
        <v>4189</v>
      </c>
      <c r="Q1027" s="3">
        <v>0</v>
      </c>
      <c r="R1027" s="23" t="s">
        <v>6854</v>
      </c>
      <c r="S1027" s="23" t="s">
        <v>6845</v>
      </c>
      <c r="T1027" s="23" t="s">
        <v>4866</v>
      </c>
      <c r="U1027" s="3">
        <v>35</v>
      </c>
      <c r="W1027" s="45" t="str">
        <f>HYPERLINK("http://ictvonline.org/taxonomy/p/taxonomy-history?taxnode_id=201900451","ICTVonline=201900451")</f>
        <v>ICTVonline=201900451</v>
      </c>
      <c r="Y1027" s="1" t="s">
        <v>8787</v>
      </c>
      <c r="Z1027" s="1" t="s">
        <v>8788</v>
      </c>
      <c r="AA1027" s="1">
        <v>201900000</v>
      </c>
      <c r="AB1027" s="1">
        <v>35</v>
      </c>
    </row>
    <row r="1028" spans="1:28" x14ac:dyDescent="0.2">
      <c r="A1028" s="1">
        <v>2781</v>
      </c>
      <c r="B1028" s="1" t="s">
        <v>6850</v>
      </c>
      <c r="D1028" s="1" t="s">
        <v>6851</v>
      </c>
      <c r="F1028" s="1" t="s">
        <v>6914</v>
      </c>
      <c r="H1028" s="1" t="s">
        <v>6915</v>
      </c>
      <c r="J1028" s="1" t="s">
        <v>1324</v>
      </c>
      <c r="L1028" s="1" t="s">
        <v>1325</v>
      </c>
      <c r="N1028" s="1" t="s">
        <v>8789</v>
      </c>
      <c r="P1028" s="1" t="s">
        <v>8790</v>
      </c>
      <c r="Q1028" s="3">
        <v>1</v>
      </c>
      <c r="R1028" s="23" t="s">
        <v>6854</v>
      </c>
      <c r="S1028" s="23" t="s">
        <v>6849</v>
      </c>
      <c r="T1028" s="23" t="s">
        <v>4864</v>
      </c>
      <c r="U1028" s="3">
        <v>35</v>
      </c>
      <c r="V1028" s="3" t="s">
        <v>8590</v>
      </c>
      <c r="W1028" s="45" t="str">
        <f>HYPERLINK("http://ictvonline.org/taxonomy/p/taxonomy-history?taxnode_id=201907760","ICTVonline=201907760")</f>
        <v>ICTVonline=201907760</v>
      </c>
      <c r="Y1028" s="1" t="s">
        <v>8791</v>
      </c>
      <c r="AA1028" s="1">
        <v>201900000</v>
      </c>
      <c r="AB1028" s="1">
        <v>35</v>
      </c>
    </row>
    <row r="1029" spans="1:28" x14ac:dyDescent="0.2">
      <c r="A1029" s="1">
        <v>2785</v>
      </c>
      <c r="B1029" s="1" t="s">
        <v>6850</v>
      </c>
      <c r="D1029" s="1" t="s">
        <v>6851</v>
      </c>
      <c r="F1029" s="1" t="s">
        <v>6914</v>
      </c>
      <c r="H1029" s="1" t="s">
        <v>6915</v>
      </c>
      <c r="J1029" s="1" t="s">
        <v>1324</v>
      </c>
      <c r="L1029" s="1" t="s">
        <v>1325</v>
      </c>
      <c r="N1029" s="1" t="s">
        <v>6162</v>
      </c>
      <c r="P1029" s="1" t="s">
        <v>6163</v>
      </c>
      <c r="Q1029" s="3">
        <v>1</v>
      </c>
      <c r="R1029" s="23" t="s">
        <v>6854</v>
      </c>
      <c r="S1029" s="23" t="s">
        <v>6845</v>
      </c>
      <c r="T1029" s="23" t="s">
        <v>4866</v>
      </c>
      <c r="U1029" s="3">
        <v>35</v>
      </c>
      <c r="W1029" s="45" t="str">
        <f>HYPERLINK("http://ictvonline.org/taxonomy/p/taxonomy-history?taxnode_id=201906918","ICTVonline=201906918")</f>
        <v>ICTVonline=201906918</v>
      </c>
      <c r="Y1029" s="1" t="s">
        <v>8792</v>
      </c>
      <c r="Z1029" s="1" t="s">
        <v>8793</v>
      </c>
      <c r="AA1029" s="1">
        <v>201900000</v>
      </c>
      <c r="AB1029" s="1">
        <v>35</v>
      </c>
    </row>
    <row r="1030" spans="1:28" x14ac:dyDescent="0.2">
      <c r="A1030" s="1">
        <v>2789</v>
      </c>
      <c r="B1030" s="1" t="s">
        <v>6850</v>
      </c>
      <c r="D1030" s="1" t="s">
        <v>6851</v>
      </c>
      <c r="F1030" s="1" t="s">
        <v>6914</v>
      </c>
      <c r="H1030" s="1" t="s">
        <v>6915</v>
      </c>
      <c r="J1030" s="1" t="s">
        <v>1324</v>
      </c>
      <c r="L1030" s="1" t="s">
        <v>1325</v>
      </c>
      <c r="N1030" s="1" t="s">
        <v>6164</v>
      </c>
      <c r="P1030" s="1" t="s">
        <v>4196</v>
      </c>
      <c r="Q1030" s="3">
        <v>1</v>
      </c>
      <c r="R1030" s="23" t="s">
        <v>6854</v>
      </c>
      <c r="S1030" s="23" t="s">
        <v>6845</v>
      </c>
      <c r="T1030" s="23" t="s">
        <v>4866</v>
      </c>
      <c r="U1030" s="3">
        <v>35</v>
      </c>
      <c r="W1030" s="45" t="str">
        <f>HYPERLINK("http://ictvonline.org/taxonomy/p/taxonomy-history?taxnode_id=201900496","ICTVonline=201900496")</f>
        <v>ICTVonline=201900496</v>
      </c>
      <c r="Y1030" s="1" t="s">
        <v>8794</v>
      </c>
      <c r="Z1030" s="1" t="s">
        <v>8795</v>
      </c>
      <c r="AA1030" s="1">
        <v>201900000</v>
      </c>
      <c r="AB1030" s="1">
        <v>35</v>
      </c>
    </row>
    <row r="1031" spans="1:28" x14ac:dyDescent="0.2">
      <c r="A1031" s="1">
        <v>2793</v>
      </c>
      <c r="B1031" s="1" t="s">
        <v>6850</v>
      </c>
      <c r="D1031" s="1" t="s">
        <v>6851</v>
      </c>
      <c r="F1031" s="1" t="s">
        <v>6914</v>
      </c>
      <c r="H1031" s="1" t="s">
        <v>6915</v>
      </c>
      <c r="J1031" s="1" t="s">
        <v>1324</v>
      </c>
      <c r="L1031" s="1" t="s">
        <v>1325</v>
      </c>
      <c r="N1031" s="1" t="s">
        <v>6165</v>
      </c>
      <c r="P1031" s="1" t="s">
        <v>6166</v>
      </c>
      <c r="Q1031" s="3">
        <v>1</v>
      </c>
      <c r="R1031" s="23" t="s">
        <v>6854</v>
      </c>
      <c r="S1031" s="23" t="s">
        <v>6845</v>
      </c>
      <c r="T1031" s="23" t="s">
        <v>4866</v>
      </c>
      <c r="U1031" s="3">
        <v>35</v>
      </c>
      <c r="W1031" s="45" t="str">
        <f>HYPERLINK("http://ictvonline.org/taxonomy/p/taxonomy-history?taxnode_id=201906679","ICTVonline=201906679")</f>
        <v>ICTVonline=201906679</v>
      </c>
      <c r="Y1031" s="1" t="s">
        <v>8796</v>
      </c>
      <c r="Z1031" s="1" t="s">
        <v>8797</v>
      </c>
      <c r="AA1031" s="1">
        <v>201900000</v>
      </c>
      <c r="AB1031" s="1">
        <v>35</v>
      </c>
    </row>
    <row r="1032" spans="1:28" x14ac:dyDescent="0.2">
      <c r="A1032" s="1">
        <v>2795</v>
      </c>
      <c r="B1032" s="1" t="s">
        <v>6850</v>
      </c>
      <c r="D1032" s="1" t="s">
        <v>6851</v>
      </c>
      <c r="F1032" s="1" t="s">
        <v>6914</v>
      </c>
      <c r="H1032" s="1" t="s">
        <v>6915</v>
      </c>
      <c r="J1032" s="1" t="s">
        <v>1324</v>
      </c>
      <c r="L1032" s="1" t="s">
        <v>1325</v>
      </c>
      <c r="N1032" s="1" t="s">
        <v>6165</v>
      </c>
      <c r="P1032" s="1" t="s">
        <v>6167</v>
      </c>
      <c r="Q1032" s="3">
        <v>0</v>
      </c>
      <c r="R1032" s="23" t="s">
        <v>6854</v>
      </c>
      <c r="S1032" s="23" t="s">
        <v>6845</v>
      </c>
      <c r="T1032" s="23" t="s">
        <v>4866</v>
      </c>
      <c r="U1032" s="3">
        <v>35</v>
      </c>
      <c r="W1032" s="45" t="str">
        <f>HYPERLINK("http://ictvonline.org/taxonomy/p/taxonomy-history?taxnode_id=201906680","ICTVonline=201906680")</f>
        <v>ICTVonline=201906680</v>
      </c>
      <c r="Y1032" s="1" t="s">
        <v>8798</v>
      </c>
      <c r="Z1032" s="1" t="s">
        <v>8799</v>
      </c>
      <c r="AA1032" s="1">
        <v>201900000</v>
      </c>
      <c r="AB1032" s="1">
        <v>35</v>
      </c>
    </row>
    <row r="1033" spans="1:28" x14ac:dyDescent="0.2">
      <c r="A1033" s="1">
        <v>2799</v>
      </c>
      <c r="B1033" s="1" t="s">
        <v>6850</v>
      </c>
      <c r="D1033" s="1" t="s">
        <v>6851</v>
      </c>
      <c r="F1033" s="1" t="s">
        <v>6914</v>
      </c>
      <c r="H1033" s="1" t="s">
        <v>6915</v>
      </c>
      <c r="J1033" s="1" t="s">
        <v>1324</v>
      </c>
      <c r="L1033" s="1" t="s">
        <v>1325</v>
      </c>
      <c r="N1033" s="1" t="s">
        <v>8800</v>
      </c>
      <c r="P1033" s="1" t="s">
        <v>8801</v>
      </c>
      <c r="Q1033" s="3">
        <v>1</v>
      </c>
      <c r="R1033" s="23" t="s">
        <v>6854</v>
      </c>
      <c r="S1033" s="23" t="s">
        <v>6849</v>
      </c>
      <c r="T1033" s="23" t="s">
        <v>4864</v>
      </c>
      <c r="U1033" s="3">
        <v>35</v>
      </c>
      <c r="V1033" s="3" t="s">
        <v>8649</v>
      </c>
      <c r="W1033" s="45" t="str">
        <f>HYPERLINK("http://ictvonline.org/taxonomy/p/taxonomy-history?taxnode_id=201908042","ICTVonline=201908042")</f>
        <v>ICTVonline=201908042</v>
      </c>
      <c r="X1033" s="1" t="s">
        <v>8802</v>
      </c>
      <c r="Y1033" s="1" t="s">
        <v>8803</v>
      </c>
      <c r="Z1033" s="1" t="s">
        <v>8652</v>
      </c>
      <c r="AA1033" s="1">
        <v>201900000</v>
      </c>
      <c r="AB1033" s="1">
        <v>35</v>
      </c>
    </row>
    <row r="1034" spans="1:28" x14ac:dyDescent="0.2">
      <c r="A1034" s="1">
        <v>2803</v>
      </c>
      <c r="B1034" s="1" t="s">
        <v>6850</v>
      </c>
      <c r="D1034" s="1" t="s">
        <v>6851</v>
      </c>
      <c r="F1034" s="1" t="s">
        <v>6914</v>
      </c>
      <c r="H1034" s="1" t="s">
        <v>6915</v>
      </c>
      <c r="J1034" s="1" t="s">
        <v>1324</v>
      </c>
      <c r="L1034" s="1" t="s">
        <v>1325</v>
      </c>
      <c r="N1034" s="1" t="s">
        <v>2876</v>
      </c>
      <c r="P1034" s="1" t="s">
        <v>2877</v>
      </c>
      <c r="Q1034" s="3">
        <v>1</v>
      </c>
      <c r="R1034" s="23" t="s">
        <v>6854</v>
      </c>
      <c r="S1034" s="23" t="s">
        <v>6845</v>
      </c>
      <c r="T1034" s="23" t="s">
        <v>4866</v>
      </c>
      <c r="U1034" s="3">
        <v>35</v>
      </c>
      <c r="W1034" s="45" t="str">
        <f>HYPERLINK("http://ictvonline.org/taxonomy/p/taxonomy-history?taxnode_id=201900456","ICTVonline=201900456")</f>
        <v>ICTVonline=201900456</v>
      </c>
      <c r="AA1034" s="1">
        <v>201900000</v>
      </c>
      <c r="AB1034" s="1">
        <v>35</v>
      </c>
    </row>
    <row r="1035" spans="1:28" x14ac:dyDescent="0.2">
      <c r="A1035" s="1">
        <v>2805</v>
      </c>
      <c r="B1035" s="1" t="s">
        <v>6850</v>
      </c>
      <c r="D1035" s="1" t="s">
        <v>6851</v>
      </c>
      <c r="F1035" s="1" t="s">
        <v>6914</v>
      </c>
      <c r="H1035" s="1" t="s">
        <v>6915</v>
      </c>
      <c r="J1035" s="1" t="s">
        <v>1324</v>
      </c>
      <c r="L1035" s="1" t="s">
        <v>1325</v>
      </c>
      <c r="N1035" s="1" t="s">
        <v>2876</v>
      </c>
      <c r="P1035" s="1" t="s">
        <v>4192</v>
      </c>
      <c r="Q1035" s="3">
        <v>0</v>
      </c>
      <c r="R1035" s="23" t="s">
        <v>6854</v>
      </c>
      <c r="S1035" s="23" t="s">
        <v>6845</v>
      </c>
      <c r="T1035" s="23" t="s">
        <v>4866</v>
      </c>
      <c r="U1035" s="3">
        <v>35</v>
      </c>
      <c r="W1035" s="45" t="str">
        <f>HYPERLINK("http://ictvonline.org/taxonomy/p/taxonomy-history?taxnode_id=201900457","ICTVonline=201900457")</f>
        <v>ICTVonline=201900457</v>
      </c>
      <c r="Y1035" s="1" t="s">
        <v>8804</v>
      </c>
      <c r="Z1035" s="1" t="s">
        <v>8805</v>
      </c>
      <c r="AA1035" s="1">
        <v>201900000</v>
      </c>
      <c r="AB1035" s="1">
        <v>35</v>
      </c>
    </row>
    <row r="1036" spans="1:28" x14ac:dyDescent="0.2">
      <c r="A1036" s="1">
        <v>2809</v>
      </c>
      <c r="B1036" s="1" t="s">
        <v>6850</v>
      </c>
      <c r="D1036" s="1" t="s">
        <v>6851</v>
      </c>
      <c r="F1036" s="1" t="s">
        <v>6914</v>
      </c>
      <c r="H1036" s="1" t="s">
        <v>6915</v>
      </c>
      <c r="J1036" s="1" t="s">
        <v>1324</v>
      </c>
      <c r="L1036" s="1" t="s">
        <v>1325</v>
      </c>
      <c r="N1036" s="1" t="s">
        <v>2878</v>
      </c>
      <c r="P1036" s="1" t="s">
        <v>2879</v>
      </c>
      <c r="Q1036" s="3">
        <v>1</v>
      </c>
      <c r="R1036" s="23" t="s">
        <v>6854</v>
      </c>
      <c r="S1036" s="23" t="s">
        <v>6845</v>
      </c>
      <c r="T1036" s="23" t="s">
        <v>4866</v>
      </c>
      <c r="U1036" s="3">
        <v>35</v>
      </c>
      <c r="W1036" s="45" t="str">
        <f>HYPERLINK("http://ictvonline.org/taxonomy/p/taxonomy-history?taxnode_id=201900459","ICTVonline=201900459")</f>
        <v>ICTVonline=201900459</v>
      </c>
      <c r="AA1036" s="1">
        <v>201900000</v>
      </c>
      <c r="AB1036" s="1">
        <v>35</v>
      </c>
    </row>
    <row r="1037" spans="1:28" x14ac:dyDescent="0.2">
      <c r="A1037" s="1">
        <v>2813</v>
      </c>
      <c r="B1037" s="1" t="s">
        <v>6850</v>
      </c>
      <c r="D1037" s="1" t="s">
        <v>6851</v>
      </c>
      <c r="F1037" s="1" t="s">
        <v>6914</v>
      </c>
      <c r="H1037" s="1" t="s">
        <v>6915</v>
      </c>
      <c r="J1037" s="1" t="s">
        <v>1324</v>
      </c>
      <c r="L1037" s="1" t="s">
        <v>1325</v>
      </c>
      <c r="N1037" s="1" t="s">
        <v>8806</v>
      </c>
      <c r="P1037" s="1" t="s">
        <v>2842</v>
      </c>
      <c r="Q1037" s="3">
        <v>0</v>
      </c>
      <c r="R1037" s="23" t="s">
        <v>6854</v>
      </c>
      <c r="S1037" s="23" t="s">
        <v>6845</v>
      </c>
      <c r="T1037" s="23" t="s">
        <v>4866</v>
      </c>
      <c r="U1037" s="3">
        <v>35</v>
      </c>
      <c r="W1037" s="45" t="str">
        <f>HYPERLINK("http://ictvonline.org/taxonomy/p/taxonomy-history?taxnode_id=201900402","ICTVonline=201900402")</f>
        <v>ICTVonline=201900402</v>
      </c>
      <c r="AA1037" s="1">
        <v>201900000</v>
      </c>
      <c r="AB1037" s="1">
        <v>35</v>
      </c>
    </row>
    <row r="1038" spans="1:28" x14ac:dyDescent="0.2">
      <c r="A1038" s="1">
        <v>2815</v>
      </c>
      <c r="B1038" s="1" t="s">
        <v>6850</v>
      </c>
      <c r="D1038" s="1" t="s">
        <v>6851</v>
      </c>
      <c r="F1038" s="1" t="s">
        <v>6914</v>
      </c>
      <c r="H1038" s="1" t="s">
        <v>6915</v>
      </c>
      <c r="J1038" s="1" t="s">
        <v>1324</v>
      </c>
      <c r="L1038" s="1" t="s">
        <v>1325</v>
      </c>
      <c r="N1038" s="1" t="s">
        <v>8806</v>
      </c>
      <c r="P1038" s="1" t="s">
        <v>2843</v>
      </c>
      <c r="Q1038" s="3">
        <v>0</v>
      </c>
      <c r="R1038" s="23" t="s">
        <v>6854</v>
      </c>
      <c r="S1038" s="23" t="s">
        <v>6845</v>
      </c>
      <c r="T1038" s="23" t="s">
        <v>4866</v>
      </c>
      <c r="U1038" s="3">
        <v>35</v>
      </c>
      <c r="W1038" s="45" t="str">
        <f>HYPERLINK("http://ictvonline.org/taxonomy/p/taxonomy-history?taxnode_id=201900403","ICTVonline=201900403")</f>
        <v>ICTVonline=201900403</v>
      </c>
      <c r="AA1038" s="1">
        <v>201900000</v>
      </c>
      <c r="AB1038" s="1">
        <v>35</v>
      </c>
    </row>
    <row r="1039" spans="1:28" x14ac:dyDescent="0.2">
      <c r="A1039" s="1">
        <v>2817</v>
      </c>
      <c r="B1039" s="1" t="s">
        <v>6850</v>
      </c>
      <c r="D1039" s="1" t="s">
        <v>6851</v>
      </c>
      <c r="F1039" s="1" t="s">
        <v>6914</v>
      </c>
      <c r="H1039" s="1" t="s">
        <v>6915</v>
      </c>
      <c r="J1039" s="1" t="s">
        <v>1324</v>
      </c>
      <c r="L1039" s="1" t="s">
        <v>1325</v>
      </c>
      <c r="N1039" s="1" t="s">
        <v>8806</v>
      </c>
      <c r="P1039" s="1" t="s">
        <v>2844</v>
      </c>
      <c r="Q1039" s="3">
        <v>1</v>
      </c>
      <c r="R1039" s="23" t="s">
        <v>6854</v>
      </c>
      <c r="S1039" s="23" t="s">
        <v>6845</v>
      </c>
      <c r="T1039" s="23" t="s">
        <v>4866</v>
      </c>
      <c r="U1039" s="3">
        <v>35</v>
      </c>
      <c r="W1039" s="45" t="str">
        <f>HYPERLINK("http://ictvonline.org/taxonomy/p/taxonomy-history?taxnode_id=201900404","ICTVonline=201900404")</f>
        <v>ICTVonline=201900404</v>
      </c>
      <c r="AA1039" s="1">
        <v>201900000</v>
      </c>
      <c r="AB1039" s="1">
        <v>35</v>
      </c>
    </row>
    <row r="1040" spans="1:28" x14ac:dyDescent="0.2">
      <c r="A1040" s="1">
        <v>2819</v>
      </c>
      <c r="B1040" s="1" t="s">
        <v>6850</v>
      </c>
      <c r="D1040" s="1" t="s">
        <v>6851</v>
      </c>
      <c r="F1040" s="1" t="s">
        <v>6914</v>
      </c>
      <c r="H1040" s="1" t="s">
        <v>6915</v>
      </c>
      <c r="J1040" s="1" t="s">
        <v>1324</v>
      </c>
      <c r="L1040" s="1" t="s">
        <v>1325</v>
      </c>
      <c r="N1040" s="1" t="s">
        <v>8806</v>
      </c>
      <c r="P1040" s="1" t="s">
        <v>2845</v>
      </c>
      <c r="Q1040" s="3">
        <v>0</v>
      </c>
      <c r="R1040" s="23" t="s">
        <v>6854</v>
      </c>
      <c r="S1040" s="23" t="s">
        <v>6845</v>
      </c>
      <c r="T1040" s="23" t="s">
        <v>4866</v>
      </c>
      <c r="U1040" s="3">
        <v>35</v>
      </c>
      <c r="W1040" s="45" t="str">
        <f>HYPERLINK("http://ictvonline.org/taxonomy/p/taxonomy-history?taxnode_id=201900405","ICTVonline=201900405")</f>
        <v>ICTVonline=201900405</v>
      </c>
      <c r="AA1040" s="1">
        <v>201900000</v>
      </c>
      <c r="AB1040" s="1">
        <v>35</v>
      </c>
    </row>
    <row r="1041" spans="1:28" x14ac:dyDescent="0.2">
      <c r="A1041" s="1">
        <v>2821</v>
      </c>
      <c r="B1041" s="1" t="s">
        <v>6850</v>
      </c>
      <c r="D1041" s="1" t="s">
        <v>6851</v>
      </c>
      <c r="F1041" s="1" t="s">
        <v>6914</v>
      </c>
      <c r="H1041" s="1" t="s">
        <v>6915</v>
      </c>
      <c r="J1041" s="1" t="s">
        <v>1324</v>
      </c>
      <c r="L1041" s="1" t="s">
        <v>1325</v>
      </c>
      <c r="N1041" s="1" t="s">
        <v>8806</v>
      </c>
      <c r="P1041" s="1" t="s">
        <v>2846</v>
      </c>
      <c r="Q1041" s="3">
        <v>0</v>
      </c>
      <c r="R1041" s="23" t="s">
        <v>6854</v>
      </c>
      <c r="S1041" s="23" t="s">
        <v>6845</v>
      </c>
      <c r="T1041" s="23" t="s">
        <v>4866</v>
      </c>
      <c r="U1041" s="3">
        <v>35</v>
      </c>
      <c r="W1041" s="45" t="str">
        <f>HYPERLINK("http://ictvonline.org/taxonomy/p/taxonomy-history?taxnode_id=201900406","ICTVonline=201900406")</f>
        <v>ICTVonline=201900406</v>
      </c>
      <c r="AA1041" s="1">
        <v>201900000</v>
      </c>
      <c r="AB1041" s="1">
        <v>35</v>
      </c>
    </row>
    <row r="1042" spans="1:28" x14ac:dyDescent="0.2">
      <c r="A1042" s="1">
        <v>2825</v>
      </c>
      <c r="B1042" s="1" t="s">
        <v>6850</v>
      </c>
      <c r="D1042" s="1" t="s">
        <v>6851</v>
      </c>
      <c r="F1042" s="1" t="s">
        <v>6914</v>
      </c>
      <c r="H1042" s="1" t="s">
        <v>6915</v>
      </c>
      <c r="J1042" s="1" t="s">
        <v>1324</v>
      </c>
      <c r="L1042" s="1" t="s">
        <v>1325</v>
      </c>
      <c r="N1042" s="1" t="s">
        <v>8807</v>
      </c>
      <c r="P1042" s="1" t="s">
        <v>8808</v>
      </c>
      <c r="Q1042" s="3">
        <v>1</v>
      </c>
      <c r="R1042" s="23" t="s">
        <v>6854</v>
      </c>
      <c r="S1042" s="23" t="s">
        <v>6849</v>
      </c>
      <c r="T1042" s="23" t="s">
        <v>4864</v>
      </c>
      <c r="U1042" s="3">
        <v>35</v>
      </c>
      <c r="V1042" s="3" t="s">
        <v>8558</v>
      </c>
      <c r="W1042" s="45" t="str">
        <f>HYPERLINK("http://ictvonline.org/taxonomy/p/taxonomy-history?taxnode_id=201907801","ICTVonline=201907801")</f>
        <v>ICTVonline=201907801</v>
      </c>
      <c r="Y1042" s="1" t="s">
        <v>8809</v>
      </c>
      <c r="AA1042" s="1">
        <v>201900000</v>
      </c>
      <c r="AB1042" s="1">
        <v>35</v>
      </c>
    </row>
    <row r="1043" spans="1:28" x14ac:dyDescent="0.2">
      <c r="A1043" s="1">
        <v>2829</v>
      </c>
      <c r="B1043" s="1" t="s">
        <v>6850</v>
      </c>
      <c r="D1043" s="1" t="s">
        <v>6851</v>
      </c>
      <c r="F1043" s="1" t="s">
        <v>6914</v>
      </c>
      <c r="H1043" s="1" t="s">
        <v>6915</v>
      </c>
      <c r="J1043" s="1" t="s">
        <v>1324</v>
      </c>
      <c r="L1043" s="1" t="s">
        <v>1325</v>
      </c>
      <c r="N1043" s="1" t="s">
        <v>6168</v>
      </c>
      <c r="P1043" s="1" t="s">
        <v>2873</v>
      </c>
      <c r="Q1043" s="3">
        <v>0</v>
      </c>
      <c r="R1043" s="23" t="s">
        <v>6854</v>
      </c>
      <c r="S1043" s="23" t="s">
        <v>6845</v>
      </c>
      <c r="T1043" s="23" t="s">
        <v>4866</v>
      </c>
      <c r="U1043" s="3">
        <v>35</v>
      </c>
      <c r="W1043" s="45" t="str">
        <f>HYPERLINK("http://ictvonline.org/taxonomy/p/taxonomy-history?taxnode_id=201900440","ICTVonline=201900440")</f>
        <v>ICTVonline=201900440</v>
      </c>
      <c r="Y1043" s="1" t="s">
        <v>8810</v>
      </c>
      <c r="Z1043" s="1" t="s">
        <v>8811</v>
      </c>
      <c r="AA1043" s="1">
        <v>201900000</v>
      </c>
      <c r="AB1043" s="1">
        <v>35</v>
      </c>
    </row>
    <row r="1044" spans="1:28" x14ac:dyDescent="0.2">
      <c r="A1044" s="1">
        <v>2831</v>
      </c>
      <c r="B1044" s="1" t="s">
        <v>6850</v>
      </c>
      <c r="D1044" s="1" t="s">
        <v>6851</v>
      </c>
      <c r="F1044" s="1" t="s">
        <v>6914</v>
      </c>
      <c r="H1044" s="1" t="s">
        <v>6915</v>
      </c>
      <c r="J1044" s="1" t="s">
        <v>1324</v>
      </c>
      <c r="L1044" s="1" t="s">
        <v>1325</v>
      </c>
      <c r="N1044" s="1" t="s">
        <v>6168</v>
      </c>
      <c r="P1044" s="1" t="s">
        <v>6169</v>
      </c>
      <c r="Q1044" s="3">
        <v>0</v>
      </c>
      <c r="R1044" s="23" t="s">
        <v>6854</v>
      </c>
      <c r="S1044" s="23" t="s">
        <v>6845</v>
      </c>
      <c r="T1044" s="23" t="s">
        <v>4866</v>
      </c>
      <c r="U1044" s="3">
        <v>35</v>
      </c>
      <c r="W1044" s="45" t="str">
        <f>HYPERLINK("http://ictvonline.org/taxonomy/p/taxonomy-history?taxnode_id=201907000","ICTVonline=201907000")</f>
        <v>ICTVonline=201907000</v>
      </c>
      <c r="Y1044" s="1" t="s">
        <v>8812</v>
      </c>
      <c r="Z1044" s="1" t="s">
        <v>8813</v>
      </c>
      <c r="AA1044" s="1">
        <v>201900000</v>
      </c>
      <c r="AB1044" s="1">
        <v>35</v>
      </c>
    </row>
    <row r="1045" spans="1:28" x14ac:dyDescent="0.2">
      <c r="A1045" s="1">
        <v>2833</v>
      </c>
      <c r="B1045" s="1" t="s">
        <v>6850</v>
      </c>
      <c r="D1045" s="1" t="s">
        <v>6851</v>
      </c>
      <c r="F1045" s="1" t="s">
        <v>6914</v>
      </c>
      <c r="H1045" s="1" t="s">
        <v>6915</v>
      </c>
      <c r="J1045" s="1" t="s">
        <v>1324</v>
      </c>
      <c r="L1045" s="1" t="s">
        <v>1325</v>
      </c>
      <c r="N1045" s="1" t="s">
        <v>6168</v>
      </c>
      <c r="P1045" s="1" t="s">
        <v>2874</v>
      </c>
      <c r="Q1045" s="3">
        <v>1</v>
      </c>
      <c r="R1045" s="23" t="s">
        <v>6854</v>
      </c>
      <c r="S1045" s="23" t="s">
        <v>6845</v>
      </c>
      <c r="T1045" s="23" t="s">
        <v>4866</v>
      </c>
      <c r="U1045" s="3">
        <v>35</v>
      </c>
      <c r="W1045" s="45" t="str">
        <f>HYPERLINK("http://ictvonline.org/taxonomy/p/taxonomy-history?taxnode_id=201900441","ICTVonline=201900441")</f>
        <v>ICTVonline=201900441</v>
      </c>
      <c r="Y1045" s="1" t="s">
        <v>8814</v>
      </c>
      <c r="Z1045" s="1" t="s">
        <v>8815</v>
      </c>
      <c r="AA1045" s="1">
        <v>201900000</v>
      </c>
      <c r="AB1045" s="1">
        <v>35</v>
      </c>
    </row>
    <row r="1046" spans="1:28" x14ac:dyDescent="0.2">
      <c r="A1046" s="1">
        <v>2835</v>
      </c>
      <c r="B1046" s="1" t="s">
        <v>6850</v>
      </c>
      <c r="D1046" s="1" t="s">
        <v>6851</v>
      </c>
      <c r="F1046" s="1" t="s">
        <v>6914</v>
      </c>
      <c r="H1046" s="1" t="s">
        <v>6915</v>
      </c>
      <c r="J1046" s="1" t="s">
        <v>1324</v>
      </c>
      <c r="L1046" s="1" t="s">
        <v>1325</v>
      </c>
      <c r="N1046" s="1" t="s">
        <v>6168</v>
      </c>
      <c r="P1046" s="1" t="s">
        <v>2875</v>
      </c>
      <c r="Q1046" s="3">
        <v>0</v>
      </c>
      <c r="R1046" s="23" t="s">
        <v>6854</v>
      </c>
      <c r="S1046" s="23" t="s">
        <v>6845</v>
      </c>
      <c r="T1046" s="23" t="s">
        <v>4866</v>
      </c>
      <c r="U1046" s="3">
        <v>35</v>
      </c>
      <c r="W1046" s="45" t="str">
        <f>HYPERLINK("http://ictvonline.org/taxonomy/p/taxonomy-history?taxnode_id=201900442","ICTVonline=201900442")</f>
        <v>ICTVonline=201900442</v>
      </c>
      <c r="Y1046" s="1" t="s">
        <v>8816</v>
      </c>
      <c r="Z1046" s="1" t="s">
        <v>8817</v>
      </c>
      <c r="AA1046" s="1">
        <v>201900000</v>
      </c>
      <c r="AB1046" s="1">
        <v>35</v>
      </c>
    </row>
    <row r="1047" spans="1:28" x14ac:dyDescent="0.2">
      <c r="A1047" s="1">
        <v>2837</v>
      </c>
      <c r="B1047" s="1" t="s">
        <v>6850</v>
      </c>
      <c r="D1047" s="1" t="s">
        <v>6851</v>
      </c>
      <c r="F1047" s="1" t="s">
        <v>6914</v>
      </c>
      <c r="H1047" s="1" t="s">
        <v>6915</v>
      </c>
      <c r="J1047" s="1" t="s">
        <v>1324</v>
      </c>
      <c r="L1047" s="1" t="s">
        <v>1325</v>
      </c>
      <c r="N1047" s="1" t="s">
        <v>6168</v>
      </c>
      <c r="P1047" s="1" t="s">
        <v>6170</v>
      </c>
      <c r="Q1047" s="3">
        <v>0</v>
      </c>
      <c r="R1047" s="23" t="s">
        <v>6854</v>
      </c>
      <c r="S1047" s="23" t="s">
        <v>6845</v>
      </c>
      <c r="T1047" s="23" t="s">
        <v>4866</v>
      </c>
      <c r="U1047" s="3">
        <v>35</v>
      </c>
      <c r="W1047" s="45" t="str">
        <f>HYPERLINK("http://ictvonline.org/taxonomy/p/taxonomy-history?taxnode_id=201907001","ICTVonline=201907001")</f>
        <v>ICTVonline=201907001</v>
      </c>
      <c r="Y1047" s="1" t="s">
        <v>8818</v>
      </c>
      <c r="Z1047" s="1" t="s">
        <v>8819</v>
      </c>
      <c r="AA1047" s="1">
        <v>201900000</v>
      </c>
      <c r="AB1047" s="1">
        <v>35</v>
      </c>
    </row>
    <row r="1048" spans="1:28" x14ac:dyDescent="0.2">
      <c r="A1048" s="1">
        <v>2841</v>
      </c>
      <c r="B1048" s="1" t="s">
        <v>6850</v>
      </c>
      <c r="D1048" s="1" t="s">
        <v>6851</v>
      </c>
      <c r="F1048" s="1" t="s">
        <v>6914</v>
      </c>
      <c r="H1048" s="1" t="s">
        <v>6915</v>
      </c>
      <c r="J1048" s="1" t="s">
        <v>1324</v>
      </c>
      <c r="L1048" s="1" t="s">
        <v>1325</v>
      </c>
      <c r="N1048" s="1" t="s">
        <v>8820</v>
      </c>
      <c r="P1048" s="1" t="s">
        <v>8821</v>
      </c>
      <c r="Q1048" s="3">
        <v>1</v>
      </c>
      <c r="R1048" s="23" t="s">
        <v>6854</v>
      </c>
      <c r="S1048" s="23" t="s">
        <v>6849</v>
      </c>
      <c r="T1048" s="23" t="s">
        <v>4864</v>
      </c>
      <c r="U1048" s="3">
        <v>35</v>
      </c>
      <c r="V1048" s="3" t="s">
        <v>8558</v>
      </c>
      <c r="W1048" s="45" t="str">
        <f>HYPERLINK("http://ictvonline.org/taxonomy/p/taxonomy-history?taxnode_id=201907782","ICTVonline=201907782")</f>
        <v>ICTVonline=201907782</v>
      </c>
      <c r="Y1048" s="1" t="s">
        <v>8822</v>
      </c>
      <c r="AA1048" s="1">
        <v>201900000</v>
      </c>
      <c r="AB1048" s="1">
        <v>35</v>
      </c>
    </row>
    <row r="1049" spans="1:28" x14ac:dyDescent="0.2">
      <c r="A1049" s="1">
        <v>2843</v>
      </c>
      <c r="B1049" s="1" t="s">
        <v>6850</v>
      </c>
      <c r="D1049" s="1" t="s">
        <v>6851</v>
      </c>
      <c r="F1049" s="1" t="s">
        <v>6914</v>
      </c>
      <c r="H1049" s="1" t="s">
        <v>6915</v>
      </c>
      <c r="J1049" s="1" t="s">
        <v>1324</v>
      </c>
      <c r="L1049" s="1" t="s">
        <v>1325</v>
      </c>
      <c r="N1049" s="1" t="s">
        <v>8820</v>
      </c>
      <c r="P1049" s="1" t="s">
        <v>8823</v>
      </c>
      <c r="Q1049" s="3">
        <v>0</v>
      </c>
      <c r="R1049" s="23" t="s">
        <v>6854</v>
      </c>
      <c r="S1049" s="23" t="s">
        <v>6849</v>
      </c>
      <c r="T1049" s="23" t="s">
        <v>4864</v>
      </c>
      <c r="U1049" s="3">
        <v>35</v>
      </c>
      <c r="V1049" s="3" t="s">
        <v>8558</v>
      </c>
      <c r="W1049" s="45" t="str">
        <f>HYPERLINK("http://ictvonline.org/taxonomy/p/taxonomy-history?taxnode_id=201907783","ICTVonline=201907783")</f>
        <v>ICTVonline=201907783</v>
      </c>
      <c r="Y1049" s="1" t="s">
        <v>8824</v>
      </c>
      <c r="AA1049" s="1">
        <v>201900000</v>
      </c>
      <c r="AB1049" s="1">
        <v>35</v>
      </c>
    </row>
    <row r="1050" spans="1:28" x14ac:dyDescent="0.2">
      <c r="A1050" s="1">
        <v>2847</v>
      </c>
      <c r="B1050" s="1" t="s">
        <v>6850</v>
      </c>
      <c r="D1050" s="1" t="s">
        <v>6851</v>
      </c>
      <c r="F1050" s="1" t="s">
        <v>6914</v>
      </c>
      <c r="H1050" s="1" t="s">
        <v>6915</v>
      </c>
      <c r="J1050" s="1" t="s">
        <v>1324</v>
      </c>
      <c r="L1050" s="1" t="s">
        <v>1325</v>
      </c>
      <c r="N1050" s="1" t="s">
        <v>8825</v>
      </c>
      <c r="P1050" s="1" t="s">
        <v>8826</v>
      </c>
      <c r="Q1050" s="3">
        <v>0</v>
      </c>
      <c r="R1050" s="23" t="s">
        <v>6854</v>
      </c>
      <c r="S1050" s="23" t="s">
        <v>6849</v>
      </c>
      <c r="T1050" s="23" t="s">
        <v>4864</v>
      </c>
      <c r="U1050" s="3">
        <v>35</v>
      </c>
      <c r="V1050" s="3" t="s">
        <v>8558</v>
      </c>
      <c r="W1050" s="45" t="str">
        <f>HYPERLINK("http://ictvonline.org/taxonomy/p/taxonomy-history?taxnode_id=201907797","ICTVonline=201907797")</f>
        <v>ICTVonline=201907797</v>
      </c>
      <c r="Y1050" s="1" t="s">
        <v>8827</v>
      </c>
      <c r="AA1050" s="1">
        <v>201900000</v>
      </c>
      <c r="AB1050" s="1">
        <v>35</v>
      </c>
    </row>
    <row r="1051" spans="1:28" x14ac:dyDescent="0.2">
      <c r="A1051" s="1">
        <v>2849</v>
      </c>
      <c r="B1051" s="1" t="s">
        <v>6850</v>
      </c>
      <c r="D1051" s="1" t="s">
        <v>6851</v>
      </c>
      <c r="F1051" s="1" t="s">
        <v>6914</v>
      </c>
      <c r="H1051" s="1" t="s">
        <v>6915</v>
      </c>
      <c r="J1051" s="1" t="s">
        <v>1324</v>
      </c>
      <c r="L1051" s="1" t="s">
        <v>1325</v>
      </c>
      <c r="N1051" s="1" t="s">
        <v>8825</v>
      </c>
      <c r="P1051" s="1" t="s">
        <v>8828</v>
      </c>
      <c r="Q1051" s="3">
        <v>1</v>
      </c>
      <c r="R1051" s="23" t="s">
        <v>6854</v>
      </c>
      <c r="S1051" s="23" t="s">
        <v>6849</v>
      </c>
      <c r="T1051" s="23" t="s">
        <v>4864</v>
      </c>
      <c r="U1051" s="3">
        <v>35</v>
      </c>
      <c r="V1051" s="3" t="s">
        <v>8558</v>
      </c>
      <c r="W1051" s="45" t="str">
        <f>HYPERLINK("http://ictvonline.org/taxonomy/p/taxonomy-history?taxnode_id=201907796","ICTVonline=201907796")</f>
        <v>ICTVonline=201907796</v>
      </c>
      <c r="Y1051" s="1" t="s">
        <v>8829</v>
      </c>
      <c r="AA1051" s="1">
        <v>201900000</v>
      </c>
      <c r="AB1051" s="1">
        <v>35</v>
      </c>
    </row>
    <row r="1052" spans="1:28" x14ac:dyDescent="0.2">
      <c r="A1052" s="1">
        <v>2853</v>
      </c>
      <c r="B1052" s="1" t="s">
        <v>6850</v>
      </c>
      <c r="D1052" s="1" t="s">
        <v>6851</v>
      </c>
      <c r="F1052" s="1" t="s">
        <v>6914</v>
      </c>
      <c r="H1052" s="1" t="s">
        <v>6915</v>
      </c>
      <c r="J1052" s="1" t="s">
        <v>1324</v>
      </c>
      <c r="L1052" s="1" t="s">
        <v>1325</v>
      </c>
      <c r="N1052" s="1" t="s">
        <v>8830</v>
      </c>
      <c r="P1052" s="1" t="s">
        <v>8831</v>
      </c>
      <c r="Q1052" s="3">
        <v>1</v>
      </c>
      <c r="R1052" s="23" t="s">
        <v>6854</v>
      </c>
      <c r="S1052" s="23" t="s">
        <v>6849</v>
      </c>
      <c r="T1052" s="23" t="s">
        <v>4864</v>
      </c>
      <c r="U1052" s="3">
        <v>35</v>
      </c>
      <c r="V1052" s="3" t="s">
        <v>8558</v>
      </c>
      <c r="W1052" s="45" t="str">
        <f>HYPERLINK("http://ictvonline.org/taxonomy/p/taxonomy-history?taxnode_id=201907789","ICTVonline=201907789")</f>
        <v>ICTVonline=201907789</v>
      </c>
      <c r="Y1052" s="1" t="s">
        <v>8832</v>
      </c>
      <c r="AA1052" s="1">
        <v>201900000</v>
      </c>
      <c r="AB1052" s="1">
        <v>35</v>
      </c>
    </row>
    <row r="1053" spans="1:28" x14ac:dyDescent="0.2">
      <c r="A1053" s="1">
        <v>2857</v>
      </c>
      <c r="B1053" s="1" t="s">
        <v>6850</v>
      </c>
      <c r="D1053" s="1" t="s">
        <v>6851</v>
      </c>
      <c r="F1053" s="1" t="s">
        <v>6914</v>
      </c>
      <c r="H1053" s="1" t="s">
        <v>6915</v>
      </c>
      <c r="J1053" s="1" t="s">
        <v>1324</v>
      </c>
      <c r="L1053" s="1" t="s">
        <v>1325</v>
      </c>
      <c r="N1053" s="1" t="s">
        <v>8833</v>
      </c>
      <c r="P1053" s="1" t="s">
        <v>8834</v>
      </c>
      <c r="Q1053" s="3">
        <v>1</v>
      </c>
      <c r="R1053" s="23" t="s">
        <v>6854</v>
      </c>
      <c r="S1053" s="23" t="s">
        <v>6849</v>
      </c>
      <c r="T1053" s="23" t="s">
        <v>4864</v>
      </c>
      <c r="U1053" s="3">
        <v>35</v>
      </c>
      <c r="V1053" s="3" t="s">
        <v>8590</v>
      </c>
      <c r="W1053" s="45" t="str">
        <f>HYPERLINK("http://ictvonline.org/taxonomy/p/taxonomy-history?taxnode_id=201907768","ICTVonline=201907768")</f>
        <v>ICTVonline=201907768</v>
      </c>
      <c r="Y1053" s="1" t="s">
        <v>8835</v>
      </c>
      <c r="AA1053" s="1">
        <v>201900000</v>
      </c>
      <c r="AB1053" s="1">
        <v>35</v>
      </c>
    </row>
    <row r="1054" spans="1:28" x14ac:dyDescent="0.2">
      <c r="A1054" s="1">
        <v>2861</v>
      </c>
      <c r="B1054" s="1" t="s">
        <v>6850</v>
      </c>
      <c r="D1054" s="1" t="s">
        <v>6851</v>
      </c>
      <c r="F1054" s="1" t="s">
        <v>6914</v>
      </c>
      <c r="H1054" s="1" t="s">
        <v>6915</v>
      </c>
      <c r="J1054" s="1" t="s">
        <v>1324</v>
      </c>
      <c r="L1054" s="1" t="s">
        <v>1325</v>
      </c>
      <c r="N1054" s="1" t="s">
        <v>6174</v>
      </c>
      <c r="P1054" s="1" t="s">
        <v>6175</v>
      </c>
      <c r="Q1054" s="3">
        <v>1</v>
      </c>
      <c r="R1054" s="23" t="s">
        <v>6854</v>
      </c>
      <c r="S1054" s="23" t="s">
        <v>6845</v>
      </c>
      <c r="T1054" s="23" t="s">
        <v>4866</v>
      </c>
      <c r="U1054" s="3">
        <v>35</v>
      </c>
      <c r="W1054" s="45" t="str">
        <f>HYPERLINK("http://ictvonline.org/taxonomy/p/taxonomy-history?taxnode_id=201906327","ICTVonline=201906327")</f>
        <v>ICTVonline=201906327</v>
      </c>
      <c r="Y1054" s="1" t="s">
        <v>8836</v>
      </c>
      <c r="Z1054" s="1" t="s">
        <v>8837</v>
      </c>
      <c r="AA1054" s="1">
        <v>201900000</v>
      </c>
      <c r="AB1054" s="1">
        <v>35</v>
      </c>
    </row>
    <row r="1055" spans="1:28" x14ac:dyDescent="0.2">
      <c r="A1055" s="1">
        <v>2865</v>
      </c>
      <c r="B1055" s="1" t="s">
        <v>6850</v>
      </c>
      <c r="D1055" s="1" t="s">
        <v>6851</v>
      </c>
      <c r="F1055" s="1" t="s">
        <v>6914</v>
      </c>
      <c r="H1055" s="1" t="s">
        <v>6915</v>
      </c>
      <c r="J1055" s="1" t="s">
        <v>1324</v>
      </c>
      <c r="L1055" s="1" t="s">
        <v>1325</v>
      </c>
      <c r="N1055" s="1" t="s">
        <v>6176</v>
      </c>
      <c r="P1055" s="1" t="s">
        <v>2826</v>
      </c>
      <c r="Q1055" s="3">
        <v>0</v>
      </c>
      <c r="R1055" s="23" t="s">
        <v>6854</v>
      </c>
      <c r="S1055" s="23" t="s">
        <v>6845</v>
      </c>
      <c r="T1055" s="23" t="s">
        <v>4866</v>
      </c>
      <c r="U1055" s="3">
        <v>35</v>
      </c>
      <c r="W1055" s="45" t="str">
        <f>HYPERLINK("http://ictvonline.org/taxonomy/p/taxonomy-history?taxnode_id=201900377","ICTVonline=201900377")</f>
        <v>ICTVonline=201900377</v>
      </c>
      <c r="Y1055" s="1" t="s">
        <v>8838</v>
      </c>
      <c r="Z1055" s="1" t="s">
        <v>8839</v>
      </c>
      <c r="AA1055" s="1">
        <v>201900000</v>
      </c>
      <c r="AB1055" s="1">
        <v>35</v>
      </c>
    </row>
    <row r="1056" spans="1:28" x14ac:dyDescent="0.2">
      <c r="A1056" s="1">
        <v>2867</v>
      </c>
      <c r="B1056" s="1" t="s">
        <v>6850</v>
      </c>
      <c r="D1056" s="1" t="s">
        <v>6851</v>
      </c>
      <c r="F1056" s="1" t="s">
        <v>6914</v>
      </c>
      <c r="H1056" s="1" t="s">
        <v>6915</v>
      </c>
      <c r="J1056" s="1" t="s">
        <v>1324</v>
      </c>
      <c r="L1056" s="1" t="s">
        <v>1325</v>
      </c>
      <c r="N1056" s="1" t="s">
        <v>6176</v>
      </c>
      <c r="P1056" s="1" t="s">
        <v>2827</v>
      </c>
      <c r="Q1056" s="3">
        <v>0</v>
      </c>
      <c r="R1056" s="23" t="s">
        <v>6854</v>
      </c>
      <c r="S1056" s="23" t="s">
        <v>6845</v>
      </c>
      <c r="T1056" s="23" t="s">
        <v>4866</v>
      </c>
      <c r="U1056" s="3">
        <v>35</v>
      </c>
      <c r="W1056" s="45" t="str">
        <f>HYPERLINK("http://ictvonline.org/taxonomy/p/taxonomy-history?taxnode_id=201900378","ICTVonline=201900378")</f>
        <v>ICTVonline=201900378</v>
      </c>
      <c r="Y1056" s="1" t="s">
        <v>8840</v>
      </c>
      <c r="Z1056" s="1" t="s">
        <v>8841</v>
      </c>
      <c r="AA1056" s="1">
        <v>201900000</v>
      </c>
      <c r="AB1056" s="1">
        <v>35</v>
      </c>
    </row>
    <row r="1057" spans="1:28" x14ac:dyDescent="0.2">
      <c r="A1057" s="1">
        <v>2869</v>
      </c>
      <c r="B1057" s="1" t="s">
        <v>6850</v>
      </c>
      <c r="D1057" s="1" t="s">
        <v>6851</v>
      </c>
      <c r="F1057" s="1" t="s">
        <v>6914</v>
      </c>
      <c r="H1057" s="1" t="s">
        <v>6915</v>
      </c>
      <c r="J1057" s="1" t="s">
        <v>1324</v>
      </c>
      <c r="L1057" s="1" t="s">
        <v>1325</v>
      </c>
      <c r="N1057" s="1" t="s">
        <v>6176</v>
      </c>
      <c r="P1057" s="1" t="s">
        <v>2828</v>
      </c>
      <c r="Q1057" s="3">
        <v>0</v>
      </c>
      <c r="R1057" s="23" t="s">
        <v>6854</v>
      </c>
      <c r="S1057" s="23" t="s">
        <v>6845</v>
      </c>
      <c r="T1057" s="23" t="s">
        <v>4866</v>
      </c>
      <c r="U1057" s="3">
        <v>35</v>
      </c>
      <c r="W1057" s="45" t="str">
        <f>HYPERLINK("http://ictvonline.org/taxonomy/p/taxonomy-history?taxnode_id=201900379","ICTVonline=201900379")</f>
        <v>ICTVonline=201900379</v>
      </c>
      <c r="Y1057" s="1" t="s">
        <v>8842</v>
      </c>
      <c r="Z1057" s="1" t="s">
        <v>8843</v>
      </c>
      <c r="AA1057" s="1">
        <v>201900000</v>
      </c>
      <c r="AB1057" s="1">
        <v>35</v>
      </c>
    </row>
    <row r="1058" spans="1:28" x14ac:dyDescent="0.2">
      <c r="A1058" s="1">
        <v>2871</v>
      </c>
      <c r="B1058" s="1" t="s">
        <v>6850</v>
      </c>
      <c r="D1058" s="1" t="s">
        <v>6851</v>
      </c>
      <c r="F1058" s="1" t="s">
        <v>6914</v>
      </c>
      <c r="H1058" s="1" t="s">
        <v>6915</v>
      </c>
      <c r="J1058" s="1" t="s">
        <v>1324</v>
      </c>
      <c r="L1058" s="1" t="s">
        <v>1325</v>
      </c>
      <c r="N1058" s="1" t="s">
        <v>6176</v>
      </c>
      <c r="P1058" s="1" t="s">
        <v>6177</v>
      </c>
      <c r="Q1058" s="3">
        <v>0</v>
      </c>
      <c r="R1058" s="23" t="s">
        <v>6854</v>
      </c>
      <c r="S1058" s="23" t="s">
        <v>6845</v>
      </c>
      <c r="T1058" s="23" t="s">
        <v>4866</v>
      </c>
      <c r="U1058" s="3">
        <v>35</v>
      </c>
      <c r="W1058" s="45" t="str">
        <f>HYPERLINK("http://ictvonline.org/taxonomy/p/taxonomy-history?taxnode_id=201906922","ICTVonline=201906922")</f>
        <v>ICTVonline=201906922</v>
      </c>
      <c r="Y1058" s="1" t="s">
        <v>8844</v>
      </c>
      <c r="Z1058" s="1" t="s">
        <v>8845</v>
      </c>
      <c r="AA1058" s="1">
        <v>201900000</v>
      </c>
      <c r="AB1058" s="1">
        <v>35</v>
      </c>
    </row>
    <row r="1059" spans="1:28" x14ac:dyDescent="0.2">
      <c r="A1059" s="1">
        <v>2873</v>
      </c>
      <c r="B1059" s="1" t="s">
        <v>6850</v>
      </c>
      <c r="D1059" s="1" t="s">
        <v>6851</v>
      </c>
      <c r="F1059" s="1" t="s">
        <v>6914</v>
      </c>
      <c r="H1059" s="1" t="s">
        <v>6915</v>
      </c>
      <c r="J1059" s="1" t="s">
        <v>1324</v>
      </c>
      <c r="L1059" s="1" t="s">
        <v>1325</v>
      </c>
      <c r="N1059" s="1" t="s">
        <v>6176</v>
      </c>
      <c r="P1059" s="1" t="s">
        <v>2829</v>
      </c>
      <c r="Q1059" s="3">
        <v>1</v>
      </c>
      <c r="R1059" s="23" t="s">
        <v>6854</v>
      </c>
      <c r="S1059" s="23" t="s">
        <v>6845</v>
      </c>
      <c r="T1059" s="23" t="s">
        <v>4866</v>
      </c>
      <c r="U1059" s="3">
        <v>35</v>
      </c>
      <c r="W1059" s="45" t="str">
        <f>HYPERLINK("http://ictvonline.org/taxonomy/p/taxonomy-history?taxnode_id=201900380","ICTVonline=201900380")</f>
        <v>ICTVonline=201900380</v>
      </c>
      <c r="Y1059" s="1" t="s">
        <v>8846</v>
      </c>
      <c r="Z1059" s="1" t="s">
        <v>8847</v>
      </c>
      <c r="AA1059" s="1">
        <v>201900000</v>
      </c>
      <c r="AB1059" s="1">
        <v>35</v>
      </c>
    </row>
    <row r="1060" spans="1:28" x14ac:dyDescent="0.2">
      <c r="A1060" s="1">
        <v>2875</v>
      </c>
      <c r="B1060" s="1" t="s">
        <v>6850</v>
      </c>
      <c r="D1060" s="1" t="s">
        <v>6851</v>
      </c>
      <c r="F1060" s="1" t="s">
        <v>6914</v>
      </c>
      <c r="H1060" s="1" t="s">
        <v>6915</v>
      </c>
      <c r="J1060" s="1" t="s">
        <v>1324</v>
      </c>
      <c r="L1060" s="1" t="s">
        <v>1325</v>
      </c>
      <c r="N1060" s="1" t="s">
        <v>6176</v>
      </c>
      <c r="P1060" s="1" t="s">
        <v>6178</v>
      </c>
      <c r="Q1060" s="3">
        <v>0</v>
      </c>
      <c r="R1060" s="23" t="s">
        <v>6854</v>
      </c>
      <c r="S1060" s="23" t="s">
        <v>6845</v>
      </c>
      <c r="T1060" s="23" t="s">
        <v>4866</v>
      </c>
      <c r="U1060" s="3">
        <v>35</v>
      </c>
      <c r="W1060" s="45" t="str">
        <f>HYPERLINK("http://ictvonline.org/taxonomy/p/taxonomy-history?taxnode_id=201906921","ICTVonline=201906921")</f>
        <v>ICTVonline=201906921</v>
      </c>
      <c r="Y1060" s="1" t="s">
        <v>8848</v>
      </c>
      <c r="Z1060" s="1" t="s">
        <v>8849</v>
      </c>
      <c r="AA1060" s="1">
        <v>201900000</v>
      </c>
      <c r="AB1060" s="1">
        <v>35</v>
      </c>
    </row>
    <row r="1061" spans="1:28" x14ac:dyDescent="0.2">
      <c r="A1061" s="1">
        <v>2877</v>
      </c>
      <c r="B1061" s="1" t="s">
        <v>6850</v>
      </c>
      <c r="D1061" s="1" t="s">
        <v>6851</v>
      </c>
      <c r="F1061" s="1" t="s">
        <v>6914</v>
      </c>
      <c r="H1061" s="1" t="s">
        <v>6915</v>
      </c>
      <c r="J1061" s="1" t="s">
        <v>1324</v>
      </c>
      <c r="L1061" s="1" t="s">
        <v>1325</v>
      </c>
      <c r="N1061" s="1" t="s">
        <v>6176</v>
      </c>
      <c r="P1061" s="1" t="s">
        <v>6179</v>
      </c>
      <c r="Q1061" s="3">
        <v>0</v>
      </c>
      <c r="R1061" s="23" t="s">
        <v>6854</v>
      </c>
      <c r="S1061" s="23" t="s">
        <v>6845</v>
      </c>
      <c r="T1061" s="23" t="s">
        <v>4866</v>
      </c>
      <c r="U1061" s="3">
        <v>35</v>
      </c>
      <c r="W1061" s="45" t="str">
        <f>HYPERLINK("http://ictvonline.org/taxonomy/p/taxonomy-history?taxnode_id=201906919","ICTVonline=201906919")</f>
        <v>ICTVonline=201906919</v>
      </c>
      <c r="Y1061" s="1" t="s">
        <v>8850</v>
      </c>
      <c r="Z1061" s="1" t="s">
        <v>8851</v>
      </c>
      <c r="AA1061" s="1">
        <v>201900000</v>
      </c>
      <c r="AB1061" s="1">
        <v>35</v>
      </c>
    </row>
    <row r="1062" spans="1:28" x14ac:dyDescent="0.2">
      <c r="A1062" s="1">
        <v>2879</v>
      </c>
      <c r="B1062" s="1" t="s">
        <v>6850</v>
      </c>
      <c r="D1062" s="1" t="s">
        <v>6851</v>
      </c>
      <c r="F1062" s="1" t="s">
        <v>6914</v>
      </c>
      <c r="H1062" s="1" t="s">
        <v>6915</v>
      </c>
      <c r="J1062" s="1" t="s">
        <v>1324</v>
      </c>
      <c r="L1062" s="1" t="s">
        <v>1325</v>
      </c>
      <c r="N1062" s="1" t="s">
        <v>6176</v>
      </c>
      <c r="P1062" s="1" t="s">
        <v>6180</v>
      </c>
      <c r="Q1062" s="3">
        <v>0</v>
      </c>
      <c r="R1062" s="23" t="s">
        <v>6854</v>
      </c>
      <c r="S1062" s="23" t="s">
        <v>6845</v>
      </c>
      <c r="T1062" s="23" t="s">
        <v>4866</v>
      </c>
      <c r="U1062" s="3">
        <v>35</v>
      </c>
      <c r="W1062" s="45" t="str">
        <f>HYPERLINK("http://ictvonline.org/taxonomy/p/taxonomy-history?taxnode_id=201906920","ICTVonline=201906920")</f>
        <v>ICTVonline=201906920</v>
      </c>
      <c r="Y1062" s="1" t="s">
        <v>8852</v>
      </c>
      <c r="Z1062" s="1" t="s">
        <v>8853</v>
      </c>
      <c r="AA1062" s="1">
        <v>201900000</v>
      </c>
      <c r="AB1062" s="1">
        <v>35</v>
      </c>
    </row>
    <row r="1063" spans="1:28" x14ac:dyDescent="0.2">
      <c r="A1063" s="1">
        <v>2883</v>
      </c>
      <c r="B1063" s="1" t="s">
        <v>6850</v>
      </c>
      <c r="D1063" s="1" t="s">
        <v>6851</v>
      </c>
      <c r="F1063" s="1" t="s">
        <v>6914</v>
      </c>
      <c r="H1063" s="1" t="s">
        <v>6915</v>
      </c>
      <c r="J1063" s="1" t="s">
        <v>1324</v>
      </c>
      <c r="L1063" s="1" t="s">
        <v>1325</v>
      </c>
      <c r="N1063" s="1" t="s">
        <v>6181</v>
      </c>
      <c r="P1063" s="1" t="s">
        <v>6182</v>
      </c>
      <c r="Q1063" s="3">
        <v>1</v>
      </c>
      <c r="R1063" s="23" t="s">
        <v>6854</v>
      </c>
      <c r="S1063" s="23" t="s">
        <v>6845</v>
      </c>
      <c r="T1063" s="23" t="s">
        <v>4866</v>
      </c>
      <c r="U1063" s="3">
        <v>35</v>
      </c>
      <c r="W1063" s="45" t="str">
        <f>HYPERLINK("http://ictvonline.org/taxonomy/p/taxonomy-history?taxnode_id=201906854","ICTVonline=201906854")</f>
        <v>ICTVonline=201906854</v>
      </c>
      <c r="Y1063" s="1" t="s">
        <v>8854</v>
      </c>
      <c r="Z1063" s="1" t="s">
        <v>8855</v>
      </c>
      <c r="AA1063" s="1">
        <v>201900000</v>
      </c>
      <c r="AB1063" s="1">
        <v>35</v>
      </c>
    </row>
    <row r="1064" spans="1:28" x14ac:dyDescent="0.2">
      <c r="A1064" s="1">
        <v>2885</v>
      </c>
      <c r="B1064" s="1" t="s">
        <v>6850</v>
      </c>
      <c r="D1064" s="1" t="s">
        <v>6851</v>
      </c>
      <c r="F1064" s="1" t="s">
        <v>6914</v>
      </c>
      <c r="H1064" s="1" t="s">
        <v>6915</v>
      </c>
      <c r="J1064" s="1" t="s">
        <v>1324</v>
      </c>
      <c r="L1064" s="1" t="s">
        <v>1325</v>
      </c>
      <c r="N1064" s="1" t="s">
        <v>6181</v>
      </c>
      <c r="P1064" s="1" t="s">
        <v>6183</v>
      </c>
      <c r="Q1064" s="3">
        <v>0</v>
      </c>
      <c r="R1064" s="23" t="s">
        <v>6854</v>
      </c>
      <c r="S1064" s="23" t="s">
        <v>6845</v>
      </c>
      <c r="T1064" s="23" t="s">
        <v>4866</v>
      </c>
      <c r="U1064" s="3">
        <v>35</v>
      </c>
      <c r="W1064" s="45" t="str">
        <f>HYPERLINK("http://ictvonline.org/taxonomy/p/taxonomy-history?taxnode_id=201906855","ICTVonline=201906855")</f>
        <v>ICTVonline=201906855</v>
      </c>
      <c r="Y1064" s="1" t="s">
        <v>8856</v>
      </c>
      <c r="Z1064" s="1" t="s">
        <v>8857</v>
      </c>
      <c r="AA1064" s="1">
        <v>201900000</v>
      </c>
      <c r="AB1064" s="1">
        <v>35</v>
      </c>
    </row>
    <row r="1065" spans="1:28" x14ac:dyDescent="0.2">
      <c r="A1065" s="1">
        <v>2889</v>
      </c>
      <c r="B1065" s="1" t="s">
        <v>6850</v>
      </c>
      <c r="D1065" s="1" t="s">
        <v>6851</v>
      </c>
      <c r="F1065" s="1" t="s">
        <v>6914</v>
      </c>
      <c r="H1065" s="1" t="s">
        <v>6915</v>
      </c>
      <c r="J1065" s="1" t="s">
        <v>1324</v>
      </c>
      <c r="L1065" s="1" t="s">
        <v>1325</v>
      </c>
      <c r="N1065" s="1" t="s">
        <v>2885</v>
      </c>
      <c r="P1065" s="1" t="s">
        <v>2886</v>
      </c>
      <c r="Q1065" s="3">
        <v>0</v>
      </c>
      <c r="R1065" s="23" t="s">
        <v>6854</v>
      </c>
      <c r="S1065" s="23" t="s">
        <v>6845</v>
      </c>
      <c r="T1065" s="23" t="s">
        <v>4866</v>
      </c>
      <c r="U1065" s="3">
        <v>35</v>
      </c>
      <c r="W1065" s="45" t="str">
        <f>HYPERLINK("http://ictvonline.org/taxonomy/p/taxonomy-history?taxnode_id=201900468","ICTVonline=201900468")</f>
        <v>ICTVonline=201900468</v>
      </c>
      <c r="Y1065" s="1" t="s">
        <v>8858</v>
      </c>
      <c r="Z1065" s="1" t="s">
        <v>8859</v>
      </c>
      <c r="AA1065" s="1">
        <v>201900000</v>
      </c>
      <c r="AB1065" s="1">
        <v>35</v>
      </c>
    </row>
    <row r="1066" spans="1:28" x14ac:dyDescent="0.2">
      <c r="A1066" s="1">
        <v>2891</v>
      </c>
      <c r="B1066" s="1" t="s">
        <v>6850</v>
      </c>
      <c r="D1066" s="1" t="s">
        <v>6851</v>
      </c>
      <c r="F1066" s="1" t="s">
        <v>6914</v>
      </c>
      <c r="H1066" s="1" t="s">
        <v>6915</v>
      </c>
      <c r="J1066" s="1" t="s">
        <v>1324</v>
      </c>
      <c r="L1066" s="1" t="s">
        <v>1325</v>
      </c>
      <c r="N1066" s="1" t="s">
        <v>2885</v>
      </c>
      <c r="P1066" s="1" t="s">
        <v>2887</v>
      </c>
      <c r="Q1066" s="3">
        <v>0</v>
      </c>
      <c r="R1066" s="23" t="s">
        <v>6854</v>
      </c>
      <c r="S1066" s="23" t="s">
        <v>6845</v>
      </c>
      <c r="T1066" s="23" t="s">
        <v>4866</v>
      </c>
      <c r="U1066" s="3">
        <v>35</v>
      </c>
      <c r="W1066" s="45" t="str">
        <f>HYPERLINK("http://ictvonline.org/taxonomy/p/taxonomy-history?taxnode_id=201900469","ICTVonline=201900469")</f>
        <v>ICTVonline=201900469</v>
      </c>
      <c r="Y1066" s="1" t="s">
        <v>8860</v>
      </c>
      <c r="Z1066" s="1" t="s">
        <v>8861</v>
      </c>
      <c r="AA1066" s="1">
        <v>201900000</v>
      </c>
      <c r="AB1066" s="1">
        <v>35</v>
      </c>
    </row>
    <row r="1067" spans="1:28" x14ac:dyDescent="0.2">
      <c r="A1067" s="1">
        <v>2893</v>
      </c>
      <c r="B1067" s="1" t="s">
        <v>6850</v>
      </c>
      <c r="D1067" s="1" t="s">
        <v>6851</v>
      </c>
      <c r="F1067" s="1" t="s">
        <v>6914</v>
      </c>
      <c r="H1067" s="1" t="s">
        <v>6915</v>
      </c>
      <c r="J1067" s="1" t="s">
        <v>1324</v>
      </c>
      <c r="L1067" s="1" t="s">
        <v>1325</v>
      </c>
      <c r="N1067" s="1" t="s">
        <v>2885</v>
      </c>
      <c r="P1067" s="1" t="s">
        <v>2888</v>
      </c>
      <c r="Q1067" s="3">
        <v>0</v>
      </c>
      <c r="R1067" s="23" t="s">
        <v>6854</v>
      </c>
      <c r="S1067" s="23" t="s">
        <v>6845</v>
      </c>
      <c r="T1067" s="23" t="s">
        <v>4866</v>
      </c>
      <c r="U1067" s="3">
        <v>35</v>
      </c>
      <c r="W1067" s="45" t="str">
        <f>HYPERLINK("http://ictvonline.org/taxonomy/p/taxonomy-history?taxnode_id=201900470","ICTVonline=201900470")</f>
        <v>ICTVonline=201900470</v>
      </c>
      <c r="Y1067" s="1" t="s">
        <v>8862</v>
      </c>
      <c r="Z1067" s="1" t="s">
        <v>8863</v>
      </c>
      <c r="AA1067" s="1">
        <v>201900000</v>
      </c>
      <c r="AB1067" s="1">
        <v>35</v>
      </c>
    </row>
    <row r="1068" spans="1:28" x14ac:dyDescent="0.2">
      <c r="A1068" s="1">
        <v>2895</v>
      </c>
      <c r="B1068" s="1" t="s">
        <v>6850</v>
      </c>
      <c r="D1068" s="1" t="s">
        <v>6851</v>
      </c>
      <c r="F1068" s="1" t="s">
        <v>6914</v>
      </c>
      <c r="H1068" s="1" t="s">
        <v>6915</v>
      </c>
      <c r="J1068" s="1" t="s">
        <v>1324</v>
      </c>
      <c r="L1068" s="1" t="s">
        <v>1325</v>
      </c>
      <c r="N1068" s="1" t="s">
        <v>2885</v>
      </c>
      <c r="P1068" s="1" t="s">
        <v>6184</v>
      </c>
      <c r="Q1068" s="3">
        <v>0</v>
      </c>
      <c r="R1068" s="23" t="s">
        <v>6854</v>
      </c>
      <c r="S1068" s="23" t="s">
        <v>6845</v>
      </c>
      <c r="T1068" s="23" t="s">
        <v>4866</v>
      </c>
      <c r="U1068" s="3">
        <v>35</v>
      </c>
      <c r="W1068" s="45" t="str">
        <f>HYPERLINK("http://ictvonline.org/taxonomy/p/taxonomy-history?taxnode_id=201907020","ICTVonline=201907020")</f>
        <v>ICTVonline=201907020</v>
      </c>
      <c r="Y1068" s="1" t="s">
        <v>8864</v>
      </c>
      <c r="Z1068" s="1" t="s">
        <v>8865</v>
      </c>
      <c r="AA1068" s="1">
        <v>201900000</v>
      </c>
      <c r="AB1068" s="1">
        <v>35</v>
      </c>
    </row>
    <row r="1069" spans="1:28" x14ac:dyDescent="0.2">
      <c r="A1069" s="1">
        <v>2897</v>
      </c>
      <c r="B1069" s="1" t="s">
        <v>6850</v>
      </c>
      <c r="D1069" s="1" t="s">
        <v>6851</v>
      </c>
      <c r="F1069" s="1" t="s">
        <v>6914</v>
      </c>
      <c r="H1069" s="1" t="s">
        <v>6915</v>
      </c>
      <c r="J1069" s="1" t="s">
        <v>1324</v>
      </c>
      <c r="L1069" s="1" t="s">
        <v>1325</v>
      </c>
      <c r="N1069" s="1" t="s">
        <v>2885</v>
      </c>
      <c r="P1069" s="1" t="s">
        <v>6185</v>
      </c>
      <c r="Q1069" s="3">
        <v>0</v>
      </c>
      <c r="R1069" s="23" t="s">
        <v>6854</v>
      </c>
      <c r="S1069" s="23" t="s">
        <v>6845</v>
      </c>
      <c r="T1069" s="23" t="s">
        <v>4866</v>
      </c>
      <c r="U1069" s="3">
        <v>35</v>
      </c>
      <c r="W1069" s="45" t="str">
        <f>HYPERLINK("http://ictvonline.org/taxonomy/p/taxonomy-history?taxnode_id=201907017","ICTVonline=201907017")</f>
        <v>ICTVonline=201907017</v>
      </c>
      <c r="Y1069" s="1" t="s">
        <v>8866</v>
      </c>
      <c r="Z1069" s="1" t="s">
        <v>8867</v>
      </c>
      <c r="AA1069" s="1">
        <v>201900000</v>
      </c>
      <c r="AB1069" s="1">
        <v>35</v>
      </c>
    </row>
    <row r="1070" spans="1:28" x14ac:dyDescent="0.2">
      <c r="A1070" s="1">
        <v>2899</v>
      </c>
      <c r="B1070" s="1" t="s">
        <v>6850</v>
      </c>
      <c r="D1070" s="1" t="s">
        <v>6851</v>
      </c>
      <c r="F1070" s="1" t="s">
        <v>6914</v>
      </c>
      <c r="H1070" s="1" t="s">
        <v>6915</v>
      </c>
      <c r="J1070" s="1" t="s">
        <v>1324</v>
      </c>
      <c r="L1070" s="1" t="s">
        <v>1325</v>
      </c>
      <c r="N1070" s="1" t="s">
        <v>2885</v>
      </c>
      <c r="P1070" s="1" t="s">
        <v>2889</v>
      </c>
      <c r="Q1070" s="3">
        <v>1</v>
      </c>
      <c r="R1070" s="23" t="s">
        <v>6854</v>
      </c>
      <c r="S1070" s="23" t="s">
        <v>6845</v>
      </c>
      <c r="T1070" s="23" t="s">
        <v>4866</v>
      </c>
      <c r="U1070" s="3">
        <v>35</v>
      </c>
      <c r="W1070" s="45" t="str">
        <f>HYPERLINK("http://ictvonline.org/taxonomy/p/taxonomy-history?taxnode_id=201900471","ICTVonline=201900471")</f>
        <v>ICTVonline=201900471</v>
      </c>
      <c r="Y1070" s="1" t="s">
        <v>8868</v>
      </c>
      <c r="Z1070" s="1" t="s">
        <v>8869</v>
      </c>
      <c r="AA1070" s="1">
        <v>201900000</v>
      </c>
      <c r="AB1070" s="1">
        <v>35</v>
      </c>
    </row>
    <row r="1071" spans="1:28" x14ac:dyDescent="0.2">
      <c r="A1071" s="1">
        <v>2901</v>
      </c>
      <c r="B1071" s="1" t="s">
        <v>6850</v>
      </c>
      <c r="D1071" s="1" t="s">
        <v>6851</v>
      </c>
      <c r="F1071" s="1" t="s">
        <v>6914</v>
      </c>
      <c r="H1071" s="1" t="s">
        <v>6915</v>
      </c>
      <c r="J1071" s="1" t="s">
        <v>1324</v>
      </c>
      <c r="L1071" s="1" t="s">
        <v>1325</v>
      </c>
      <c r="N1071" s="1" t="s">
        <v>2885</v>
      </c>
      <c r="P1071" s="1" t="s">
        <v>6186</v>
      </c>
      <c r="Q1071" s="3">
        <v>0</v>
      </c>
      <c r="R1071" s="23" t="s">
        <v>6854</v>
      </c>
      <c r="S1071" s="23" t="s">
        <v>6845</v>
      </c>
      <c r="T1071" s="23" t="s">
        <v>4866</v>
      </c>
      <c r="U1071" s="3">
        <v>35</v>
      </c>
      <c r="W1071" s="45" t="str">
        <f>HYPERLINK("http://ictvonline.org/taxonomy/p/taxonomy-history?taxnode_id=201907019","ICTVonline=201907019")</f>
        <v>ICTVonline=201907019</v>
      </c>
      <c r="Y1071" s="1" t="s">
        <v>8870</v>
      </c>
      <c r="Z1071" s="1" t="s">
        <v>8871</v>
      </c>
      <c r="AA1071" s="1">
        <v>201900000</v>
      </c>
      <c r="AB1071" s="1">
        <v>35</v>
      </c>
    </row>
    <row r="1072" spans="1:28" x14ac:dyDescent="0.2">
      <c r="A1072" s="1">
        <v>2903</v>
      </c>
      <c r="B1072" s="1" t="s">
        <v>6850</v>
      </c>
      <c r="D1072" s="1" t="s">
        <v>6851</v>
      </c>
      <c r="F1072" s="1" t="s">
        <v>6914</v>
      </c>
      <c r="H1072" s="1" t="s">
        <v>6915</v>
      </c>
      <c r="J1072" s="1" t="s">
        <v>1324</v>
      </c>
      <c r="L1072" s="1" t="s">
        <v>1325</v>
      </c>
      <c r="N1072" s="1" t="s">
        <v>2885</v>
      </c>
      <c r="P1072" s="1" t="s">
        <v>2890</v>
      </c>
      <c r="Q1072" s="3">
        <v>0</v>
      </c>
      <c r="R1072" s="23" t="s">
        <v>6854</v>
      </c>
      <c r="S1072" s="23" t="s">
        <v>6845</v>
      </c>
      <c r="T1072" s="23" t="s">
        <v>4866</v>
      </c>
      <c r="U1072" s="3">
        <v>35</v>
      </c>
      <c r="W1072" s="45" t="str">
        <f>HYPERLINK("http://ictvonline.org/taxonomy/p/taxonomy-history?taxnode_id=201900472","ICTVonline=201900472")</f>
        <v>ICTVonline=201900472</v>
      </c>
      <c r="Y1072" s="1" t="s">
        <v>8872</v>
      </c>
      <c r="Z1072" s="1" t="s">
        <v>8873</v>
      </c>
      <c r="AA1072" s="1">
        <v>201900000</v>
      </c>
      <c r="AB1072" s="1">
        <v>35</v>
      </c>
    </row>
    <row r="1073" spans="1:28" x14ac:dyDescent="0.2">
      <c r="A1073" s="1">
        <v>2905</v>
      </c>
      <c r="B1073" s="1" t="s">
        <v>6850</v>
      </c>
      <c r="D1073" s="1" t="s">
        <v>6851</v>
      </c>
      <c r="F1073" s="1" t="s">
        <v>6914</v>
      </c>
      <c r="H1073" s="1" t="s">
        <v>6915</v>
      </c>
      <c r="J1073" s="1" t="s">
        <v>1324</v>
      </c>
      <c r="L1073" s="1" t="s">
        <v>1325</v>
      </c>
      <c r="N1073" s="1" t="s">
        <v>2885</v>
      </c>
      <c r="P1073" s="1" t="s">
        <v>2891</v>
      </c>
      <c r="Q1073" s="3">
        <v>0</v>
      </c>
      <c r="R1073" s="23" t="s">
        <v>6854</v>
      </c>
      <c r="S1073" s="23" t="s">
        <v>6845</v>
      </c>
      <c r="T1073" s="23" t="s">
        <v>4866</v>
      </c>
      <c r="U1073" s="3">
        <v>35</v>
      </c>
      <c r="W1073" s="45" t="str">
        <f>HYPERLINK("http://ictvonline.org/taxonomy/p/taxonomy-history?taxnode_id=201900473","ICTVonline=201900473")</f>
        <v>ICTVonline=201900473</v>
      </c>
      <c r="Y1073" s="1" t="s">
        <v>8874</v>
      </c>
      <c r="Z1073" s="1" t="s">
        <v>8875</v>
      </c>
      <c r="AA1073" s="1">
        <v>201900000</v>
      </c>
      <c r="AB1073" s="1">
        <v>35</v>
      </c>
    </row>
    <row r="1074" spans="1:28" x14ac:dyDescent="0.2">
      <c r="A1074" s="1">
        <v>2907</v>
      </c>
      <c r="B1074" s="1" t="s">
        <v>6850</v>
      </c>
      <c r="D1074" s="1" t="s">
        <v>6851</v>
      </c>
      <c r="F1074" s="1" t="s">
        <v>6914</v>
      </c>
      <c r="H1074" s="1" t="s">
        <v>6915</v>
      </c>
      <c r="J1074" s="1" t="s">
        <v>1324</v>
      </c>
      <c r="L1074" s="1" t="s">
        <v>1325</v>
      </c>
      <c r="N1074" s="1" t="s">
        <v>2885</v>
      </c>
      <c r="P1074" s="1" t="s">
        <v>6187</v>
      </c>
      <c r="Q1074" s="3">
        <v>0</v>
      </c>
      <c r="R1074" s="23" t="s">
        <v>6854</v>
      </c>
      <c r="S1074" s="23" t="s">
        <v>6845</v>
      </c>
      <c r="T1074" s="23" t="s">
        <v>4866</v>
      </c>
      <c r="U1074" s="3">
        <v>35</v>
      </c>
      <c r="W1074" s="45" t="str">
        <f>HYPERLINK("http://ictvonline.org/taxonomy/p/taxonomy-history?taxnode_id=201907018","ICTVonline=201907018")</f>
        <v>ICTVonline=201907018</v>
      </c>
      <c r="Y1074" s="1" t="s">
        <v>8876</v>
      </c>
      <c r="Z1074" s="1" t="s">
        <v>8877</v>
      </c>
      <c r="AA1074" s="1">
        <v>201900000</v>
      </c>
      <c r="AB1074" s="1">
        <v>35</v>
      </c>
    </row>
    <row r="1075" spans="1:28" x14ac:dyDescent="0.2">
      <c r="A1075" s="1">
        <v>2909</v>
      </c>
      <c r="B1075" s="1" t="s">
        <v>6850</v>
      </c>
      <c r="D1075" s="1" t="s">
        <v>6851</v>
      </c>
      <c r="F1075" s="1" t="s">
        <v>6914</v>
      </c>
      <c r="H1075" s="1" t="s">
        <v>6915</v>
      </c>
      <c r="J1075" s="1" t="s">
        <v>1324</v>
      </c>
      <c r="L1075" s="1" t="s">
        <v>1325</v>
      </c>
      <c r="N1075" s="1" t="s">
        <v>2885</v>
      </c>
      <c r="P1075" s="1" t="s">
        <v>6188</v>
      </c>
      <c r="Q1075" s="3">
        <v>0</v>
      </c>
      <c r="R1075" s="23" t="s">
        <v>6854</v>
      </c>
      <c r="S1075" s="23" t="s">
        <v>6845</v>
      </c>
      <c r="T1075" s="23" t="s">
        <v>4866</v>
      </c>
      <c r="U1075" s="3">
        <v>35</v>
      </c>
      <c r="W1075" s="45" t="str">
        <f>HYPERLINK("http://ictvonline.org/taxonomy/p/taxonomy-history?taxnode_id=201907016","ICTVonline=201907016")</f>
        <v>ICTVonline=201907016</v>
      </c>
      <c r="Y1075" s="1" t="s">
        <v>8878</v>
      </c>
      <c r="Z1075" s="1" t="s">
        <v>8879</v>
      </c>
      <c r="AA1075" s="1">
        <v>201900000</v>
      </c>
      <c r="AB1075" s="1">
        <v>35</v>
      </c>
    </row>
    <row r="1076" spans="1:28" x14ac:dyDescent="0.2">
      <c r="A1076" s="1">
        <v>2913</v>
      </c>
      <c r="B1076" s="1" t="s">
        <v>6850</v>
      </c>
      <c r="D1076" s="1" t="s">
        <v>6851</v>
      </c>
      <c r="F1076" s="1" t="s">
        <v>6914</v>
      </c>
      <c r="H1076" s="1" t="s">
        <v>6915</v>
      </c>
      <c r="J1076" s="1" t="s">
        <v>1324</v>
      </c>
      <c r="L1076" s="1" t="s">
        <v>1325</v>
      </c>
      <c r="N1076" s="1" t="s">
        <v>8880</v>
      </c>
      <c r="P1076" s="1" t="s">
        <v>8881</v>
      </c>
      <c r="Q1076" s="3">
        <v>1</v>
      </c>
      <c r="R1076" s="23" t="s">
        <v>6854</v>
      </c>
      <c r="S1076" s="23" t="s">
        <v>6849</v>
      </c>
      <c r="T1076" s="23" t="s">
        <v>4864</v>
      </c>
      <c r="U1076" s="3">
        <v>35</v>
      </c>
      <c r="V1076" s="3" t="s">
        <v>8558</v>
      </c>
      <c r="W1076" s="45" t="str">
        <f>HYPERLINK("http://ictvonline.org/taxonomy/p/taxonomy-history?taxnode_id=201907816","ICTVonline=201907816")</f>
        <v>ICTVonline=201907816</v>
      </c>
      <c r="Y1076" s="1" t="s">
        <v>8882</v>
      </c>
      <c r="AA1076" s="1">
        <v>201900000</v>
      </c>
      <c r="AB1076" s="1">
        <v>35</v>
      </c>
    </row>
    <row r="1077" spans="1:28" x14ac:dyDescent="0.2">
      <c r="A1077" s="1">
        <v>2917</v>
      </c>
      <c r="B1077" s="1" t="s">
        <v>6850</v>
      </c>
      <c r="D1077" s="1" t="s">
        <v>6851</v>
      </c>
      <c r="F1077" s="1" t="s">
        <v>6914</v>
      </c>
      <c r="H1077" s="1" t="s">
        <v>6915</v>
      </c>
      <c r="J1077" s="1" t="s">
        <v>1324</v>
      </c>
      <c r="L1077" s="1" t="s">
        <v>1325</v>
      </c>
      <c r="N1077" s="1" t="s">
        <v>2892</v>
      </c>
      <c r="P1077" s="1" t="s">
        <v>2893</v>
      </c>
      <c r="Q1077" s="3">
        <v>0</v>
      </c>
      <c r="R1077" s="23" t="s">
        <v>6854</v>
      </c>
      <c r="S1077" s="23" t="s">
        <v>6845</v>
      </c>
      <c r="T1077" s="23" t="s">
        <v>4866</v>
      </c>
      <c r="U1077" s="3">
        <v>35</v>
      </c>
      <c r="W1077" s="45" t="str">
        <f>HYPERLINK("http://ictvonline.org/taxonomy/p/taxonomy-history?taxnode_id=201900475","ICTVonline=201900475")</f>
        <v>ICTVonline=201900475</v>
      </c>
      <c r="AA1077" s="1">
        <v>201900000</v>
      </c>
      <c r="AB1077" s="1">
        <v>35</v>
      </c>
    </row>
    <row r="1078" spans="1:28" x14ac:dyDescent="0.2">
      <c r="A1078" s="1">
        <v>2919</v>
      </c>
      <c r="B1078" s="1" t="s">
        <v>6850</v>
      </c>
      <c r="D1078" s="1" t="s">
        <v>6851</v>
      </c>
      <c r="F1078" s="1" t="s">
        <v>6914</v>
      </c>
      <c r="H1078" s="1" t="s">
        <v>6915</v>
      </c>
      <c r="J1078" s="1" t="s">
        <v>1324</v>
      </c>
      <c r="L1078" s="1" t="s">
        <v>1325</v>
      </c>
      <c r="N1078" s="1" t="s">
        <v>2892</v>
      </c>
      <c r="P1078" s="1" t="s">
        <v>2894</v>
      </c>
      <c r="Q1078" s="3">
        <v>0</v>
      </c>
      <c r="R1078" s="23" t="s">
        <v>6854</v>
      </c>
      <c r="S1078" s="23" t="s">
        <v>6845</v>
      </c>
      <c r="T1078" s="23" t="s">
        <v>4866</v>
      </c>
      <c r="U1078" s="3">
        <v>35</v>
      </c>
      <c r="W1078" s="45" t="str">
        <f>HYPERLINK("http://ictvonline.org/taxonomy/p/taxonomy-history?taxnode_id=201900476","ICTVonline=201900476")</f>
        <v>ICTVonline=201900476</v>
      </c>
      <c r="AA1078" s="1">
        <v>201900000</v>
      </c>
      <c r="AB1078" s="1">
        <v>35</v>
      </c>
    </row>
    <row r="1079" spans="1:28" x14ac:dyDescent="0.2">
      <c r="A1079" s="1">
        <v>2921</v>
      </c>
      <c r="B1079" s="1" t="s">
        <v>6850</v>
      </c>
      <c r="D1079" s="1" t="s">
        <v>6851</v>
      </c>
      <c r="F1079" s="1" t="s">
        <v>6914</v>
      </c>
      <c r="H1079" s="1" t="s">
        <v>6915</v>
      </c>
      <c r="J1079" s="1" t="s">
        <v>1324</v>
      </c>
      <c r="L1079" s="1" t="s">
        <v>1325</v>
      </c>
      <c r="N1079" s="1" t="s">
        <v>2892</v>
      </c>
      <c r="P1079" s="1" t="s">
        <v>2895</v>
      </c>
      <c r="Q1079" s="3">
        <v>0</v>
      </c>
      <c r="R1079" s="23" t="s">
        <v>6854</v>
      </c>
      <c r="S1079" s="23" t="s">
        <v>6845</v>
      </c>
      <c r="T1079" s="23" t="s">
        <v>4866</v>
      </c>
      <c r="U1079" s="3">
        <v>35</v>
      </c>
      <c r="W1079" s="45" t="str">
        <f>HYPERLINK("http://ictvonline.org/taxonomy/p/taxonomy-history?taxnode_id=201900477","ICTVonline=201900477")</f>
        <v>ICTVonline=201900477</v>
      </c>
      <c r="Y1079" s="1" t="s">
        <v>8883</v>
      </c>
      <c r="Z1079" s="1" t="s">
        <v>8884</v>
      </c>
      <c r="AA1079" s="1">
        <v>201900000</v>
      </c>
      <c r="AB1079" s="1">
        <v>35</v>
      </c>
    </row>
    <row r="1080" spans="1:28" x14ac:dyDescent="0.2">
      <c r="A1080" s="1">
        <v>2923</v>
      </c>
      <c r="B1080" s="1" t="s">
        <v>6850</v>
      </c>
      <c r="D1080" s="1" t="s">
        <v>6851</v>
      </c>
      <c r="F1080" s="1" t="s">
        <v>6914</v>
      </c>
      <c r="H1080" s="1" t="s">
        <v>6915</v>
      </c>
      <c r="J1080" s="1" t="s">
        <v>1324</v>
      </c>
      <c r="L1080" s="1" t="s">
        <v>1325</v>
      </c>
      <c r="N1080" s="1" t="s">
        <v>2892</v>
      </c>
      <c r="P1080" s="1" t="s">
        <v>6189</v>
      </c>
      <c r="Q1080" s="3">
        <v>0</v>
      </c>
      <c r="R1080" s="23" t="s">
        <v>6854</v>
      </c>
      <c r="S1080" s="23" t="s">
        <v>6845</v>
      </c>
      <c r="T1080" s="23" t="s">
        <v>4866</v>
      </c>
      <c r="U1080" s="3">
        <v>35</v>
      </c>
      <c r="W1080" s="45" t="str">
        <f>HYPERLINK("http://ictvonline.org/taxonomy/p/taxonomy-history?taxnode_id=201907023","ICTVonline=201907023")</f>
        <v>ICTVonline=201907023</v>
      </c>
      <c r="Y1080" s="1" t="s">
        <v>8885</v>
      </c>
      <c r="Z1080" s="1" t="s">
        <v>8886</v>
      </c>
      <c r="AA1080" s="1">
        <v>201900000</v>
      </c>
      <c r="AB1080" s="1">
        <v>35</v>
      </c>
    </row>
    <row r="1081" spans="1:28" x14ac:dyDescent="0.2">
      <c r="A1081" s="1">
        <v>2925</v>
      </c>
      <c r="B1081" s="1" t="s">
        <v>6850</v>
      </c>
      <c r="D1081" s="1" t="s">
        <v>6851</v>
      </c>
      <c r="F1081" s="1" t="s">
        <v>6914</v>
      </c>
      <c r="H1081" s="1" t="s">
        <v>6915</v>
      </c>
      <c r="J1081" s="1" t="s">
        <v>1324</v>
      </c>
      <c r="L1081" s="1" t="s">
        <v>1325</v>
      </c>
      <c r="N1081" s="1" t="s">
        <v>2892</v>
      </c>
      <c r="P1081" s="1" t="s">
        <v>2896</v>
      </c>
      <c r="Q1081" s="3">
        <v>0</v>
      </c>
      <c r="R1081" s="23" t="s">
        <v>6854</v>
      </c>
      <c r="S1081" s="23" t="s">
        <v>6845</v>
      </c>
      <c r="T1081" s="23" t="s">
        <v>4866</v>
      </c>
      <c r="U1081" s="3">
        <v>35</v>
      </c>
      <c r="W1081" s="45" t="str">
        <f>HYPERLINK("http://ictvonline.org/taxonomy/p/taxonomy-history?taxnode_id=201900478","ICTVonline=201900478")</f>
        <v>ICTVonline=201900478</v>
      </c>
      <c r="Y1081" s="1" t="s">
        <v>8887</v>
      </c>
      <c r="Z1081" s="1" t="s">
        <v>8888</v>
      </c>
      <c r="AA1081" s="1">
        <v>201900000</v>
      </c>
      <c r="AB1081" s="1">
        <v>35</v>
      </c>
    </row>
    <row r="1082" spans="1:28" x14ac:dyDescent="0.2">
      <c r="A1082" s="1">
        <v>2927</v>
      </c>
      <c r="B1082" s="1" t="s">
        <v>6850</v>
      </c>
      <c r="D1082" s="1" t="s">
        <v>6851</v>
      </c>
      <c r="F1082" s="1" t="s">
        <v>6914</v>
      </c>
      <c r="H1082" s="1" t="s">
        <v>6915</v>
      </c>
      <c r="J1082" s="1" t="s">
        <v>1324</v>
      </c>
      <c r="L1082" s="1" t="s">
        <v>1325</v>
      </c>
      <c r="N1082" s="1" t="s">
        <v>2892</v>
      </c>
      <c r="P1082" s="1" t="s">
        <v>2897</v>
      </c>
      <c r="Q1082" s="3">
        <v>0</v>
      </c>
      <c r="R1082" s="23" t="s">
        <v>6854</v>
      </c>
      <c r="S1082" s="23" t="s">
        <v>6845</v>
      </c>
      <c r="T1082" s="23" t="s">
        <v>4866</v>
      </c>
      <c r="U1082" s="3">
        <v>35</v>
      </c>
      <c r="W1082" s="45" t="str">
        <f>HYPERLINK("http://ictvonline.org/taxonomy/p/taxonomy-history?taxnode_id=201900479","ICTVonline=201900479")</f>
        <v>ICTVonline=201900479</v>
      </c>
      <c r="Y1082" s="1" t="s">
        <v>8889</v>
      </c>
      <c r="Z1082" s="1" t="s">
        <v>8890</v>
      </c>
      <c r="AA1082" s="1">
        <v>201900000</v>
      </c>
      <c r="AB1082" s="1">
        <v>35</v>
      </c>
    </row>
    <row r="1083" spans="1:28" x14ac:dyDescent="0.2">
      <c r="A1083" s="1">
        <v>2929</v>
      </c>
      <c r="B1083" s="1" t="s">
        <v>6850</v>
      </c>
      <c r="D1083" s="1" t="s">
        <v>6851</v>
      </c>
      <c r="F1083" s="1" t="s">
        <v>6914</v>
      </c>
      <c r="H1083" s="1" t="s">
        <v>6915</v>
      </c>
      <c r="J1083" s="1" t="s">
        <v>1324</v>
      </c>
      <c r="L1083" s="1" t="s">
        <v>1325</v>
      </c>
      <c r="N1083" s="1" t="s">
        <v>2892</v>
      </c>
      <c r="P1083" s="1" t="s">
        <v>6190</v>
      </c>
      <c r="Q1083" s="3">
        <v>0</v>
      </c>
      <c r="R1083" s="23" t="s">
        <v>6854</v>
      </c>
      <c r="S1083" s="23" t="s">
        <v>6845</v>
      </c>
      <c r="T1083" s="23" t="s">
        <v>4866</v>
      </c>
      <c r="U1083" s="3">
        <v>35</v>
      </c>
      <c r="W1083" s="45" t="str">
        <f>HYPERLINK("http://ictvonline.org/taxonomy/p/taxonomy-history?taxnode_id=201907024","ICTVonline=201907024")</f>
        <v>ICTVonline=201907024</v>
      </c>
      <c r="Y1083" s="1" t="s">
        <v>8891</v>
      </c>
      <c r="Z1083" s="1" t="s">
        <v>8892</v>
      </c>
      <c r="AA1083" s="1">
        <v>201900000</v>
      </c>
      <c r="AB1083" s="1">
        <v>35</v>
      </c>
    </row>
    <row r="1084" spans="1:28" x14ac:dyDescent="0.2">
      <c r="A1084" s="1">
        <v>2931</v>
      </c>
      <c r="B1084" s="1" t="s">
        <v>6850</v>
      </c>
      <c r="D1084" s="1" t="s">
        <v>6851</v>
      </c>
      <c r="F1084" s="1" t="s">
        <v>6914</v>
      </c>
      <c r="H1084" s="1" t="s">
        <v>6915</v>
      </c>
      <c r="J1084" s="1" t="s">
        <v>1324</v>
      </c>
      <c r="L1084" s="1" t="s">
        <v>1325</v>
      </c>
      <c r="N1084" s="1" t="s">
        <v>2892</v>
      </c>
      <c r="P1084" s="1" t="s">
        <v>6191</v>
      </c>
      <c r="Q1084" s="3">
        <v>0</v>
      </c>
      <c r="R1084" s="23" t="s">
        <v>6854</v>
      </c>
      <c r="S1084" s="23" t="s">
        <v>6845</v>
      </c>
      <c r="T1084" s="23" t="s">
        <v>4866</v>
      </c>
      <c r="U1084" s="3">
        <v>35</v>
      </c>
      <c r="W1084" s="45" t="str">
        <f>HYPERLINK("http://ictvonline.org/taxonomy/p/taxonomy-history?taxnode_id=201907025","ICTVonline=201907025")</f>
        <v>ICTVonline=201907025</v>
      </c>
      <c r="Y1084" s="1" t="s">
        <v>8893</v>
      </c>
      <c r="Z1084" s="1" t="s">
        <v>8894</v>
      </c>
      <c r="AA1084" s="1">
        <v>201900000</v>
      </c>
      <c r="AB1084" s="1">
        <v>35</v>
      </c>
    </row>
    <row r="1085" spans="1:28" x14ac:dyDescent="0.2">
      <c r="A1085" s="1">
        <v>2933</v>
      </c>
      <c r="B1085" s="1" t="s">
        <v>6850</v>
      </c>
      <c r="D1085" s="1" t="s">
        <v>6851</v>
      </c>
      <c r="F1085" s="1" t="s">
        <v>6914</v>
      </c>
      <c r="H1085" s="1" t="s">
        <v>6915</v>
      </c>
      <c r="J1085" s="1" t="s">
        <v>1324</v>
      </c>
      <c r="L1085" s="1" t="s">
        <v>1325</v>
      </c>
      <c r="N1085" s="1" t="s">
        <v>2892</v>
      </c>
      <c r="P1085" s="1" t="s">
        <v>2898</v>
      </c>
      <c r="Q1085" s="3">
        <v>0</v>
      </c>
      <c r="R1085" s="23" t="s">
        <v>6854</v>
      </c>
      <c r="S1085" s="23" t="s">
        <v>6845</v>
      </c>
      <c r="T1085" s="23" t="s">
        <v>4866</v>
      </c>
      <c r="U1085" s="3">
        <v>35</v>
      </c>
      <c r="W1085" s="45" t="str">
        <f>HYPERLINK("http://ictvonline.org/taxonomy/p/taxonomy-history?taxnode_id=201900480","ICTVonline=201900480")</f>
        <v>ICTVonline=201900480</v>
      </c>
      <c r="AA1085" s="1">
        <v>201900000</v>
      </c>
      <c r="AB1085" s="1">
        <v>35</v>
      </c>
    </row>
    <row r="1086" spans="1:28" x14ac:dyDescent="0.2">
      <c r="A1086" s="1">
        <v>2935</v>
      </c>
      <c r="B1086" s="1" t="s">
        <v>6850</v>
      </c>
      <c r="D1086" s="1" t="s">
        <v>6851</v>
      </c>
      <c r="F1086" s="1" t="s">
        <v>6914</v>
      </c>
      <c r="H1086" s="1" t="s">
        <v>6915</v>
      </c>
      <c r="J1086" s="1" t="s">
        <v>1324</v>
      </c>
      <c r="L1086" s="1" t="s">
        <v>1325</v>
      </c>
      <c r="N1086" s="1" t="s">
        <v>2892</v>
      </c>
      <c r="P1086" s="1" t="s">
        <v>2899</v>
      </c>
      <c r="Q1086" s="3">
        <v>0</v>
      </c>
      <c r="R1086" s="23" t="s">
        <v>6854</v>
      </c>
      <c r="S1086" s="23" t="s">
        <v>6845</v>
      </c>
      <c r="T1086" s="23" t="s">
        <v>4866</v>
      </c>
      <c r="U1086" s="3">
        <v>35</v>
      </c>
      <c r="W1086" s="45" t="str">
        <f>HYPERLINK("http://ictvonline.org/taxonomy/p/taxonomy-history?taxnode_id=201900481","ICTVonline=201900481")</f>
        <v>ICTVonline=201900481</v>
      </c>
      <c r="Y1086" s="1" t="s">
        <v>8895</v>
      </c>
      <c r="Z1086" s="1" t="s">
        <v>8896</v>
      </c>
      <c r="AA1086" s="1">
        <v>201900000</v>
      </c>
      <c r="AB1086" s="1">
        <v>35</v>
      </c>
    </row>
    <row r="1087" spans="1:28" x14ac:dyDescent="0.2">
      <c r="A1087" s="1">
        <v>2937</v>
      </c>
      <c r="B1087" s="1" t="s">
        <v>6850</v>
      </c>
      <c r="D1087" s="1" t="s">
        <v>6851</v>
      </c>
      <c r="F1087" s="1" t="s">
        <v>6914</v>
      </c>
      <c r="H1087" s="1" t="s">
        <v>6915</v>
      </c>
      <c r="J1087" s="1" t="s">
        <v>1324</v>
      </c>
      <c r="L1087" s="1" t="s">
        <v>1325</v>
      </c>
      <c r="N1087" s="1" t="s">
        <v>2892</v>
      </c>
      <c r="P1087" s="1" t="s">
        <v>2900</v>
      </c>
      <c r="Q1087" s="3">
        <v>0</v>
      </c>
      <c r="R1087" s="23" t="s">
        <v>6854</v>
      </c>
      <c r="S1087" s="23" t="s">
        <v>6845</v>
      </c>
      <c r="T1087" s="23" t="s">
        <v>4866</v>
      </c>
      <c r="U1087" s="3">
        <v>35</v>
      </c>
      <c r="W1087" s="45" t="str">
        <f>HYPERLINK("http://ictvonline.org/taxonomy/p/taxonomy-history?taxnode_id=201900482","ICTVonline=201900482")</f>
        <v>ICTVonline=201900482</v>
      </c>
      <c r="Y1087" s="1" t="s">
        <v>8897</v>
      </c>
      <c r="Z1087" s="1" t="s">
        <v>8898</v>
      </c>
      <c r="AA1087" s="1">
        <v>201900000</v>
      </c>
      <c r="AB1087" s="1">
        <v>35</v>
      </c>
    </row>
    <row r="1088" spans="1:28" x14ac:dyDescent="0.2">
      <c r="A1088" s="1">
        <v>2939</v>
      </c>
      <c r="B1088" s="1" t="s">
        <v>6850</v>
      </c>
      <c r="D1088" s="1" t="s">
        <v>6851</v>
      </c>
      <c r="F1088" s="1" t="s">
        <v>6914</v>
      </c>
      <c r="H1088" s="1" t="s">
        <v>6915</v>
      </c>
      <c r="J1088" s="1" t="s">
        <v>1324</v>
      </c>
      <c r="L1088" s="1" t="s">
        <v>1325</v>
      </c>
      <c r="N1088" s="1" t="s">
        <v>2892</v>
      </c>
      <c r="P1088" s="1" t="s">
        <v>6192</v>
      </c>
      <c r="Q1088" s="3">
        <v>0</v>
      </c>
      <c r="R1088" s="23" t="s">
        <v>6854</v>
      </c>
      <c r="S1088" s="23" t="s">
        <v>6845</v>
      </c>
      <c r="T1088" s="23" t="s">
        <v>4866</v>
      </c>
      <c r="U1088" s="3">
        <v>35</v>
      </c>
      <c r="W1088" s="45" t="str">
        <f>HYPERLINK("http://ictvonline.org/taxonomy/p/taxonomy-history?taxnode_id=201907021","ICTVonline=201907021")</f>
        <v>ICTVonline=201907021</v>
      </c>
      <c r="Y1088" s="1" t="s">
        <v>8899</v>
      </c>
      <c r="Z1088" s="1" t="s">
        <v>8900</v>
      </c>
      <c r="AA1088" s="1">
        <v>201900000</v>
      </c>
      <c r="AB1088" s="1">
        <v>35</v>
      </c>
    </row>
    <row r="1089" spans="1:28" x14ac:dyDescent="0.2">
      <c r="A1089" s="1">
        <v>2941</v>
      </c>
      <c r="B1089" s="1" t="s">
        <v>6850</v>
      </c>
      <c r="D1089" s="1" t="s">
        <v>6851</v>
      </c>
      <c r="F1089" s="1" t="s">
        <v>6914</v>
      </c>
      <c r="H1089" s="1" t="s">
        <v>6915</v>
      </c>
      <c r="J1089" s="1" t="s">
        <v>1324</v>
      </c>
      <c r="L1089" s="1" t="s">
        <v>1325</v>
      </c>
      <c r="N1089" s="1" t="s">
        <v>2892</v>
      </c>
      <c r="P1089" s="1" t="s">
        <v>2901</v>
      </c>
      <c r="Q1089" s="3">
        <v>0</v>
      </c>
      <c r="R1089" s="23" t="s">
        <v>6854</v>
      </c>
      <c r="S1089" s="23" t="s">
        <v>6845</v>
      </c>
      <c r="T1089" s="23" t="s">
        <v>4866</v>
      </c>
      <c r="U1089" s="3">
        <v>35</v>
      </c>
      <c r="W1089" s="45" t="str">
        <f>HYPERLINK("http://ictvonline.org/taxonomy/p/taxonomy-history?taxnode_id=201900483","ICTVonline=201900483")</f>
        <v>ICTVonline=201900483</v>
      </c>
      <c r="AA1089" s="1">
        <v>201900000</v>
      </c>
      <c r="AB1089" s="1">
        <v>35</v>
      </c>
    </row>
    <row r="1090" spans="1:28" x14ac:dyDescent="0.2">
      <c r="A1090" s="1">
        <v>2943</v>
      </c>
      <c r="B1090" s="1" t="s">
        <v>6850</v>
      </c>
      <c r="D1090" s="1" t="s">
        <v>6851</v>
      </c>
      <c r="F1090" s="1" t="s">
        <v>6914</v>
      </c>
      <c r="H1090" s="1" t="s">
        <v>6915</v>
      </c>
      <c r="J1090" s="1" t="s">
        <v>1324</v>
      </c>
      <c r="L1090" s="1" t="s">
        <v>1325</v>
      </c>
      <c r="N1090" s="1" t="s">
        <v>2892</v>
      </c>
      <c r="P1090" s="1" t="s">
        <v>2902</v>
      </c>
      <c r="Q1090" s="3">
        <v>0</v>
      </c>
      <c r="R1090" s="23" t="s">
        <v>6854</v>
      </c>
      <c r="S1090" s="23" t="s">
        <v>6845</v>
      </c>
      <c r="T1090" s="23" t="s">
        <v>4866</v>
      </c>
      <c r="U1090" s="3">
        <v>35</v>
      </c>
      <c r="W1090" s="45" t="str">
        <f>HYPERLINK("http://ictvonline.org/taxonomy/p/taxonomy-history?taxnode_id=201900484","ICTVonline=201900484")</f>
        <v>ICTVonline=201900484</v>
      </c>
      <c r="AA1090" s="1">
        <v>201900000</v>
      </c>
      <c r="AB1090" s="1">
        <v>35</v>
      </c>
    </row>
    <row r="1091" spans="1:28" x14ac:dyDescent="0.2">
      <c r="A1091" s="1">
        <v>2945</v>
      </c>
      <c r="B1091" s="1" t="s">
        <v>6850</v>
      </c>
      <c r="D1091" s="1" t="s">
        <v>6851</v>
      </c>
      <c r="F1091" s="1" t="s">
        <v>6914</v>
      </c>
      <c r="H1091" s="1" t="s">
        <v>6915</v>
      </c>
      <c r="J1091" s="1" t="s">
        <v>1324</v>
      </c>
      <c r="L1091" s="1" t="s">
        <v>1325</v>
      </c>
      <c r="N1091" s="1" t="s">
        <v>2892</v>
      </c>
      <c r="P1091" s="1" t="s">
        <v>6193</v>
      </c>
      <c r="Q1091" s="3">
        <v>0</v>
      </c>
      <c r="R1091" s="23" t="s">
        <v>6854</v>
      </c>
      <c r="S1091" s="23" t="s">
        <v>6845</v>
      </c>
      <c r="T1091" s="23" t="s">
        <v>4866</v>
      </c>
      <c r="U1091" s="3">
        <v>35</v>
      </c>
      <c r="W1091" s="45" t="str">
        <f>HYPERLINK("http://ictvonline.org/taxonomy/p/taxonomy-history?taxnode_id=201907026","ICTVonline=201907026")</f>
        <v>ICTVonline=201907026</v>
      </c>
      <c r="Y1091" s="1" t="s">
        <v>8901</v>
      </c>
      <c r="Z1091" s="1" t="s">
        <v>8902</v>
      </c>
      <c r="AA1091" s="1">
        <v>201900000</v>
      </c>
      <c r="AB1091" s="1">
        <v>35</v>
      </c>
    </row>
    <row r="1092" spans="1:28" x14ac:dyDescent="0.2">
      <c r="A1092" s="1">
        <v>2947</v>
      </c>
      <c r="B1092" s="1" t="s">
        <v>6850</v>
      </c>
      <c r="D1092" s="1" t="s">
        <v>6851</v>
      </c>
      <c r="F1092" s="1" t="s">
        <v>6914</v>
      </c>
      <c r="H1092" s="1" t="s">
        <v>6915</v>
      </c>
      <c r="J1092" s="1" t="s">
        <v>1324</v>
      </c>
      <c r="L1092" s="1" t="s">
        <v>1325</v>
      </c>
      <c r="N1092" s="1" t="s">
        <v>2892</v>
      </c>
      <c r="P1092" s="1" t="s">
        <v>6194</v>
      </c>
      <c r="Q1092" s="3">
        <v>0</v>
      </c>
      <c r="R1092" s="23" t="s">
        <v>6854</v>
      </c>
      <c r="S1092" s="23" t="s">
        <v>6845</v>
      </c>
      <c r="T1092" s="23" t="s">
        <v>4866</v>
      </c>
      <c r="U1092" s="3">
        <v>35</v>
      </c>
      <c r="W1092" s="45" t="str">
        <f>HYPERLINK("http://ictvonline.org/taxonomy/p/taxonomy-history?taxnode_id=201907022","ICTVonline=201907022")</f>
        <v>ICTVonline=201907022</v>
      </c>
      <c r="Y1092" s="1" t="s">
        <v>8903</v>
      </c>
      <c r="Z1092" s="1" t="s">
        <v>8904</v>
      </c>
      <c r="AA1092" s="1">
        <v>201900000</v>
      </c>
      <c r="AB1092" s="1">
        <v>35</v>
      </c>
    </row>
    <row r="1093" spans="1:28" x14ac:dyDescent="0.2">
      <c r="A1093" s="1">
        <v>2949</v>
      </c>
      <c r="B1093" s="1" t="s">
        <v>6850</v>
      </c>
      <c r="D1093" s="1" t="s">
        <v>6851</v>
      </c>
      <c r="F1093" s="1" t="s">
        <v>6914</v>
      </c>
      <c r="H1093" s="1" t="s">
        <v>6915</v>
      </c>
      <c r="J1093" s="1" t="s">
        <v>1324</v>
      </c>
      <c r="L1093" s="1" t="s">
        <v>1325</v>
      </c>
      <c r="N1093" s="1" t="s">
        <v>2892</v>
      </c>
      <c r="P1093" s="1" t="s">
        <v>2903</v>
      </c>
      <c r="Q1093" s="3">
        <v>1</v>
      </c>
      <c r="R1093" s="23" t="s">
        <v>6854</v>
      </c>
      <c r="S1093" s="23" t="s">
        <v>6845</v>
      </c>
      <c r="T1093" s="23" t="s">
        <v>4866</v>
      </c>
      <c r="U1093" s="3">
        <v>35</v>
      </c>
      <c r="W1093" s="45" t="str">
        <f>HYPERLINK("http://ictvonline.org/taxonomy/p/taxonomy-history?taxnode_id=201900485","ICTVonline=201900485")</f>
        <v>ICTVonline=201900485</v>
      </c>
      <c r="AA1093" s="1">
        <v>201900000</v>
      </c>
      <c r="AB1093" s="1">
        <v>35</v>
      </c>
    </row>
    <row r="1094" spans="1:28" x14ac:dyDescent="0.2">
      <c r="A1094" s="1">
        <v>2951</v>
      </c>
      <c r="B1094" s="1" t="s">
        <v>6850</v>
      </c>
      <c r="D1094" s="1" t="s">
        <v>6851</v>
      </c>
      <c r="F1094" s="1" t="s">
        <v>6914</v>
      </c>
      <c r="H1094" s="1" t="s">
        <v>6915</v>
      </c>
      <c r="J1094" s="1" t="s">
        <v>1324</v>
      </c>
      <c r="L1094" s="1" t="s">
        <v>1325</v>
      </c>
      <c r="N1094" s="1" t="s">
        <v>2892</v>
      </c>
      <c r="P1094" s="1" t="s">
        <v>6195</v>
      </c>
      <c r="Q1094" s="3">
        <v>0</v>
      </c>
      <c r="R1094" s="23" t="s">
        <v>6854</v>
      </c>
      <c r="S1094" s="23" t="s">
        <v>6845</v>
      </c>
      <c r="T1094" s="23" t="s">
        <v>4866</v>
      </c>
      <c r="U1094" s="3">
        <v>35</v>
      </c>
      <c r="W1094" s="45" t="str">
        <f>HYPERLINK("http://ictvonline.org/taxonomy/p/taxonomy-history?taxnode_id=201907027","ICTVonline=201907027")</f>
        <v>ICTVonline=201907027</v>
      </c>
      <c r="Y1094" s="1" t="s">
        <v>8905</v>
      </c>
      <c r="Z1094" s="1" t="s">
        <v>8906</v>
      </c>
      <c r="AA1094" s="1">
        <v>201900000</v>
      </c>
      <c r="AB1094" s="1">
        <v>35</v>
      </c>
    </row>
    <row r="1095" spans="1:28" x14ac:dyDescent="0.2">
      <c r="A1095" s="1">
        <v>2953</v>
      </c>
      <c r="B1095" s="1" t="s">
        <v>6850</v>
      </c>
      <c r="D1095" s="1" t="s">
        <v>6851</v>
      </c>
      <c r="F1095" s="1" t="s">
        <v>6914</v>
      </c>
      <c r="H1095" s="1" t="s">
        <v>6915</v>
      </c>
      <c r="J1095" s="1" t="s">
        <v>1324</v>
      </c>
      <c r="L1095" s="1" t="s">
        <v>1325</v>
      </c>
      <c r="N1095" s="1" t="s">
        <v>2892</v>
      </c>
      <c r="P1095" s="1" t="s">
        <v>2904</v>
      </c>
      <c r="Q1095" s="3">
        <v>0</v>
      </c>
      <c r="R1095" s="23" t="s">
        <v>6854</v>
      </c>
      <c r="S1095" s="23" t="s">
        <v>6845</v>
      </c>
      <c r="T1095" s="23" t="s">
        <v>4866</v>
      </c>
      <c r="U1095" s="3">
        <v>35</v>
      </c>
      <c r="W1095" s="45" t="str">
        <f>HYPERLINK("http://ictvonline.org/taxonomy/p/taxonomy-history?taxnode_id=201900486","ICTVonline=201900486")</f>
        <v>ICTVonline=201900486</v>
      </c>
      <c r="AA1095" s="1">
        <v>201900000</v>
      </c>
      <c r="AB1095" s="1">
        <v>35</v>
      </c>
    </row>
    <row r="1096" spans="1:28" x14ac:dyDescent="0.2">
      <c r="A1096" s="1">
        <v>2957</v>
      </c>
      <c r="B1096" s="1" t="s">
        <v>6850</v>
      </c>
      <c r="D1096" s="1" t="s">
        <v>6851</v>
      </c>
      <c r="F1096" s="1" t="s">
        <v>6914</v>
      </c>
      <c r="H1096" s="1" t="s">
        <v>6915</v>
      </c>
      <c r="J1096" s="1" t="s">
        <v>1324</v>
      </c>
      <c r="L1096" s="1" t="s">
        <v>1325</v>
      </c>
      <c r="N1096" s="1" t="s">
        <v>6196</v>
      </c>
      <c r="P1096" s="1" t="s">
        <v>6197</v>
      </c>
      <c r="Q1096" s="3">
        <v>1</v>
      </c>
      <c r="R1096" s="23" t="s">
        <v>6854</v>
      </c>
      <c r="S1096" s="23" t="s">
        <v>6845</v>
      </c>
      <c r="T1096" s="23" t="s">
        <v>4866</v>
      </c>
      <c r="U1096" s="3">
        <v>35</v>
      </c>
      <c r="W1096" s="45" t="str">
        <f>HYPERLINK("http://ictvonline.org/taxonomy/p/taxonomy-history?taxnode_id=201906857","ICTVonline=201906857")</f>
        <v>ICTVonline=201906857</v>
      </c>
      <c r="Y1096" s="1" t="s">
        <v>8907</v>
      </c>
      <c r="Z1096" s="1" t="s">
        <v>8908</v>
      </c>
      <c r="AA1096" s="1">
        <v>201900000</v>
      </c>
      <c r="AB1096" s="1">
        <v>35</v>
      </c>
    </row>
    <row r="1097" spans="1:28" x14ac:dyDescent="0.2">
      <c r="A1097" s="1">
        <v>2961</v>
      </c>
      <c r="B1097" s="1" t="s">
        <v>6850</v>
      </c>
      <c r="D1097" s="1" t="s">
        <v>6851</v>
      </c>
      <c r="F1097" s="1" t="s">
        <v>6914</v>
      </c>
      <c r="H1097" s="1" t="s">
        <v>6915</v>
      </c>
      <c r="J1097" s="1" t="s">
        <v>1324</v>
      </c>
      <c r="L1097" s="1" t="s">
        <v>1325</v>
      </c>
      <c r="N1097" s="1" t="s">
        <v>8909</v>
      </c>
      <c r="P1097" s="1" t="s">
        <v>8910</v>
      </c>
      <c r="Q1097" s="3">
        <v>1</v>
      </c>
      <c r="R1097" s="23" t="s">
        <v>6854</v>
      </c>
      <c r="S1097" s="23" t="s">
        <v>6849</v>
      </c>
      <c r="T1097" s="23" t="s">
        <v>4864</v>
      </c>
      <c r="U1097" s="3">
        <v>35</v>
      </c>
      <c r="V1097" s="3" t="s">
        <v>8911</v>
      </c>
      <c r="W1097" s="45" t="str">
        <f>HYPERLINK("http://ictvonline.org/taxonomy/p/taxonomy-history?taxnode_id=201907985","ICTVonline=201907985")</f>
        <v>ICTVonline=201907985</v>
      </c>
      <c r="Y1097" s="1" t="s">
        <v>8912</v>
      </c>
      <c r="AA1097" s="1">
        <v>201900000</v>
      </c>
      <c r="AB1097" s="1">
        <v>35</v>
      </c>
    </row>
    <row r="1098" spans="1:28" x14ac:dyDescent="0.2">
      <c r="A1098" s="1">
        <v>2965</v>
      </c>
      <c r="B1098" s="1" t="s">
        <v>6850</v>
      </c>
      <c r="D1098" s="1" t="s">
        <v>6851</v>
      </c>
      <c r="F1098" s="1" t="s">
        <v>6914</v>
      </c>
      <c r="H1098" s="1" t="s">
        <v>6915</v>
      </c>
      <c r="J1098" s="1" t="s">
        <v>1324</v>
      </c>
      <c r="L1098" s="1" t="s">
        <v>1325</v>
      </c>
      <c r="N1098" s="1" t="s">
        <v>8913</v>
      </c>
      <c r="P1098" s="1" t="s">
        <v>8914</v>
      </c>
      <c r="Q1098" s="3">
        <v>1</v>
      </c>
      <c r="R1098" s="23" t="s">
        <v>6854</v>
      </c>
      <c r="S1098" s="23" t="s">
        <v>6849</v>
      </c>
      <c r="T1098" s="23" t="s">
        <v>4864</v>
      </c>
      <c r="U1098" s="3">
        <v>35</v>
      </c>
      <c r="V1098" s="3" t="s">
        <v>8915</v>
      </c>
      <c r="W1098" s="45" t="str">
        <f>HYPERLINK("http://ictvonline.org/taxonomy/p/taxonomy-history?taxnode_id=201908188","ICTVonline=201908188")</f>
        <v>ICTVonline=201908188</v>
      </c>
      <c r="Y1098" s="1" t="s">
        <v>8916</v>
      </c>
      <c r="AA1098" s="1">
        <v>201900000</v>
      </c>
      <c r="AB1098" s="1">
        <v>35</v>
      </c>
    </row>
    <row r="1099" spans="1:28" x14ac:dyDescent="0.2">
      <c r="A1099" s="1">
        <v>2969</v>
      </c>
      <c r="B1099" s="1" t="s">
        <v>6850</v>
      </c>
      <c r="D1099" s="1" t="s">
        <v>6851</v>
      </c>
      <c r="F1099" s="1" t="s">
        <v>6914</v>
      </c>
      <c r="H1099" s="1" t="s">
        <v>6915</v>
      </c>
      <c r="J1099" s="1" t="s">
        <v>1324</v>
      </c>
      <c r="L1099" s="1" t="s">
        <v>1325</v>
      </c>
      <c r="N1099" s="1" t="s">
        <v>8917</v>
      </c>
      <c r="P1099" s="1" t="s">
        <v>8918</v>
      </c>
      <c r="Q1099" s="3">
        <v>0</v>
      </c>
      <c r="R1099" s="23" t="s">
        <v>6854</v>
      </c>
      <c r="S1099" s="23" t="s">
        <v>6849</v>
      </c>
      <c r="T1099" s="23" t="s">
        <v>4864</v>
      </c>
      <c r="U1099" s="3">
        <v>35</v>
      </c>
      <c r="V1099" s="3" t="s">
        <v>8919</v>
      </c>
      <c r="W1099" s="45" t="str">
        <f>HYPERLINK("http://ictvonline.org/taxonomy/p/taxonomy-history?taxnode_id=201907991","ICTVonline=201907991")</f>
        <v>ICTVonline=201907991</v>
      </c>
      <c r="Y1099" s="1" t="s">
        <v>8920</v>
      </c>
      <c r="AA1099" s="1">
        <v>201900000</v>
      </c>
      <c r="AB1099" s="1">
        <v>35</v>
      </c>
    </row>
    <row r="1100" spans="1:28" x14ac:dyDescent="0.2">
      <c r="A1100" s="1">
        <v>2971</v>
      </c>
      <c r="B1100" s="1" t="s">
        <v>6850</v>
      </c>
      <c r="D1100" s="1" t="s">
        <v>6851</v>
      </c>
      <c r="F1100" s="1" t="s">
        <v>6914</v>
      </c>
      <c r="H1100" s="1" t="s">
        <v>6915</v>
      </c>
      <c r="J1100" s="1" t="s">
        <v>1324</v>
      </c>
      <c r="L1100" s="1" t="s">
        <v>1325</v>
      </c>
      <c r="N1100" s="1" t="s">
        <v>8917</v>
      </c>
      <c r="P1100" s="1" t="s">
        <v>8921</v>
      </c>
      <c r="Q1100" s="3">
        <v>0</v>
      </c>
      <c r="R1100" s="23" t="s">
        <v>6854</v>
      </c>
      <c r="S1100" s="23" t="s">
        <v>6849</v>
      </c>
      <c r="T1100" s="23" t="s">
        <v>4864</v>
      </c>
      <c r="U1100" s="3">
        <v>35</v>
      </c>
      <c r="V1100" s="3" t="s">
        <v>8919</v>
      </c>
      <c r="W1100" s="45" t="str">
        <f>HYPERLINK("http://ictvonline.org/taxonomy/p/taxonomy-history?taxnode_id=201907989","ICTVonline=201907989")</f>
        <v>ICTVonline=201907989</v>
      </c>
      <c r="Y1100" s="1" t="s">
        <v>8922</v>
      </c>
      <c r="AA1100" s="1">
        <v>201900000</v>
      </c>
      <c r="AB1100" s="1">
        <v>35</v>
      </c>
    </row>
    <row r="1101" spans="1:28" x14ac:dyDescent="0.2">
      <c r="A1101" s="1">
        <v>2973</v>
      </c>
      <c r="B1101" s="1" t="s">
        <v>6850</v>
      </c>
      <c r="D1101" s="1" t="s">
        <v>6851</v>
      </c>
      <c r="F1101" s="1" t="s">
        <v>6914</v>
      </c>
      <c r="H1101" s="1" t="s">
        <v>6915</v>
      </c>
      <c r="J1101" s="1" t="s">
        <v>1324</v>
      </c>
      <c r="L1101" s="1" t="s">
        <v>1325</v>
      </c>
      <c r="N1101" s="1" t="s">
        <v>8917</v>
      </c>
      <c r="P1101" s="1" t="s">
        <v>8923</v>
      </c>
      <c r="Q1101" s="3">
        <v>1</v>
      </c>
      <c r="R1101" s="23" t="s">
        <v>6854</v>
      </c>
      <c r="S1101" s="23" t="s">
        <v>6849</v>
      </c>
      <c r="T1101" s="23" t="s">
        <v>4864</v>
      </c>
      <c r="U1101" s="3">
        <v>35</v>
      </c>
      <c r="V1101" s="3" t="s">
        <v>8919</v>
      </c>
      <c r="W1101" s="45" t="str">
        <f>HYPERLINK("http://ictvonline.org/taxonomy/p/taxonomy-history?taxnode_id=201907987","ICTVonline=201907987")</f>
        <v>ICTVonline=201907987</v>
      </c>
      <c r="Y1101" s="1" t="s">
        <v>8924</v>
      </c>
      <c r="AA1101" s="1">
        <v>201900000</v>
      </c>
      <c r="AB1101" s="1">
        <v>35</v>
      </c>
    </row>
    <row r="1102" spans="1:28" x14ac:dyDescent="0.2">
      <c r="A1102" s="1">
        <v>2975</v>
      </c>
      <c r="B1102" s="1" t="s">
        <v>6850</v>
      </c>
      <c r="D1102" s="1" t="s">
        <v>6851</v>
      </c>
      <c r="F1102" s="1" t="s">
        <v>6914</v>
      </c>
      <c r="H1102" s="1" t="s">
        <v>6915</v>
      </c>
      <c r="J1102" s="1" t="s">
        <v>1324</v>
      </c>
      <c r="L1102" s="1" t="s">
        <v>1325</v>
      </c>
      <c r="N1102" s="1" t="s">
        <v>8917</v>
      </c>
      <c r="P1102" s="1" t="s">
        <v>8925</v>
      </c>
      <c r="Q1102" s="3">
        <v>0</v>
      </c>
      <c r="R1102" s="23" t="s">
        <v>6854</v>
      </c>
      <c r="S1102" s="23" t="s">
        <v>6849</v>
      </c>
      <c r="T1102" s="23" t="s">
        <v>4864</v>
      </c>
      <c r="U1102" s="3">
        <v>35</v>
      </c>
      <c r="V1102" s="3" t="s">
        <v>8919</v>
      </c>
      <c r="W1102" s="45" t="str">
        <f>HYPERLINK("http://ictvonline.org/taxonomy/p/taxonomy-history?taxnode_id=201907988","ICTVonline=201907988")</f>
        <v>ICTVonline=201907988</v>
      </c>
      <c r="Y1102" s="1" t="s">
        <v>8926</v>
      </c>
      <c r="AA1102" s="1">
        <v>201900000</v>
      </c>
      <c r="AB1102" s="1">
        <v>35</v>
      </c>
    </row>
    <row r="1103" spans="1:28" x14ac:dyDescent="0.2">
      <c r="A1103" s="1">
        <v>2977</v>
      </c>
      <c r="B1103" s="1" t="s">
        <v>6850</v>
      </c>
      <c r="D1103" s="1" t="s">
        <v>6851</v>
      </c>
      <c r="F1103" s="1" t="s">
        <v>6914</v>
      </c>
      <c r="H1103" s="1" t="s">
        <v>6915</v>
      </c>
      <c r="J1103" s="1" t="s">
        <v>1324</v>
      </c>
      <c r="L1103" s="1" t="s">
        <v>1325</v>
      </c>
      <c r="N1103" s="1" t="s">
        <v>8917</v>
      </c>
      <c r="P1103" s="1" t="s">
        <v>8927</v>
      </c>
      <c r="Q1103" s="3">
        <v>0</v>
      </c>
      <c r="R1103" s="23" t="s">
        <v>6854</v>
      </c>
      <c r="S1103" s="23" t="s">
        <v>6849</v>
      </c>
      <c r="T1103" s="23" t="s">
        <v>4864</v>
      </c>
      <c r="U1103" s="3">
        <v>35</v>
      </c>
      <c r="V1103" s="3" t="s">
        <v>8919</v>
      </c>
      <c r="W1103" s="45" t="str">
        <f>HYPERLINK("http://ictvonline.org/taxonomy/p/taxonomy-history?taxnode_id=201907990","ICTVonline=201907990")</f>
        <v>ICTVonline=201907990</v>
      </c>
      <c r="Y1103" s="1" t="s">
        <v>8928</v>
      </c>
      <c r="AA1103" s="1">
        <v>201900000</v>
      </c>
      <c r="AB1103" s="1">
        <v>35</v>
      </c>
    </row>
    <row r="1104" spans="1:28" x14ac:dyDescent="0.2">
      <c r="A1104" s="1">
        <v>2981</v>
      </c>
      <c r="B1104" s="1" t="s">
        <v>6850</v>
      </c>
      <c r="D1104" s="1" t="s">
        <v>6851</v>
      </c>
      <c r="F1104" s="1" t="s">
        <v>6914</v>
      </c>
      <c r="H1104" s="1" t="s">
        <v>6915</v>
      </c>
      <c r="J1104" s="1" t="s">
        <v>1324</v>
      </c>
      <c r="L1104" s="1" t="s">
        <v>1325</v>
      </c>
      <c r="N1104" s="1" t="s">
        <v>2905</v>
      </c>
      <c r="P1104" s="1" t="s">
        <v>4193</v>
      </c>
      <c r="Q1104" s="3">
        <v>0</v>
      </c>
      <c r="R1104" s="23" t="s">
        <v>6854</v>
      </c>
      <c r="S1104" s="23" t="s">
        <v>6845</v>
      </c>
      <c r="T1104" s="23" t="s">
        <v>4866</v>
      </c>
      <c r="U1104" s="3">
        <v>35</v>
      </c>
      <c r="W1104" s="45" t="str">
        <f>HYPERLINK("http://ictvonline.org/taxonomy/p/taxonomy-history?taxnode_id=201900488","ICTVonline=201900488")</f>
        <v>ICTVonline=201900488</v>
      </c>
      <c r="Y1104" s="1" t="s">
        <v>8929</v>
      </c>
      <c r="Z1104" s="1" t="s">
        <v>8930</v>
      </c>
      <c r="AA1104" s="1">
        <v>201900000</v>
      </c>
      <c r="AB1104" s="1">
        <v>35</v>
      </c>
    </row>
    <row r="1105" spans="1:28" x14ac:dyDescent="0.2">
      <c r="A1105" s="1">
        <v>2983</v>
      </c>
      <c r="B1105" s="1" t="s">
        <v>6850</v>
      </c>
      <c r="D1105" s="1" t="s">
        <v>6851</v>
      </c>
      <c r="F1105" s="1" t="s">
        <v>6914</v>
      </c>
      <c r="H1105" s="1" t="s">
        <v>6915</v>
      </c>
      <c r="J1105" s="1" t="s">
        <v>1324</v>
      </c>
      <c r="L1105" s="1" t="s">
        <v>1325</v>
      </c>
      <c r="N1105" s="1" t="s">
        <v>2905</v>
      </c>
      <c r="P1105" s="1" t="s">
        <v>2907</v>
      </c>
      <c r="Q1105" s="3">
        <v>1</v>
      </c>
      <c r="R1105" s="23" t="s">
        <v>6854</v>
      </c>
      <c r="S1105" s="23" t="s">
        <v>6845</v>
      </c>
      <c r="T1105" s="23" t="s">
        <v>4866</v>
      </c>
      <c r="U1105" s="3">
        <v>35</v>
      </c>
      <c r="W1105" s="45" t="str">
        <f>HYPERLINK("http://ictvonline.org/taxonomy/p/taxonomy-history?taxnode_id=201900489","ICTVonline=201900489")</f>
        <v>ICTVonline=201900489</v>
      </c>
      <c r="AA1105" s="1">
        <v>201900000</v>
      </c>
      <c r="AB1105" s="1">
        <v>35</v>
      </c>
    </row>
    <row r="1106" spans="1:28" x14ac:dyDescent="0.2">
      <c r="A1106" s="1">
        <v>2985</v>
      </c>
      <c r="B1106" s="1" t="s">
        <v>6850</v>
      </c>
      <c r="D1106" s="1" t="s">
        <v>6851</v>
      </c>
      <c r="F1106" s="1" t="s">
        <v>6914</v>
      </c>
      <c r="H1106" s="1" t="s">
        <v>6915</v>
      </c>
      <c r="J1106" s="1" t="s">
        <v>1324</v>
      </c>
      <c r="L1106" s="1" t="s">
        <v>1325</v>
      </c>
      <c r="N1106" s="1" t="s">
        <v>2905</v>
      </c>
      <c r="P1106" s="1" t="s">
        <v>6198</v>
      </c>
      <c r="Q1106" s="3">
        <v>0</v>
      </c>
      <c r="R1106" s="23" t="s">
        <v>6854</v>
      </c>
      <c r="S1106" s="23" t="s">
        <v>6845</v>
      </c>
      <c r="T1106" s="23" t="s">
        <v>4866</v>
      </c>
      <c r="U1106" s="3">
        <v>35</v>
      </c>
      <c r="W1106" s="45" t="str">
        <f>HYPERLINK("http://ictvonline.org/taxonomy/p/taxonomy-history?taxnode_id=201907032","ICTVonline=201907032")</f>
        <v>ICTVonline=201907032</v>
      </c>
      <c r="Y1106" s="1" t="s">
        <v>8931</v>
      </c>
      <c r="Z1106" s="1" t="s">
        <v>8932</v>
      </c>
      <c r="AA1106" s="1">
        <v>201900000</v>
      </c>
      <c r="AB1106" s="1">
        <v>35</v>
      </c>
    </row>
    <row r="1107" spans="1:28" x14ac:dyDescent="0.2">
      <c r="A1107" s="1">
        <v>2989</v>
      </c>
      <c r="B1107" s="1" t="s">
        <v>6850</v>
      </c>
      <c r="D1107" s="1" t="s">
        <v>6851</v>
      </c>
      <c r="F1107" s="1" t="s">
        <v>6914</v>
      </c>
      <c r="H1107" s="1" t="s">
        <v>6915</v>
      </c>
      <c r="J1107" s="1" t="s">
        <v>1324</v>
      </c>
      <c r="L1107" s="1" t="s">
        <v>1325</v>
      </c>
      <c r="N1107" s="1" t="s">
        <v>6199</v>
      </c>
      <c r="P1107" s="1" t="s">
        <v>6200</v>
      </c>
      <c r="Q1107" s="3">
        <v>1</v>
      </c>
      <c r="R1107" s="23" t="s">
        <v>6854</v>
      </c>
      <c r="S1107" s="23" t="s">
        <v>6845</v>
      </c>
      <c r="T1107" s="23" t="s">
        <v>4866</v>
      </c>
      <c r="U1107" s="3">
        <v>35</v>
      </c>
      <c r="W1107" s="45" t="str">
        <f>HYPERLINK("http://ictvonline.org/taxonomy/p/taxonomy-history?taxnode_id=201906859","ICTVonline=201906859")</f>
        <v>ICTVonline=201906859</v>
      </c>
      <c r="Y1107" s="1" t="s">
        <v>8933</v>
      </c>
      <c r="Z1107" s="1" t="s">
        <v>8934</v>
      </c>
      <c r="AA1107" s="1">
        <v>201900000</v>
      </c>
      <c r="AB1107" s="1">
        <v>35</v>
      </c>
    </row>
    <row r="1108" spans="1:28" x14ac:dyDescent="0.2">
      <c r="A1108" s="1">
        <v>2993</v>
      </c>
      <c r="B1108" s="1" t="s">
        <v>6850</v>
      </c>
      <c r="D1108" s="1" t="s">
        <v>6851</v>
      </c>
      <c r="F1108" s="1" t="s">
        <v>6914</v>
      </c>
      <c r="H1108" s="1" t="s">
        <v>6915</v>
      </c>
      <c r="J1108" s="1" t="s">
        <v>1324</v>
      </c>
      <c r="L1108" s="1" t="s">
        <v>1325</v>
      </c>
      <c r="N1108" s="1" t="s">
        <v>6201</v>
      </c>
      <c r="P1108" s="1" t="s">
        <v>6202</v>
      </c>
      <c r="Q1108" s="3">
        <v>1</v>
      </c>
      <c r="R1108" s="23" t="s">
        <v>6854</v>
      </c>
      <c r="S1108" s="23" t="s">
        <v>6845</v>
      </c>
      <c r="T1108" s="23" t="s">
        <v>4866</v>
      </c>
      <c r="U1108" s="3">
        <v>35</v>
      </c>
      <c r="W1108" s="45" t="str">
        <f>HYPERLINK("http://ictvonline.org/taxonomy/p/taxonomy-history?taxnode_id=201906720","ICTVonline=201906720")</f>
        <v>ICTVonline=201906720</v>
      </c>
      <c r="Y1108" s="1" t="s">
        <v>8935</v>
      </c>
      <c r="Z1108" s="1" t="s">
        <v>8936</v>
      </c>
      <c r="AA1108" s="1">
        <v>201900000</v>
      </c>
      <c r="AB1108" s="1">
        <v>35</v>
      </c>
    </row>
    <row r="1109" spans="1:28" x14ac:dyDescent="0.2">
      <c r="A1109" s="1">
        <v>2997</v>
      </c>
      <c r="B1109" s="1" t="s">
        <v>6850</v>
      </c>
      <c r="D1109" s="1" t="s">
        <v>6851</v>
      </c>
      <c r="F1109" s="1" t="s">
        <v>6914</v>
      </c>
      <c r="H1109" s="1" t="s">
        <v>6915</v>
      </c>
      <c r="J1109" s="1" t="s">
        <v>1324</v>
      </c>
      <c r="L1109" s="1" t="s">
        <v>1325</v>
      </c>
      <c r="N1109" s="1" t="s">
        <v>8937</v>
      </c>
      <c r="P1109" s="1" t="s">
        <v>8938</v>
      </c>
      <c r="Q1109" s="3">
        <v>1</v>
      </c>
      <c r="R1109" s="23" t="s">
        <v>6854</v>
      </c>
      <c r="S1109" s="23" t="s">
        <v>6849</v>
      </c>
      <c r="T1109" s="23" t="s">
        <v>4864</v>
      </c>
      <c r="U1109" s="3">
        <v>35</v>
      </c>
      <c r="V1109" s="3" t="s">
        <v>8558</v>
      </c>
      <c r="W1109" s="45" t="str">
        <f>HYPERLINK("http://ictvonline.org/taxonomy/p/taxonomy-history?taxnode_id=201907811","ICTVonline=201907811")</f>
        <v>ICTVonline=201907811</v>
      </c>
      <c r="Y1109" s="1" t="s">
        <v>8939</v>
      </c>
      <c r="AA1109" s="1">
        <v>201900000</v>
      </c>
      <c r="AB1109" s="1">
        <v>35</v>
      </c>
    </row>
    <row r="1110" spans="1:28" x14ac:dyDescent="0.2">
      <c r="A1110" s="1">
        <v>3001</v>
      </c>
      <c r="B1110" s="1" t="s">
        <v>6850</v>
      </c>
      <c r="D1110" s="1" t="s">
        <v>6851</v>
      </c>
      <c r="F1110" s="1" t="s">
        <v>6914</v>
      </c>
      <c r="H1110" s="1" t="s">
        <v>6915</v>
      </c>
      <c r="J1110" s="1" t="s">
        <v>1324</v>
      </c>
      <c r="L1110" s="1" t="s">
        <v>1325</v>
      </c>
      <c r="N1110" s="1" t="s">
        <v>6203</v>
      </c>
      <c r="P1110" s="1" t="s">
        <v>6204</v>
      </c>
      <c r="Q1110" s="3">
        <v>1</v>
      </c>
      <c r="R1110" s="23" t="s">
        <v>6854</v>
      </c>
      <c r="S1110" s="23" t="s">
        <v>6845</v>
      </c>
      <c r="T1110" s="23" t="s">
        <v>4866</v>
      </c>
      <c r="U1110" s="3">
        <v>35</v>
      </c>
      <c r="W1110" s="45" t="str">
        <f>HYPERLINK("http://ictvonline.org/taxonomy/p/taxonomy-history?taxnode_id=201906778","ICTVonline=201906778")</f>
        <v>ICTVonline=201906778</v>
      </c>
      <c r="Y1110" s="1" t="s">
        <v>8940</v>
      </c>
      <c r="Z1110" s="1" t="s">
        <v>8941</v>
      </c>
      <c r="AA1110" s="1">
        <v>201900000</v>
      </c>
      <c r="AB1110" s="1">
        <v>35</v>
      </c>
    </row>
    <row r="1111" spans="1:28" x14ac:dyDescent="0.2">
      <c r="A1111" s="1">
        <v>3005</v>
      </c>
      <c r="B1111" s="1" t="s">
        <v>6850</v>
      </c>
      <c r="D1111" s="1" t="s">
        <v>6851</v>
      </c>
      <c r="F1111" s="1" t="s">
        <v>6914</v>
      </c>
      <c r="H1111" s="1" t="s">
        <v>6915</v>
      </c>
      <c r="J1111" s="1" t="s">
        <v>1324</v>
      </c>
      <c r="L1111" s="1" t="s">
        <v>1325</v>
      </c>
      <c r="N1111" s="1" t="s">
        <v>6205</v>
      </c>
      <c r="P1111" s="1" t="s">
        <v>2883</v>
      </c>
      <c r="Q1111" s="3">
        <v>0</v>
      </c>
      <c r="R1111" s="23" t="s">
        <v>6854</v>
      </c>
      <c r="S1111" s="23" t="s">
        <v>6845</v>
      </c>
      <c r="T1111" s="23" t="s">
        <v>4866</v>
      </c>
      <c r="U1111" s="3">
        <v>35</v>
      </c>
      <c r="W1111" s="45" t="str">
        <f>HYPERLINK("http://ictvonline.org/taxonomy/p/taxonomy-history?taxnode_id=201900465","ICTVonline=201900465")</f>
        <v>ICTVonline=201900465</v>
      </c>
      <c r="AA1111" s="1">
        <v>201900000</v>
      </c>
      <c r="AB1111" s="1">
        <v>35</v>
      </c>
    </row>
    <row r="1112" spans="1:28" x14ac:dyDescent="0.2">
      <c r="A1112" s="1">
        <v>3007</v>
      </c>
      <c r="B1112" s="1" t="s">
        <v>6850</v>
      </c>
      <c r="D1112" s="1" t="s">
        <v>6851</v>
      </c>
      <c r="F1112" s="1" t="s">
        <v>6914</v>
      </c>
      <c r="H1112" s="1" t="s">
        <v>6915</v>
      </c>
      <c r="J1112" s="1" t="s">
        <v>1324</v>
      </c>
      <c r="L1112" s="1" t="s">
        <v>1325</v>
      </c>
      <c r="N1112" s="1" t="s">
        <v>6205</v>
      </c>
      <c r="P1112" s="1" t="s">
        <v>2884</v>
      </c>
      <c r="Q1112" s="3">
        <v>1</v>
      </c>
      <c r="R1112" s="23" t="s">
        <v>6854</v>
      </c>
      <c r="S1112" s="23" t="s">
        <v>6845</v>
      </c>
      <c r="T1112" s="23" t="s">
        <v>4866</v>
      </c>
      <c r="U1112" s="3">
        <v>35</v>
      </c>
      <c r="W1112" s="45" t="str">
        <f>HYPERLINK("http://ictvonline.org/taxonomy/p/taxonomy-history?taxnode_id=201900466","ICTVonline=201900466")</f>
        <v>ICTVonline=201900466</v>
      </c>
      <c r="AA1112" s="1">
        <v>201900000</v>
      </c>
      <c r="AB1112" s="1">
        <v>35</v>
      </c>
    </row>
    <row r="1113" spans="1:28" x14ac:dyDescent="0.2">
      <c r="A1113" s="1">
        <v>3009</v>
      </c>
      <c r="B1113" s="1" t="s">
        <v>6850</v>
      </c>
      <c r="D1113" s="1" t="s">
        <v>6851</v>
      </c>
      <c r="F1113" s="1" t="s">
        <v>6914</v>
      </c>
      <c r="H1113" s="1" t="s">
        <v>6915</v>
      </c>
      <c r="J1113" s="1" t="s">
        <v>1324</v>
      </c>
      <c r="L1113" s="1" t="s">
        <v>1325</v>
      </c>
      <c r="N1113" s="1" t="s">
        <v>6205</v>
      </c>
      <c r="P1113" s="1" t="s">
        <v>6206</v>
      </c>
      <c r="Q1113" s="3">
        <v>0</v>
      </c>
      <c r="R1113" s="23" t="s">
        <v>6854</v>
      </c>
      <c r="S1113" s="23" t="s">
        <v>6845</v>
      </c>
      <c r="T1113" s="23" t="s">
        <v>4866</v>
      </c>
      <c r="U1113" s="3">
        <v>35</v>
      </c>
      <c r="W1113" s="45" t="str">
        <f>HYPERLINK("http://ictvonline.org/taxonomy/p/taxonomy-history?taxnode_id=201907014","ICTVonline=201907014")</f>
        <v>ICTVonline=201907014</v>
      </c>
      <c r="Y1113" s="1" t="s">
        <v>8942</v>
      </c>
      <c r="Z1113" s="1" t="s">
        <v>8943</v>
      </c>
      <c r="AA1113" s="1">
        <v>201900000</v>
      </c>
      <c r="AB1113" s="1">
        <v>35</v>
      </c>
    </row>
    <row r="1114" spans="1:28" x14ac:dyDescent="0.2">
      <c r="A1114" s="1">
        <v>3011</v>
      </c>
      <c r="B1114" s="1" t="s">
        <v>6850</v>
      </c>
      <c r="D1114" s="1" t="s">
        <v>6851</v>
      </c>
      <c r="F1114" s="1" t="s">
        <v>6914</v>
      </c>
      <c r="H1114" s="1" t="s">
        <v>6915</v>
      </c>
      <c r="J1114" s="1" t="s">
        <v>1324</v>
      </c>
      <c r="L1114" s="1" t="s">
        <v>1325</v>
      </c>
      <c r="N1114" s="1" t="s">
        <v>6205</v>
      </c>
      <c r="P1114" s="1" t="s">
        <v>6207</v>
      </c>
      <c r="Q1114" s="3">
        <v>0</v>
      </c>
      <c r="R1114" s="23" t="s">
        <v>6854</v>
      </c>
      <c r="S1114" s="23" t="s">
        <v>6845</v>
      </c>
      <c r="T1114" s="23" t="s">
        <v>4866</v>
      </c>
      <c r="U1114" s="3">
        <v>35</v>
      </c>
      <c r="W1114" s="45" t="str">
        <f>HYPERLINK("http://ictvonline.org/taxonomy/p/taxonomy-history?taxnode_id=201907015","ICTVonline=201907015")</f>
        <v>ICTVonline=201907015</v>
      </c>
      <c r="Y1114" s="1" t="s">
        <v>8944</v>
      </c>
      <c r="Z1114" s="1" t="s">
        <v>8945</v>
      </c>
      <c r="AA1114" s="1">
        <v>201900000</v>
      </c>
      <c r="AB1114" s="1">
        <v>35</v>
      </c>
    </row>
    <row r="1115" spans="1:28" x14ac:dyDescent="0.2">
      <c r="A1115" s="1">
        <v>3015</v>
      </c>
      <c r="B1115" s="1" t="s">
        <v>6850</v>
      </c>
      <c r="D1115" s="1" t="s">
        <v>6851</v>
      </c>
      <c r="F1115" s="1" t="s">
        <v>6914</v>
      </c>
      <c r="H1115" s="1" t="s">
        <v>6915</v>
      </c>
      <c r="J1115" s="1" t="s">
        <v>1324</v>
      </c>
      <c r="L1115" s="1" t="s">
        <v>1325</v>
      </c>
      <c r="N1115" s="1" t="s">
        <v>8946</v>
      </c>
      <c r="P1115" s="1" t="s">
        <v>8947</v>
      </c>
      <c r="Q1115" s="3">
        <v>1</v>
      </c>
      <c r="R1115" s="23" t="s">
        <v>6854</v>
      </c>
      <c r="S1115" s="23" t="s">
        <v>6849</v>
      </c>
      <c r="T1115" s="23" t="s">
        <v>4864</v>
      </c>
      <c r="U1115" s="3">
        <v>35</v>
      </c>
      <c r="V1115" s="3" t="s">
        <v>8948</v>
      </c>
      <c r="W1115" s="45" t="str">
        <f>HYPERLINK("http://ictvonline.org/taxonomy/p/taxonomy-history?taxnode_id=201907516","ICTVonline=201907516")</f>
        <v>ICTVonline=201907516</v>
      </c>
      <c r="Y1115" s="1" t="s">
        <v>8949</v>
      </c>
      <c r="AA1115" s="1">
        <v>201900000</v>
      </c>
      <c r="AB1115" s="1">
        <v>35</v>
      </c>
    </row>
    <row r="1116" spans="1:28" x14ac:dyDescent="0.2">
      <c r="A1116" s="1">
        <v>3019</v>
      </c>
      <c r="B1116" s="1" t="s">
        <v>6850</v>
      </c>
      <c r="D1116" s="1" t="s">
        <v>6851</v>
      </c>
      <c r="F1116" s="1" t="s">
        <v>6914</v>
      </c>
      <c r="H1116" s="1" t="s">
        <v>6915</v>
      </c>
      <c r="J1116" s="1" t="s">
        <v>1324</v>
      </c>
      <c r="L1116" s="1" t="s">
        <v>1325</v>
      </c>
      <c r="N1116" s="1" t="s">
        <v>6208</v>
      </c>
      <c r="P1116" s="1" t="s">
        <v>4168</v>
      </c>
      <c r="Q1116" s="3">
        <v>1</v>
      </c>
      <c r="R1116" s="23" t="s">
        <v>6854</v>
      </c>
      <c r="S1116" s="23" t="s">
        <v>6845</v>
      </c>
      <c r="T1116" s="23" t="s">
        <v>4866</v>
      </c>
      <c r="U1116" s="3">
        <v>35</v>
      </c>
      <c r="W1116" s="45" t="str">
        <f>HYPERLINK("http://ictvonline.org/taxonomy/p/taxonomy-history?taxnode_id=201900382","ICTVonline=201900382")</f>
        <v>ICTVonline=201900382</v>
      </c>
      <c r="Y1116" s="1" t="s">
        <v>8950</v>
      </c>
      <c r="Z1116" s="1" t="s">
        <v>8951</v>
      </c>
      <c r="AA1116" s="1">
        <v>201900000</v>
      </c>
      <c r="AB1116" s="1">
        <v>35</v>
      </c>
    </row>
    <row r="1117" spans="1:28" x14ac:dyDescent="0.2">
      <c r="A1117" s="1">
        <v>3021</v>
      </c>
      <c r="B1117" s="1" t="s">
        <v>6850</v>
      </c>
      <c r="D1117" s="1" t="s">
        <v>6851</v>
      </c>
      <c r="F1117" s="1" t="s">
        <v>6914</v>
      </c>
      <c r="H1117" s="1" t="s">
        <v>6915</v>
      </c>
      <c r="J1117" s="1" t="s">
        <v>1324</v>
      </c>
      <c r="L1117" s="1" t="s">
        <v>1325</v>
      </c>
      <c r="N1117" s="1" t="s">
        <v>6208</v>
      </c>
      <c r="P1117" s="1" t="s">
        <v>6209</v>
      </c>
      <c r="Q1117" s="3">
        <v>0</v>
      </c>
      <c r="R1117" s="23" t="s">
        <v>6854</v>
      </c>
      <c r="S1117" s="23" t="s">
        <v>6845</v>
      </c>
      <c r="T1117" s="23" t="s">
        <v>4866</v>
      </c>
      <c r="U1117" s="3">
        <v>35</v>
      </c>
      <c r="W1117" s="45" t="str">
        <f>HYPERLINK("http://ictvonline.org/taxonomy/p/taxonomy-history?taxnode_id=201906996","ICTVonline=201906996")</f>
        <v>ICTVonline=201906996</v>
      </c>
      <c r="Y1117" s="1" t="s">
        <v>8952</v>
      </c>
      <c r="Z1117" s="1" t="s">
        <v>8953</v>
      </c>
      <c r="AA1117" s="1">
        <v>201900000</v>
      </c>
      <c r="AB1117" s="1">
        <v>35</v>
      </c>
    </row>
    <row r="1118" spans="1:28" x14ac:dyDescent="0.2">
      <c r="A1118" s="1">
        <v>3023</v>
      </c>
      <c r="B1118" s="1" t="s">
        <v>6850</v>
      </c>
      <c r="D1118" s="1" t="s">
        <v>6851</v>
      </c>
      <c r="F1118" s="1" t="s">
        <v>6914</v>
      </c>
      <c r="H1118" s="1" t="s">
        <v>6915</v>
      </c>
      <c r="J1118" s="1" t="s">
        <v>1324</v>
      </c>
      <c r="L1118" s="1" t="s">
        <v>1325</v>
      </c>
      <c r="N1118" s="1" t="s">
        <v>6208</v>
      </c>
      <c r="P1118" s="1" t="s">
        <v>4169</v>
      </c>
      <c r="Q1118" s="3">
        <v>0</v>
      </c>
      <c r="R1118" s="23" t="s">
        <v>6854</v>
      </c>
      <c r="S1118" s="23" t="s">
        <v>6845</v>
      </c>
      <c r="T1118" s="23" t="s">
        <v>4866</v>
      </c>
      <c r="U1118" s="3">
        <v>35</v>
      </c>
      <c r="W1118" s="45" t="str">
        <f>HYPERLINK("http://ictvonline.org/taxonomy/p/taxonomy-history?taxnode_id=201900383","ICTVonline=201900383")</f>
        <v>ICTVonline=201900383</v>
      </c>
      <c r="Y1118" s="1" t="s">
        <v>8954</v>
      </c>
      <c r="Z1118" s="1" t="s">
        <v>8955</v>
      </c>
      <c r="AA1118" s="1">
        <v>201900000</v>
      </c>
      <c r="AB1118" s="1">
        <v>35</v>
      </c>
    </row>
    <row r="1119" spans="1:28" x14ac:dyDescent="0.2">
      <c r="A1119" s="1">
        <v>3027</v>
      </c>
      <c r="B1119" s="1" t="s">
        <v>6850</v>
      </c>
      <c r="D1119" s="1" t="s">
        <v>6851</v>
      </c>
      <c r="F1119" s="1" t="s">
        <v>6914</v>
      </c>
      <c r="H1119" s="1" t="s">
        <v>6915</v>
      </c>
      <c r="J1119" s="1" t="s">
        <v>1324</v>
      </c>
      <c r="L1119" s="1" t="s">
        <v>1325</v>
      </c>
      <c r="N1119" s="1" t="s">
        <v>6210</v>
      </c>
      <c r="P1119" s="1" t="s">
        <v>6211</v>
      </c>
      <c r="Q1119" s="3">
        <v>1</v>
      </c>
      <c r="R1119" s="23" t="s">
        <v>6854</v>
      </c>
      <c r="S1119" s="23" t="s">
        <v>6845</v>
      </c>
      <c r="T1119" s="23" t="s">
        <v>4866</v>
      </c>
      <c r="U1119" s="3">
        <v>35</v>
      </c>
      <c r="W1119" s="45" t="str">
        <f>HYPERLINK("http://ictvonline.org/taxonomy/p/taxonomy-history?taxnode_id=201906865","ICTVonline=201906865")</f>
        <v>ICTVonline=201906865</v>
      </c>
      <c r="Y1119" s="1" t="s">
        <v>8956</v>
      </c>
      <c r="Z1119" s="1" t="s">
        <v>8957</v>
      </c>
      <c r="AA1119" s="1">
        <v>201900000</v>
      </c>
      <c r="AB1119" s="1">
        <v>35</v>
      </c>
    </row>
    <row r="1120" spans="1:28" x14ac:dyDescent="0.2">
      <c r="A1120" s="1">
        <v>3031</v>
      </c>
      <c r="B1120" s="1" t="s">
        <v>6850</v>
      </c>
      <c r="D1120" s="1" t="s">
        <v>6851</v>
      </c>
      <c r="F1120" s="1" t="s">
        <v>6914</v>
      </c>
      <c r="H1120" s="1" t="s">
        <v>6915</v>
      </c>
      <c r="J1120" s="1" t="s">
        <v>1324</v>
      </c>
      <c r="L1120" s="1" t="s">
        <v>1325</v>
      </c>
      <c r="N1120" s="1" t="s">
        <v>6212</v>
      </c>
      <c r="P1120" s="1" t="s">
        <v>6213</v>
      </c>
      <c r="Q1120" s="3">
        <v>1</v>
      </c>
      <c r="R1120" s="23" t="s">
        <v>6854</v>
      </c>
      <c r="S1120" s="23" t="s">
        <v>6845</v>
      </c>
      <c r="T1120" s="23" t="s">
        <v>4866</v>
      </c>
      <c r="U1120" s="3">
        <v>35</v>
      </c>
      <c r="W1120" s="45" t="str">
        <f>HYPERLINK("http://ictvonline.org/taxonomy/p/taxonomy-history?taxnode_id=201906867","ICTVonline=201906867")</f>
        <v>ICTVonline=201906867</v>
      </c>
      <c r="Y1120" s="1" t="s">
        <v>8958</v>
      </c>
      <c r="Z1120" s="1" t="s">
        <v>8959</v>
      </c>
      <c r="AA1120" s="1">
        <v>201900000</v>
      </c>
      <c r="AB1120" s="1">
        <v>35</v>
      </c>
    </row>
    <row r="1121" spans="1:28" x14ac:dyDescent="0.2">
      <c r="A1121" s="1">
        <v>3035</v>
      </c>
      <c r="B1121" s="1" t="s">
        <v>6850</v>
      </c>
      <c r="D1121" s="1" t="s">
        <v>6851</v>
      </c>
      <c r="F1121" s="1" t="s">
        <v>6914</v>
      </c>
      <c r="H1121" s="1" t="s">
        <v>6915</v>
      </c>
      <c r="J1121" s="1" t="s">
        <v>1324</v>
      </c>
      <c r="L1121" s="1" t="s">
        <v>1325</v>
      </c>
      <c r="N1121" s="1" t="s">
        <v>8960</v>
      </c>
      <c r="P1121" s="1" t="s">
        <v>8961</v>
      </c>
      <c r="Q1121" s="3">
        <v>1</v>
      </c>
      <c r="R1121" s="23" t="s">
        <v>6854</v>
      </c>
      <c r="S1121" s="23" t="s">
        <v>6849</v>
      </c>
      <c r="T1121" s="23" t="s">
        <v>4864</v>
      </c>
      <c r="U1121" s="3">
        <v>35</v>
      </c>
      <c r="V1121" s="3" t="s">
        <v>8581</v>
      </c>
      <c r="W1121" s="45" t="str">
        <f>HYPERLINK("http://ictvonline.org/taxonomy/p/taxonomy-history?taxnode_id=201907916","ICTVonline=201907916")</f>
        <v>ICTVonline=201907916</v>
      </c>
      <c r="Y1121" s="1" t="s">
        <v>8962</v>
      </c>
      <c r="AA1121" s="1">
        <v>201900000</v>
      </c>
      <c r="AB1121" s="1">
        <v>35</v>
      </c>
    </row>
    <row r="1122" spans="1:28" x14ac:dyDescent="0.2">
      <c r="A1122" s="1">
        <v>3039</v>
      </c>
      <c r="B1122" s="1" t="s">
        <v>6850</v>
      </c>
      <c r="D1122" s="1" t="s">
        <v>6851</v>
      </c>
      <c r="F1122" s="1" t="s">
        <v>6914</v>
      </c>
      <c r="H1122" s="1" t="s">
        <v>6915</v>
      </c>
      <c r="J1122" s="1" t="s">
        <v>1324</v>
      </c>
      <c r="L1122" s="1" t="s">
        <v>1325</v>
      </c>
      <c r="N1122" s="1" t="s">
        <v>8963</v>
      </c>
      <c r="P1122" s="1" t="s">
        <v>8964</v>
      </c>
      <c r="Q1122" s="3">
        <v>0</v>
      </c>
      <c r="R1122" s="23" t="s">
        <v>6854</v>
      </c>
      <c r="S1122" s="23" t="s">
        <v>6849</v>
      </c>
      <c r="T1122" s="23" t="s">
        <v>4864</v>
      </c>
      <c r="U1122" s="3">
        <v>35</v>
      </c>
      <c r="V1122" s="3" t="s">
        <v>8965</v>
      </c>
      <c r="W1122" s="45" t="str">
        <f>HYPERLINK("http://ictvonline.org/taxonomy/p/taxonomy-history?taxnode_id=201907935","ICTVonline=201907935")</f>
        <v>ICTVonline=201907935</v>
      </c>
      <c r="Y1122" s="1" t="s">
        <v>8966</v>
      </c>
      <c r="AA1122" s="1">
        <v>201900000</v>
      </c>
      <c r="AB1122" s="1">
        <v>35</v>
      </c>
    </row>
    <row r="1123" spans="1:28" x14ac:dyDescent="0.2">
      <c r="A1123" s="1">
        <v>3041</v>
      </c>
      <c r="B1123" s="1" t="s">
        <v>6850</v>
      </c>
      <c r="D1123" s="1" t="s">
        <v>6851</v>
      </c>
      <c r="F1123" s="1" t="s">
        <v>6914</v>
      </c>
      <c r="H1123" s="1" t="s">
        <v>6915</v>
      </c>
      <c r="J1123" s="1" t="s">
        <v>1324</v>
      </c>
      <c r="L1123" s="1" t="s">
        <v>1325</v>
      </c>
      <c r="N1123" s="1" t="s">
        <v>8963</v>
      </c>
      <c r="P1123" s="1" t="s">
        <v>8967</v>
      </c>
      <c r="Q1123" s="3">
        <v>0</v>
      </c>
      <c r="R1123" s="23" t="s">
        <v>6854</v>
      </c>
      <c r="S1123" s="23" t="s">
        <v>6849</v>
      </c>
      <c r="T1123" s="23" t="s">
        <v>4864</v>
      </c>
      <c r="U1123" s="3">
        <v>35</v>
      </c>
      <c r="V1123" s="3" t="s">
        <v>8965</v>
      </c>
      <c r="W1123" s="45" t="str">
        <f>HYPERLINK("http://ictvonline.org/taxonomy/p/taxonomy-history?taxnode_id=201907934","ICTVonline=201907934")</f>
        <v>ICTVonline=201907934</v>
      </c>
      <c r="Y1123" s="1" t="s">
        <v>8968</v>
      </c>
      <c r="AA1123" s="1">
        <v>201900000</v>
      </c>
      <c r="AB1123" s="1">
        <v>35</v>
      </c>
    </row>
    <row r="1124" spans="1:28" x14ac:dyDescent="0.2">
      <c r="A1124" s="1">
        <v>3043</v>
      </c>
      <c r="B1124" s="1" t="s">
        <v>6850</v>
      </c>
      <c r="D1124" s="1" t="s">
        <v>6851</v>
      </c>
      <c r="F1124" s="1" t="s">
        <v>6914</v>
      </c>
      <c r="H1124" s="1" t="s">
        <v>6915</v>
      </c>
      <c r="J1124" s="1" t="s">
        <v>1324</v>
      </c>
      <c r="L1124" s="1" t="s">
        <v>1325</v>
      </c>
      <c r="N1124" s="1" t="s">
        <v>8963</v>
      </c>
      <c r="P1124" s="1" t="s">
        <v>8969</v>
      </c>
      <c r="Q1124" s="3">
        <v>1</v>
      </c>
      <c r="R1124" s="23" t="s">
        <v>6854</v>
      </c>
      <c r="S1124" s="23" t="s">
        <v>6849</v>
      </c>
      <c r="T1124" s="23" t="s">
        <v>4864</v>
      </c>
      <c r="U1124" s="3">
        <v>35</v>
      </c>
      <c r="V1124" s="3" t="s">
        <v>8965</v>
      </c>
      <c r="W1124" s="45" t="str">
        <f>HYPERLINK("http://ictvonline.org/taxonomy/p/taxonomy-history?taxnode_id=201907933","ICTVonline=201907933")</f>
        <v>ICTVonline=201907933</v>
      </c>
      <c r="Y1124" s="1" t="s">
        <v>8970</v>
      </c>
      <c r="AA1124" s="1">
        <v>201900000</v>
      </c>
      <c r="AB1124" s="1">
        <v>35</v>
      </c>
    </row>
    <row r="1125" spans="1:28" x14ac:dyDescent="0.2">
      <c r="A1125" s="1">
        <v>3047</v>
      </c>
      <c r="B1125" s="1" t="s">
        <v>6850</v>
      </c>
      <c r="D1125" s="1" t="s">
        <v>6851</v>
      </c>
      <c r="F1125" s="1" t="s">
        <v>6914</v>
      </c>
      <c r="H1125" s="1" t="s">
        <v>6915</v>
      </c>
      <c r="J1125" s="1" t="s">
        <v>1324</v>
      </c>
      <c r="L1125" s="1" t="s">
        <v>1325</v>
      </c>
      <c r="N1125" s="1" t="s">
        <v>8971</v>
      </c>
      <c r="P1125" s="1" t="s">
        <v>8972</v>
      </c>
      <c r="Q1125" s="3">
        <v>1</v>
      </c>
      <c r="R1125" s="23" t="s">
        <v>6854</v>
      </c>
      <c r="S1125" s="23" t="s">
        <v>6849</v>
      </c>
      <c r="T1125" s="23" t="s">
        <v>4864</v>
      </c>
      <c r="U1125" s="3">
        <v>35</v>
      </c>
      <c r="V1125" s="3" t="s">
        <v>8558</v>
      </c>
      <c r="W1125" s="45" t="str">
        <f>HYPERLINK("http://ictvonline.org/taxonomy/p/taxonomy-history?taxnode_id=201907787","ICTVonline=201907787")</f>
        <v>ICTVonline=201907787</v>
      </c>
      <c r="Y1125" s="1" t="s">
        <v>8973</v>
      </c>
      <c r="AA1125" s="1">
        <v>201900000</v>
      </c>
      <c r="AB1125" s="1">
        <v>35</v>
      </c>
    </row>
    <row r="1126" spans="1:28" x14ac:dyDescent="0.2">
      <c r="A1126" s="1">
        <v>3051</v>
      </c>
      <c r="B1126" s="1" t="s">
        <v>6850</v>
      </c>
      <c r="D1126" s="1" t="s">
        <v>6851</v>
      </c>
      <c r="F1126" s="1" t="s">
        <v>6914</v>
      </c>
      <c r="H1126" s="1" t="s">
        <v>6915</v>
      </c>
      <c r="J1126" s="1" t="s">
        <v>1324</v>
      </c>
      <c r="L1126" s="1" t="s">
        <v>1325</v>
      </c>
      <c r="N1126" s="1" t="s">
        <v>8974</v>
      </c>
      <c r="P1126" s="1" t="s">
        <v>8975</v>
      </c>
      <c r="Q1126" s="3">
        <v>1</v>
      </c>
      <c r="R1126" s="23" t="s">
        <v>6854</v>
      </c>
      <c r="S1126" s="23" t="s">
        <v>6849</v>
      </c>
      <c r="T1126" s="23" t="s">
        <v>4864</v>
      </c>
      <c r="U1126" s="3">
        <v>35</v>
      </c>
      <c r="V1126" s="3" t="s">
        <v>8581</v>
      </c>
      <c r="W1126" s="45" t="str">
        <f>HYPERLINK("http://ictvonline.org/taxonomy/p/taxonomy-history?taxnode_id=201907925","ICTVonline=201907925")</f>
        <v>ICTVonline=201907925</v>
      </c>
      <c r="Y1126" s="1" t="s">
        <v>8976</v>
      </c>
      <c r="AA1126" s="1">
        <v>201900000</v>
      </c>
      <c r="AB1126" s="1">
        <v>35</v>
      </c>
    </row>
    <row r="1127" spans="1:28" x14ac:dyDescent="0.2">
      <c r="A1127" s="1">
        <v>3053</v>
      </c>
      <c r="B1127" s="1" t="s">
        <v>6850</v>
      </c>
      <c r="D1127" s="1" t="s">
        <v>6851</v>
      </c>
      <c r="F1127" s="1" t="s">
        <v>6914</v>
      </c>
      <c r="H1127" s="1" t="s">
        <v>6915</v>
      </c>
      <c r="J1127" s="1" t="s">
        <v>1324</v>
      </c>
      <c r="L1127" s="1" t="s">
        <v>1325</v>
      </c>
      <c r="N1127" s="1" t="s">
        <v>8974</v>
      </c>
      <c r="P1127" s="1" t="s">
        <v>8977</v>
      </c>
      <c r="Q1127" s="3">
        <v>0</v>
      </c>
      <c r="R1127" s="23" t="s">
        <v>6854</v>
      </c>
      <c r="S1127" s="23" t="s">
        <v>6849</v>
      </c>
      <c r="T1127" s="23" t="s">
        <v>4864</v>
      </c>
      <c r="U1127" s="3">
        <v>35</v>
      </c>
      <c r="V1127" s="3" t="s">
        <v>8581</v>
      </c>
      <c r="W1127" s="45" t="str">
        <f>HYPERLINK("http://ictvonline.org/taxonomy/p/taxonomy-history?taxnode_id=201907926","ICTVonline=201907926")</f>
        <v>ICTVonline=201907926</v>
      </c>
      <c r="Y1127" s="1" t="s">
        <v>8978</v>
      </c>
      <c r="AA1127" s="1">
        <v>201900000</v>
      </c>
      <c r="AB1127" s="1">
        <v>35</v>
      </c>
    </row>
    <row r="1128" spans="1:28" x14ac:dyDescent="0.2">
      <c r="A1128" s="1">
        <v>3057</v>
      </c>
      <c r="B1128" s="1" t="s">
        <v>6850</v>
      </c>
      <c r="D1128" s="1" t="s">
        <v>6851</v>
      </c>
      <c r="F1128" s="1" t="s">
        <v>6914</v>
      </c>
      <c r="H1128" s="1" t="s">
        <v>6915</v>
      </c>
      <c r="J1128" s="1" t="s">
        <v>1324</v>
      </c>
      <c r="L1128" s="1" t="s">
        <v>1325</v>
      </c>
      <c r="N1128" s="1" t="s">
        <v>8979</v>
      </c>
      <c r="P1128" s="1" t="s">
        <v>8980</v>
      </c>
      <c r="Q1128" s="3">
        <v>1</v>
      </c>
      <c r="R1128" s="23" t="s">
        <v>6854</v>
      </c>
      <c r="S1128" s="23" t="s">
        <v>6849</v>
      </c>
      <c r="T1128" s="23" t="s">
        <v>4864</v>
      </c>
      <c r="U1128" s="3">
        <v>35</v>
      </c>
      <c r="V1128" s="3" t="s">
        <v>8581</v>
      </c>
      <c r="W1128" s="45" t="str">
        <f>HYPERLINK("http://ictvonline.org/taxonomy/p/taxonomy-history?taxnode_id=201907923","ICTVonline=201907923")</f>
        <v>ICTVonline=201907923</v>
      </c>
      <c r="Y1128" s="1" t="s">
        <v>8981</v>
      </c>
      <c r="AA1128" s="1">
        <v>201900000</v>
      </c>
      <c r="AB1128" s="1">
        <v>35</v>
      </c>
    </row>
    <row r="1129" spans="1:28" x14ac:dyDescent="0.2">
      <c r="A1129" s="1">
        <v>3061</v>
      </c>
      <c r="B1129" s="1" t="s">
        <v>6850</v>
      </c>
      <c r="D1129" s="1" t="s">
        <v>6851</v>
      </c>
      <c r="F1129" s="1" t="s">
        <v>6914</v>
      </c>
      <c r="H1129" s="1" t="s">
        <v>6915</v>
      </c>
      <c r="J1129" s="1" t="s">
        <v>1324</v>
      </c>
      <c r="L1129" s="1" t="s">
        <v>1325</v>
      </c>
      <c r="N1129" s="1" t="s">
        <v>8982</v>
      </c>
      <c r="P1129" s="1" t="s">
        <v>8983</v>
      </c>
      <c r="Q1129" s="3">
        <v>1</v>
      </c>
      <c r="R1129" s="23" t="s">
        <v>6854</v>
      </c>
      <c r="S1129" s="23" t="s">
        <v>6849</v>
      </c>
      <c r="T1129" s="23" t="s">
        <v>4864</v>
      </c>
      <c r="U1129" s="3">
        <v>35</v>
      </c>
      <c r="V1129" s="3" t="s">
        <v>8984</v>
      </c>
      <c r="W1129" s="45" t="str">
        <f>HYPERLINK("http://ictvonline.org/taxonomy/p/taxonomy-history?taxnode_id=201908029","ICTVonline=201908029")</f>
        <v>ICTVonline=201908029</v>
      </c>
      <c r="Y1129" s="1" t="s">
        <v>8985</v>
      </c>
      <c r="AA1129" s="1">
        <v>201900000</v>
      </c>
      <c r="AB1129" s="1">
        <v>35</v>
      </c>
    </row>
    <row r="1130" spans="1:28" x14ac:dyDescent="0.2">
      <c r="A1130" s="1">
        <v>3065</v>
      </c>
      <c r="B1130" s="1" t="s">
        <v>6850</v>
      </c>
      <c r="D1130" s="1" t="s">
        <v>6851</v>
      </c>
      <c r="F1130" s="1" t="s">
        <v>6914</v>
      </c>
      <c r="H1130" s="1" t="s">
        <v>6915</v>
      </c>
      <c r="J1130" s="1" t="s">
        <v>1324</v>
      </c>
      <c r="L1130" s="1" t="s">
        <v>1325</v>
      </c>
      <c r="N1130" s="1" t="s">
        <v>6214</v>
      </c>
      <c r="P1130" s="1" t="s">
        <v>4199</v>
      </c>
      <c r="Q1130" s="3">
        <v>1</v>
      </c>
      <c r="R1130" s="23" t="s">
        <v>6854</v>
      </c>
      <c r="S1130" s="23" t="s">
        <v>6845</v>
      </c>
      <c r="T1130" s="23" t="s">
        <v>4866</v>
      </c>
      <c r="U1130" s="3">
        <v>35</v>
      </c>
      <c r="W1130" s="45" t="str">
        <f>HYPERLINK("http://ictvonline.org/taxonomy/p/taxonomy-history?taxnode_id=201900508","ICTVonline=201900508")</f>
        <v>ICTVonline=201900508</v>
      </c>
      <c r="Y1130" s="1" t="s">
        <v>8986</v>
      </c>
      <c r="Z1130" s="1" t="s">
        <v>8987</v>
      </c>
      <c r="AA1130" s="1">
        <v>201900000</v>
      </c>
      <c r="AB1130" s="1">
        <v>35</v>
      </c>
    </row>
    <row r="1131" spans="1:28" x14ac:dyDescent="0.2">
      <c r="A1131" s="1">
        <v>3069</v>
      </c>
      <c r="B1131" s="1" t="s">
        <v>6850</v>
      </c>
      <c r="D1131" s="1" t="s">
        <v>6851</v>
      </c>
      <c r="F1131" s="1" t="s">
        <v>6914</v>
      </c>
      <c r="H1131" s="1" t="s">
        <v>6915</v>
      </c>
      <c r="J1131" s="1" t="s">
        <v>1324</v>
      </c>
      <c r="L1131" s="1" t="s">
        <v>1325</v>
      </c>
      <c r="N1131" s="1" t="s">
        <v>6216</v>
      </c>
      <c r="P1131" s="1" t="s">
        <v>6217</v>
      </c>
      <c r="Q1131" s="3">
        <v>1</v>
      </c>
      <c r="R1131" s="23" t="s">
        <v>6854</v>
      </c>
      <c r="S1131" s="23" t="s">
        <v>6845</v>
      </c>
      <c r="T1131" s="23" t="s">
        <v>4866</v>
      </c>
      <c r="U1131" s="3">
        <v>35</v>
      </c>
      <c r="W1131" s="45" t="str">
        <f>HYPERLINK("http://ictvonline.org/taxonomy/p/taxonomy-history?taxnode_id=201906989","ICTVonline=201906989")</f>
        <v>ICTVonline=201906989</v>
      </c>
      <c r="Y1131" s="1" t="s">
        <v>8988</v>
      </c>
      <c r="Z1131" s="1" t="s">
        <v>8989</v>
      </c>
      <c r="AA1131" s="1">
        <v>201900000</v>
      </c>
      <c r="AB1131" s="1">
        <v>35</v>
      </c>
    </row>
    <row r="1132" spans="1:28" x14ac:dyDescent="0.2">
      <c r="A1132" s="1">
        <v>3073</v>
      </c>
      <c r="B1132" s="1" t="s">
        <v>6850</v>
      </c>
      <c r="D1132" s="1" t="s">
        <v>6851</v>
      </c>
      <c r="F1132" s="1" t="s">
        <v>6914</v>
      </c>
      <c r="H1132" s="1" t="s">
        <v>6915</v>
      </c>
      <c r="J1132" s="1" t="s">
        <v>1324</v>
      </c>
      <c r="L1132" s="1" t="s">
        <v>1325</v>
      </c>
      <c r="N1132" s="1" t="s">
        <v>4946</v>
      </c>
      <c r="P1132" s="1" t="s">
        <v>4947</v>
      </c>
      <c r="Q1132" s="3">
        <v>0</v>
      </c>
      <c r="R1132" s="23" t="s">
        <v>6854</v>
      </c>
      <c r="S1132" s="23" t="s">
        <v>6845</v>
      </c>
      <c r="T1132" s="23" t="s">
        <v>4866</v>
      </c>
      <c r="U1132" s="3">
        <v>35</v>
      </c>
      <c r="W1132" s="45" t="str">
        <f>HYPERLINK("http://ictvonline.org/taxonomy/p/taxonomy-history?taxnode_id=201905485","ICTVonline=201905485")</f>
        <v>ICTVonline=201905485</v>
      </c>
      <c r="AA1132" s="1">
        <v>201900000</v>
      </c>
      <c r="AB1132" s="1">
        <v>35</v>
      </c>
    </row>
    <row r="1133" spans="1:28" x14ac:dyDescent="0.2">
      <c r="A1133" s="1">
        <v>3075</v>
      </c>
      <c r="B1133" s="1" t="s">
        <v>6850</v>
      </c>
      <c r="D1133" s="1" t="s">
        <v>6851</v>
      </c>
      <c r="F1133" s="1" t="s">
        <v>6914</v>
      </c>
      <c r="H1133" s="1" t="s">
        <v>6915</v>
      </c>
      <c r="J1133" s="1" t="s">
        <v>1324</v>
      </c>
      <c r="L1133" s="1" t="s">
        <v>1325</v>
      </c>
      <c r="N1133" s="1" t="s">
        <v>4946</v>
      </c>
      <c r="P1133" s="1" t="s">
        <v>4948</v>
      </c>
      <c r="Q1133" s="3">
        <v>1</v>
      </c>
      <c r="R1133" s="23" t="s">
        <v>6854</v>
      </c>
      <c r="S1133" s="23" t="s">
        <v>6845</v>
      </c>
      <c r="T1133" s="23" t="s">
        <v>4866</v>
      </c>
      <c r="U1133" s="3">
        <v>35</v>
      </c>
      <c r="W1133" s="45" t="str">
        <f>HYPERLINK("http://ictvonline.org/taxonomy/p/taxonomy-history?taxnode_id=201905486","ICTVonline=201905486")</f>
        <v>ICTVonline=201905486</v>
      </c>
      <c r="AA1133" s="1">
        <v>201900000</v>
      </c>
      <c r="AB1133" s="1">
        <v>35</v>
      </c>
    </row>
    <row r="1134" spans="1:28" x14ac:dyDescent="0.2">
      <c r="A1134" s="1">
        <v>3079</v>
      </c>
      <c r="B1134" s="1" t="s">
        <v>6850</v>
      </c>
      <c r="D1134" s="1" t="s">
        <v>6851</v>
      </c>
      <c r="F1134" s="1" t="s">
        <v>6914</v>
      </c>
      <c r="H1134" s="1" t="s">
        <v>6915</v>
      </c>
      <c r="J1134" s="1" t="s">
        <v>1324</v>
      </c>
      <c r="L1134" s="1" t="s">
        <v>1325</v>
      </c>
      <c r="N1134" s="1" t="s">
        <v>6303</v>
      </c>
      <c r="P1134" s="1" t="s">
        <v>6304</v>
      </c>
      <c r="Q1134" s="3">
        <v>1</v>
      </c>
      <c r="R1134" s="23" t="s">
        <v>6854</v>
      </c>
      <c r="S1134" s="23" t="s">
        <v>6845</v>
      </c>
      <c r="T1134" s="23" t="s">
        <v>4866</v>
      </c>
      <c r="U1134" s="3">
        <v>35</v>
      </c>
      <c r="W1134" s="45" t="str">
        <f>HYPERLINK("http://ictvonline.org/taxonomy/p/taxonomy-history?taxnode_id=201906888","ICTVonline=201906888")</f>
        <v>ICTVonline=201906888</v>
      </c>
      <c r="Y1134" s="1" t="s">
        <v>8990</v>
      </c>
      <c r="Z1134" s="1" t="s">
        <v>8991</v>
      </c>
      <c r="AA1134" s="1">
        <v>201900000</v>
      </c>
      <c r="AB1134" s="1">
        <v>35</v>
      </c>
    </row>
    <row r="1135" spans="1:28" x14ac:dyDescent="0.2">
      <c r="A1135" s="1">
        <v>3083</v>
      </c>
      <c r="B1135" s="1" t="s">
        <v>6850</v>
      </c>
      <c r="D1135" s="1" t="s">
        <v>6851</v>
      </c>
      <c r="F1135" s="1" t="s">
        <v>6914</v>
      </c>
      <c r="H1135" s="1" t="s">
        <v>6915</v>
      </c>
      <c r="J1135" s="1" t="s">
        <v>1324</v>
      </c>
      <c r="L1135" s="1" t="s">
        <v>1325</v>
      </c>
      <c r="N1135" s="1" t="s">
        <v>8992</v>
      </c>
      <c r="P1135" s="1" t="s">
        <v>8993</v>
      </c>
      <c r="Q1135" s="3">
        <v>1</v>
      </c>
      <c r="R1135" s="23" t="s">
        <v>6854</v>
      </c>
      <c r="S1135" s="23" t="s">
        <v>6849</v>
      </c>
      <c r="T1135" s="23" t="s">
        <v>4864</v>
      </c>
      <c r="U1135" s="3">
        <v>35</v>
      </c>
      <c r="V1135" s="3" t="s">
        <v>8590</v>
      </c>
      <c r="W1135" s="45" t="str">
        <f>HYPERLINK("http://ictvonline.org/taxonomy/p/taxonomy-history?taxnode_id=201907762","ICTVonline=201907762")</f>
        <v>ICTVonline=201907762</v>
      </c>
      <c r="Y1135" s="1" t="s">
        <v>8994</v>
      </c>
      <c r="AA1135" s="1">
        <v>201900000</v>
      </c>
      <c r="AB1135" s="1">
        <v>35</v>
      </c>
    </row>
    <row r="1136" spans="1:28" x14ac:dyDescent="0.2">
      <c r="A1136" s="1">
        <v>3087</v>
      </c>
      <c r="B1136" s="1" t="s">
        <v>6850</v>
      </c>
      <c r="D1136" s="1" t="s">
        <v>6851</v>
      </c>
      <c r="F1136" s="1" t="s">
        <v>6914</v>
      </c>
      <c r="H1136" s="1" t="s">
        <v>6915</v>
      </c>
      <c r="J1136" s="1" t="s">
        <v>1324</v>
      </c>
      <c r="L1136" s="1" t="s">
        <v>1325</v>
      </c>
      <c r="N1136" s="1" t="s">
        <v>8995</v>
      </c>
      <c r="P1136" s="1" t="s">
        <v>8996</v>
      </c>
      <c r="Q1136" s="3">
        <v>1</v>
      </c>
      <c r="R1136" s="23" t="s">
        <v>6854</v>
      </c>
      <c r="S1136" s="23" t="s">
        <v>6849</v>
      </c>
      <c r="T1136" s="23" t="s">
        <v>4864</v>
      </c>
      <c r="U1136" s="3">
        <v>35</v>
      </c>
      <c r="V1136" s="3" t="s">
        <v>8649</v>
      </c>
      <c r="W1136" s="45" t="str">
        <f>HYPERLINK("http://ictvonline.org/taxonomy/p/taxonomy-history?taxnode_id=201908046","ICTVonline=201908046")</f>
        <v>ICTVonline=201908046</v>
      </c>
      <c r="X1136" s="1" t="s">
        <v>8997</v>
      </c>
      <c r="Y1136" s="1" t="s">
        <v>8998</v>
      </c>
      <c r="Z1136" s="1" t="s">
        <v>8652</v>
      </c>
      <c r="AA1136" s="1">
        <v>201900000</v>
      </c>
      <c r="AB1136" s="1">
        <v>35</v>
      </c>
    </row>
    <row r="1137" spans="1:28" x14ac:dyDescent="0.2">
      <c r="A1137" s="1">
        <v>3091</v>
      </c>
      <c r="B1137" s="1" t="s">
        <v>6850</v>
      </c>
      <c r="D1137" s="1" t="s">
        <v>6851</v>
      </c>
      <c r="F1137" s="1" t="s">
        <v>6914</v>
      </c>
      <c r="H1137" s="1" t="s">
        <v>6915</v>
      </c>
      <c r="J1137" s="1" t="s">
        <v>1324</v>
      </c>
      <c r="L1137" s="1" t="s">
        <v>1325</v>
      </c>
      <c r="N1137" s="1" t="s">
        <v>8999</v>
      </c>
      <c r="P1137" s="1" t="s">
        <v>9000</v>
      </c>
      <c r="Q1137" s="3">
        <v>1</v>
      </c>
      <c r="R1137" s="23" t="s">
        <v>6854</v>
      </c>
      <c r="S1137" s="23" t="s">
        <v>6849</v>
      </c>
      <c r="T1137" s="23" t="s">
        <v>4864</v>
      </c>
      <c r="U1137" s="3">
        <v>35</v>
      </c>
      <c r="V1137" s="3" t="s">
        <v>8590</v>
      </c>
      <c r="W1137" s="45" t="str">
        <f>HYPERLINK("http://ictvonline.org/taxonomy/p/taxonomy-history?taxnode_id=201907770","ICTVonline=201907770")</f>
        <v>ICTVonline=201907770</v>
      </c>
      <c r="Y1137" s="1" t="s">
        <v>9001</v>
      </c>
      <c r="AA1137" s="1">
        <v>201900000</v>
      </c>
      <c r="AB1137" s="1">
        <v>35</v>
      </c>
    </row>
    <row r="1138" spans="1:28" x14ac:dyDescent="0.2">
      <c r="A1138" s="1">
        <v>3095</v>
      </c>
      <c r="B1138" s="1" t="s">
        <v>6850</v>
      </c>
      <c r="D1138" s="1" t="s">
        <v>6851</v>
      </c>
      <c r="F1138" s="1" t="s">
        <v>6914</v>
      </c>
      <c r="H1138" s="1" t="s">
        <v>6915</v>
      </c>
      <c r="J1138" s="1" t="s">
        <v>1324</v>
      </c>
      <c r="L1138" s="1" t="s">
        <v>1325</v>
      </c>
      <c r="N1138" s="1" t="s">
        <v>6219</v>
      </c>
      <c r="P1138" s="1" t="s">
        <v>2914</v>
      </c>
      <c r="Q1138" s="3">
        <v>0</v>
      </c>
      <c r="R1138" s="23" t="s">
        <v>6854</v>
      </c>
      <c r="S1138" s="23" t="s">
        <v>6845</v>
      </c>
      <c r="T1138" s="23" t="s">
        <v>4866</v>
      </c>
      <c r="U1138" s="3">
        <v>35</v>
      </c>
      <c r="W1138" s="45" t="str">
        <f>HYPERLINK("http://ictvonline.org/taxonomy/p/taxonomy-history?taxnode_id=201900510","ICTVonline=201900510")</f>
        <v>ICTVonline=201900510</v>
      </c>
      <c r="Y1138" s="1" t="s">
        <v>9002</v>
      </c>
      <c r="Z1138" s="1" t="s">
        <v>9003</v>
      </c>
      <c r="AA1138" s="1">
        <v>201900000</v>
      </c>
      <c r="AB1138" s="1">
        <v>35</v>
      </c>
    </row>
    <row r="1139" spans="1:28" x14ac:dyDescent="0.2">
      <c r="A1139" s="1">
        <v>3097</v>
      </c>
      <c r="B1139" s="1" t="s">
        <v>6850</v>
      </c>
      <c r="D1139" s="1" t="s">
        <v>6851</v>
      </c>
      <c r="F1139" s="1" t="s">
        <v>6914</v>
      </c>
      <c r="H1139" s="1" t="s">
        <v>6915</v>
      </c>
      <c r="J1139" s="1" t="s">
        <v>1324</v>
      </c>
      <c r="L1139" s="1" t="s">
        <v>1325</v>
      </c>
      <c r="N1139" s="1" t="s">
        <v>6219</v>
      </c>
      <c r="P1139" s="1" t="s">
        <v>2915</v>
      </c>
      <c r="Q1139" s="3">
        <v>1</v>
      </c>
      <c r="R1139" s="23" t="s">
        <v>6854</v>
      </c>
      <c r="S1139" s="23" t="s">
        <v>6845</v>
      </c>
      <c r="T1139" s="23" t="s">
        <v>4866</v>
      </c>
      <c r="U1139" s="3">
        <v>35</v>
      </c>
      <c r="W1139" s="45" t="str">
        <f>HYPERLINK("http://ictvonline.org/taxonomy/p/taxonomy-history?taxnode_id=201900511","ICTVonline=201900511")</f>
        <v>ICTVonline=201900511</v>
      </c>
      <c r="Y1139" s="1" t="s">
        <v>9004</v>
      </c>
      <c r="Z1139" s="1" t="s">
        <v>9005</v>
      </c>
      <c r="AA1139" s="1">
        <v>201900000</v>
      </c>
      <c r="AB1139" s="1">
        <v>35</v>
      </c>
    </row>
    <row r="1140" spans="1:28" x14ac:dyDescent="0.2">
      <c r="A1140" s="1">
        <v>3101</v>
      </c>
      <c r="B1140" s="1" t="s">
        <v>6850</v>
      </c>
      <c r="D1140" s="1" t="s">
        <v>6851</v>
      </c>
      <c r="F1140" s="1" t="s">
        <v>6914</v>
      </c>
      <c r="H1140" s="1" t="s">
        <v>6915</v>
      </c>
      <c r="J1140" s="1" t="s">
        <v>1324</v>
      </c>
      <c r="L1140" s="1" t="s">
        <v>1325</v>
      </c>
      <c r="N1140" s="1" t="s">
        <v>9006</v>
      </c>
      <c r="P1140" s="1" t="s">
        <v>9007</v>
      </c>
      <c r="Q1140" s="3">
        <v>1</v>
      </c>
      <c r="R1140" s="23" t="s">
        <v>6854</v>
      </c>
      <c r="S1140" s="23" t="s">
        <v>6849</v>
      </c>
      <c r="T1140" s="23" t="s">
        <v>4864</v>
      </c>
      <c r="U1140" s="3">
        <v>35</v>
      </c>
      <c r="V1140" s="3" t="s">
        <v>8558</v>
      </c>
      <c r="W1140" s="45" t="str">
        <f>HYPERLINK("http://ictvonline.org/taxonomy/p/taxonomy-history?taxnode_id=201907809","ICTVonline=201907809")</f>
        <v>ICTVonline=201907809</v>
      </c>
      <c r="Y1140" s="1" t="s">
        <v>9008</v>
      </c>
      <c r="AA1140" s="1">
        <v>201900000</v>
      </c>
      <c r="AB1140" s="1">
        <v>35</v>
      </c>
    </row>
    <row r="1141" spans="1:28" x14ac:dyDescent="0.2">
      <c r="A1141" s="1">
        <v>3105</v>
      </c>
      <c r="B1141" s="1" t="s">
        <v>6850</v>
      </c>
      <c r="D1141" s="1" t="s">
        <v>6851</v>
      </c>
      <c r="F1141" s="1" t="s">
        <v>6914</v>
      </c>
      <c r="H1141" s="1" t="s">
        <v>6915</v>
      </c>
      <c r="J1141" s="1" t="s">
        <v>1324</v>
      </c>
      <c r="L1141" s="1" t="s">
        <v>1325</v>
      </c>
      <c r="N1141" s="1" t="s">
        <v>9009</v>
      </c>
      <c r="P1141" s="1" t="s">
        <v>9010</v>
      </c>
      <c r="Q1141" s="3">
        <v>1</v>
      </c>
      <c r="R1141" s="23" t="s">
        <v>6854</v>
      </c>
      <c r="S1141" s="23" t="s">
        <v>6849</v>
      </c>
      <c r="T1141" s="23" t="s">
        <v>4864</v>
      </c>
      <c r="U1141" s="3">
        <v>35</v>
      </c>
      <c r="V1141" s="3" t="s">
        <v>8558</v>
      </c>
      <c r="W1141" s="45" t="str">
        <f>HYPERLINK("http://ictvonline.org/taxonomy/p/taxonomy-history?taxnode_id=201907807","ICTVonline=201907807")</f>
        <v>ICTVonline=201907807</v>
      </c>
      <c r="Y1141" s="1" t="s">
        <v>9011</v>
      </c>
      <c r="AA1141" s="1">
        <v>201900000</v>
      </c>
      <c r="AB1141" s="1">
        <v>35</v>
      </c>
    </row>
    <row r="1142" spans="1:28" x14ac:dyDescent="0.2">
      <c r="A1142" s="1">
        <v>3109</v>
      </c>
      <c r="B1142" s="1" t="s">
        <v>6850</v>
      </c>
      <c r="D1142" s="1" t="s">
        <v>6851</v>
      </c>
      <c r="F1142" s="1" t="s">
        <v>6914</v>
      </c>
      <c r="H1142" s="1" t="s">
        <v>6915</v>
      </c>
      <c r="J1142" s="1" t="s">
        <v>1324</v>
      </c>
      <c r="L1142" s="1" t="s">
        <v>1325</v>
      </c>
      <c r="N1142" s="1" t="s">
        <v>6220</v>
      </c>
      <c r="P1142" s="1" t="s">
        <v>6221</v>
      </c>
      <c r="Q1142" s="3">
        <v>0</v>
      </c>
      <c r="R1142" s="23" t="s">
        <v>6854</v>
      </c>
      <c r="S1142" s="23" t="s">
        <v>6845</v>
      </c>
      <c r="T1142" s="23" t="s">
        <v>4866</v>
      </c>
      <c r="U1142" s="3">
        <v>35</v>
      </c>
      <c r="W1142" s="45" t="str">
        <f>HYPERLINK("http://ictvonline.org/taxonomy/p/taxonomy-history?taxnode_id=201906890","ICTVonline=201906890")</f>
        <v>ICTVonline=201906890</v>
      </c>
      <c r="Y1142" s="1" t="s">
        <v>9012</v>
      </c>
      <c r="Z1142" s="1" t="s">
        <v>9013</v>
      </c>
      <c r="AA1142" s="1">
        <v>201900000</v>
      </c>
      <c r="AB1142" s="1">
        <v>35</v>
      </c>
    </row>
    <row r="1143" spans="1:28" x14ac:dyDescent="0.2">
      <c r="A1143" s="1">
        <v>3113</v>
      </c>
      <c r="B1143" s="1" t="s">
        <v>6850</v>
      </c>
      <c r="D1143" s="1" t="s">
        <v>6851</v>
      </c>
      <c r="F1143" s="1" t="s">
        <v>6914</v>
      </c>
      <c r="H1143" s="1" t="s">
        <v>6915</v>
      </c>
      <c r="J1143" s="1" t="s">
        <v>1324</v>
      </c>
      <c r="L1143" s="1" t="s">
        <v>1325</v>
      </c>
      <c r="N1143" s="1" t="s">
        <v>6222</v>
      </c>
      <c r="P1143" s="1" t="s">
        <v>6223</v>
      </c>
      <c r="Q1143" s="3">
        <v>1</v>
      </c>
      <c r="R1143" s="23" t="s">
        <v>6854</v>
      </c>
      <c r="S1143" s="23" t="s">
        <v>6845</v>
      </c>
      <c r="T1143" s="23" t="s">
        <v>4866</v>
      </c>
      <c r="U1143" s="3">
        <v>35</v>
      </c>
      <c r="W1143" s="45" t="str">
        <f>HYPERLINK("http://ictvonline.org/taxonomy/p/taxonomy-history?taxnode_id=201906892","ICTVonline=201906892")</f>
        <v>ICTVonline=201906892</v>
      </c>
      <c r="Y1143" s="1" t="s">
        <v>9014</v>
      </c>
      <c r="Z1143" s="1" t="s">
        <v>9015</v>
      </c>
      <c r="AA1143" s="1">
        <v>201900000</v>
      </c>
      <c r="AB1143" s="1">
        <v>35</v>
      </c>
    </row>
    <row r="1144" spans="1:28" x14ac:dyDescent="0.2">
      <c r="A1144" s="1">
        <v>3115</v>
      </c>
      <c r="B1144" s="1" t="s">
        <v>6850</v>
      </c>
      <c r="D1144" s="1" t="s">
        <v>6851</v>
      </c>
      <c r="F1144" s="1" t="s">
        <v>6914</v>
      </c>
      <c r="H1144" s="1" t="s">
        <v>6915</v>
      </c>
      <c r="J1144" s="1" t="s">
        <v>1324</v>
      </c>
      <c r="L1144" s="1" t="s">
        <v>1325</v>
      </c>
      <c r="N1144" s="1" t="s">
        <v>6222</v>
      </c>
      <c r="P1144" s="1" t="s">
        <v>6224</v>
      </c>
      <c r="Q1144" s="3">
        <v>0</v>
      </c>
      <c r="R1144" s="23" t="s">
        <v>6854</v>
      </c>
      <c r="S1144" s="23" t="s">
        <v>6845</v>
      </c>
      <c r="T1144" s="23" t="s">
        <v>4866</v>
      </c>
      <c r="U1144" s="3">
        <v>35</v>
      </c>
      <c r="W1144" s="45" t="str">
        <f>HYPERLINK("http://ictvonline.org/taxonomy/p/taxonomy-history?taxnode_id=201906893","ICTVonline=201906893")</f>
        <v>ICTVonline=201906893</v>
      </c>
      <c r="Y1144" s="1" t="s">
        <v>9016</v>
      </c>
      <c r="Z1144" s="1" t="s">
        <v>9017</v>
      </c>
      <c r="AA1144" s="1">
        <v>201900000</v>
      </c>
      <c r="AB1144" s="1">
        <v>35</v>
      </c>
    </row>
    <row r="1145" spans="1:28" x14ac:dyDescent="0.2">
      <c r="A1145" s="1">
        <v>3119</v>
      </c>
      <c r="B1145" s="1" t="s">
        <v>6850</v>
      </c>
      <c r="D1145" s="1" t="s">
        <v>6851</v>
      </c>
      <c r="F1145" s="1" t="s">
        <v>6914</v>
      </c>
      <c r="H1145" s="1" t="s">
        <v>6915</v>
      </c>
      <c r="J1145" s="1" t="s">
        <v>1324</v>
      </c>
      <c r="L1145" s="1" t="s">
        <v>1325</v>
      </c>
      <c r="N1145" s="1" t="s">
        <v>6225</v>
      </c>
      <c r="P1145" s="1" t="s">
        <v>6226</v>
      </c>
      <c r="Q1145" s="3">
        <v>1</v>
      </c>
      <c r="R1145" s="23" t="s">
        <v>6854</v>
      </c>
      <c r="S1145" s="23" t="s">
        <v>6845</v>
      </c>
      <c r="T1145" s="23" t="s">
        <v>4866</v>
      </c>
      <c r="U1145" s="3">
        <v>35</v>
      </c>
      <c r="W1145" s="45" t="str">
        <f>HYPERLINK("http://ictvonline.org/taxonomy/p/taxonomy-history?taxnode_id=201906787","ICTVonline=201906787")</f>
        <v>ICTVonline=201906787</v>
      </c>
      <c r="Y1145" s="1" t="s">
        <v>9018</v>
      </c>
      <c r="Z1145" s="1" t="s">
        <v>9019</v>
      </c>
      <c r="AA1145" s="1">
        <v>201900000</v>
      </c>
      <c r="AB1145" s="1">
        <v>35</v>
      </c>
    </row>
    <row r="1146" spans="1:28" x14ac:dyDescent="0.2">
      <c r="A1146" s="1">
        <v>3123</v>
      </c>
      <c r="B1146" s="1" t="s">
        <v>6850</v>
      </c>
      <c r="D1146" s="1" t="s">
        <v>6851</v>
      </c>
      <c r="F1146" s="1" t="s">
        <v>6914</v>
      </c>
      <c r="H1146" s="1" t="s">
        <v>6915</v>
      </c>
      <c r="J1146" s="1" t="s">
        <v>1324</v>
      </c>
      <c r="L1146" s="1" t="s">
        <v>1325</v>
      </c>
      <c r="N1146" s="1" t="s">
        <v>9020</v>
      </c>
      <c r="P1146" s="1" t="s">
        <v>9021</v>
      </c>
      <c r="Q1146" s="3">
        <v>1</v>
      </c>
      <c r="R1146" s="23" t="s">
        <v>6854</v>
      </c>
      <c r="S1146" s="23" t="s">
        <v>6849</v>
      </c>
      <c r="T1146" s="23" t="s">
        <v>4864</v>
      </c>
      <c r="U1146" s="3">
        <v>35</v>
      </c>
      <c r="V1146" s="3" t="s">
        <v>8649</v>
      </c>
      <c r="W1146" s="45" t="str">
        <f>HYPERLINK("http://ictvonline.org/taxonomy/p/taxonomy-history?taxnode_id=201908050","ICTVonline=201908050")</f>
        <v>ICTVonline=201908050</v>
      </c>
      <c r="X1146" s="1" t="s">
        <v>9022</v>
      </c>
      <c r="Y1146" s="1" t="s">
        <v>9023</v>
      </c>
      <c r="Z1146" s="1" t="s">
        <v>8652</v>
      </c>
      <c r="AA1146" s="1">
        <v>201900000</v>
      </c>
      <c r="AB1146" s="1">
        <v>35</v>
      </c>
    </row>
    <row r="1147" spans="1:28" x14ac:dyDescent="0.2">
      <c r="A1147" s="1">
        <v>3127</v>
      </c>
      <c r="B1147" s="1" t="s">
        <v>6850</v>
      </c>
      <c r="D1147" s="1" t="s">
        <v>6851</v>
      </c>
      <c r="F1147" s="1" t="s">
        <v>6914</v>
      </c>
      <c r="H1147" s="1" t="s">
        <v>6915</v>
      </c>
      <c r="J1147" s="1" t="s">
        <v>1324</v>
      </c>
      <c r="L1147" s="1" t="s">
        <v>1325</v>
      </c>
      <c r="N1147" s="1" t="s">
        <v>6227</v>
      </c>
      <c r="P1147" s="1" t="s">
        <v>2909</v>
      </c>
      <c r="Q1147" s="3">
        <v>1</v>
      </c>
      <c r="R1147" s="23" t="s">
        <v>6854</v>
      </c>
      <c r="S1147" s="23" t="s">
        <v>6845</v>
      </c>
      <c r="T1147" s="23" t="s">
        <v>4866</v>
      </c>
      <c r="U1147" s="3">
        <v>35</v>
      </c>
      <c r="W1147" s="45" t="str">
        <f>HYPERLINK("http://ictvonline.org/taxonomy/p/taxonomy-history?taxnode_id=201900498","ICTVonline=201900498")</f>
        <v>ICTVonline=201900498</v>
      </c>
      <c r="Y1147" s="1" t="s">
        <v>9024</v>
      </c>
      <c r="Z1147" s="1" t="s">
        <v>9025</v>
      </c>
      <c r="AA1147" s="1">
        <v>201900000</v>
      </c>
      <c r="AB1147" s="1">
        <v>35</v>
      </c>
    </row>
    <row r="1148" spans="1:28" x14ac:dyDescent="0.2">
      <c r="A1148" s="1">
        <v>3129</v>
      </c>
      <c r="B1148" s="1" t="s">
        <v>6850</v>
      </c>
      <c r="D1148" s="1" t="s">
        <v>6851</v>
      </c>
      <c r="F1148" s="1" t="s">
        <v>6914</v>
      </c>
      <c r="H1148" s="1" t="s">
        <v>6915</v>
      </c>
      <c r="J1148" s="1" t="s">
        <v>1324</v>
      </c>
      <c r="L1148" s="1" t="s">
        <v>1325</v>
      </c>
      <c r="N1148" s="1" t="s">
        <v>6227</v>
      </c>
      <c r="P1148" s="1" t="s">
        <v>2910</v>
      </c>
      <c r="Q1148" s="3">
        <v>0</v>
      </c>
      <c r="R1148" s="23" t="s">
        <v>6854</v>
      </c>
      <c r="S1148" s="23" t="s">
        <v>6845</v>
      </c>
      <c r="T1148" s="23" t="s">
        <v>4866</v>
      </c>
      <c r="U1148" s="3">
        <v>35</v>
      </c>
      <c r="W1148" s="45" t="str">
        <f>HYPERLINK("http://ictvonline.org/taxonomy/p/taxonomy-history?taxnode_id=201900500","ICTVonline=201900500")</f>
        <v>ICTVonline=201900500</v>
      </c>
      <c r="Y1148" s="1" t="s">
        <v>9026</v>
      </c>
      <c r="Z1148" s="1" t="s">
        <v>9027</v>
      </c>
      <c r="AA1148" s="1">
        <v>201900000</v>
      </c>
      <c r="AB1148" s="1">
        <v>35</v>
      </c>
    </row>
    <row r="1149" spans="1:28" x14ac:dyDescent="0.2">
      <c r="A1149" s="1">
        <v>3131</v>
      </c>
      <c r="B1149" s="1" t="s">
        <v>6850</v>
      </c>
      <c r="D1149" s="1" t="s">
        <v>6851</v>
      </c>
      <c r="F1149" s="1" t="s">
        <v>6914</v>
      </c>
      <c r="H1149" s="1" t="s">
        <v>6915</v>
      </c>
      <c r="J1149" s="1" t="s">
        <v>1324</v>
      </c>
      <c r="L1149" s="1" t="s">
        <v>1325</v>
      </c>
      <c r="N1149" s="1" t="s">
        <v>6227</v>
      </c>
      <c r="P1149" s="1" t="s">
        <v>2911</v>
      </c>
      <c r="Q1149" s="3">
        <v>0</v>
      </c>
      <c r="R1149" s="23" t="s">
        <v>6854</v>
      </c>
      <c r="S1149" s="23" t="s">
        <v>6845</v>
      </c>
      <c r="T1149" s="23" t="s">
        <v>4866</v>
      </c>
      <c r="U1149" s="3">
        <v>35</v>
      </c>
      <c r="W1149" s="45" t="str">
        <f>HYPERLINK("http://ictvonline.org/taxonomy/p/taxonomy-history?taxnode_id=201900501","ICTVonline=201900501")</f>
        <v>ICTVonline=201900501</v>
      </c>
      <c r="Y1149" s="1" t="s">
        <v>9028</v>
      </c>
      <c r="Z1149" s="1" t="s">
        <v>9029</v>
      </c>
      <c r="AA1149" s="1">
        <v>201900000</v>
      </c>
      <c r="AB1149" s="1">
        <v>35</v>
      </c>
    </row>
    <row r="1150" spans="1:28" x14ac:dyDescent="0.2">
      <c r="A1150" s="1">
        <v>3133</v>
      </c>
      <c r="B1150" s="1" t="s">
        <v>6850</v>
      </c>
      <c r="D1150" s="1" t="s">
        <v>6851</v>
      </c>
      <c r="F1150" s="1" t="s">
        <v>6914</v>
      </c>
      <c r="H1150" s="1" t="s">
        <v>6915</v>
      </c>
      <c r="J1150" s="1" t="s">
        <v>1324</v>
      </c>
      <c r="L1150" s="1" t="s">
        <v>1325</v>
      </c>
      <c r="N1150" s="1" t="s">
        <v>6227</v>
      </c>
      <c r="P1150" s="1" t="s">
        <v>2912</v>
      </c>
      <c r="Q1150" s="3">
        <v>0</v>
      </c>
      <c r="R1150" s="23" t="s">
        <v>6854</v>
      </c>
      <c r="S1150" s="23" t="s">
        <v>6845</v>
      </c>
      <c r="T1150" s="23" t="s">
        <v>4866</v>
      </c>
      <c r="U1150" s="3">
        <v>35</v>
      </c>
      <c r="W1150" s="45" t="str">
        <f>HYPERLINK("http://ictvonline.org/taxonomy/p/taxonomy-history?taxnode_id=201900502","ICTVonline=201900502")</f>
        <v>ICTVonline=201900502</v>
      </c>
      <c r="Y1150" s="1" t="s">
        <v>9030</v>
      </c>
      <c r="Z1150" s="1" t="s">
        <v>9031</v>
      </c>
      <c r="AA1150" s="1">
        <v>201900000</v>
      </c>
      <c r="AB1150" s="1">
        <v>35</v>
      </c>
    </row>
    <row r="1151" spans="1:28" x14ac:dyDescent="0.2">
      <c r="A1151" s="1">
        <v>3135</v>
      </c>
      <c r="B1151" s="1" t="s">
        <v>6850</v>
      </c>
      <c r="D1151" s="1" t="s">
        <v>6851</v>
      </c>
      <c r="F1151" s="1" t="s">
        <v>6914</v>
      </c>
      <c r="H1151" s="1" t="s">
        <v>6915</v>
      </c>
      <c r="J1151" s="1" t="s">
        <v>1324</v>
      </c>
      <c r="L1151" s="1" t="s">
        <v>1325</v>
      </c>
      <c r="N1151" s="1" t="s">
        <v>6227</v>
      </c>
      <c r="P1151" s="1" t="s">
        <v>6228</v>
      </c>
      <c r="Q1151" s="3">
        <v>0</v>
      </c>
      <c r="R1151" s="23" t="s">
        <v>6854</v>
      </c>
      <c r="S1151" s="23" t="s">
        <v>6845</v>
      </c>
      <c r="T1151" s="23" t="s">
        <v>4866</v>
      </c>
      <c r="U1151" s="3">
        <v>35</v>
      </c>
      <c r="W1151" s="45" t="str">
        <f>HYPERLINK("http://ictvonline.org/taxonomy/p/taxonomy-history?taxnode_id=201907033","ICTVonline=201907033")</f>
        <v>ICTVonline=201907033</v>
      </c>
      <c r="Y1151" s="1" t="s">
        <v>9032</v>
      </c>
      <c r="Z1151" s="1" t="s">
        <v>9033</v>
      </c>
      <c r="AA1151" s="1">
        <v>201900000</v>
      </c>
      <c r="AB1151" s="1">
        <v>35</v>
      </c>
    </row>
    <row r="1152" spans="1:28" x14ac:dyDescent="0.2">
      <c r="A1152" s="1">
        <v>3137</v>
      </c>
      <c r="B1152" s="1" t="s">
        <v>6850</v>
      </c>
      <c r="D1152" s="1" t="s">
        <v>6851</v>
      </c>
      <c r="F1152" s="1" t="s">
        <v>6914</v>
      </c>
      <c r="H1152" s="1" t="s">
        <v>6915</v>
      </c>
      <c r="J1152" s="1" t="s">
        <v>1324</v>
      </c>
      <c r="L1152" s="1" t="s">
        <v>1325</v>
      </c>
      <c r="N1152" s="1" t="s">
        <v>6227</v>
      </c>
      <c r="P1152" s="1" t="s">
        <v>2913</v>
      </c>
      <c r="Q1152" s="3">
        <v>0</v>
      </c>
      <c r="R1152" s="23" t="s">
        <v>6854</v>
      </c>
      <c r="S1152" s="23" t="s">
        <v>6845</v>
      </c>
      <c r="T1152" s="23" t="s">
        <v>4866</v>
      </c>
      <c r="U1152" s="3">
        <v>35</v>
      </c>
      <c r="W1152" s="45" t="str">
        <f>HYPERLINK("http://ictvonline.org/taxonomy/p/taxonomy-history?taxnode_id=201900503","ICTVonline=201900503")</f>
        <v>ICTVonline=201900503</v>
      </c>
      <c r="Y1152" s="1" t="s">
        <v>9034</v>
      </c>
      <c r="Z1152" s="1" t="s">
        <v>9035</v>
      </c>
      <c r="AA1152" s="1">
        <v>201900000</v>
      </c>
      <c r="AB1152" s="1">
        <v>35</v>
      </c>
    </row>
    <row r="1153" spans="1:28" x14ac:dyDescent="0.2">
      <c r="A1153" s="1">
        <v>3141</v>
      </c>
      <c r="B1153" s="1" t="s">
        <v>6850</v>
      </c>
      <c r="D1153" s="1" t="s">
        <v>6851</v>
      </c>
      <c r="F1153" s="1" t="s">
        <v>6914</v>
      </c>
      <c r="H1153" s="1" t="s">
        <v>6915</v>
      </c>
      <c r="J1153" s="1" t="s">
        <v>1324</v>
      </c>
      <c r="L1153" s="1" t="s">
        <v>1325</v>
      </c>
      <c r="N1153" s="1" t="s">
        <v>9036</v>
      </c>
      <c r="P1153" s="1" t="s">
        <v>9037</v>
      </c>
      <c r="Q1153" s="3">
        <v>1</v>
      </c>
      <c r="R1153" s="23" t="s">
        <v>6854</v>
      </c>
      <c r="S1153" s="23" t="s">
        <v>6849</v>
      </c>
      <c r="T1153" s="23" t="s">
        <v>4864</v>
      </c>
      <c r="U1153" s="3">
        <v>35</v>
      </c>
      <c r="V1153" s="3" t="s">
        <v>8558</v>
      </c>
      <c r="W1153" s="45" t="str">
        <f>HYPERLINK("http://ictvonline.org/taxonomy/p/taxonomy-history?taxnode_id=201907818","ICTVonline=201907818")</f>
        <v>ICTVonline=201907818</v>
      </c>
      <c r="Y1153" s="1" t="s">
        <v>9038</v>
      </c>
      <c r="AA1153" s="1">
        <v>201900000</v>
      </c>
      <c r="AB1153" s="1">
        <v>35</v>
      </c>
    </row>
    <row r="1154" spans="1:28" x14ac:dyDescent="0.2">
      <c r="A1154" s="1">
        <v>3143</v>
      </c>
      <c r="B1154" s="1" t="s">
        <v>6850</v>
      </c>
      <c r="D1154" s="1" t="s">
        <v>6851</v>
      </c>
      <c r="F1154" s="1" t="s">
        <v>6914</v>
      </c>
      <c r="H1154" s="1" t="s">
        <v>6915</v>
      </c>
      <c r="J1154" s="1" t="s">
        <v>1324</v>
      </c>
      <c r="L1154" s="1" t="s">
        <v>1325</v>
      </c>
      <c r="N1154" s="1" t="s">
        <v>9036</v>
      </c>
      <c r="P1154" s="1" t="s">
        <v>9039</v>
      </c>
      <c r="Q1154" s="3">
        <v>0</v>
      </c>
      <c r="R1154" s="23" t="s">
        <v>6854</v>
      </c>
      <c r="S1154" s="23" t="s">
        <v>6849</v>
      </c>
      <c r="T1154" s="23" t="s">
        <v>4864</v>
      </c>
      <c r="U1154" s="3">
        <v>35</v>
      </c>
      <c r="V1154" s="3" t="s">
        <v>8558</v>
      </c>
      <c r="W1154" s="45" t="str">
        <f>HYPERLINK("http://ictvonline.org/taxonomy/p/taxonomy-history?taxnode_id=201907819","ICTVonline=201907819")</f>
        <v>ICTVonline=201907819</v>
      </c>
      <c r="Y1154" s="1" t="s">
        <v>9040</v>
      </c>
      <c r="AA1154" s="1">
        <v>201900000</v>
      </c>
      <c r="AB1154" s="1">
        <v>35</v>
      </c>
    </row>
    <row r="1155" spans="1:28" x14ac:dyDescent="0.2">
      <c r="A1155" s="1">
        <v>3147</v>
      </c>
      <c r="B1155" s="1" t="s">
        <v>6850</v>
      </c>
      <c r="D1155" s="1" t="s">
        <v>6851</v>
      </c>
      <c r="F1155" s="1" t="s">
        <v>6914</v>
      </c>
      <c r="H1155" s="1" t="s">
        <v>6915</v>
      </c>
      <c r="J1155" s="1" t="s">
        <v>1324</v>
      </c>
      <c r="L1155" s="1" t="s">
        <v>1325</v>
      </c>
      <c r="N1155" s="1" t="s">
        <v>2919</v>
      </c>
      <c r="P1155" s="1" t="s">
        <v>2920</v>
      </c>
      <c r="Q1155" s="3">
        <v>0</v>
      </c>
      <c r="R1155" s="23" t="s">
        <v>6854</v>
      </c>
      <c r="S1155" s="23" t="s">
        <v>6845</v>
      </c>
      <c r="T1155" s="23" t="s">
        <v>4866</v>
      </c>
      <c r="U1155" s="3">
        <v>35</v>
      </c>
      <c r="W1155" s="45" t="str">
        <f>HYPERLINK("http://ictvonline.org/taxonomy/p/taxonomy-history?taxnode_id=201900517","ICTVonline=201900517")</f>
        <v>ICTVonline=201900517</v>
      </c>
      <c r="Y1155" s="1" t="s">
        <v>9041</v>
      </c>
      <c r="Z1155" s="1" t="s">
        <v>9042</v>
      </c>
      <c r="AA1155" s="1">
        <v>201900000</v>
      </c>
      <c r="AB1155" s="1">
        <v>35</v>
      </c>
    </row>
    <row r="1156" spans="1:28" x14ac:dyDescent="0.2">
      <c r="A1156" s="1">
        <v>3149</v>
      </c>
      <c r="B1156" s="1" t="s">
        <v>6850</v>
      </c>
      <c r="D1156" s="1" t="s">
        <v>6851</v>
      </c>
      <c r="F1156" s="1" t="s">
        <v>6914</v>
      </c>
      <c r="H1156" s="1" t="s">
        <v>6915</v>
      </c>
      <c r="J1156" s="1" t="s">
        <v>1324</v>
      </c>
      <c r="L1156" s="1" t="s">
        <v>1325</v>
      </c>
      <c r="N1156" s="1" t="s">
        <v>2919</v>
      </c>
      <c r="P1156" s="1" t="s">
        <v>2921</v>
      </c>
      <c r="Q1156" s="3">
        <v>1</v>
      </c>
      <c r="R1156" s="23" t="s">
        <v>6854</v>
      </c>
      <c r="S1156" s="23" t="s">
        <v>6845</v>
      </c>
      <c r="T1156" s="23" t="s">
        <v>4866</v>
      </c>
      <c r="U1156" s="3">
        <v>35</v>
      </c>
      <c r="W1156" s="45" t="str">
        <f>HYPERLINK("http://ictvonline.org/taxonomy/p/taxonomy-history?taxnode_id=201900518","ICTVonline=201900518")</f>
        <v>ICTVonline=201900518</v>
      </c>
      <c r="Y1156" s="1" t="s">
        <v>9043</v>
      </c>
      <c r="Z1156" s="1" t="s">
        <v>9044</v>
      </c>
      <c r="AA1156" s="1">
        <v>201900000</v>
      </c>
      <c r="AB1156" s="1">
        <v>35</v>
      </c>
    </row>
    <row r="1157" spans="1:28" x14ac:dyDescent="0.2">
      <c r="A1157" s="1">
        <v>3151</v>
      </c>
      <c r="B1157" s="1" t="s">
        <v>6850</v>
      </c>
      <c r="D1157" s="1" t="s">
        <v>6851</v>
      </c>
      <c r="F1157" s="1" t="s">
        <v>6914</v>
      </c>
      <c r="H1157" s="1" t="s">
        <v>6915</v>
      </c>
      <c r="J1157" s="1" t="s">
        <v>1324</v>
      </c>
      <c r="L1157" s="1" t="s">
        <v>1325</v>
      </c>
      <c r="N1157" s="1" t="s">
        <v>2919</v>
      </c>
      <c r="P1157" s="1" t="s">
        <v>2922</v>
      </c>
      <c r="Q1157" s="3">
        <v>0</v>
      </c>
      <c r="R1157" s="23" t="s">
        <v>6854</v>
      </c>
      <c r="S1157" s="23" t="s">
        <v>6845</v>
      </c>
      <c r="T1157" s="23" t="s">
        <v>4866</v>
      </c>
      <c r="U1157" s="3">
        <v>35</v>
      </c>
      <c r="W1157" s="45" t="str">
        <f>HYPERLINK("http://ictvonline.org/taxonomy/p/taxonomy-history?taxnode_id=201900519","ICTVonline=201900519")</f>
        <v>ICTVonline=201900519</v>
      </c>
      <c r="Y1157" s="1" t="s">
        <v>9045</v>
      </c>
      <c r="Z1157" s="1" t="s">
        <v>9046</v>
      </c>
      <c r="AA1157" s="1">
        <v>201900000</v>
      </c>
      <c r="AB1157" s="1">
        <v>35</v>
      </c>
    </row>
    <row r="1158" spans="1:28" x14ac:dyDescent="0.2">
      <c r="A1158" s="1">
        <v>3155</v>
      </c>
      <c r="B1158" s="1" t="s">
        <v>6850</v>
      </c>
      <c r="D1158" s="1" t="s">
        <v>6851</v>
      </c>
      <c r="F1158" s="1" t="s">
        <v>6914</v>
      </c>
      <c r="H1158" s="1" t="s">
        <v>6915</v>
      </c>
      <c r="J1158" s="1" t="s">
        <v>1324</v>
      </c>
      <c r="L1158" s="1" t="s">
        <v>1325</v>
      </c>
      <c r="N1158" s="1" t="s">
        <v>6229</v>
      </c>
      <c r="P1158" s="1" t="s">
        <v>2925</v>
      </c>
      <c r="Q1158" s="3">
        <v>0</v>
      </c>
      <c r="R1158" s="23" t="s">
        <v>6854</v>
      </c>
      <c r="S1158" s="23" t="s">
        <v>6845</v>
      </c>
      <c r="T1158" s="23" t="s">
        <v>4866</v>
      </c>
      <c r="U1158" s="3">
        <v>35</v>
      </c>
      <c r="W1158" s="45" t="str">
        <f>HYPERLINK("http://ictvonline.org/taxonomy/p/taxonomy-history?taxnode_id=201900523","ICTVonline=201900523")</f>
        <v>ICTVonline=201900523</v>
      </c>
      <c r="Y1158" s="1" t="s">
        <v>9047</v>
      </c>
      <c r="Z1158" s="1" t="s">
        <v>9048</v>
      </c>
      <c r="AA1158" s="1">
        <v>201900000</v>
      </c>
      <c r="AB1158" s="1">
        <v>35</v>
      </c>
    </row>
    <row r="1159" spans="1:28" x14ac:dyDescent="0.2">
      <c r="A1159" s="1">
        <v>3157</v>
      </c>
      <c r="B1159" s="1" t="s">
        <v>6850</v>
      </c>
      <c r="D1159" s="1" t="s">
        <v>6851</v>
      </c>
      <c r="F1159" s="1" t="s">
        <v>6914</v>
      </c>
      <c r="H1159" s="1" t="s">
        <v>6915</v>
      </c>
      <c r="J1159" s="1" t="s">
        <v>1324</v>
      </c>
      <c r="L1159" s="1" t="s">
        <v>1325</v>
      </c>
      <c r="N1159" s="1" t="s">
        <v>6229</v>
      </c>
      <c r="P1159" s="1" t="s">
        <v>2928</v>
      </c>
      <c r="Q1159" s="3">
        <v>0</v>
      </c>
      <c r="R1159" s="23" t="s">
        <v>6854</v>
      </c>
      <c r="S1159" s="23" t="s">
        <v>6845</v>
      </c>
      <c r="T1159" s="23" t="s">
        <v>4866</v>
      </c>
      <c r="U1159" s="3">
        <v>35</v>
      </c>
      <c r="W1159" s="45" t="str">
        <f>HYPERLINK("http://ictvonline.org/taxonomy/p/taxonomy-history?taxnode_id=201900526","ICTVonline=201900526")</f>
        <v>ICTVonline=201900526</v>
      </c>
      <c r="Y1159" s="1" t="s">
        <v>9049</v>
      </c>
      <c r="Z1159" s="1" t="s">
        <v>9050</v>
      </c>
      <c r="AA1159" s="1">
        <v>201900000</v>
      </c>
      <c r="AB1159" s="1">
        <v>35</v>
      </c>
    </row>
    <row r="1160" spans="1:28" x14ac:dyDescent="0.2">
      <c r="A1160" s="1">
        <v>3159</v>
      </c>
      <c r="B1160" s="1" t="s">
        <v>6850</v>
      </c>
      <c r="D1160" s="1" t="s">
        <v>6851</v>
      </c>
      <c r="F1160" s="1" t="s">
        <v>6914</v>
      </c>
      <c r="H1160" s="1" t="s">
        <v>6915</v>
      </c>
      <c r="J1160" s="1" t="s">
        <v>1324</v>
      </c>
      <c r="L1160" s="1" t="s">
        <v>1325</v>
      </c>
      <c r="N1160" s="1" t="s">
        <v>6229</v>
      </c>
      <c r="P1160" s="1" t="s">
        <v>2929</v>
      </c>
      <c r="Q1160" s="3">
        <v>0</v>
      </c>
      <c r="R1160" s="23" t="s">
        <v>6854</v>
      </c>
      <c r="S1160" s="23" t="s">
        <v>6845</v>
      </c>
      <c r="T1160" s="23" t="s">
        <v>4866</v>
      </c>
      <c r="U1160" s="3">
        <v>35</v>
      </c>
      <c r="W1160" s="45" t="str">
        <f>HYPERLINK("http://ictvonline.org/taxonomy/p/taxonomy-history?taxnode_id=201900527","ICTVonline=201900527")</f>
        <v>ICTVonline=201900527</v>
      </c>
      <c r="Y1160" s="1" t="s">
        <v>9051</v>
      </c>
      <c r="Z1160" s="1" t="s">
        <v>9052</v>
      </c>
      <c r="AA1160" s="1">
        <v>201900000</v>
      </c>
      <c r="AB1160" s="1">
        <v>35</v>
      </c>
    </row>
    <row r="1161" spans="1:28" x14ac:dyDescent="0.2">
      <c r="A1161" s="1">
        <v>3161</v>
      </c>
      <c r="B1161" s="1" t="s">
        <v>6850</v>
      </c>
      <c r="D1161" s="1" t="s">
        <v>6851</v>
      </c>
      <c r="F1161" s="1" t="s">
        <v>6914</v>
      </c>
      <c r="H1161" s="1" t="s">
        <v>6915</v>
      </c>
      <c r="J1161" s="1" t="s">
        <v>1324</v>
      </c>
      <c r="L1161" s="1" t="s">
        <v>1325</v>
      </c>
      <c r="N1161" s="1" t="s">
        <v>6229</v>
      </c>
      <c r="P1161" s="1" t="s">
        <v>2932</v>
      </c>
      <c r="Q1161" s="3">
        <v>0</v>
      </c>
      <c r="R1161" s="23" t="s">
        <v>6854</v>
      </c>
      <c r="S1161" s="23" t="s">
        <v>6845</v>
      </c>
      <c r="T1161" s="23" t="s">
        <v>4866</v>
      </c>
      <c r="U1161" s="3">
        <v>35</v>
      </c>
      <c r="W1161" s="45" t="str">
        <f>HYPERLINK("http://ictvonline.org/taxonomy/p/taxonomy-history?taxnode_id=201900530","ICTVonline=201900530")</f>
        <v>ICTVonline=201900530</v>
      </c>
      <c r="Y1161" s="1" t="s">
        <v>9053</v>
      </c>
      <c r="Z1161" s="1" t="s">
        <v>9054</v>
      </c>
      <c r="AA1161" s="1">
        <v>201900000</v>
      </c>
      <c r="AB1161" s="1">
        <v>35</v>
      </c>
    </row>
    <row r="1162" spans="1:28" x14ac:dyDescent="0.2">
      <c r="A1162" s="1">
        <v>3163</v>
      </c>
      <c r="B1162" s="1" t="s">
        <v>6850</v>
      </c>
      <c r="D1162" s="1" t="s">
        <v>6851</v>
      </c>
      <c r="F1162" s="1" t="s">
        <v>6914</v>
      </c>
      <c r="H1162" s="1" t="s">
        <v>6915</v>
      </c>
      <c r="J1162" s="1" t="s">
        <v>1324</v>
      </c>
      <c r="L1162" s="1" t="s">
        <v>1325</v>
      </c>
      <c r="N1162" s="1" t="s">
        <v>6229</v>
      </c>
      <c r="P1162" s="1" t="s">
        <v>2934</v>
      </c>
      <c r="Q1162" s="3">
        <v>0</v>
      </c>
      <c r="R1162" s="23" t="s">
        <v>6854</v>
      </c>
      <c r="S1162" s="23" t="s">
        <v>6845</v>
      </c>
      <c r="T1162" s="23" t="s">
        <v>4866</v>
      </c>
      <c r="U1162" s="3">
        <v>35</v>
      </c>
      <c r="W1162" s="45" t="str">
        <f>HYPERLINK("http://ictvonline.org/taxonomy/p/taxonomy-history?taxnode_id=201900532","ICTVonline=201900532")</f>
        <v>ICTVonline=201900532</v>
      </c>
      <c r="Y1162" s="1" t="s">
        <v>9055</v>
      </c>
      <c r="Z1162" s="1" t="s">
        <v>9056</v>
      </c>
      <c r="AA1162" s="1">
        <v>201900000</v>
      </c>
      <c r="AB1162" s="1">
        <v>35</v>
      </c>
    </row>
    <row r="1163" spans="1:28" x14ac:dyDescent="0.2">
      <c r="A1163" s="1">
        <v>3165</v>
      </c>
      <c r="B1163" s="1" t="s">
        <v>6850</v>
      </c>
      <c r="D1163" s="1" t="s">
        <v>6851</v>
      </c>
      <c r="F1163" s="1" t="s">
        <v>6914</v>
      </c>
      <c r="H1163" s="1" t="s">
        <v>6915</v>
      </c>
      <c r="J1163" s="1" t="s">
        <v>1324</v>
      </c>
      <c r="L1163" s="1" t="s">
        <v>1325</v>
      </c>
      <c r="N1163" s="1" t="s">
        <v>6229</v>
      </c>
      <c r="P1163" s="1" t="s">
        <v>2935</v>
      </c>
      <c r="Q1163" s="3">
        <v>1</v>
      </c>
      <c r="R1163" s="23" t="s">
        <v>6854</v>
      </c>
      <c r="S1163" s="23" t="s">
        <v>6845</v>
      </c>
      <c r="T1163" s="23" t="s">
        <v>4866</v>
      </c>
      <c r="U1163" s="3">
        <v>35</v>
      </c>
      <c r="W1163" s="45" t="str">
        <f>HYPERLINK("http://ictvonline.org/taxonomy/p/taxonomy-history?taxnode_id=201900533","ICTVonline=201900533")</f>
        <v>ICTVonline=201900533</v>
      </c>
      <c r="AA1163" s="1">
        <v>201900000</v>
      </c>
      <c r="AB1163" s="1">
        <v>35</v>
      </c>
    </row>
    <row r="1164" spans="1:28" x14ac:dyDescent="0.2">
      <c r="A1164" s="1">
        <v>3169</v>
      </c>
      <c r="B1164" s="1" t="s">
        <v>6850</v>
      </c>
      <c r="D1164" s="1" t="s">
        <v>6851</v>
      </c>
      <c r="F1164" s="1" t="s">
        <v>6914</v>
      </c>
      <c r="H1164" s="1" t="s">
        <v>6915</v>
      </c>
      <c r="J1164" s="1" t="s">
        <v>1324</v>
      </c>
      <c r="L1164" s="1" t="s">
        <v>1325</v>
      </c>
      <c r="N1164" s="1" t="s">
        <v>9057</v>
      </c>
      <c r="P1164" s="1" t="s">
        <v>9058</v>
      </c>
      <c r="Q1164" s="3">
        <v>1</v>
      </c>
      <c r="R1164" s="23" t="s">
        <v>6854</v>
      </c>
      <c r="S1164" s="23" t="s">
        <v>6849</v>
      </c>
      <c r="T1164" s="23" t="s">
        <v>4864</v>
      </c>
      <c r="U1164" s="3">
        <v>35</v>
      </c>
      <c r="V1164" s="3" t="s">
        <v>9059</v>
      </c>
      <c r="W1164" s="45" t="str">
        <f>HYPERLINK("http://ictvonline.org/taxonomy/p/taxonomy-history?taxnode_id=201908072","ICTVonline=201908072")</f>
        <v>ICTVonline=201908072</v>
      </c>
      <c r="Y1164" s="1" t="s">
        <v>9060</v>
      </c>
      <c r="AA1164" s="1">
        <v>201900000</v>
      </c>
      <c r="AB1164" s="1">
        <v>35</v>
      </c>
    </row>
    <row r="1165" spans="1:28" x14ac:dyDescent="0.2">
      <c r="A1165" s="1">
        <v>3173</v>
      </c>
      <c r="B1165" s="1" t="s">
        <v>6850</v>
      </c>
      <c r="D1165" s="1" t="s">
        <v>6851</v>
      </c>
      <c r="F1165" s="1" t="s">
        <v>6914</v>
      </c>
      <c r="H1165" s="1" t="s">
        <v>6915</v>
      </c>
      <c r="J1165" s="1" t="s">
        <v>1324</v>
      </c>
      <c r="L1165" s="1" t="s">
        <v>1325</v>
      </c>
      <c r="N1165" s="1" t="s">
        <v>9061</v>
      </c>
      <c r="P1165" s="1" t="s">
        <v>9062</v>
      </c>
      <c r="Q1165" s="3">
        <v>0</v>
      </c>
      <c r="R1165" s="23" t="s">
        <v>6854</v>
      </c>
      <c r="S1165" s="23" t="s">
        <v>6849</v>
      </c>
      <c r="T1165" s="23" t="s">
        <v>4864</v>
      </c>
      <c r="U1165" s="3">
        <v>35</v>
      </c>
      <c r="V1165" s="3" t="s">
        <v>9063</v>
      </c>
      <c r="W1165" s="45" t="str">
        <f>HYPERLINK("http://ictvonline.org/taxonomy/p/taxonomy-history?taxnode_id=201908076","ICTVonline=201908076")</f>
        <v>ICTVonline=201908076</v>
      </c>
      <c r="Y1165" s="1" t="s">
        <v>9064</v>
      </c>
      <c r="AA1165" s="1">
        <v>201900000</v>
      </c>
      <c r="AB1165" s="1">
        <v>35</v>
      </c>
    </row>
    <row r="1166" spans="1:28" x14ac:dyDescent="0.2">
      <c r="A1166" s="1">
        <v>3175</v>
      </c>
      <c r="B1166" s="1" t="s">
        <v>6850</v>
      </c>
      <c r="D1166" s="1" t="s">
        <v>6851</v>
      </c>
      <c r="F1166" s="1" t="s">
        <v>6914</v>
      </c>
      <c r="H1166" s="1" t="s">
        <v>6915</v>
      </c>
      <c r="J1166" s="1" t="s">
        <v>1324</v>
      </c>
      <c r="L1166" s="1" t="s">
        <v>1325</v>
      </c>
      <c r="N1166" s="1" t="s">
        <v>9061</v>
      </c>
      <c r="P1166" s="1" t="s">
        <v>9065</v>
      </c>
      <c r="Q1166" s="3">
        <v>0</v>
      </c>
      <c r="R1166" s="23" t="s">
        <v>6854</v>
      </c>
      <c r="S1166" s="23" t="s">
        <v>6849</v>
      </c>
      <c r="T1166" s="23" t="s">
        <v>4864</v>
      </c>
      <c r="U1166" s="3">
        <v>35</v>
      </c>
      <c r="V1166" s="3" t="s">
        <v>9063</v>
      </c>
      <c r="W1166" s="45" t="str">
        <f>HYPERLINK("http://ictvonline.org/taxonomy/p/taxonomy-history?taxnode_id=201908075","ICTVonline=201908075")</f>
        <v>ICTVonline=201908075</v>
      </c>
      <c r="Y1166" s="1" t="s">
        <v>9066</v>
      </c>
      <c r="AA1166" s="1">
        <v>201900000</v>
      </c>
      <c r="AB1166" s="1">
        <v>35</v>
      </c>
    </row>
    <row r="1167" spans="1:28" x14ac:dyDescent="0.2">
      <c r="A1167" s="1">
        <v>3177</v>
      </c>
      <c r="B1167" s="1" t="s">
        <v>6850</v>
      </c>
      <c r="D1167" s="1" t="s">
        <v>6851</v>
      </c>
      <c r="F1167" s="1" t="s">
        <v>6914</v>
      </c>
      <c r="H1167" s="1" t="s">
        <v>6915</v>
      </c>
      <c r="J1167" s="1" t="s">
        <v>1324</v>
      </c>
      <c r="L1167" s="1" t="s">
        <v>1325</v>
      </c>
      <c r="N1167" s="1" t="s">
        <v>9061</v>
      </c>
      <c r="P1167" s="1" t="s">
        <v>9067</v>
      </c>
      <c r="Q1167" s="3">
        <v>1</v>
      </c>
      <c r="R1167" s="23" t="s">
        <v>6854</v>
      </c>
      <c r="S1167" s="23" t="s">
        <v>6849</v>
      </c>
      <c r="T1167" s="23" t="s">
        <v>4864</v>
      </c>
      <c r="U1167" s="3">
        <v>35</v>
      </c>
      <c r="V1167" s="3" t="s">
        <v>9063</v>
      </c>
      <c r="W1167" s="45" t="str">
        <f>HYPERLINK("http://ictvonline.org/taxonomy/p/taxonomy-history?taxnode_id=201908074","ICTVonline=201908074")</f>
        <v>ICTVonline=201908074</v>
      </c>
      <c r="Y1167" s="1" t="s">
        <v>9068</v>
      </c>
      <c r="AA1167" s="1">
        <v>201900000</v>
      </c>
      <c r="AB1167" s="1">
        <v>35</v>
      </c>
    </row>
    <row r="1168" spans="1:28" x14ac:dyDescent="0.2">
      <c r="A1168" s="1">
        <v>3179</v>
      </c>
      <c r="B1168" s="1" t="s">
        <v>6850</v>
      </c>
      <c r="D1168" s="1" t="s">
        <v>6851</v>
      </c>
      <c r="F1168" s="1" t="s">
        <v>6914</v>
      </c>
      <c r="H1168" s="1" t="s">
        <v>6915</v>
      </c>
      <c r="J1168" s="1" t="s">
        <v>1324</v>
      </c>
      <c r="L1168" s="1" t="s">
        <v>1325</v>
      </c>
      <c r="N1168" s="1" t="s">
        <v>9061</v>
      </c>
      <c r="P1168" s="1" t="s">
        <v>9069</v>
      </c>
      <c r="Q1168" s="3">
        <v>0</v>
      </c>
      <c r="R1168" s="23" t="s">
        <v>6854</v>
      </c>
      <c r="S1168" s="23" t="s">
        <v>6849</v>
      </c>
      <c r="T1168" s="23" t="s">
        <v>4864</v>
      </c>
      <c r="U1168" s="3">
        <v>35</v>
      </c>
      <c r="V1168" s="3" t="s">
        <v>9063</v>
      </c>
      <c r="W1168" s="45" t="str">
        <f>HYPERLINK("http://ictvonline.org/taxonomy/p/taxonomy-history?taxnode_id=201908077","ICTVonline=201908077")</f>
        <v>ICTVonline=201908077</v>
      </c>
      <c r="Y1168" s="1" t="s">
        <v>9070</v>
      </c>
      <c r="AA1168" s="1">
        <v>201900000</v>
      </c>
      <c r="AB1168" s="1">
        <v>35</v>
      </c>
    </row>
    <row r="1169" spans="1:28" x14ac:dyDescent="0.2">
      <c r="A1169" s="1">
        <v>3183</v>
      </c>
      <c r="B1169" s="1" t="s">
        <v>6850</v>
      </c>
      <c r="D1169" s="1" t="s">
        <v>6851</v>
      </c>
      <c r="F1169" s="1" t="s">
        <v>6914</v>
      </c>
      <c r="H1169" s="1" t="s">
        <v>6915</v>
      </c>
      <c r="J1169" s="1" t="s">
        <v>1324</v>
      </c>
      <c r="L1169" s="1" t="s">
        <v>1325</v>
      </c>
      <c r="N1169" s="1" t="s">
        <v>6230</v>
      </c>
      <c r="P1169" s="1" t="s">
        <v>6231</v>
      </c>
      <c r="Q1169" s="3">
        <v>1</v>
      </c>
      <c r="R1169" s="23" t="s">
        <v>6854</v>
      </c>
      <c r="S1169" s="23" t="s">
        <v>6845</v>
      </c>
      <c r="T1169" s="23" t="s">
        <v>4866</v>
      </c>
      <c r="U1169" s="3">
        <v>35</v>
      </c>
      <c r="W1169" s="45" t="str">
        <f>HYPERLINK("http://ictvonline.org/taxonomy/p/taxonomy-history?taxnode_id=201906871","ICTVonline=201906871")</f>
        <v>ICTVonline=201906871</v>
      </c>
      <c r="Y1169" s="1" t="s">
        <v>9071</v>
      </c>
      <c r="Z1169" s="1" t="s">
        <v>9072</v>
      </c>
      <c r="AA1169" s="1">
        <v>201900000</v>
      </c>
      <c r="AB1169" s="1">
        <v>35</v>
      </c>
    </row>
    <row r="1170" spans="1:28" x14ac:dyDescent="0.2">
      <c r="A1170" s="1">
        <v>3187</v>
      </c>
      <c r="B1170" s="1" t="s">
        <v>6850</v>
      </c>
      <c r="D1170" s="1" t="s">
        <v>6851</v>
      </c>
      <c r="F1170" s="1" t="s">
        <v>6914</v>
      </c>
      <c r="H1170" s="1" t="s">
        <v>6915</v>
      </c>
      <c r="J1170" s="1" t="s">
        <v>1324</v>
      </c>
      <c r="L1170" s="1" t="s">
        <v>1325</v>
      </c>
      <c r="N1170" s="1" t="s">
        <v>6232</v>
      </c>
      <c r="P1170" s="1" t="s">
        <v>4190</v>
      </c>
      <c r="Q1170" s="3">
        <v>1</v>
      </c>
      <c r="R1170" s="23" t="s">
        <v>6854</v>
      </c>
      <c r="S1170" s="23" t="s">
        <v>6845</v>
      </c>
      <c r="T1170" s="23" t="s">
        <v>4866</v>
      </c>
      <c r="U1170" s="3">
        <v>35</v>
      </c>
      <c r="W1170" s="45" t="str">
        <f>HYPERLINK("http://ictvonline.org/taxonomy/p/taxonomy-history?taxnode_id=201900453","ICTVonline=201900453")</f>
        <v>ICTVonline=201900453</v>
      </c>
      <c r="Y1170" s="1" t="s">
        <v>9073</v>
      </c>
      <c r="Z1170" s="1" t="s">
        <v>9074</v>
      </c>
      <c r="AA1170" s="1">
        <v>201900000</v>
      </c>
      <c r="AB1170" s="1">
        <v>35</v>
      </c>
    </row>
    <row r="1171" spans="1:28" x14ac:dyDescent="0.2">
      <c r="A1171" s="1">
        <v>3189</v>
      </c>
      <c r="B1171" s="1" t="s">
        <v>6850</v>
      </c>
      <c r="D1171" s="1" t="s">
        <v>6851</v>
      </c>
      <c r="F1171" s="1" t="s">
        <v>6914</v>
      </c>
      <c r="H1171" s="1" t="s">
        <v>6915</v>
      </c>
      <c r="J1171" s="1" t="s">
        <v>1324</v>
      </c>
      <c r="L1171" s="1" t="s">
        <v>1325</v>
      </c>
      <c r="N1171" s="1" t="s">
        <v>6232</v>
      </c>
      <c r="P1171" s="1" t="s">
        <v>4191</v>
      </c>
      <c r="Q1171" s="3">
        <v>0</v>
      </c>
      <c r="R1171" s="23" t="s">
        <v>6854</v>
      </c>
      <c r="S1171" s="23" t="s">
        <v>6845</v>
      </c>
      <c r="T1171" s="23" t="s">
        <v>4866</v>
      </c>
      <c r="U1171" s="3">
        <v>35</v>
      </c>
      <c r="W1171" s="45" t="str">
        <f>HYPERLINK("http://ictvonline.org/taxonomy/p/taxonomy-history?taxnode_id=201900454","ICTVonline=201900454")</f>
        <v>ICTVonline=201900454</v>
      </c>
      <c r="Y1171" s="1" t="s">
        <v>9075</v>
      </c>
      <c r="Z1171" s="1" t="s">
        <v>9076</v>
      </c>
      <c r="AA1171" s="1">
        <v>201900000</v>
      </c>
      <c r="AB1171" s="1">
        <v>35</v>
      </c>
    </row>
    <row r="1172" spans="1:28" x14ac:dyDescent="0.2">
      <c r="A1172" s="1">
        <v>3193</v>
      </c>
      <c r="B1172" s="1" t="s">
        <v>6850</v>
      </c>
      <c r="D1172" s="1" t="s">
        <v>6851</v>
      </c>
      <c r="F1172" s="1" t="s">
        <v>6914</v>
      </c>
      <c r="H1172" s="1" t="s">
        <v>6915</v>
      </c>
      <c r="J1172" s="1" t="s">
        <v>1324</v>
      </c>
      <c r="L1172" s="1" t="s">
        <v>1325</v>
      </c>
      <c r="N1172" s="1" t="s">
        <v>9077</v>
      </c>
      <c r="P1172" s="1" t="s">
        <v>9078</v>
      </c>
      <c r="Q1172" s="3">
        <v>1</v>
      </c>
      <c r="R1172" s="23" t="s">
        <v>6854</v>
      </c>
      <c r="S1172" s="23" t="s">
        <v>6849</v>
      </c>
      <c r="T1172" s="23" t="s">
        <v>4864</v>
      </c>
      <c r="U1172" s="3">
        <v>35</v>
      </c>
      <c r="V1172" s="3" t="s">
        <v>8581</v>
      </c>
      <c r="W1172" s="45" t="str">
        <f>HYPERLINK("http://ictvonline.org/taxonomy/p/taxonomy-history?taxnode_id=201907918","ICTVonline=201907918")</f>
        <v>ICTVonline=201907918</v>
      </c>
      <c r="Y1172" s="1" t="s">
        <v>9079</v>
      </c>
      <c r="AA1172" s="1">
        <v>201900000</v>
      </c>
      <c r="AB1172" s="1">
        <v>35</v>
      </c>
    </row>
    <row r="1173" spans="1:28" x14ac:dyDescent="0.2">
      <c r="A1173" s="1">
        <v>3196</v>
      </c>
      <c r="B1173" s="1" t="s">
        <v>6850</v>
      </c>
      <c r="D1173" s="1" t="s">
        <v>6851</v>
      </c>
      <c r="F1173" s="1" t="s">
        <v>6914</v>
      </c>
      <c r="H1173" s="1" t="s">
        <v>6915</v>
      </c>
      <c r="J1173" s="1" t="s">
        <v>1324</v>
      </c>
      <c r="L1173" s="1" t="s">
        <v>1325</v>
      </c>
      <c r="P1173" s="1" t="s">
        <v>2916</v>
      </c>
      <c r="Q1173" s="3">
        <v>0</v>
      </c>
      <c r="R1173" s="23" t="s">
        <v>6854</v>
      </c>
      <c r="S1173" s="23" t="s">
        <v>6845</v>
      </c>
      <c r="T1173" s="23" t="s">
        <v>4866</v>
      </c>
      <c r="U1173" s="3">
        <v>35</v>
      </c>
      <c r="W1173" s="45" t="str">
        <f>HYPERLINK("http://ictvonline.org/taxonomy/p/taxonomy-history?taxnode_id=201900513","ICTVonline=201900513")</f>
        <v>ICTVonline=201900513</v>
      </c>
      <c r="AA1173" s="1">
        <v>201900000</v>
      </c>
      <c r="AB1173" s="1">
        <v>35</v>
      </c>
    </row>
    <row r="1174" spans="1:28" x14ac:dyDescent="0.2">
      <c r="A1174" s="1">
        <v>3198</v>
      </c>
      <c r="B1174" s="1" t="s">
        <v>6850</v>
      </c>
      <c r="D1174" s="1" t="s">
        <v>6851</v>
      </c>
      <c r="F1174" s="1" t="s">
        <v>6914</v>
      </c>
      <c r="H1174" s="1" t="s">
        <v>6915</v>
      </c>
      <c r="J1174" s="1" t="s">
        <v>1324</v>
      </c>
      <c r="L1174" s="1" t="s">
        <v>1325</v>
      </c>
      <c r="P1174" s="1" t="s">
        <v>2917</v>
      </c>
      <c r="Q1174" s="3">
        <v>0</v>
      </c>
      <c r="R1174" s="23" t="s">
        <v>6854</v>
      </c>
      <c r="S1174" s="23" t="s">
        <v>6845</v>
      </c>
      <c r="T1174" s="23" t="s">
        <v>4866</v>
      </c>
      <c r="U1174" s="3">
        <v>35</v>
      </c>
      <c r="W1174" s="45" t="str">
        <f>HYPERLINK("http://ictvonline.org/taxonomy/p/taxonomy-history?taxnode_id=201900514","ICTVonline=201900514")</f>
        <v>ICTVonline=201900514</v>
      </c>
      <c r="AA1174" s="1">
        <v>201900000</v>
      </c>
      <c r="AB1174" s="1">
        <v>35</v>
      </c>
    </row>
    <row r="1175" spans="1:28" x14ac:dyDescent="0.2">
      <c r="A1175" s="1">
        <v>3200</v>
      </c>
      <c r="B1175" s="1" t="s">
        <v>6850</v>
      </c>
      <c r="D1175" s="1" t="s">
        <v>6851</v>
      </c>
      <c r="F1175" s="1" t="s">
        <v>6914</v>
      </c>
      <c r="H1175" s="1" t="s">
        <v>6915</v>
      </c>
      <c r="J1175" s="1" t="s">
        <v>1324</v>
      </c>
      <c r="L1175" s="1" t="s">
        <v>1325</v>
      </c>
      <c r="P1175" s="1" t="s">
        <v>2918</v>
      </c>
      <c r="Q1175" s="3">
        <v>0</v>
      </c>
      <c r="R1175" s="23" t="s">
        <v>6854</v>
      </c>
      <c r="S1175" s="23" t="s">
        <v>6845</v>
      </c>
      <c r="T1175" s="23" t="s">
        <v>4866</v>
      </c>
      <c r="U1175" s="3">
        <v>35</v>
      </c>
      <c r="W1175" s="45" t="str">
        <f>HYPERLINK("http://ictvonline.org/taxonomy/p/taxonomy-history?taxnode_id=201900515","ICTVonline=201900515")</f>
        <v>ICTVonline=201900515</v>
      </c>
      <c r="AA1175" s="1">
        <v>201900000</v>
      </c>
      <c r="AB1175" s="1">
        <v>35</v>
      </c>
    </row>
    <row r="1176" spans="1:28" x14ac:dyDescent="0.2">
      <c r="A1176" s="1">
        <v>3206</v>
      </c>
      <c r="B1176" s="1" t="s">
        <v>6850</v>
      </c>
      <c r="D1176" s="1" t="s">
        <v>6851</v>
      </c>
      <c r="F1176" s="1" t="s">
        <v>6914</v>
      </c>
      <c r="H1176" s="1" t="s">
        <v>6915</v>
      </c>
      <c r="J1176" s="1" t="s">
        <v>1324</v>
      </c>
      <c r="L1176" s="1" t="s">
        <v>894</v>
      </c>
      <c r="M1176" s="1" t="s">
        <v>659</v>
      </c>
      <c r="N1176" s="1" t="s">
        <v>6258</v>
      </c>
      <c r="P1176" s="1" t="s">
        <v>2965</v>
      </c>
      <c r="Q1176" s="3">
        <v>1</v>
      </c>
      <c r="R1176" s="23" t="s">
        <v>6854</v>
      </c>
      <c r="S1176" s="23" t="s">
        <v>6845</v>
      </c>
      <c r="T1176" s="23" t="s">
        <v>4866</v>
      </c>
      <c r="U1176" s="3">
        <v>35</v>
      </c>
      <c r="W1176" s="45" t="str">
        <f>HYPERLINK("http://ictvonline.org/taxonomy/p/taxonomy-history?taxnode_id=201900592","ICTVonline=201900592")</f>
        <v>ICTVonline=201900592</v>
      </c>
      <c r="Y1176" s="1" t="s">
        <v>9080</v>
      </c>
      <c r="AA1176" s="1">
        <v>201900000</v>
      </c>
      <c r="AB1176" s="1">
        <v>35</v>
      </c>
    </row>
    <row r="1177" spans="1:28" x14ac:dyDescent="0.2">
      <c r="A1177" s="1">
        <v>3208</v>
      </c>
      <c r="B1177" s="1" t="s">
        <v>6850</v>
      </c>
      <c r="D1177" s="1" t="s">
        <v>6851</v>
      </c>
      <c r="F1177" s="1" t="s">
        <v>6914</v>
      </c>
      <c r="H1177" s="1" t="s">
        <v>6915</v>
      </c>
      <c r="J1177" s="1" t="s">
        <v>1324</v>
      </c>
      <c r="L1177" s="1" t="s">
        <v>894</v>
      </c>
      <c r="M1177" s="1" t="s">
        <v>659</v>
      </c>
      <c r="N1177" s="1" t="s">
        <v>6258</v>
      </c>
      <c r="P1177" s="1" t="s">
        <v>4224</v>
      </c>
      <c r="Q1177" s="3">
        <v>0</v>
      </c>
      <c r="R1177" s="23" t="s">
        <v>6854</v>
      </c>
      <c r="S1177" s="23" t="s">
        <v>6845</v>
      </c>
      <c r="T1177" s="23" t="s">
        <v>4866</v>
      </c>
      <c r="U1177" s="3">
        <v>35</v>
      </c>
      <c r="W1177" s="45" t="str">
        <f>HYPERLINK("http://ictvonline.org/taxonomy/p/taxonomy-history?taxnode_id=201900593","ICTVonline=201900593")</f>
        <v>ICTVonline=201900593</v>
      </c>
      <c r="Y1177" s="1" t="s">
        <v>9081</v>
      </c>
      <c r="Z1177" s="1" t="s">
        <v>9082</v>
      </c>
      <c r="AA1177" s="1">
        <v>201900000</v>
      </c>
      <c r="AB1177" s="1">
        <v>35</v>
      </c>
    </row>
    <row r="1178" spans="1:28" x14ac:dyDescent="0.2">
      <c r="A1178" s="1">
        <v>3212</v>
      </c>
      <c r="B1178" s="1" t="s">
        <v>6850</v>
      </c>
      <c r="D1178" s="1" t="s">
        <v>6851</v>
      </c>
      <c r="F1178" s="1" t="s">
        <v>6914</v>
      </c>
      <c r="H1178" s="1" t="s">
        <v>6915</v>
      </c>
      <c r="J1178" s="1" t="s">
        <v>1324</v>
      </c>
      <c r="L1178" s="1" t="s">
        <v>894</v>
      </c>
      <c r="M1178" s="1" t="s">
        <v>659</v>
      </c>
      <c r="N1178" s="1" t="s">
        <v>6259</v>
      </c>
      <c r="P1178" s="1" t="s">
        <v>6260</v>
      </c>
      <c r="Q1178" s="3">
        <v>1</v>
      </c>
      <c r="R1178" s="23" t="s">
        <v>6854</v>
      </c>
      <c r="S1178" s="23" t="s">
        <v>6845</v>
      </c>
      <c r="T1178" s="23" t="s">
        <v>4866</v>
      </c>
      <c r="U1178" s="3">
        <v>35</v>
      </c>
      <c r="W1178" s="45" t="str">
        <f>HYPERLINK("http://ictvonline.org/taxonomy/p/taxonomy-history?taxnode_id=201906293","ICTVonline=201906293")</f>
        <v>ICTVonline=201906293</v>
      </c>
      <c r="Y1178" s="1" t="s">
        <v>9083</v>
      </c>
      <c r="Z1178" s="1" t="s">
        <v>9084</v>
      </c>
      <c r="AA1178" s="1">
        <v>201900000</v>
      </c>
      <c r="AB1178" s="1">
        <v>35</v>
      </c>
    </row>
    <row r="1179" spans="1:28" x14ac:dyDescent="0.2">
      <c r="A1179" s="1">
        <v>3216</v>
      </c>
      <c r="B1179" s="1" t="s">
        <v>6850</v>
      </c>
      <c r="D1179" s="1" t="s">
        <v>6851</v>
      </c>
      <c r="F1179" s="1" t="s">
        <v>6914</v>
      </c>
      <c r="H1179" s="1" t="s">
        <v>6915</v>
      </c>
      <c r="J1179" s="1" t="s">
        <v>1324</v>
      </c>
      <c r="L1179" s="1" t="s">
        <v>894</v>
      </c>
      <c r="M1179" s="1" t="s">
        <v>659</v>
      </c>
      <c r="N1179" s="1" t="s">
        <v>6262</v>
      </c>
      <c r="P1179" s="1" t="s">
        <v>2959</v>
      </c>
      <c r="Q1179" s="3">
        <v>0</v>
      </c>
      <c r="R1179" s="23" t="s">
        <v>6854</v>
      </c>
      <c r="S1179" s="23" t="s">
        <v>6845</v>
      </c>
      <c r="T1179" s="23" t="s">
        <v>4866</v>
      </c>
      <c r="U1179" s="3">
        <v>35</v>
      </c>
      <c r="W1179" s="45" t="str">
        <f>HYPERLINK("http://ictvonline.org/taxonomy/p/taxonomy-history?taxnode_id=201900598","ICTVonline=201900598")</f>
        <v>ICTVonline=201900598</v>
      </c>
      <c r="AA1179" s="1">
        <v>201900000</v>
      </c>
      <c r="AB1179" s="1">
        <v>35</v>
      </c>
    </row>
    <row r="1180" spans="1:28" x14ac:dyDescent="0.2">
      <c r="A1180" s="1">
        <v>3218</v>
      </c>
      <c r="B1180" s="1" t="s">
        <v>6850</v>
      </c>
      <c r="D1180" s="1" t="s">
        <v>6851</v>
      </c>
      <c r="F1180" s="1" t="s">
        <v>6914</v>
      </c>
      <c r="H1180" s="1" t="s">
        <v>6915</v>
      </c>
      <c r="J1180" s="1" t="s">
        <v>1324</v>
      </c>
      <c r="L1180" s="1" t="s">
        <v>894</v>
      </c>
      <c r="M1180" s="1" t="s">
        <v>659</v>
      </c>
      <c r="N1180" s="1" t="s">
        <v>6262</v>
      </c>
      <c r="P1180" s="1" t="s">
        <v>2960</v>
      </c>
      <c r="Q1180" s="3">
        <v>0</v>
      </c>
      <c r="R1180" s="23" t="s">
        <v>6854</v>
      </c>
      <c r="S1180" s="23" t="s">
        <v>6845</v>
      </c>
      <c r="T1180" s="23" t="s">
        <v>4866</v>
      </c>
      <c r="U1180" s="3">
        <v>35</v>
      </c>
      <c r="W1180" s="45" t="str">
        <f>HYPERLINK("http://ictvonline.org/taxonomy/p/taxonomy-history?taxnode_id=201900599","ICTVonline=201900599")</f>
        <v>ICTVonline=201900599</v>
      </c>
      <c r="AA1180" s="1">
        <v>201900000</v>
      </c>
      <c r="AB1180" s="1">
        <v>35</v>
      </c>
    </row>
    <row r="1181" spans="1:28" x14ac:dyDescent="0.2">
      <c r="A1181" s="1">
        <v>3220</v>
      </c>
      <c r="B1181" s="1" t="s">
        <v>6850</v>
      </c>
      <c r="D1181" s="1" t="s">
        <v>6851</v>
      </c>
      <c r="F1181" s="1" t="s">
        <v>6914</v>
      </c>
      <c r="H1181" s="1" t="s">
        <v>6915</v>
      </c>
      <c r="J1181" s="1" t="s">
        <v>1324</v>
      </c>
      <c r="L1181" s="1" t="s">
        <v>894</v>
      </c>
      <c r="M1181" s="1" t="s">
        <v>659</v>
      </c>
      <c r="N1181" s="1" t="s">
        <v>6262</v>
      </c>
      <c r="P1181" s="1" t="s">
        <v>2961</v>
      </c>
      <c r="Q1181" s="3">
        <v>1</v>
      </c>
      <c r="R1181" s="23" t="s">
        <v>6854</v>
      </c>
      <c r="S1181" s="23" t="s">
        <v>6845</v>
      </c>
      <c r="T1181" s="23" t="s">
        <v>4866</v>
      </c>
      <c r="U1181" s="3">
        <v>35</v>
      </c>
      <c r="W1181" s="45" t="str">
        <f>HYPERLINK("http://ictvonline.org/taxonomy/p/taxonomy-history?taxnode_id=201900600","ICTVonline=201900600")</f>
        <v>ICTVonline=201900600</v>
      </c>
      <c r="AA1181" s="1">
        <v>201900000</v>
      </c>
      <c r="AB1181" s="1">
        <v>35</v>
      </c>
    </row>
    <row r="1182" spans="1:28" x14ac:dyDescent="0.2">
      <c r="A1182" s="1">
        <v>3222</v>
      </c>
      <c r="B1182" s="1" t="s">
        <v>6850</v>
      </c>
      <c r="D1182" s="1" t="s">
        <v>6851</v>
      </c>
      <c r="F1182" s="1" t="s">
        <v>6914</v>
      </c>
      <c r="H1182" s="1" t="s">
        <v>6915</v>
      </c>
      <c r="J1182" s="1" t="s">
        <v>1324</v>
      </c>
      <c r="L1182" s="1" t="s">
        <v>894</v>
      </c>
      <c r="M1182" s="1" t="s">
        <v>659</v>
      </c>
      <c r="N1182" s="1" t="s">
        <v>6262</v>
      </c>
      <c r="P1182" s="1" t="s">
        <v>2962</v>
      </c>
      <c r="Q1182" s="3">
        <v>0</v>
      </c>
      <c r="R1182" s="23" t="s">
        <v>6854</v>
      </c>
      <c r="S1182" s="23" t="s">
        <v>6845</v>
      </c>
      <c r="T1182" s="23" t="s">
        <v>4866</v>
      </c>
      <c r="U1182" s="3">
        <v>35</v>
      </c>
      <c r="W1182" s="45" t="str">
        <f>HYPERLINK("http://ictvonline.org/taxonomy/p/taxonomy-history?taxnode_id=201900601","ICTVonline=201900601")</f>
        <v>ICTVonline=201900601</v>
      </c>
      <c r="AA1182" s="1">
        <v>201900000</v>
      </c>
      <c r="AB1182" s="1">
        <v>35</v>
      </c>
    </row>
    <row r="1183" spans="1:28" x14ac:dyDescent="0.2">
      <c r="A1183" s="1">
        <v>3225</v>
      </c>
      <c r="B1183" s="1" t="s">
        <v>6850</v>
      </c>
      <c r="D1183" s="1" t="s">
        <v>6851</v>
      </c>
      <c r="F1183" s="1" t="s">
        <v>6914</v>
      </c>
      <c r="H1183" s="1" t="s">
        <v>6915</v>
      </c>
      <c r="J1183" s="1" t="s">
        <v>1324</v>
      </c>
      <c r="L1183" s="1" t="s">
        <v>894</v>
      </c>
      <c r="M1183" s="1" t="s">
        <v>659</v>
      </c>
      <c r="P1183" s="1" t="s">
        <v>2963</v>
      </c>
      <c r="Q1183" s="3">
        <v>0</v>
      </c>
      <c r="R1183" s="23" t="s">
        <v>6854</v>
      </c>
      <c r="S1183" s="23" t="s">
        <v>6845</v>
      </c>
      <c r="T1183" s="23" t="s">
        <v>4866</v>
      </c>
      <c r="U1183" s="3">
        <v>35</v>
      </c>
      <c r="W1183" s="45" t="str">
        <f>HYPERLINK("http://ictvonline.org/taxonomy/p/taxonomy-history?taxnode_id=201900603","ICTVonline=201900603")</f>
        <v>ICTVonline=201900603</v>
      </c>
      <c r="AA1183" s="1">
        <v>201900000</v>
      </c>
      <c r="AB1183" s="1">
        <v>35</v>
      </c>
    </row>
    <row r="1184" spans="1:28" x14ac:dyDescent="0.2">
      <c r="A1184" s="1">
        <v>3227</v>
      </c>
      <c r="B1184" s="1" t="s">
        <v>6850</v>
      </c>
      <c r="D1184" s="1" t="s">
        <v>6851</v>
      </c>
      <c r="F1184" s="1" t="s">
        <v>6914</v>
      </c>
      <c r="H1184" s="1" t="s">
        <v>6915</v>
      </c>
      <c r="J1184" s="1" t="s">
        <v>1324</v>
      </c>
      <c r="L1184" s="1" t="s">
        <v>894</v>
      </c>
      <c r="M1184" s="1" t="s">
        <v>659</v>
      </c>
      <c r="P1184" s="1" t="s">
        <v>2964</v>
      </c>
      <c r="Q1184" s="3">
        <v>0</v>
      </c>
      <c r="R1184" s="23" t="s">
        <v>6854</v>
      </c>
      <c r="S1184" s="23" t="s">
        <v>6845</v>
      </c>
      <c r="T1184" s="23" t="s">
        <v>4866</v>
      </c>
      <c r="U1184" s="3">
        <v>35</v>
      </c>
      <c r="W1184" s="45" t="str">
        <f>HYPERLINK("http://ictvonline.org/taxonomy/p/taxonomy-history?taxnode_id=201900604","ICTVonline=201900604")</f>
        <v>ICTVonline=201900604</v>
      </c>
      <c r="AA1184" s="1">
        <v>201900000</v>
      </c>
      <c r="AB1184" s="1">
        <v>35</v>
      </c>
    </row>
    <row r="1185" spans="1:28" x14ac:dyDescent="0.2">
      <c r="A1185" s="1">
        <v>3232</v>
      </c>
      <c r="B1185" s="1" t="s">
        <v>6850</v>
      </c>
      <c r="D1185" s="1" t="s">
        <v>6851</v>
      </c>
      <c r="F1185" s="1" t="s">
        <v>6914</v>
      </c>
      <c r="H1185" s="1" t="s">
        <v>6915</v>
      </c>
      <c r="J1185" s="1" t="s">
        <v>1324</v>
      </c>
      <c r="L1185" s="1" t="s">
        <v>894</v>
      </c>
      <c r="M1185" s="1" t="s">
        <v>9085</v>
      </c>
      <c r="N1185" s="1" t="s">
        <v>9086</v>
      </c>
      <c r="P1185" s="1" t="s">
        <v>9087</v>
      </c>
      <c r="Q1185" s="3">
        <v>1</v>
      </c>
      <c r="R1185" s="23" t="s">
        <v>6854</v>
      </c>
      <c r="S1185" s="23" t="s">
        <v>6845</v>
      </c>
      <c r="T1185" s="23" t="s">
        <v>4864</v>
      </c>
      <c r="U1185" s="3">
        <v>35</v>
      </c>
      <c r="V1185" s="3" t="s">
        <v>9088</v>
      </c>
      <c r="W1185" s="45" t="str">
        <f>HYPERLINK("http://ictvonline.org/taxonomy/p/taxonomy-history?taxnode_id=201908003","ICTVonline=201908003")</f>
        <v>ICTVonline=201908003</v>
      </c>
      <c r="Y1185" s="1" t="s">
        <v>9089</v>
      </c>
      <c r="AA1185" s="1">
        <v>201900000</v>
      </c>
      <c r="AB1185" s="1">
        <v>35</v>
      </c>
    </row>
    <row r="1186" spans="1:28" x14ac:dyDescent="0.2">
      <c r="A1186" s="1">
        <v>3234</v>
      </c>
      <c r="B1186" s="1" t="s">
        <v>6850</v>
      </c>
      <c r="D1186" s="1" t="s">
        <v>6851</v>
      </c>
      <c r="F1186" s="1" t="s">
        <v>6914</v>
      </c>
      <c r="H1186" s="1" t="s">
        <v>6915</v>
      </c>
      <c r="J1186" s="1" t="s">
        <v>1324</v>
      </c>
      <c r="L1186" s="1" t="s">
        <v>894</v>
      </c>
      <c r="M1186" s="1" t="s">
        <v>9085</v>
      </c>
      <c r="N1186" s="1" t="s">
        <v>9086</v>
      </c>
      <c r="P1186" s="1" t="s">
        <v>9090</v>
      </c>
      <c r="Q1186" s="3">
        <v>0</v>
      </c>
      <c r="R1186" s="23" t="s">
        <v>6854</v>
      </c>
      <c r="S1186" s="23" t="s">
        <v>6845</v>
      </c>
      <c r="T1186" s="23" t="s">
        <v>4864</v>
      </c>
      <c r="U1186" s="3">
        <v>35</v>
      </c>
      <c r="V1186" s="3" t="s">
        <v>9088</v>
      </c>
      <c r="W1186" s="45" t="str">
        <f>HYPERLINK("http://ictvonline.org/taxonomy/p/taxonomy-history?taxnode_id=201908004","ICTVonline=201908004")</f>
        <v>ICTVonline=201908004</v>
      </c>
      <c r="Y1186" s="1" t="s">
        <v>9091</v>
      </c>
      <c r="AA1186" s="1">
        <v>201900000</v>
      </c>
      <c r="AB1186" s="1">
        <v>35</v>
      </c>
    </row>
    <row r="1187" spans="1:28" x14ac:dyDescent="0.2">
      <c r="A1187" s="1">
        <v>3238</v>
      </c>
      <c r="B1187" s="1" t="s">
        <v>6850</v>
      </c>
      <c r="D1187" s="1" t="s">
        <v>6851</v>
      </c>
      <c r="F1187" s="1" t="s">
        <v>6914</v>
      </c>
      <c r="H1187" s="1" t="s">
        <v>6915</v>
      </c>
      <c r="J1187" s="1" t="s">
        <v>1324</v>
      </c>
      <c r="L1187" s="1" t="s">
        <v>894</v>
      </c>
      <c r="M1187" s="1" t="s">
        <v>9085</v>
      </c>
      <c r="N1187" s="1" t="s">
        <v>6261</v>
      </c>
      <c r="P1187" s="1" t="s">
        <v>9092</v>
      </c>
      <c r="Q1187" s="3">
        <v>0</v>
      </c>
      <c r="R1187" s="23" t="s">
        <v>6854</v>
      </c>
      <c r="S1187" s="23" t="s">
        <v>6849</v>
      </c>
      <c r="T1187" s="23" t="s">
        <v>4864</v>
      </c>
      <c r="U1187" s="3">
        <v>35</v>
      </c>
      <c r="V1187" s="3" t="s">
        <v>9088</v>
      </c>
      <c r="W1187" s="45" t="str">
        <f>HYPERLINK("http://ictvonline.org/taxonomy/p/taxonomy-history?taxnode_id=201908006","ICTVonline=201908006")</f>
        <v>ICTVonline=201908006</v>
      </c>
      <c r="Y1187" s="1" t="s">
        <v>9093</v>
      </c>
      <c r="AA1187" s="1">
        <v>201900000</v>
      </c>
      <c r="AB1187" s="1">
        <v>35</v>
      </c>
    </row>
    <row r="1188" spans="1:28" x14ac:dyDescent="0.2">
      <c r="A1188" s="1">
        <v>3240</v>
      </c>
      <c r="B1188" s="1" t="s">
        <v>6850</v>
      </c>
      <c r="D1188" s="1" t="s">
        <v>6851</v>
      </c>
      <c r="F1188" s="1" t="s">
        <v>6914</v>
      </c>
      <c r="H1188" s="1" t="s">
        <v>6915</v>
      </c>
      <c r="J1188" s="1" t="s">
        <v>1324</v>
      </c>
      <c r="L1188" s="1" t="s">
        <v>894</v>
      </c>
      <c r="M1188" s="1" t="s">
        <v>9085</v>
      </c>
      <c r="N1188" s="1" t="s">
        <v>6261</v>
      </c>
      <c r="P1188" s="1" t="s">
        <v>2957</v>
      </c>
      <c r="Q1188" s="3">
        <v>1</v>
      </c>
      <c r="R1188" s="23" t="s">
        <v>6854</v>
      </c>
      <c r="S1188" s="23" t="s">
        <v>6845</v>
      </c>
      <c r="T1188" s="23" t="s">
        <v>4866</v>
      </c>
      <c r="U1188" s="3">
        <v>35</v>
      </c>
      <c r="W1188" s="45" t="str">
        <f>HYPERLINK("http://ictvonline.org/taxonomy/p/taxonomy-history?taxnode_id=201900595","ICTVonline=201900595")</f>
        <v>ICTVonline=201900595</v>
      </c>
      <c r="AA1188" s="1">
        <v>201900000</v>
      </c>
      <c r="AB1188" s="1">
        <v>35</v>
      </c>
    </row>
    <row r="1189" spans="1:28" x14ac:dyDescent="0.2">
      <c r="A1189" s="1">
        <v>3242</v>
      </c>
      <c r="B1189" s="1" t="s">
        <v>6850</v>
      </c>
      <c r="D1189" s="1" t="s">
        <v>6851</v>
      </c>
      <c r="F1189" s="1" t="s">
        <v>6914</v>
      </c>
      <c r="H1189" s="1" t="s">
        <v>6915</v>
      </c>
      <c r="J1189" s="1" t="s">
        <v>1324</v>
      </c>
      <c r="L1189" s="1" t="s">
        <v>894</v>
      </c>
      <c r="M1189" s="1" t="s">
        <v>9085</v>
      </c>
      <c r="N1189" s="1" t="s">
        <v>6261</v>
      </c>
      <c r="P1189" s="1" t="s">
        <v>9094</v>
      </c>
      <c r="Q1189" s="3">
        <v>0</v>
      </c>
      <c r="R1189" s="23" t="s">
        <v>6854</v>
      </c>
      <c r="S1189" s="23" t="s">
        <v>6849</v>
      </c>
      <c r="T1189" s="23" t="s">
        <v>4864</v>
      </c>
      <c r="U1189" s="3">
        <v>35</v>
      </c>
      <c r="V1189" s="3" t="s">
        <v>9088</v>
      </c>
      <c r="W1189" s="45" t="str">
        <f>HYPERLINK("http://ictvonline.org/taxonomy/p/taxonomy-history?taxnode_id=201908009","ICTVonline=201908009")</f>
        <v>ICTVonline=201908009</v>
      </c>
      <c r="Y1189" s="1" t="s">
        <v>9095</v>
      </c>
      <c r="AA1189" s="1">
        <v>201900000</v>
      </c>
      <c r="AB1189" s="1">
        <v>35</v>
      </c>
    </row>
    <row r="1190" spans="1:28" x14ac:dyDescent="0.2">
      <c r="A1190" s="1">
        <v>3244</v>
      </c>
      <c r="B1190" s="1" t="s">
        <v>6850</v>
      </c>
      <c r="D1190" s="1" t="s">
        <v>6851</v>
      </c>
      <c r="F1190" s="1" t="s">
        <v>6914</v>
      </c>
      <c r="H1190" s="1" t="s">
        <v>6915</v>
      </c>
      <c r="J1190" s="1" t="s">
        <v>1324</v>
      </c>
      <c r="L1190" s="1" t="s">
        <v>894</v>
      </c>
      <c r="M1190" s="1" t="s">
        <v>9085</v>
      </c>
      <c r="N1190" s="1" t="s">
        <v>6261</v>
      </c>
      <c r="P1190" s="1" t="s">
        <v>9096</v>
      </c>
      <c r="Q1190" s="3">
        <v>0</v>
      </c>
      <c r="R1190" s="23" t="s">
        <v>6854</v>
      </c>
      <c r="S1190" s="23" t="s">
        <v>6849</v>
      </c>
      <c r="T1190" s="23" t="s">
        <v>4864</v>
      </c>
      <c r="U1190" s="3">
        <v>35</v>
      </c>
      <c r="V1190" s="3" t="s">
        <v>9088</v>
      </c>
      <c r="W1190" s="45" t="str">
        <f>HYPERLINK("http://ictvonline.org/taxonomy/p/taxonomy-history?taxnode_id=201908015","ICTVonline=201908015")</f>
        <v>ICTVonline=201908015</v>
      </c>
      <c r="Y1190" s="1" t="s">
        <v>9097</v>
      </c>
      <c r="AA1190" s="1">
        <v>201900000</v>
      </c>
      <c r="AB1190" s="1">
        <v>35</v>
      </c>
    </row>
    <row r="1191" spans="1:28" x14ac:dyDescent="0.2">
      <c r="A1191" s="1">
        <v>3246</v>
      </c>
      <c r="B1191" s="1" t="s">
        <v>6850</v>
      </c>
      <c r="D1191" s="1" t="s">
        <v>6851</v>
      </c>
      <c r="F1191" s="1" t="s">
        <v>6914</v>
      </c>
      <c r="H1191" s="1" t="s">
        <v>6915</v>
      </c>
      <c r="J1191" s="1" t="s">
        <v>1324</v>
      </c>
      <c r="L1191" s="1" t="s">
        <v>894</v>
      </c>
      <c r="M1191" s="1" t="s">
        <v>9085</v>
      </c>
      <c r="N1191" s="1" t="s">
        <v>6261</v>
      </c>
      <c r="P1191" s="1" t="s">
        <v>9098</v>
      </c>
      <c r="Q1191" s="3">
        <v>0</v>
      </c>
      <c r="R1191" s="23" t="s">
        <v>6854</v>
      </c>
      <c r="S1191" s="23" t="s">
        <v>6849</v>
      </c>
      <c r="T1191" s="23" t="s">
        <v>4864</v>
      </c>
      <c r="U1191" s="3">
        <v>35</v>
      </c>
      <c r="V1191" s="3" t="s">
        <v>9088</v>
      </c>
      <c r="W1191" s="45" t="str">
        <f>HYPERLINK("http://ictvonline.org/taxonomy/p/taxonomy-history?taxnode_id=201908008","ICTVonline=201908008")</f>
        <v>ICTVonline=201908008</v>
      </c>
      <c r="Y1191" s="1" t="s">
        <v>9099</v>
      </c>
      <c r="AA1191" s="1">
        <v>201900000</v>
      </c>
      <c r="AB1191" s="1">
        <v>35</v>
      </c>
    </row>
    <row r="1192" spans="1:28" x14ac:dyDescent="0.2">
      <c r="A1192" s="1">
        <v>3248</v>
      </c>
      <c r="B1192" s="1" t="s">
        <v>6850</v>
      </c>
      <c r="D1192" s="1" t="s">
        <v>6851</v>
      </c>
      <c r="F1192" s="1" t="s">
        <v>6914</v>
      </c>
      <c r="H1192" s="1" t="s">
        <v>6915</v>
      </c>
      <c r="J1192" s="1" t="s">
        <v>1324</v>
      </c>
      <c r="L1192" s="1" t="s">
        <v>894</v>
      </c>
      <c r="M1192" s="1" t="s">
        <v>9085</v>
      </c>
      <c r="N1192" s="1" t="s">
        <v>6261</v>
      </c>
      <c r="P1192" s="1" t="s">
        <v>9100</v>
      </c>
      <c r="Q1192" s="3">
        <v>0</v>
      </c>
      <c r="R1192" s="23" t="s">
        <v>6854</v>
      </c>
      <c r="S1192" s="23" t="s">
        <v>6849</v>
      </c>
      <c r="T1192" s="23" t="s">
        <v>4864</v>
      </c>
      <c r="U1192" s="3">
        <v>35</v>
      </c>
      <c r="V1192" s="3" t="s">
        <v>9088</v>
      </c>
      <c r="W1192" s="45" t="str">
        <f>HYPERLINK("http://ictvonline.org/taxonomy/p/taxonomy-history?taxnode_id=201908005","ICTVonline=201908005")</f>
        <v>ICTVonline=201908005</v>
      </c>
      <c r="Y1192" s="1" t="s">
        <v>9101</v>
      </c>
      <c r="AA1192" s="1">
        <v>201900000</v>
      </c>
      <c r="AB1192" s="1">
        <v>35</v>
      </c>
    </row>
    <row r="1193" spans="1:28" x14ac:dyDescent="0.2">
      <c r="A1193" s="1">
        <v>3250</v>
      </c>
      <c r="B1193" s="1" t="s">
        <v>6850</v>
      </c>
      <c r="D1193" s="1" t="s">
        <v>6851</v>
      </c>
      <c r="F1193" s="1" t="s">
        <v>6914</v>
      </c>
      <c r="H1193" s="1" t="s">
        <v>6915</v>
      </c>
      <c r="J1193" s="1" t="s">
        <v>1324</v>
      </c>
      <c r="L1193" s="1" t="s">
        <v>894</v>
      </c>
      <c r="M1193" s="1" t="s">
        <v>9085</v>
      </c>
      <c r="N1193" s="1" t="s">
        <v>6261</v>
      </c>
      <c r="P1193" s="1" t="s">
        <v>9102</v>
      </c>
      <c r="Q1193" s="3">
        <v>0</v>
      </c>
      <c r="R1193" s="23" t="s">
        <v>6854</v>
      </c>
      <c r="S1193" s="23" t="s">
        <v>6849</v>
      </c>
      <c r="T1193" s="23" t="s">
        <v>4864</v>
      </c>
      <c r="U1193" s="3">
        <v>35</v>
      </c>
      <c r="V1193" s="3" t="s">
        <v>9088</v>
      </c>
      <c r="W1193" s="45" t="str">
        <f>HYPERLINK("http://ictvonline.org/taxonomy/p/taxonomy-history?taxnode_id=201908011","ICTVonline=201908011")</f>
        <v>ICTVonline=201908011</v>
      </c>
      <c r="Y1193" s="1" t="s">
        <v>9103</v>
      </c>
      <c r="AA1193" s="1">
        <v>201900000</v>
      </c>
      <c r="AB1193" s="1">
        <v>35</v>
      </c>
    </row>
    <row r="1194" spans="1:28" x14ac:dyDescent="0.2">
      <c r="A1194" s="1">
        <v>3252</v>
      </c>
      <c r="B1194" s="1" t="s">
        <v>6850</v>
      </c>
      <c r="D1194" s="1" t="s">
        <v>6851</v>
      </c>
      <c r="F1194" s="1" t="s">
        <v>6914</v>
      </c>
      <c r="H1194" s="1" t="s">
        <v>6915</v>
      </c>
      <c r="J1194" s="1" t="s">
        <v>1324</v>
      </c>
      <c r="L1194" s="1" t="s">
        <v>894</v>
      </c>
      <c r="M1194" s="1" t="s">
        <v>9085</v>
      </c>
      <c r="N1194" s="1" t="s">
        <v>6261</v>
      </c>
      <c r="P1194" s="1" t="s">
        <v>9104</v>
      </c>
      <c r="Q1194" s="3">
        <v>0</v>
      </c>
      <c r="R1194" s="23" t="s">
        <v>6854</v>
      </c>
      <c r="S1194" s="23" t="s">
        <v>6849</v>
      </c>
      <c r="T1194" s="23" t="s">
        <v>4864</v>
      </c>
      <c r="U1194" s="3">
        <v>35</v>
      </c>
      <c r="V1194" s="3" t="s">
        <v>9088</v>
      </c>
      <c r="W1194" s="45" t="str">
        <f>HYPERLINK("http://ictvonline.org/taxonomy/p/taxonomy-history?taxnode_id=201908013","ICTVonline=201908013")</f>
        <v>ICTVonline=201908013</v>
      </c>
      <c r="Y1194" s="1" t="s">
        <v>9105</v>
      </c>
      <c r="AA1194" s="1">
        <v>201900000</v>
      </c>
      <c r="AB1194" s="1">
        <v>35</v>
      </c>
    </row>
    <row r="1195" spans="1:28" x14ac:dyDescent="0.2">
      <c r="A1195" s="1">
        <v>3254</v>
      </c>
      <c r="B1195" s="1" t="s">
        <v>6850</v>
      </c>
      <c r="D1195" s="1" t="s">
        <v>6851</v>
      </c>
      <c r="F1195" s="1" t="s">
        <v>6914</v>
      </c>
      <c r="H1195" s="1" t="s">
        <v>6915</v>
      </c>
      <c r="J1195" s="1" t="s">
        <v>1324</v>
      </c>
      <c r="L1195" s="1" t="s">
        <v>894</v>
      </c>
      <c r="M1195" s="1" t="s">
        <v>9085</v>
      </c>
      <c r="N1195" s="1" t="s">
        <v>6261</v>
      </c>
      <c r="P1195" s="1" t="s">
        <v>9106</v>
      </c>
      <c r="Q1195" s="3">
        <v>0</v>
      </c>
      <c r="R1195" s="23" t="s">
        <v>6854</v>
      </c>
      <c r="S1195" s="23" t="s">
        <v>6849</v>
      </c>
      <c r="T1195" s="23" t="s">
        <v>4864</v>
      </c>
      <c r="U1195" s="3">
        <v>35</v>
      </c>
      <c r="V1195" s="3" t="s">
        <v>9088</v>
      </c>
      <c r="W1195" s="45" t="str">
        <f>HYPERLINK("http://ictvonline.org/taxonomy/p/taxonomy-history?taxnode_id=201908007","ICTVonline=201908007")</f>
        <v>ICTVonline=201908007</v>
      </c>
      <c r="Y1195" s="1" t="s">
        <v>9107</v>
      </c>
      <c r="AA1195" s="1">
        <v>201900000</v>
      </c>
      <c r="AB1195" s="1">
        <v>35</v>
      </c>
    </row>
    <row r="1196" spans="1:28" x14ac:dyDescent="0.2">
      <c r="A1196" s="1">
        <v>3256</v>
      </c>
      <c r="B1196" s="1" t="s">
        <v>6850</v>
      </c>
      <c r="D1196" s="1" t="s">
        <v>6851</v>
      </c>
      <c r="F1196" s="1" t="s">
        <v>6914</v>
      </c>
      <c r="H1196" s="1" t="s">
        <v>6915</v>
      </c>
      <c r="J1196" s="1" t="s">
        <v>1324</v>
      </c>
      <c r="L1196" s="1" t="s">
        <v>894</v>
      </c>
      <c r="M1196" s="1" t="s">
        <v>9085</v>
      </c>
      <c r="N1196" s="1" t="s">
        <v>6261</v>
      </c>
      <c r="P1196" s="1" t="s">
        <v>9108</v>
      </c>
      <c r="Q1196" s="3">
        <v>0</v>
      </c>
      <c r="R1196" s="23" t="s">
        <v>6854</v>
      </c>
      <c r="S1196" s="23" t="s">
        <v>6849</v>
      </c>
      <c r="T1196" s="23" t="s">
        <v>4864</v>
      </c>
      <c r="U1196" s="3">
        <v>35</v>
      </c>
      <c r="V1196" s="3" t="s">
        <v>9088</v>
      </c>
      <c r="W1196" s="45" t="str">
        <f>HYPERLINK("http://ictvonline.org/taxonomy/p/taxonomy-history?taxnode_id=201908012","ICTVonline=201908012")</f>
        <v>ICTVonline=201908012</v>
      </c>
      <c r="Y1196" s="1" t="s">
        <v>9109</v>
      </c>
      <c r="AA1196" s="1">
        <v>201900000</v>
      </c>
      <c r="AB1196" s="1">
        <v>35</v>
      </c>
    </row>
    <row r="1197" spans="1:28" x14ac:dyDescent="0.2">
      <c r="A1197" s="1">
        <v>3258</v>
      </c>
      <c r="B1197" s="1" t="s">
        <v>6850</v>
      </c>
      <c r="D1197" s="1" t="s">
        <v>6851</v>
      </c>
      <c r="F1197" s="1" t="s">
        <v>6914</v>
      </c>
      <c r="H1197" s="1" t="s">
        <v>6915</v>
      </c>
      <c r="J1197" s="1" t="s">
        <v>1324</v>
      </c>
      <c r="L1197" s="1" t="s">
        <v>894</v>
      </c>
      <c r="M1197" s="1" t="s">
        <v>9085</v>
      </c>
      <c r="N1197" s="1" t="s">
        <v>6261</v>
      </c>
      <c r="P1197" s="1" t="s">
        <v>9110</v>
      </c>
      <c r="Q1197" s="3">
        <v>0</v>
      </c>
      <c r="R1197" s="23" t="s">
        <v>6854</v>
      </c>
      <c r="S1197" s="23" t="s">
        <v>6849</v>
      </c>
      <c r="T1197" s="23" t="s">
        <v>4864</v>
      </c>
      <c r="U1197" s="3">
        <v>35</v>
      </c>
      <c r="V1197" s="3" t="s">
        <v>9088</v>
      </c>
      <c r="W1197" s="45" t="str">
        <f>HYPERLINK("http://ictvonline.org/taxonomy/p/taxonomy-history?taxnode_id=201908010","ICTVonline=201908010")</f>
        <v>ICTVonline=201908010</v>
      </c>
      <c r="Y1197" s="1" t="s">
        <v>9111</v>
      </c>
      <c r="AA1197" s="1">
        <v>201900000</v>
      </c>
      <c r="AB1197" s="1">
        <v>35</v>
      </c>
    </row>
    <row r="1198" spans="1:28" x14ac:dyDescent="0.2">
      <c r="A1198" s="1">
        <v>3260</v>
      </c>
      <c r="B1198" s="1" t="s">
        <v>6850</v>
      </c>
      <c r="D1198" s="1" t="s">
        <v>6851</v>
      </c>
      <c r="F1198" s="1" t="s">
        <v>6914</v>
      </c>
      <c r="H1198" s="1" t="s">
        <v>6915</v>
      </c>
      <c r="J1198" s="1" t="s">
        <v>1324</v>
      </c>
      <c r="L1198" s="1" t="s">
        <v>894</v>
      </c>
      <c r="M1198" s="1" t="s">
        <v>9085</v>
      </c>
      <c r="N1198" s="1" t="s">
        <v>6261</v>
      </c>
      <c r="P1198" s="1" t="s">
        <v>9112</v>
      </c>
      <c r="Q1198" s="3">
        <v>0</v>
      </c>
      <c r="R1198" s="23" t="s">
        <v>6854</v>
      </c>
      <c r="S1198" s="23" t="s">
        <v>6849</v>
      </c>
      <c r="T1198" s="23" t="s">
        <v>4864</v>
      </c>
      <c r="U1198" s="3">
        <v>35</v>
      </c>
      <c r="V1198" s="3" t="s">
        <v>9088</v>
      </c>
      <c r="W1198" s="45" t="str">
        <f>HYPERLINK("http://ictvonline.org/taxonomy/p/taxonomy-history?taxnode_id=201908014","ICTVonline=201908014")</f>
        <v>ICTVonline=201908014</v>
      </c>
      <c r="Y1198" s="1" t="s">
        <v>9113</v>
      </c>
      <c r="AA1198" s="1">
        <v>201900000</v>
      </c>
      <c r="AB1198" s="1">
        <v>35</v>
      </c>
    </row>
    <row r="1199" spans="1:28" x14ac:dyDescent="0.2">
      <c r="A1199" s="1">
        <v>3266</v>
      </c>
      <c r="B1199" s="1" t="s">
        <v>6850</v>
      </c>
      <c r="D1199" s="1" t="s">
        <v>6851</v>
      </c>
      <c r="F1199" s="1" t="s">
        <v>6914</v>
      </c>
      <c r="H1199" s="1" t="s">
        <v>6915</v>
      </c>
      <c r="J1199" s="1" t="s">
        <v>1324</v>
      </c>
      <c r="L1199" s="1" t="s">
        <v>894</v>
      </c>
      <c r="M1199" s="1" t="s">
        <v>4225</v>
      </c>
      <c r="N1199" s="1" t="s">
        <v>6263</v>
      </c>
      <c r="P1199" s="1" t="s">
        <v>4231</v>
      </c>
      <c r="Q1199" s="3">
        <v>0</v>
      </c>
      <c r="R1199" s="23" t="s">
        <v>6854</v>
      </c>
      <c r="S1199" s="23" t="s">
        <v>6845</v>
      </c>
      <c r="T1199" s="23" t="s">
        <v>4866</v>
      </c>
      <c r="U1199" s="3">
        <v>35</v>
      </c>
      <c r="W1199" s="45" t="str">
        <f>HYPERLINK("http://ictvonline.org/taxonomy/p/taxonomy-history?taxnode_id=201900613","ICTVonline=201900613")</f>
        <v>ICTVonline=201900613</v>
      </c>
      <c r="Y1199" s="1" t="s">
        <v>9114</v>
      </c>
      <c r="Z1199" s="1" t="s">
        <v>9115</v>
      </c>
      <c r="AA1199" s="1">
        <v>201900000</v>
      </c>
      <c r="AB1199" s="1">
        <v>35</v>
      </c>
    </row>
    <row r="1200" spans="1:28" x14ac:dyDescent="0.2">
      <c r="A1200" s="1">
        <v>3268</v>
      </c>
      <c r="B1200" s="1" t="s">
        <v>6850</v>
      </c>
      <c r="D1200" s="1" t="s">
        <v>6851</v>
      </c>
      <c r="F1200" s="1" t="s">
        <v>6914</v>
      </c>
      <c r="H1200" s="1" t="s">
        <v>6915</v>
      </c>
      <c r="J1200" s="1" t="s">
        <v>1324</v>
      </c>
      <c r="L1200" s="1" t="s">
        <v>894</v>
      </c>
      <c r="M1200" s="1" t="s">
        <v>4225</v>
      </c>
      <c r="N1200" s="1" t="s">
        <v>6263</v>
      </c>
      <c r="P1200" s="1" t="s">
        <v>4232</v>
      </c>
      <c r="Q1200" s="3">
        <v>1</v>
      </c>
      <c r="R1200" s="23" t="s">
        <v>6854</v>
      </c>
      <c r="S1200" s="23" t="s">
        <v>6845</v>
      </c>
      <c r="T1200" s="23" t="s">
        <v>4866</v>
      </c>
      <c r="U1200" s="3">
        <v>35</v>
      </c>
      <c r="W1200" s="45" t="str">
        <f>HYPERLINK("http://ictvonline.org/taxonomy/p/taxonomy-history?taxnode_id=201900614","ICTVonline=201900614")</f>
        <v>ICTVonline=201900614</v>
      </c>
      <c r="Y1200" s="1" t="s">
        <v>9116</v>
      </c>
      <c r="Z1200" s="1" t="s">
        <v>9117</v>
      </c>
      <c r="AA1200" s="1">
        <v>201900000</v>
      </c>
      <c r="AB1200" s="1">
        <v>35</v>
      </c>
    </row>
    <row r="1201" spans="1:28" x14ac:dyDescent="0.2">
      <c r="A1201" s="1">
        <v>3272</v>
      </c>
      <c r="B1201" s="1" t="s">
        <v>6850</v>
      </c>
      <c r="D1201" s="1" t="s">
        <v>6851</v>
      </c>
      <c r="F1201" s="1" t="s">
        <v>6914</v>
      </c>
      <c r="H1201" s="1" t="s">
        <v>6915</v>
      </c>
      <c r="J1201" s="1" t="s">
        <v>1324</v>
      </c>
      <c r="L1201" s="1" t="s">
        <v>894</v>
      </c>
      <c r="M1201" s="1" t="s">
        <v>4225</v>
      </c>
      <c r="N1201" s="1" t="s">
        <v>6264</v>
      </c>
      <c r="P1201" s="1" t="s">
        <v>4233</v>
      </c>
      <c r="Q1201" s="3">
        <v>0</v>
      </c>
      <c r="R1201" s="23" t="s">
        <v>6854</v>
      </c>
      <c r="S1201" s="23" t="s">
        <v>6845</v>
      </c>
      <c r="T1201" s="23" t="s">
        <v>4866</v>
      </c>
      <c r="U1201" s="3">
        <v>35</v>
      </c>
      <c r="W1201" s="45" t="str">
        <f>HYPERLINK("http://ictvonline.org/taxonomy/p/taxonomy-history?taxnode_id=201900616","ICTVonline=201900616")</f>
        <v>ICTVonline=201900616</v>
      </c>
      <c r="Y1201" s="1" t="s">
        <v>9118</v>
      </c>
      <c r="Z1201" s="1" t="s">
        <v>9119</v>
      </c>
      <c r="AA1201" s="1">
        <v>201900000</v>
      </c>
      <c r="AB1201" s="1">
        <v>35</v>
      </c>
    </row>
    <row r="1202" spans="1:28" x14ac:dyDescent="0.2">
      <c r="A1202" s="1">
        <v>3274</v>
      </c>
      <c r="B1202" s="1" t="s">
        <v>6850</v>
      </c>
      <c r="D1202" s="1" t="s">
        <v>6851</v>
      </c>
      <c r="F1202" s="1" t="s">
        <v>6914</v>
      </c>
      <c r="H1202" s="1" t="s">
        <v>6915</v>
      </c>
      <c r="J1202" s="1" t="s">
        <v>1324</v>
      </c>
      <c r="L1202" s="1" t="s">
        <v>894</v>
      </c>
      <c r="M1202" s="1" t="s">
        <v>4225</v>
      </c>
      <c r="N1202" s="1" t="s">
        <v>6264</v>
      </c>
      <c r="P1202" s="1" t="s">
        <v>4234</v>
      </c>
      <c r="Q1202" s="3">
        <v>0</v>
      </c>
      <c r="R1202" s="23" t="s">
        <v>6854</v>
      </c>
      <c r="S1202" s="23" t="s">
        <v>6845</v>
      </c>
      <c r="T1202" s="23" t="s">
        <v>4866</v>
      </c>
      <c r="U1202" s="3">
        <v>35</v>
      </c>
      <c r="W1202" s="45" t="str">
        <f>HYPERLINK("http://ictvonline.org/taxonomy/p/taxonomy-history?taxnode_id=201900617","ICTVonline=201900617")</f>
        <v>ICTVonline=201900617</v>
      </c>
      <c r="Y1202" s="1" t="s">
        <v>9120</v>
      </c>
      <c r="Z1202" s="1" t="s">
        <v>9121</v>
      </c>
      <c r="AA1202" s="1">
        <v>201900000</v>
      </c>
      <c r="AB1202" s="1">
        <v>35</v>
      </c>
    </row>
    <row r="1203" spans="1:28" x14ac:dyDescent="0.2">
      <c r="A1203" s="1">
        <v>3276</v>
      </c>
      <c r="B1203" s="1" t="s">
        <v>6850</v>
      </c>
      <c r="D1203" s="1" t="s">
        <v>6851</v>
      </c>
      <c r="F1203" s="1" t="s">
        <v>6914</v>
      </c>
      <c r="H1203" s="1" t="s">
        <v>6915</v>
      </c>
      <c r="J1203" s="1" t="s">
        <v>1324</v>
      </c>
      <c r="L1203" s="1" t="s">
        <v>894</v>
      </c>
      <c r="M1203" s="1" t="s">
        <v>4225</v>
      </c>
      <c r="N1203" s="1" t="s">
        <v>6264</v>
      </c>
      <c r="P1203" s="1" t="s">
        <v>4235</v>
      </c>
      <c r="Q1203" s="3">
        <v>1</v>
      </c>
      <c r="R1203" s="23" t="s">
        <v>6854</v>
      </c>
      <c r="S1203" s="23" t="s">
        <v>6845</v>
      </c>
      <c r="T1203" s="23" t="s">
        <v>4866</v>
      </c>
      <c r="U1203" s="3">
        <v>35</v>
      </c>
      <c r="W1203" s="45" t="str">
        <f>HYPERLINK("http://ictvonline.org/taxonomy/p/taxonomy-history?taxnode_id=201900618","ICTVonline=201900618")</f>
        <v>ICTVonline=201900618</v>
      </c>
      <c r="Y1203" s="1" t="s">
        <v>9122</v>
      </c>
      <c r="Z1203" s="1" t="s">
        <v>9123</v>
      </c>
      <c r="AA1203" s="1">
        <v>201900000</v>
      </c>
      <c r="AB1203" s="1">
        <v>35</v>
      </c>
    </row>
    <row r="1204" spans="1:28" x14ac:dyDescent="0.2">
      <c r="A1204" s="1">
        <v>3278</v>
      </c>
      <c r="B1204" s="1" t="s">
        <v>6850</v>
      </c>
      <c r="D1204" s="1" t="s">
        <v>6851</v>
      </c>
      <c r="F1204" s="1" t="s">
        <v>6914</v>
      </c>
      <c r="H1204" s="1" t="s">
        <v>6915</v>
      </c>
      <c r="J1204" s="1" t="s">
        <v>1324</v>
      </c>
      <c r="L1204" s="1" t="s">
        <v>894</v>
      </c>
      <c r="M1204" s="1" t="s">
        <v>4225</v>
      </c>
      <c r="N1204" s="1" t="s">
        <v>6264</v>
      </c>
      <c r="P1204" s="1" t="s">
        <v>4236</v>
      </c>
      <c r="Q1204" s="3">
        <v>0</v>
      </c>
      <c r="R1204" s="23" t="s">
        <v>6854</v>
      </c>
      <c r="S1204" s="23" t="s">
        <v>6845</v>
      </c>
      <c r="T1204" s="23" t="s">
        <v>4866</v>
      </c>
      <c r="U1204" s="3">
        <v>35</v>
      </c>
      <c r="W1204" s="45" t="str">
        <f>HYPERLINK("http://ictvonline.org/taxonomy/p/taxonomy-history?taxnode_id=201900619","ICTVonline=201900619")</f>
        <v>ICTVonline=201900619</v>
      </c>
      <c r="Y1204" s="1" t="s">
        <v>9124</v>
      </c>
      <c r="Z1204" s="1" t="s">
        <v>9125</v>
      </c>
      <c r="AA1204" s="1">
        <v>201900000</v>
      </c>
      <c r="AB1204" s="1">
        <v>35</v>
      </c>
    </row>
    <row r="1205" spans="1:28" x14ac:dyDescent="0.2">
      <c r="A1205" s="1">
        <v>3282</v>
      </c>
      <c r="B1205" s="1" t="s">
        <v>6850</v>
      </c>
      <c r="D1205" s="1" t="s">
        <v>6851</v>
      </c>
      <c r="F1205" s="1" t="s">
        <v>6914</v>
      </c>
      <c r="H1205" s="1" t="s">
        <v>6915</v>
      </c>
      <c r="J1205" s="1" t="s">
        <v>1324</v>
      </c>
      <c r="L1205" s="1" t="s">
        <v>894</v>
      </c>
      <c r="M1205" s="1" t="s">
        <v>4225</v>
      </c>
      <c r="N1205" s="1" t="s">
        <v>6265</v>
      </c>
      <c r="P1205" s="1" t="s">
        <v>4226</v>
      </c>
      <c r="Q1205" s="3">
        <v>0</v>
      </c>
      <c r="R1205" s="23" t="s">
        <v>6854</v>
      </c>
      <c r="S1205" s="23" t="s">
        <v>6845</v>
      </c>
      <c r="T1205" s="23" t="s">
        <v>4866</v>
      </c>
      <c r="U1205" s="3">
        <v>35</v>
      </c>
      <c r="W1205" s="45" t="str">
        <f>HYPERLINK("http://ictvonline.org/taxonomy/p/taxonomy-history?taxnode_id=201900607","ICTVonline=201900607")</f>
        <v>ICTVonline=201900607</v>
      </c>
      <c r="Y1205" s="1" t="s">
        <v>9126</v>
      </c>
      <c r="Z1205" s="1" t="s">
        <v>9127</v>
      </c>
      <c r="AA1205" s="1">
        <v>201900000</v>
      </c>
      <c r="AB1205" s="1">
        <v>35</v>
      </c>
    </row>
    <row r="1206" spans="1:28" x14ac:dyDescent="0.2">
      <c r="A1206" s="1">
        <v>3284</v>
      </c>
      <c r="B1206" s="1" t="s">
        <v>6850</v>
      </c>
      <c r="D1206" s="1" t="s">
        <v>6851</v>
      </c>
      <c r="F1206" s="1" t="s">
        <v>6914</v>
      </c>
      <c r="H1206" s="1" t="s">
        <v>6915</v>
      </c>
      <c r="J1206" s="1" t="s">
        <v>1324</v>
      </c>
      <c r="L1206" s="1" t="s">
        <v>894</v>
      </c>
      <c r="M1206" s="1" t="s">
        <v>4225</v>
      </c>
      <c r="N1206" s="1" t="s">
        <v>6265</v>
      </c>
      <c r="P1206" s="1" t="s">
        <v>4227</v>
      </c>
      <c r="Q1206" s="3">
        <v>1</v>
      </c>
      <c r="R1206" s="23" t="s">
        <v>6854</v>
      </c>
      <c r="S1206" s="23" t="s">
        <v>6845</v>
      </c>
      <c r="T1206" s="23" t="s">
        <v>4866</v>
      </c>
      <c r="U1206" s="3">
        <v>35</v>
      </c>
      <c r="W1206" s="45" t="str">
        <f>HYPERLINK("http://ictvonline.org/taxonomy/p/taxonomy-history?taxnode_id=201900608","ICTVonline=201900608")</f>
        <v>ICTVonline=201900608</v>
      </c>
      <c r="Y1206" s="1" t="s">
        <v>9128</v>
      </c>
      <c r="Z1206" s="1" t="s">
        <v>9129</v>
      </c>
      <c r="AA1206" s="1">
        <v>201900000</v>
      </c>
      <c r="AB1206" s="1">
        <v>35</v>
      </c>
    </row>
    <row r="1207" spans="1:28" x14ac:dyDescent="0.2">
      <c r="A1207" s="1">
        <v>3286</v>
      </c>
      <c r="B1207" s="1" t="s">
        <v>6850</v>
      </c>
      <c r="D1207" s="1" t="s">
        <v>6851</v>
      </c>
      <c r="F1207" s="1" t="s">
        <v>6914</v>
      </c>
      <c r="H1207" s="1" t="s">
        <v>6915</v>
      </c>
      <c r="J1207" s="1" t="s">
        <v>1324</v>
      </c>
      <c r="L1207" s="1" t="s">
        <v>894</v>
      </c>
      <c r="M1207" s="1" t="s">
        <v>4225</v>
      </c>
      <c r="N1207" s="1" t="s">
        <v>6265</v>
      </c>
      <c r="P1207" s="1" t="s">
        <v>4228</v>
      </c>
      <c r="Q1207" s="3">
        <v>0</v>
      </c>
      <c r="R1207" s="23" t="s">
        <v>6854</v>
      </c>
      <c r="S1207" s="23" t="s">
        <v>6845</v>
      </c>
      <c r="T1207" s="23" t="s">
        <v>4866</v>
      </c>
      <c r="U1207" s="3">
        <v>35</v>
      </c>
      <c r="W1207" s="45" t="str">
        <f>HYPERLINK("http://ictvonline.org/taxonomy/p/taxonomy-history?taxnode_id=201900609","ICTVonline=201900609")</f>
        <v>ICTVonline=201900609</v>
      </c>
      <c r="Y1207" s="1" t="s">
        <v>9130</v>
      </c>
      <c r="Z1207" s="1" t="s">
        <v>9131</v>
      </c>
      <c r="AA1207" s="1">
        <v>201900000</v>
      </c>
      <c r="AB1207" s="1">
        <v>35</v>
      </c>
    </row>
    <row r="1208" spans="1:28" x14ac:dyDescent="0.2">
      <c r="A1208" s="1">
        <v>3288</v>
      </c>
      <c r="B1208" s="1" t="s">
        <v>6850</v>
      </c>
      <c r="D1208" s="1" t="s">
        <v>6851</v>
      </c>
      <c r="F1208" s="1" t="s">
        <v>6914</v>
      </c>
      <c r="H1208" s="1" t="s">
        <v>6915</v>
      </c>
      <c r="J1208" s="1" t="s">
        <v>1324</v>
      </c>
      <c r="L1208" s="1" t="s">
        <v>894</v>
      </c>
      <c r="M1208" s="1" t="s">
        <v>4225</v>
      </c>
      <c r="N1208" s="1" t="s">
        <v>6265</v>
      </c>
      <c r="P1208" s="1" t="s">
        <v>4229</v>
      </c>
      <c r="Q1208" s="3">
        <v>0</v>
      </c>
      <c r="R1208" s="23" t="s">
        <v>6854</v>
      </c>
      <c r="S1208" s="23" t="s">
        <v>6845</v>
      </c>
      <c r="T1208" s="23" t="s">
        <v>4866</v>
      </c>
      <c r="U1208" s="3">
        <v>35</v>
      </c>
      <c r="W1208" s="45" t="str">
        <f>HYPERLINK("http://ictvonline.org/taxonomy/p/taxonomy-history?taxnode_id=201900610","ICTVonline=201900610")</f>
        <v>ICTVonline=201900610</v>
      </c>
      <c r="Y1208" s="1" t="s">
        <v>9132</v>
      </c>
      <c r="Z1208" s="1" t="s">
        <v>9133</v>
      </c>
      <c r="AA1208" s="1">
        <v>201900000</v>
      </c>
      <c r="AB1208" s="1">
        <v>35</v>
      </c>
    </row>
    <row r="1209" spans="1:28" x14ac:dyDescent="0.2">
      <c r="A1209" s="1">
        <v>3290</v>
      </c>
      <c r="B1209" s="1" t="s">
        <v>6850</v>
      </c>
      <c r="D1209" s="1" t="s">
        <v>6851</v>
      </c>
      <c r="F1209" s="1" t="s">
        <v>6914</v>
      </c>
      <c r="H1209" s="1" t="s">
        <v>6915</v>
      </c>
      <c r="J1209" s="1" t="s">
        <v>1324</v>
      </c>
      <c r="L1209" s="1" t="s">
        <v>894</v>
      </c>
      <c r="M1209" s="1" t="s">
        <v>4225</v>
      </c>
      <c r="N1209" s="1" t="s">
        <v>6265</v>
      </c>
      <c r="P1209" s="1" t="s">
        <v>4230</v>
      </c>
      <c r="Q1209" s="3">
        <v>0</v>
      </c>
      <c r="R1209" s="23" t="s">
        <v>6854</v>
      </c>
      <c r="S1209" s="23" t="s">
        <v>6845</v>
      </c>
      <c r="T1209" s="23" t="s">
        <v>4866</v>
      </c>
      <c r="U1209" s="3">
        <v>35</v>
      </c>
      <c r="W1209" s="45" t="str">
        <f>HYPERLINK("http://ictvonline.org/taxonomy/p/taxonomy-history?taxnode_id=201900611","ICTVonline=201900611")</f>
        <v>ICTVonline=201900611</v>
      </c>
      <c r="Y1209" s="1" t="s">
        <v>9134</v>
      </c>
      <c r="Z1209" s="1" t="s">
        <v>9135</v>
      </c>
      <c r="AA1209" s="1">
        <v>201900000</v>
      </c>
      <c r="AB1209" s="1">
        <v>35</v>
      </c>
    </row>
    <row r="1210" spans="1:28" x14ac:dyDescent="0.2">
      <c r="A1210" s="1">
        <v>3295</v>
      </c>
      <c r="B1210" s="1" t="s">
        <v>6850</v>
      </c>
      <c r="D1210" s="1" t="s">
        <v>6851</v>
      </c>
      <c r="F1210" s="1" t="s">
        <v>6914</v>
      </c>
      <c r="H1210" s="1" t="s">
        <v>6915</v>
      </c>
      <c r="J1210" s="1" t="s">
        <v>1324</v>
      </c>
      <c r="L1210" s="1" t="s">
        <v>894</v>
      </c>
      <c r="N1210" s="1" t="s">
        <v>6268</v>
      </c>
      <c r="P1210" s="1" t="s">
        <v>4949</v>
      </c>
      <c r="Q1210" s="3">
        <v>1</v>
      </c>
      <c r="R1210" s="23" t="s">
        <v>6854</v>
      </c>
      <c r="S1210" s="23" t="s">
        <v>6845</v>
      </c>
      <c r="T1210" s="23" t="s">
        <v>4866</v>
      </c>
      <c r="U1210" s="3">
        <v>35</v>
      </c>
      <c r="W1210" s="45" t="str">
        <f>HYPERLINK("http://ictvonline.org/taxonomy/p/taxonomy-history?taxnode_id=201905488","ICTVonline=201905488")</f>
        <v>ICTVonline=201905488</v>
      </c>
      <c r="AA1210" s="1">
        <v>201900000</v>
      </c>
      <c r="AB1210" s="1">
        <v>35</v>
      </c>
    </row>
    <row r="1211" spans="1:28" x14ac:dyDescent="0.2">
      <c r="A1211" s="1">
        <v>3299</v>
      </c>
      <c r="B1211" s="1" t="s">
        <v>6850</v>
      </c>
      <c r="D1211" s="1" t="s">
        <v>6851</v>
      </c>
      <c r="F1211" s="1" t="s">
        <v>6914</v>
      </c>
      <c r="H1211" s="1" t="s">
        <v>6915</v>
      </c>
      <c r="J1211" s="1" t="s">
        <v>1324</v>
      </c>
      <c r="L1211" s="1" t="s">
        <v>894</v>
      </c>
      <c r="N1211" s="1" t="s">
        <v>6272</v>
      </c>
      <c r="P1211" s="1" t="s">
        <v>6273</v>
      </c>
      <c r="Q1211" s="3">
        <v>1</v>
      </c>
      <c r="R1211" s="23" t="s">
        <v>6854</v>
      </c>
      <c r="S1211" s="23" t="s">
        <v>6845</v>
      </c>
      <c r="T1211" s="23" t="s">
        <v>4866</v>
      </c>
      <c r="U1211" s="3">
        <v>35</v>
      </c>
      <c r="W1211" s="45" t="str">
        <f>HYPERLINK("http://ictvonline.org/taxonomy/p/taxonomy-history?taxnode_id=201906806","ICTVonline=201906806")</f>
        <v>ICTVonline=201906806</v>
      </c>
      <c r="Y1211" s="1" t="s">
        <v>9136</v>
      </c>
      <c r="Z1211" s="1" t="s">
        <v>9137</v>
      </c>
      <c r="AA1211" s="1">
        <v>201900000</v>
      </c>
      <c r="AB1211" s="1">
        <v>35</v>
      </c>
    </row>
    <row r="1212" spans="1:28" x14ac:dyDescent="0.2">
      <c r="A1212" s="1">
        <v>3303</v>
      </c>
      <c r="B1212" s="1" t="s">
        <v>6850</v>
      </c>
      <c r="D1212" s="1" t="s">
        <v>6851</v>
      </c>
      <c r="F1212" s="1" t="s">
        <v>6914</v>
      </c>
      <c r="H1212" s="1" t="s">
        <v>6915</v>
      </c>
      <c r="J1212" s="1" t="s">
        <v>1324</v>
      </c>
      <c r="L1212" s="1" t="s">
        <v>894</v>
      </c>
      <c r="N1212" s="1" t="s">
        <v>6274</v>
      </c>
      <c r="P1212" s="1" t="s">
        <v>2991</v>
      </c>
      <c r="Q1212" s="3">
        <v>0</v>
      </c>
      <c r="R1212" s="23" t="s">
        <v>6854</v>
      </c>
      <c r="S1212" s="23" t="s">
        <v>6845</v>
      </c>
      <c r="T1212" s="23" t="s">
        <v>4866</v>
      </c>
      <c r="U1212" s="3">
        <v>35</v>
      </c>
      <c r="W1212" s="45" t="str">
        <f>HYPERLINK("http://ictvonline.org/taxonomy/p/taxonomy-history?taxnode_id=201900661","ICTVonline=201900661")</f>
        <v>ICTVonline=201900661</v>
      </c>
      <c r="Y1212" s="1" t="s">
        <v>9138</v>
      </c>
      <c r="Z1212" s="1" t="s">
        <v>9139</v>
      </c>
      <c r="AA1212" s="1">
        <v>201900000</v>
      </c>
      <c r="AB1212" s="1">
        <v>35</v>
      </c>
    </row>
    <row r="1213" spans="1:28" x14ac:dyDescent="0.2">
      <c r="A1213" s="1">
        <v>3305</v>
      </c>
      <c r="B1213" s="1" t="s">
        <v>6850</v>
      </c>
      <c r="D1213" s="1" t="s">
        <v>6851</v>
      </c>
      <c r="F1213" s="1" t="s">
        <v>6914</v>
      </c>
      <c r="H1213" s="1" t="s">
        <v>6915</v>
      </c>
      <c r="J1213" s="1" t="s">
        <v>1324</v>
      </c>
      <c r="L1213" s="1" t="s">
        <v>894</v>
      </c>
      <c r="N1213" s="1" t="s">
        <v>6274</v>
      </c>
      <c r="P1213" s="1" t="s">
        <v>2992</v>
      </c>
      <c r="Q1213" s="3">
        <v>0</v>
      </c>
      <c r="R1213" s="23" t="s">
        <v>6854</v>
      </c>
      <c r="S1213" s="23" t="s">
        <v>6845</v>
      </c>
      <c r="T1213" s="23" t="s">
        <v>4866</v>
      </c>
      <c r="U1213" s="3">
        <v>35</v>
      </c>
      <c r="W1213" s="45" t="str">
        <f>HYPERLINK("http://ictvonline.org/taxonomy/p/taxonomy-history?taxnode_id=201900662","ICTVonline=201900662")</f>
        <v>ICTVonline=201900662</v>
      </c>
      <c r="Y1213" s="1" t="s">
        <v>9140</v>
      </c>
      <c r="Z1213" s="1" t="s">
        <v>9141</v>
      </c>
      <c r="AA1213" s="1">
        <v>201900000</v>
      </c>
      <c r="AB1213" s="1">
        <v>35</v>
      </c>
    </row>
    <row r="1214" spans="1:28" x14ac:dyDescent="0.2">
      <c r="A1214" s="1">
        <v>3307</v>
      </c>
      <c r="B1214" s="1" t="s">
        <v>6850</v>
      </c>
      <c r="D1214" s="1" t="s">
        <v>6851</v>
      </c>
      <c r="F1214" s="1" t="s">
        <v>6914</v>
      </c>
      <c r="H1214" s="1" t="s">
        <v>6915</v>
      </c>
      <c r="J1214" s="1" t="s">
        <v>1324</v>
      </c>
      <c r="L1214" s="1" t="s">
        <v>894</v>
      </c>
      <c r="N1214" s="1" t="s">
        <v>6274</v>
      </c>
      <c r="P1214" s="1" t="s">
        <v>2993</v>
      </c>
      <c r="Q1214" s="3">
        <v>1</v>
      </c>
      <c r="R1214" s="23" t="s">
        <v>6854</v>
      </c>
      <c r="S1214" s="23" t="s">
        <v>6845</v>
      </c>
      <c r="T1214" s="23" t="s">
        <v>4866</v>
      </c>
      <c r="U1214" s="3">
        <v>35</v>
      </c>
      <c r="W1214" s="45" t="str">
        <f>HYPERLINK("http://ictvonline.org/taxonomy/p/taxonomy-history?taxnode_id=201900663","ICTVonline=201900663")</f>
        <v>ICTVonline=201900663</v>
      </c>
      <c r="AA1214" s="1">
        <v>201900000</v>
      </c>
      <c r="AB1214" s="1">
        <v>35</v>
      </c>
    </row>
    <row r="1215" spans="1:28" x14ac:dyDescent="0.2">
      <c r="A1215" s="1">
        <v>3309</v>
      </c>
      <c r="B1215" s="1" t="s">
        <v>6850</v>
      </c>
      <c r="D1215" s="1" t="s">
        <v>6851</v>
      </c>
      <c r="F1215" s="1" t="s">
        <v>6914</v>
      </c>
      <c r="H1215" s="1" t="s">
        <v>6915</v>
      </c>
      <c r="J1215" s="1" t="s">
        <v>1324</v>
      </c>
      <c r="L1215" s="1" t="s">
        <v>894</v>
      </c>
      <c r="N1215" s="1" t="s">
        <v>6274</v>
      </c>
      <c r="P1215" s="1" t="s">
        <v>2994</v>
      </c>
      <c r="Q1215" s="3">
        <v>0</v>
      </c>
      <c r="R1215" s="23" t="s">
        <v>6854</v>
      </c>
      <c r="S1215" s="23" t="s">
        <v>6845</v>
      </c>
      <c r="T1215" s="23" t="s">
        <v>4866</v>
      </c>
      <c r="U1215" s="3">
        <v>35</v>
      </c>
      <c r="W1215" s="45" t="str">
        <f>HYPERLINK("http://ictvonline.org/taxonomy/p/taxonomy-history?taxnode_id=201900664","ICTVonline=201900664")</f>
        <v>ICTVonline=201900664</v>
      </c>
      <c r="Y1215" s="1" t="s">
        <v>9142</v>
      </c>
      <c r="Z1215" s="1" t="s">
        <v>9143</v>
      </c>
      <c r="AA1215" s="1">
        <v>201900000</v>
      </c>
      <c r="AB1215" s="1">
        <v>35</v>
      </c>
    </row>
    <row r="1216" spans="1:28" x14ac:dyDescent="0.2">
      <c r="A1216" s="1">
        <v>3311</v>
      </c>
      <c r="B1216" s="1" t="s">
        <v>6850</v>
      </c>
      <c r="D1216" s="1" t="s">
        <v>6851</v>
      </c>
      <c r="F1216" s="1" t="s">
        <v>6914</v>
      </c>
      <c r="H1216" s="1" t="s">
        <v>6915</v>
      </c>
      <c r="J1216" s="1" t="s">
        <v>1324</v>
      </c>
      <c r="L1216" s="1" t="s">
        <v>894</v>
      </c>
      <c r="N1216" s="1" t="s">
        <v>6274</v>
      </c>
      <c r="P1216" s="1" t="s">
        <v>2995</v>
      </c>
      <c r="Q1216" s="3">
        <v>0</v>
      </c>
      <c r="R1216" s="23" t="s">
        <v>6854</v>
      </c>
      <c r="S1216" s="23" t="s">
        <v>6845</v>
      </c>
      <c r="T1216" s="23" t="s">
        <v>4866</v>
      </c>
      <c r="U1216" s="3">
        <v>35</v>
      </c>
      <c r="W1216" s="45" t="str">
        <f>HYPERLINK("http://ictvonline.org/taxonomy/p/taxonomy-history?taxnode_id=201900665","ICTVonline=201900665")</f>
        <v>ICTVonline=201900665</v>
      </c>
      <c r="AA1216" s="1">
        <v>201900000</v>
      </c>
      <c r="AB1216" s="1">
        <v>35</v>
      </c>
    </row>
    <row r="1217" spans="1:28" x14ac:dyDescent="0.2">
      <c r="A1217" s="1">
        <v>3313</v>
      </c>
      <c r="B1217" s="1" t="s">
        <v>6850</v>
      </c>
      <c r="D1217" s="1" t="s">
        <v>6851</v>
      </c>
      <c r="F1217" s="1" t="s">
        <v>6914</v>
      </c>
      <c r="H1217" s="1" t="s">
        <v>6915</v>
      </c>
      <c r="J1217" s="1" t="s">
        <v>1324</v>
      </c>
      <c r="L1217" s="1" t="s">
        <v>894</v>
      </c>
      <c r="N1217" s="1" t="s">
        <v>6274</v>
      </c>
      <c r="P1217" s="1" t="s">
        <v>2996</v>
      </c>
      <c r="Q1217" s="3">
        <v>0</v>
      </c>
      <c r="R1217" s="23" t="s">
        <v>6854</v>
      </c>
      <c r="S1217" s="23" t="s">
        <v>6845</v>
      </c>
      <c r="T1217" s="23" t="s">
        <v>4866</v>
      </c>
      <c r="U1217" s="3">
        <v>35</v>
      </c>
      <c r="W1217" s="45" t="str">
        <f>HYPERLINK("http://ictvonline.org/taxonomy/p/taxonomy-history?taxnode_id=201900666","ICTVonline=201900666")</f>
        <v>ICTVonline=201900666</v>
      </c>
      <c r="Y1217" s="1" t="s">
        <v>9144</v>
      </c>
      <c r="Z1217" s="1" t="s">
        <v>9145</v>
      </c>
      <c r="AA1217" s="1">
        <v>201900000</v>
      </c>
      <c r="AB1217" s="1">
        <v>35</v>
      </c>
    </row>
    <row r="1218" spans="1:28" x14ac:dyDescent="0.2">
      <c r="A1218" s="1">
        <v>3315</v>
      </c>
      <c r="B1218" s="1" t="s">
        <v>6850</v>
      </c>
      <c r="D1218" s="1" t="s">
        <v>6851</v>
      </c>
      <c r="F1218" s="1" t="s">
        <v>6914</v>
      </c>
      <c r="H1218" s="1" t="s">
        <v>6915</v>
      </c>
      <c r="J1218" s="1" t="s">
        <v>1324</v>
      </c>
      <c r="L1218" s="1" t="s">
        <v>894</v>
      </c>
      <c r="N1218" s="1" t="s">
        <v>6274</v>
      </c>
      <c r="P1218" s="1" t="s">
        <v>2997</v>
      </c>
      <c r="Q1218" s="3">
        <v>0</v>
      </c>
      <c r="R1218" s="23" t="s">
        <v>6854</v>
      </c>
      <c r="S1218" s="23" t="s">
        <v>6845</v>
      </c>
      <c r="T1218" s="23" t="s">
        <v>4866</v>
      </c>
      <c r="U1218" s="3">
        <v>35</v>
      </c>
      <c r="W1218" s="45" t="str">
        <f>HYPERLINK("http://ictvonline.org/taxonomy/p/taxonomy-history?taxnode_id=201900667","ICTVonline=201900667")</f>
        <v>ICTVonline=201900667</v>
      </c>
      <c r="Y1218" s="1" t="s">
        <v>9146</v>
      </c>
      <c r="Z1218" s="1" t="s">
        <v>9147</v>
      </c>
      <c r="AA1218" s="1">
        <v>201900000</v>
      </c>
      <c r="AB1218" s="1">
        <v>35</v>
      </c>
    </row>
    <row r="1219" spans="1:28" x14ac:dyDescent="0.2">
      <c r="A1219" s="1">
        <v>3319</v>
      </c>
      <c r="B1219" s="1" t="s">
        <v>6850</v>
      </c>
      <c r="D1219" s="1" t="s">
        <v>6851</v>
      </c>
      <c r="F1219" s="1" t="s">
        <v>6914</v>
      </c>
      <c r="H1219" s="1" t="s">
        <v>6915</v>
      </c>
      <c r="J1219" s="1" t="s">
        <v>1324</v>
      </c>
      <c r="L1219" s="1" t="s">
        <v>894</v>
      </c>
      <c r="N1219" s="1" t="s">
        <v>6275</v>
      </c>
      <c r="P1219" s="1" t="s">
        <v>3023</v>
      </c>
      <c r="Q1219" s="3">
        <v>0</v>
      </c>
      <c r="R1219" s="23" t="s">
        <v>6854</v>
      </c>
      <c r="S1219" s="23" t="s">
        <v>6845</v>
      </c>
      <c r="T1219" s="23" t="s">
        <v>4866</v>
      </c>
      <c r="U1219" s="3">
        <v>35</v>
      </c>
      <c r="W1219" s="45" t="str">
        <f>HYPERLINK("http://ictvonline.org/taxonomy/p/taxonomy-history?taxnode_id=201900710","ICTVonline=201900710")</f>
        <v>ICTVonline=201900710</v>
      </c>
      <c r="Y1219" s="1" t="s">
        <v>9148</v>
      </c>
      <c r="Z1219" s="1" t="s">
        <v>9149</v>
      </c>
      <c r="AA1219" s="1">
        <v>201900000</v>
      </c>
      <c r="AB1219" s="1">
        <v>35</v>
      </c>
    </row>
    <row r="1220" spans="1:28" x14ac:dyDescent="0.2">
      <c r="A1220" s="1">
        <v>3321</v>
      </c>
      <c r="B1220" s="1" t="s">
        <v>6850</v>
      </c>
      <c r="D1220" s="1" t="s">
        <v>6851</v>
      </c>
      <c r="F1220" s="1" t="s">
        <v>6914</v>
      </c>
      <c r="H1220" s="1" t="s">
        <v>6915</v>
      </c>
      <c r="J1220" s="1" t="s">
        <v>1324</v>
      </c>
      <c r="L1220" s="1" t="s">
        <v>894</v>
      </c>
      <c r="N1220" s="1" t="s">
        <v>6275</v>
      </c>
      <c r="P1220" s="1" t="s">
        <v>3024</v>
      </c>
      <c r="Q1220" s="3">
        <v>0</v>
      </c>
      <c r="R1220" s="23" t="s">
        <v>6854</v>
      </c>
      <c r="S1220" s="23" t="s">
        <v>6845</v>
      </c>
      <c r="T1220" s="23" t="s">
        <v>4866</v>
      </c>
      <c r="U1220" s="3">
        <v>35</v>
      </c>
      <c r="W1220" s="45" t="str">
        <f>HYPERLINK("http://ictvonline.org/taxonomy/p/taxonomy-history?taxnode_id=201900711","ICTVonline=201900711")</f>
        <v>ICTVonline=201900711</v>
      </c>
      <c r="Y1220" s="1" t="s">
        <v>9150</v>
      </c>
      <c r="Z1220" s="1" t="s">
        <v>9151</v>
      </c>
      <c r="AA1220" s="1">
        <v>201900000</v>
      </c>
      <c r="AB1220" s="1">
        <v>35</v>
      </c>
    </row>
    <row r="1221" spans="1:28" x14ac:dyDescent="0.2">
      <c r="A1221" s="1">
        <v>3323</v>
      </c>
      <c r="B1221" s="1" t="s">
        <v>6850</v>
      </c>
      <c r="D1221" s="1" t="s">
        <v>6851</v>
      </c>
      <c r="F1221" s="1" t="s">
        <v>6914</v>
      </c>
      <c r="H1221" s="1" t="s">
        <v>6915</v>
      </c>
      <c r="J1221" s="1" t="s">
        <v>1324</v>
      </c>
      <c r="L1221" s="1" t="s">
        <v>894</v>
      </c>
      <c r="N1221" s="1" t="s">
        <v>6275</v>
      </c>
      <c r="P1221" s="1" t="s">
        <v>3025</v>
      </c>
      <c r="Q1221" s="3">
        <v>1</v>
      </c>
      <c r="R1221" s="23" t="s">
        <v>6854</v>
      </c>
      <c r="S1221" s="23" t="s">
        <v>6845</v>
      </c>
      <c r="T1221" s="23" t="s">
        <v>4866</v>
      </c>
      <c r="U1221" s="3">
        <v>35</v>
      </c>
      <c r="W1221" s="45" t="str">
        <f>HYPERLINK("http://ictvonline.org/taxonomy/p/taxonomy-history?taxnode_id=201900712","ICTVonline=201900712")</f>
        <v>ICTVonline=201900712</v>
      </c>
      <c r="Y1221" s="1" t="s">
        <v>9152</v>
      </c>
      <c r="Z1221" s="1" t="s">
        <v>9153</v>
      </c>
      <c r="AA1221" s="1">
        <v>201900000</v>
      </c>
      <c r="AB1221" s="1">
        <v>35</v>
      </c>
    </row>
    <row r="1222" spans="1:28" x14ac:dyDescent="0.2">
      <c r="A1222" s="1">
        <v>3327</v>
      </c>
      <c r="B1222" s="1" t="s">
        <v>6850</v>
      </c>
      <c r="D1222" s="1" t="s">
        <v>6851</v>
      </c>
      <c r="F1222" s="1" t="s">
        <v>6914</v>
      </c>
      <c r="H1222" s="1" t="s">
        <v>6915</v>
      </c>
      <c r="J1222" s="1" t="s">
        <v>1324</v>
      </c>
      <c r="L1222" s="1" t="s">
        <v>894</v>
      </c>
      <c r="N1222" s="1" t="s">
        <v>6276</v>
      </c>
      <c r="P1222" s="1" t="s">
        <v>2998</v>
      </c>
      <c r="Q1222" s="3">
        <v>1</v>
      </c>
      <c r="R1222" s="23" t="s">
        <v>6854</v>
      </c>
      <c r="S1222" s="23" t="s">
        <v>6845</v>
      </c>
      <c r="T1222" s="23" t="s">
        <v>4866</v>
      </c>
      <c r="U1222" s="3">
        <v>35</v>
      </c>
      <c r="W1222" s="45" t="str">
        <f>HYPERLINK("http://ictvonline.org/taxonomy/p/taxonomy-history?taxnode_id=201900672","ICTVonline=201900672")</f>
        <v>ICTVonline=201900672</v>
      </c>
      <c r="AA1222" s="1">
        <v>201900000</v>
      </c>
      <c r="AB1222" s="1">
        <v>35</v>
      </c>
    </row>
    <row r="1223" spans="1:28" x14ac:dyDescent="0.2">
      <c r="A1223" s="1">
        <v>3331</v>
      </c>
      <c r="B1223" s="1" t="s">
        <v>6850</v>
      </c>
      <c r="D1223" s="1" t="s">
        <v>6851</v>
      </c>
      <c r="F1223" s="1" t="s">
        <v>6914</v>
      </c>
      <c r="H1223" s="1" t="s">
        <v>6915</v>
      </c>
      <c r="J1223" s="1" t="s">
        <v>1324</v>
      </c>
      <c r="L1223" s="1" t="s">
        <v>894</v>
      </c>
      <c r="N1223" s="1" t="s">
        <v>6277</v>
      </c>
      <c r="P1223" s="1" t="s">
        <v>6278</v>
      </c>
      <c r="Q1223" s="3">
        <v>1</v>
      </c>
      <c r="R1223" s="23" t="s">
        <v>6854</v>
      </c>
      <c r="S1223" s="23" t="s">
        <v>6845</v>
      </c>
      <c r="T1223" s="23" t="s">
        <v>4866</v>
      </c>
      <c r="U1223" s="3">
        <v>35</v>
      </c>
      <c r="W1223" s="45" t="str">
        <f>HYPERLINK("http://ictvonline.org/taxonomy/p/taxonomy-history?taxnode_id=201906952","ICTVonline=201906952")</f>
        <v>ICTVonline=201906952</v>
      </c>
      <c r="Y1223" s="1" t="s">
        <v>9154</v>
      </c>
      <c r="Z1223" s="1" t="s">
        <v>9155</v>
      </c>
      <c r="AA1223" s="1">
        <v>201900000</v>
      </c>
      <c r="AB1223" s="1">
        <v>35</v>
      </c>
    </row>
    <row r="1224" spans="1:28" x14ac:dyDescent="0.2">
      <c r="A1224" s="1">
        <v>3333</v>
      </c>
      <c r="B1224" s="1" t="s">
        <v>6850</v>
      </c>
      <c r="D1224" s="1" t="s">
        <v>6851</v>
      </c>
      <c r="F1224" s="1" t="s">
        <v>6914</v>
      </c>
      <c r="H1224" s="1" t="s">
        <v>6915</v>
      </c>
      <c r="J1224" s="1" t="s">
        <v>1324</v>
      </c>
      <c r="L1224" s="1" t="s">
        <v>894</v>
      </c>
      <c r="N1224" s="1" t="s">
        <v>6277</v>
      </c>
      <c r="P1224" s="1" t="s">
        <v>6279</v>
      </c>
      <c r="Q1224" s="3">
        <v>0</v>
      </c>
      <c r="R1224" s="23" t="s">
        <v>6854</v>
      </c>
      <c r="S1224" s="23" t="s">
        <v>6845</v>
      </c>
      <c r="T1224" s="23" t="s">
        <v>4866</v>
      </c>
      <c r="U1224" s="3">
        <v>35</v>
      </c>
      <c r="W1224" s="45" t="str">
        <f>HYPERLINK("http://ictvonline.org/taxonomy/p/taxonomy-history?taxnode_id=201906953","ICTVonline=201906953")</f>
        <v>ICTVonline=201906953</v>
      </c>
      <c r="Y1224" s="1" t="s">
        <v>9156</v>
      </c>
      <c r="Z1224" s="1" t="s">
        <v>9157</v>
      </c>
      <c r="AA1224" s="1">
        <v>201900000</v>
      </c>
      <c r="AB1224" s="1">
        <v>35</v>
      </c>
    </row>
    <row r="1225" spans="1:28" x14ac:dyDescent="0.2">
      <c r="A1225" s="1">
        <v>3337</v>
      </c>
      <c r="B1225" s="1" t="s">
        <v>6850</v>
      </c>
      <c r="D1225" s="1" t="s">
        <v>6851</v>
      </c>
      <c r="F1225" s="1" t="s">
        <v>6914</v>
      </c>
      <c r="H1225" s="1" t="s">
        <v>6915</v>
      </c>
      <c r="J1225" s="1" t="s">
        <v>1324</v>
      </c>
      <c r="L1225" s="1" t="s">
        <v>894</v>
      </c>
      <c r="N1225" s="1" t="s">
        <v>9158</v>
      </c>
      <c r="P1225" s="1" t="s">
        <v>2958</v>
      </c>
      <c r="Q1225" s="3">
        <v>1</v>
      </c>
      <c r="R1225" s="23" t="s">
        <v>6854</v>
      </c>
      <c r="S1225" s="23" t="s">
        <v>6849</v>
      </c>
      <c r="T1225" s="23" t="s">
        <v>6395</v>
      </c>
      <c r="U1225" s="3">
        <v>35</v>
      </c>
      <c r="V1225" s="3" t="s">
        <v>9088</v>
      </c>
      <c r="W1225" s="45" t="str">
        <f>HYPERLINK("http://ictvonline.org/taxonomy/p/taxonomy-history?taxnode_id=201900596","ICTVonline=201900596")</f>
        <v>ICTVonline=201900596</v>
      </c>
      <c r="Y1225" s="1" t="s">
        <v>9159</v>
      </c>
      <c r="AA1225" s="1">
        <v>201900000</v>
      </c>
      <c r="AB1225" s="1">
        <v>35</v>
      </c>
    </row>
    <row r="1226" spans="1:28" x14ac:dyDescent="0.2">
      <c r="A1226" s="1">
        <v>3341</v>
      </c>
      <c r="B1226" s="1" t="s">
        <v>6850</v>
      </c>
      <c r="D1226" s="1" t="s">
        <v>6851</v>
      </c>
      <c r="F1226" s="1" t="s">
        <v>6914</v>
      </c>
      <c r="H1226" s="1" t="s">
        <v>6915</v>
      </c>
      <c r="J1226" s="1" t="s">
        <v>1324</v>
      </c>
      <c r="L1226" s="1" t="s">
        <v>894</v>
      </c>
      <c r="N1226" s="1" t="s">
        <v>6280</v>
      </c>
      <c r="P1226" s="1" t="s">
        <v>2980</v>
      </c>
      <c r="Q1226" s="3">
        <v>0</v>
      </c>
      <c r="R1226" s="23" t="s">
        <v>6854</v>
      </c>
      <c r="S1226" s="23" t="s">
        <v>6845</v>
      </c>
      <c r="T1226" s="23" t="s">
        <v>4866</v>
      </c>
      <c r="U1226" s="3">
        <v>35</v>
      </c>
      <c r="W1226" s="45" t="str">
        <f>HYPERLINK("http://ictvonline.org/taxonomy/p/taxonomy-history?taxnode_id=201900643","ICTVonline=201900643")</f>
        <v>ICTVonline=201900643</v>
      </c>
      <c r="Y1226" s="1" t="s">
        <v>9160</v>
      </c>
      <c r="Z1226" s="1" t="s">
        <v>9161</v>
      </c>
      <c r="AA1226" s="1">
        <v>201900000</v>
      </c>
      <c r="AB1226" s="1">
        <v>35</v>
      </c>
    </row>
    <row r="1227" spans="1:28" x14ac:dyDescent="0.2">
      <c r="A1227" s="1">
        <v>3343</v>
      </c>
      <c r="B1227" s="1" t="s">
        <v>6850</v>
      </c>
      <c r="D1227" s="1" t="s">
        <v>6851</v>
      </c>
      <c r="F1227" s="1" t="s">
        <v>6914</v>
      </c>
      <c r="H1227" s="1" t="s">
        <v>6915</v>
      </c>
      <c r="J1227" s="1" t="s">
        <v>1324</v>
      </c>
      <c r="L1227" s="1" t="s">
        <v>894</v>
      </c>
      <c r="N1227" s="1" t="s">
        <v>6280</v>
      </c>
      <c r="P1227" s="1" t="s">
        <v>2981</v>
      </c>
      <c r="Q1227" s="3">
        <v>0</v>
      </c>
      <c r="R1227" s="23" t="s">
        <v>6854</v>
      </c>
      <c r="S1227" s="23" t="s">
        <v>6845</v>
      </c>
      <c r="T1227" s="23" t="s">
        <v>4866</v>
      </c>
      <c r="U1227" s="3">
        <v>35</v>
      </c>
      <c r="W1227" s="45" t="str">
        <f>HYPERLINK("http://ictvonline.org/taxonomy/p/taxonomy-history?taxnode_id=201900644","ICTVonline=201900644")</f>
        <v>ICTVonline=201900644</v>
      </c>
      <c r="Y1227" s="1" t="s">
        <v>9162</v>
      </c>
      <c r="Z1227" s="1" t="s">
        <v>9163</v>
      </c>
      <c r="AA1227" s="1">
        <v>201900000</v>
      </c>
      <c r="AB1227" s="1">
        <v>35</v>
      </c>
    </row>
    <row r="1228" spans="1:28" x14ac:dyDescent="0.2">
      <c r="A1228" s="1">
        <v>3345</v>
      </c>
      <c r="B1228" s="1" t="s">
        <v>6850</v>
      </c>
      <c r="D1228" s="1" t="s">
        <v>6851</v>
      </c>
      <c r="F1228" s="1" t="s">
        <v>6914</v>
      </c>
      <c r="H1228" s="1" t="s">
        <v>6915</v>
      </c>
      <c r="J1228" s="1" t="s">
        <v>1324</v>
      </c>
      <c r="L1228" s="1" t="s">
        <v>894</v>
      </c>
      <c r="N1228" s="1" t="s">
        <v>6280</v>
      </c>
      <c r="P1228" s="1" t="s">
        <v>2982</v>
      </c>
      <c r="Q1228" s="3">
        <v>0</v>
      </c>
      <c r="R1228" s="23" t="s">
        <v>6854</v>
      </c>
      <c r="S1228" s="23" t="s">
        <v>6845</v>
      </c>
      <c r="T1228" s="23" t="s">
        <v>4866</v>
      </c>
      <c r="U1228" s="3">
        <v>35</v>
      </c>
      <c r="W1228" s="45" t="str">
        <f>HYPERLINK("http://ictvonline.org/taxonomy/p/taxonomy-history?taxnode_id=201900645","ICTVonline=201900645")</f>
        <v>ICTVonline=201900645</v>
      </c>
      <c r="Y1228" s="1" t="s">
        <v>9164</v>
      </c>
      <c r="Z1228" s="1" t="s">
        <v>9165</v>
      </c>
      <c r="AA1228" s="1">
        <v>201900000</v>
      </c>
      <c r="AB1228" s="1">
        <v>35</v>
      </c>
    </row>
    <row r="1229" spans="1:28" x14ac:dyDescent="0.2">
      <c r="A1229" s="1">
        <v>3347</v>
      </c>
      <c r="B1229" s="1" t="s">
        <v>6850</v>
      </c>
      <c r="D1229" s="1" t="s">
        <v>6851</v>
      </c>
      <c r="F1229" s="1" t="s">
        <v>6914</v>
      </c>
      <c r="H1229" s="1" t="s">
        <v>6915</v>
      </c>
      <c r="J1229" s="1" t="s">
        <v>1324</v>
      </c>
      <c r="L1229" s="1" t="s">
        <v>894</v>
      </c>
      <c r="N1229" s="1" t="s">
        <v>6280</v>
      </c>
      <c r="P1229" s="1" t="s">
        <v>2983</v>
      </c>
      <c r="Q1229" s="3">
        <v>0</v>
      </c>
      <c r="R1229" s="23" t="s">
        <v>6854</v>
      </c>
      <c r="S1229" s="23" t="s">
        <v>6845</v>
      </c>
      <c r="T1229" s="23" t="s">
        <v>4866</v>
      </c>
      <c r="U1229" s="3">
        <v>35</v>
      </c>
      <c r="W1229" s="45" t="str">
        <f>HYPERLINK("http://ictvonline.org/taxonomy/p/taxonomy-history?taxnode_id=201900646","ICTVonline=201900646")</f>
        <v>ICTVonline=201900646</v>
      </c>
      <c r="Y1229" s="1" t="s">
        <v>9166</v>
      </c>
      <c r="Z1229" s="1" t="s">
        <v>9167</v>
      </c>
      <c r="AA1229" s="1">
        <v>201900000</v>
      </c>
      <c r="AB1229" s="1">
        <v>35</v>
      </c>
    </row>
    <row r="1230" spans="1:28" x14ac:dyDescent="0.2">
      <c r="A1230" s="1">
        <v>3349</v>
      </c>
      <c r="B1230" s="1" t="s">
        <v>6850</v>
      </c>
      <c r="D1230" s="1" t="s">
        <v>6851</v>
      </c>
      <c r="F1230" s="1" t="s">
        <v>6914</v>
      </c>
      <c r="H1230" s="1" t="s">
        <v>6915</v>
      </c>
      <c r="J1230" s="1" t="s">
        <v>1324</v>
      </c>
      <c r="L1230" s="1" t="s">
        <v>894</v>
      </c>
      <c r="N1230" s="1" t="s">
        <v>6280</v>
      </c>
      <c r="P1230" s="1" t="s">
        <v>2984</v>
      </c>
      <c r="Q1230" s="3">
        <v>0</v>
      </c>
      <c r="R1230" s="23" t="s">
        <v>6854</v>
      </c>
      <c r="S1230" s="23" t="s">
        <v>6845</v>
      </c>
      <c r="T1230" s="23" t="s">
        <v>4866</v>
      </c>
      <c r="U1230" s="3">
        <v>35</v>
      </c>
      <c r="W1230" s="45" t="str">
        <f>HYPERLINK("http://ictvonline.org/taxonomy/p/taxonomy-history?taxnode_id=201900647","ICTVonline=201900647")</f>
        <v>ICTVonline=201900647</v>
      </c>
      <c r="Y1230" s="1" t="s">
        <v>9168</v>
      </c>
      <c r="Z1230" s="1" t="s">
        <v>9169</v>
      </c>
      <c r="AA1230" s="1">
        <v>201900000</v>
      </c>
      <c r="AB1230" s="1">
        <v>35</v>
      </c>
    </row>
    <row r="1231" spans="1:28" x14ac:dyDescent="0.2">
      <c r="A1231" s="1">
        <v>3351</v>
      </c>
      <c r="B1231" s="1" t="s">
        <v>6850</v>
      </c>
      <c r="D1231" s="1" t="s">
        <v>6851</v>
      </c>
      <c r="F1231" s="1" t="s">
        <v>6914</v>
      </c>
      <c r="H1231" s="1" t="s">
        <v>6915</v>
      </c>
      <c r="J1231" s="1" t="s">
        <v>1324</v>
      </c>
      <c r="L1231" s="1" t="s">
        <v>894</v>
      </c>
      <c r="N1231" s="1" t="s">
        <v>6280</v>
      </c>
      <c r="P1231" s="1" t="s">
        <v>2985</v>
      </c>
      <c r="Q1231" s="3">
        <v>1</v>
      </c>
      <c r="R1231" s="23" t="s">
        <v>6854</v>
      </c>
      <c r="S1231" s="23" t="s">
        <v>6845</v>
      </c>
      <c r="T1231" s="23" t="s">
        <v>4866</v>
      </c>
      <c r="U1231" s="3">
        <v>35</v>
      </c>
      <c r="W1231" s="45" t="str">
        <f>HYPERLINK("http://ictvonline.org/taxonomy/p/taxonomy-history?taxnode_id=201900648","ICTVonline=201900648")</f>
        <v>ICTVonline=201900648</v>
      </c>
      <c r="Y1231" s="1" t="s">
        <v>9170</v>
      </c>
      <c r="Z1231" s="1" t="s">
        <v>9171</v>
      </c>
      <c r="AA1231" s="1">
        <v>201900000</v>
      </c>
      <c r="AB1231" s="1">
        <v>35</v>
      </c>
    </row>
    <row r="1232" spans="1:28" x14ac:dyDescent="0.2">
      <c r="A1232" s="1">
        <v>3353</v>
      </c>
      <c r="B1232" s="1" t="s">
        <v>6850</v>
      </c>
      <c r="D1232" s="1" t="s">
        <v>6851</v>
      </c>
      <c r="F1232" s="1" t="s">
        <v>6914</v>
      </c>
      <c r="H1232" s="1" t="s">
        <v>6915</v>
      </c>
      <c r="J1232" s="1" t="s">
        <v>1324</v>
      </c>
      <c r="L1232" s="1" t="s">
        <v>894</v>
      </c>
      <c r="N1232" s="1" t="s">
        <v>6280</v>
      </c>
      <c r="P1232" s="1" t="s">
        <v>2986</v>
      </c>
      <c r="Q1232" s="3">
        <v>0</v>
      </c>
      <c r="R1232" s="23" t="s">
        <v>6854</v>
      </c>
      <c r="S1232" s="23" t="s">
        <v>6845</v>
      </c>
      <c r="T1232" s="23" t="s">
        <v>4866</v>
      </c>
      <c r="U1232" s="3">
        <v>35</v>
      </c>
      <c r="W1232" s="45" t="str">
        <f>HYPERLINK("http://ictvonline.org/taxonomy/p/taxonomy-history?taxnode_id=201900649","ICTVonline=201900649")</f>
        <v>ICTVonline=201900649</v>
      </c>
      <c r="Y1232" s="1" t="s">
        <v>9172</v>
      </c>
      <c r="Z1232" s="1" t="s">
        <v>9173</v>
      </c>
      <c r="AA1232" s="1">
        <v>201900000</v>
      </c>
      <c r="AB1232" s="1">
        <v>35</v>
      </c>
    </row>
    <row r="1233" spans="1:28" x14ac:dyDescent="0.2">
      <c r="A1233" s="1">
        <v>3355</v>
      </c>
      <c r="B1233" s="1" t="s">
        <v>6850</v>
      </c>
      <c r="D1233" s="1" t="s">
        <v>6851</v>
      </c>
      <c r="F1233" s="1" t="s">
        <v>6914</v>
      </c>
      <c r="H1233" s="1" t="s">
        <v>6915</v>
      </c>
      <c r="J1233" s="1" t="s">
        <v>1324</v>
      </c>
      <c r="L1233" s="1" t="s">
        <v>894</v>
      </c>
      <c r="N1233" s="1" t="s">
        <v>6280</v>
      </c>
      <c r="P1233" s="1" t="s">
        <v>2987</v>
      </c>
      <c r="Q1233" s="3">
        <v>0</v>
      </c>
      <c r="R1233" s="23" t="s">
        <v>6854</v>
      </c>
      <c r="S1233" s="23" t="s">
        <v>6845</v>
      </c>
      <c r="T1233" s="23" t="s">
        <v>4866</v>
      </c>
      <c r="U1233" s="3">
        <v>35</v>
      </c>
      <c r="W1233" s="45" t="str">
        <f>HYPERLINK("http://ictvonline.org/taxonomy/p/taxonomy-history?taxnode_id=201900650","ICTVonline=201900650")</f>
        <v>ICTVonline=201900650</v>
      </c>
      <c r="Y1233" s="1" t="s">
        <v>9174</v>
      </c>
      <c r="Z1233" s="1" t="s">
        <v>9175</v>
      </c>
      <c r="AA1233" s="1">
        <v>201900000</v>
      </c>
      <c r="AB1233" s="1">
        <v>35</v>
      </c>
    </row>
    <row r="1234" spans="1:28" x14ac:dyDescent="0.2">
      <c r="A1234" s="1">
        <v>3359</v>
      </c>
      <c r="B1234" s="1" t="s">
        <v>6850</v>
      </c>
      <c r="D1234" s="1" t="s">
        <v>6851</v>
      </c>
      <c r="F1234" s="1" t="s">
        <v>6914</v>
      </c>
      <c r="H1234" s="1" t="s">
        <v>6915</v>
      </c>
      <c r="J1234" s="1" t="s">
        <v>1324</v>
      </c>
      <c r="L1234" s="1" t="s">
        <v>894</v>
      </c>
      <c r="N1234" s="1" t="s">
        <v>9176</v>
      </c>
      <c r="P1234" s="1" t="s">
        <v>9177</v>
      </c>
      <c r="Q1234" s="3">
        <v>1</v>
      </c>
      <c r="R1234" s="23" t="s">
        <v>6854</v>
      </c>
      <c r="S1234" s="23" t="s">
        <v>6849</v>
      </c>
      <c r="T1234" s="23" t="s">
        <v>4864</v>
      </c>
      <c r="U1234" s="3">
        <v>35</v>
      </c>
      <c r="V1234" s="3" t="s">
        <v>9178</v>
      </c>
      <c r="W1234" s="45" t="str">
        <f>HYPERLINK("http://ictvonline.org/taxonomy/p/taxonomy-history?taxnode_id=201907995","ICTVonline=201907995")</f>
        <v>ICTVonline=201907995</v>
      </c>
      <c r="Y1234" s="1" t="s">
        <v>9179</v>
      </c>
      <c r="AA1234" s="1">
        <v>201900000</v>
      </c>
      <c r="AB1234" s="1">
        <v>35</v>
      </c>
    </row>
    <row r="1235" spans="1:28" x14ac:dyDescent="0.2">
      <c r="A1235" s="1">
        <v>3363</v>
      </c>
      <c r="B1235" s="1" t="s">
        <v>6850</v>
      </c>
      <c r="D1235" s="1" t="s">
        <v>6851</v>
      </c>
      <c r="F1235" s="1" t="s">
        <v>6914</v>
      </c>
      <c r="H1235" s="1" t="s">
        <v>6915</v>
      </c>
      <c r="J1235" s="1" t="s">
        <v>1324</v>
      </c>
      <c r="L1235" s="1" t="s">
        <v>894</v>
      </c>
      <c r="N1235" s="1" t="s">
        <v>6281</v>
      </c>
      <c r="P1235" s="1" t="s">
        <v>2976</v>
      </c>
      <c r="Q1235" s="3">
        <v>1</v>
      </c>
      <c r="R1235" s="23" t="s">
        <v>6854</v>
      </c>
      <c r="S1235" s="23" t="s">
        <v>6845</v>
      </c>
      <c r="T1235" s="23" t="s">
        <v>4866</v>
      </c>
      <c r="U1235" s="3">
        <v>35</v>
      </c>
      <c r="W1235" s="45" t="str">
        <f>HYPERLINK("http://ictvonline.org/taxonomy/p/taxonomy-history?taxnode_id=201900640","ICTVonline=201900640")</f>
        <v>ICTVonline=201900640</v>
      </c>
      <c r="Y1235" s="1" t="s">
        <v>9180</v>
      </c>
      <c r="AA1235" s="1">
        <v>201900000</v>
      </c>
      <c r="AB1235" s="1">
        <v>35</v>
      </c>
    </row>
    <row r="1236" spans="1:28" x14ac:dyDescent="0.2">
      <c r="A1236" s="1">
        <v>3365</v>
      </c>
      <c r="B1236" s="1" t="s">
        <v>6850</v>
      </c>
      <c r="D1236" s="1" t="s">
        <v>6851</v>
      </c>
      <c r="F1236" s="1" t="s">
        <v>6914</v>
      </c>
      <c r="H1236" s="1" t="s">
        <v>6915</v>
      </c>
      <c r="J1236" s="1" t="s">
        <v>1324</v>
      </c>
      <c r="L1236" s="1" t="s">
        <v>894</v>
      </c>
      <c r="N1236" s="1" t="s">
        <v>6281</v>
      </c>
      <c r="P1236" s="1" t="s">
        <v>2977</v>
      </c>
      <c r="Q1236" s="3">
        <v>0</v>
      </c>
      <c r="R1236" s="23" t="s">
        <v>6854</v>
      </c>
      <c r="S1236" s="23" t="s">
        <v>6845</v>
      </c>
      <c r="T1236" s="23" t="s">
        <v>4866</v>
      </c>
      <c r="U1236" s="3">
        <v>35</v>
      </c>
      <c r="W1236" s="45" t="str">
        <f>HYPERLINK("http://ictvonline.org/taxonomy/p/taxonomy-history?taxnode_id=201900641","ICTVonline=201900641")</f>
        <v>ICTVonline=201900641</v>
      </c>
      <c r="Y1236" s="1" t="s">
        <v>9181</v>
      </c>
      <c r="AA1236" s="1">
        <v>201900000</v>
      </c>
      <c r="AB1236" s="1">
        <v>35</v>
      </c>
    </row>
    <row r="1237" spans="1:28" x14ac:dyDescent="0.2">
      <c r="A1237" s="1">
        <v>3369</v>
      </c>
      <c r="B1237" s="1" t="s">
        <v>6850</v>
      </c>
      <c r="D1237" s="1" t="s">
        <v>6851</v>
      </c>
      <c r="F1237" s="1" t="s">
        <v>6914</v>
      </c>
      <c r="H1237" s="1" t="s">
        <v>6915</v>
      </c>
      <c r="J1237" s="1" t="s">
        <v>1324</v>
      </c>
      <c r="L1237" s="1" t="s">
        <v>894</v>
      </c>
      <c r="N1237" s="1" t="s">
        <v>6282</v>
      </c>
      <c r="P1237" s="1" t="s">
        <v>4954</v>
      </c>
      <c r="Q1237" s="3">
        <v>0</v>
      </c>
      <c r="R1237" s="23" t="s">
        <v>6854</v>
      </c>
      <c r="S1237" s="23" t="s">
        <v>6845</v>
      </c>
      <c r="T1237" s="23" t="s">
        <v>4866</v>
      </c>
      <c r="U1237" s="3">
        <v>35</v>
      </c>
      <c r="W1237" s="45" t="str">
        <f>HYPERLINK("http://ictvonline.org/taxonomy/p/taxonomy-history?taxnode_id=201905494","ICTVonline=201905494")</f>
        <v>ICTVonline=201905494</v>
      </c>
      <c r="AA1237" s="1">
        <v>201900000</v>
      </c>
      <c r="AB1237" s="1">
        <v>35</v>
      </c>
    </row>
    <row r="1238" spans="1:28" x14ac:dyDescent="0.2">
      <c r="A1238" s="1">
        <v>3371</v>
      </c>
      <c r="B1238" s="1" t="s">
        <v>6850</v>
      </c>
      <c r="D1238" s="1" t="s">
        <v>6851</v>
      </c>
      <c r="F1238" s="1" t="s">
        <v>6914</v>
      </c>
      <c r="H1238" s="1" t="s">
        <v>6915</v>
      </c>
      <c r="J1238" s="1" t="s">
        <v>1324</v>
      </c>
      <c r="L1238" s="1" t="s">
        <v>894</v>
      </c>
      <c r="N1238" s="1" t="s">
        <v>6282</v>
      </c>
      <c r="P1238" s="1" t="s">
        <v>4955</v>
      </c>
      <c r="Q1238" s="3">
        <v>1</v>
      </c>
      <c r="R1238" s="23" t="s">
        <v>6854</v>
      </c>
      <c r="S1238" s="23" t="s">
        <v>6845</v>
      </c>
      <c r="T1238" s="23" t="s">
        <v>4866</v>
      </c>
      <c r="U1238" s="3">
        <v>35</v>
      </c>
      <c r="W1238" s="45" t="str">
        <f>HYPERLINK("http://ictvonline.org/taxonomy/p/taxonomy-history?taxnode_id=201905495","ICTVonline=201905495")</f>
        <v>ICTVonline=201905495</v>
      </c>
      <c r="AA1238" s="1">
        <v>201900000</v>
      </c>
      <c r="AB1238" s="1">
        <v>35</v>
      </c>
    </row>
    <row r="1239" spans="1:28" x14ac:dyDescent="0.2">
      <c r="A1239" s="1">
        <v>3373</v>
      </c>
      <c r="B1239" s="1" t="s">
        <v>6850</v>
      </c>
      <c r="D1239" s="1" t="s">
        <v>6851</v>
      </c>
      <c r="F1239" s="1" t="s">
        <v>6914</v>
      </c>
      <c r="H1239" s="1" t="s">
        <v>6915</v>
      </c>
      <c r="J1239" s="1" t="s">
        <v>1324</v>
      </c>
      <c r="L1239" s="1" t="s">
        <v>894</v>
      </c>
      <c r="N1239" s="1" t="s">
        <v>6282</v>
      </c>
      <c r="P1239" s="1" t="s">
        <v>4956</v>
      </c>
      <c r="Q1239" s="3">
        <v>0</v>
      </c>
      <c r="R1239" s="23" t="s">
        <v>6854</v>
      </c>
      <c r="S1239" s="23" t="s">
        <v>6845</v>
      </c>
      <c r="T1239" s="23" t="s">
        <v>4866</v>
      </c>
      <c r="U1239" s="3">
        <v>35</v>
      </c>
      <c r="W1239" s="45" t="str">
        <f>HYPERLINK("http://ictvonline.org/taxonomy/p/taxonomy-history?taxnode_id=201905496","ICTVonline=201905496")</f>
        <v>ICTVonline=201905496</v>
      </c>
      <c r="AA1239" s="1">
        <v>201900000</v>
      </c>
      <c r="AB1239" s="1">
        <v>35</v>
      </c>
    </row>
    <row r="1240" spans="1:28" x14ac:dyDescent="0.2">
      <c r="A1240" s="1">
        <v>3377</v>
      </c>
      <c r="B1240" s="1" t="s">
        <v>6850</v>
      </c>
      <c r="D1240" s="1" t="s">
        <v>6851</v>
      </c>
      <c r="F1240" s="1" t="s">
        <v>6914</v>
      </c>
      <c r="H1240" s="1" t="s">
        <v>6915</v>
      </c>
      <c r="J1240" s="1" t="s">
        <v>1324</v>
      </c>
      <c r="L1240" s="1" t="s">
        <v>894</v>
      </c>
      <c r="N1240" s="1" t="s">
        <v>6283</v>
      </c>
      <c r="P1240" s="4" t="s">
        <v>6284</v>
      </c>
      <c r="Q1240" s="3">
        <v>0</v>
      </c>
      <c r="R1240" s="24" t="s">
        <v>6854</v>
      </c>
      <c r="S1240" s="24" t="s">
        <v>6845</v>
      </c>
      <c r="T1240" s="24" t="s">
        <v>4866</v>
      </c>
      <c r="U1240" s="3">
        <v>35</v>
      </c>
      <c r="W1240" s="45" t="str">
        <f>HYPERLINK("http://ictvonline.org/taxonomy/p/taxonomy-history?taxnode_id=201906491","ICTVonline=201906491")</f>
        <v>ICTVonline=201906491</v>
      </c>
      <c r="Y1240" s="1" t="s">
        <v>9182</v>
      </c>
      <c r="AA1240" s="1">
        <v>201900000</v>
      </c>
      <c r="AB1240" s="1">
        <v>35</v>
      </c>
    </row>
    <row r="1241" spans="1:28" x14ac:dyDescent="0.2">
      <c r="A1241" s="1">
        <v>3379</v>
      </c>
      <c r="B1241" s="1" t="s">
        <v>6850</v>
      </c>
      <c r="D1241" s="1" t="s">
        <v>6851</v>
      </c>
      <c r="F1241" s="1" t="s">
        <v>6914</v>
      </c>
      <c r="H1241" s="1" t="s">
        <v>6915</v>
      </c>
      <c r="J1241" s="1" t="s">
        <v>1324</v>
      </c>
      <c r="L1241" s="1" t="s">
        <v>894</v>
      </c>
      <c r="N1241" s="1" t="s">
        <v>6283</v>
      </c>
      <c r="P1241" s="1" t="s">
        <v>6285</v>
      </c>
      <c r="Q1241" s="3">
        <v>1</v>
      </c>
      <c r="R1241" s="23" t="s">
        <v>6854</v>
      </c>
      <c r="S1241" s="23" t="s">
        <v>6845</v>
      </c>
      <c r="T1241" s="23" t="s">
        <v>4866</v>
      </c>
      <c r="U1241" s="3">
        <v>35</v>
      </c>
      <c r="W1241" s="45" t="str">
        <f>HYPERLINK("http://ictvonline.org/taxonomy/p/taxonomy-history?taxnode_id=201906490","ICTVonline=201906490")</f>
        <v>ICTVonline=201906490</v>
      </c>
      <c r="Y1241" s="1" t="s">
        <v>9183</v>
      </c>
      <c r="AA1241" s="1">
        <v>201900000</v>
      </c>
      <c r="AB1241" s="1">
        <v>35</v>
      </c>
    </row>
    <row r="1242" spans="1:28" x14ac:dyDescent="0.2">
      <c r="A1242" s="1">
        <v>3383</v>
      </c>
      <c r="B1242" s="1" t="s">
        <v>6850</v>
      </c>
      <c r="D1242" s="1" t="s">
        <v>6851</v>
      </c>
      <c r="F1242" s="1" t="s">
        <v>6914</v>
      </c>
      <c r="H1242" s="1" t="s">
        <v>6915</v>
      </c>
      <c r="J1242" s="1" t="s">
        <v>1324</v>
      </c>
      <c r="L1242" s="1" t="s">
        <v>894</v>
      </c>
      <c r="N1242" s="1" t="s">
        <v>6286</v>
      </c>
      <c r="P1242" s="1" t="s">
        <v>4237</v>
      </c>
      <c r="Q1242" s="3">
        <v>1</v>
      </c>
      <c r="R1242" s="23" t="s">
        <v>6854</v>
      </c>
      <c r="S1242" s="23" t="s">
        <v>6845</v>
      </c>
      <c r="T1242" s="23" t="s">
        <v>4866</v>
      </c>
      <c r="U1242" s="3">
        <v>35</v>
      </c>
      <c r="W1242" s="45" t="str">
        <f>HYPERLINK("http://ictvonline.org/taxonomy/p/taxonomy-history?taxnode_id=201900633","ICTVonline=201900633")</f>
        <v>ICTVonline=201900633</v>
      </c>
      <c r="Y1242" s="1" t="s">
        <v>9184</v>
      </c>
      <c r="Z1242" s="1" t="s">
        <v>9185</v>
      </c>
      <c r="AA1242" s="1">
        <v>201900000</v>
      </c>
      <c r="AB1242" s="1">
        <v>35</v>
      </c>
    </row>
    <row r="1243" spans="1:28" x14ac:dyDescent="0.2">
      <c r="A1243" s="1">
        <v>3385</v>
      </c>
      <c r="B1243" s="1" t="s">
        <v>6850</v>
      </c>
      <c r="D1243" s="1" t="s">
        <v>6851</v>
      </c>
      <c r="F1243" s="1" t="s">
        <v>6914</v>
      </c>
      <c r="H1243" s="1" t="s">
        <v>6915</v>
      </c>
      <c r="J1243" s="1" t="s">
        <v>1324</v>
      </c>
      <c r="L1243" s="1" t="s">
        <v>894</v>
      </c>
      <c r="N1243" s="1" t="s">
        <v>6286</v>
      </c>
      <c r="P1243" s="1" t="s">
        <v>4238</v>
      </c>
      <c r="Q1243" s="3">
        <v>0</v>
      </c>
      <c r="R1243" s="23" t="s">
        <v>6854</v>
      </c>
      <c r="S1243" s="23" t="s">
        <v>6845</v>
      </c>
      <c r="T1243" s="23" t="s">
        <v>4866</v>
      </c>
      <c r="U1243" s="3">
        <v>35</v>
      </c>
      <c r="W1243" s="45" t="str">
        <f>HYPERLINK("http://ictvonline.org/taxonomy/p/taxonomy-history?taxnode_id=201900634","ICTVonline=201900634")</f>
        <v>ICTVonline=201900634</v>
      </c>
      <c r="Y1243" s="1" t="s">
        <v>9186</v>
      </c>
      <c r="Z1243" s="1" t="s">
        <v>9187</v>
      </c>
      <c r="AA1243" s="1">
        <v>201900000</v>
      </c>
      <c r="AB1243" s="1">
        <v>35</v>
      </c>
    </row>
    <row r="1244" spans="1:28" x14ac:dyDescent="0.2">
      <c r="A1244" s="1">
        <v>3389</v>
      </c>
      <c r="B1244" s="1" t="s">
        <v>6850</v>
      </c>
      <c r="D1244" s="1" t="s">
        <v>6851</v>
      </c>
      <c r="F1244" s="1" t="s">
        <v>6914</v>
      </c>
      <c r="H1244" s="1" t="s">
        <v>6915</v>
      </c>
      <c r="J1244" s="1" t="s">
        <v>1324</v>
      </c>
      <c r="L1244" s="1" t="s">
        <v>894</v>
      </c>
      <c r="N1244" s="1" t="s">
        <v>4950</v>
      </c>
      <c r="P1244" s="1" t="s">
        <v>4951</v>
      </c>
      <c r="Q1244" s="3">
        <v>0</v>
      </c>
      <c r="R1244" s="23" t="s">
        <v>6854</v>
      </c>
      <c r="S1244" s="23" t="s">
        <v>6845</v>
      </c>
      <c r="T1244" s="23" t="s">
        <v>4866</v>
      </c>
      <c r="U1244" s="3">
        <v>35</v>
      </c>
      <c r="W1244" s="45" t="str">
        <f>HYPERLINK("http://ictvonline.org/taxonomy/p/taxonomy-history?taxnode_id=201905490","ICTVonline=201905490")</f>
        <v>ICTVonline=201905490</v>
      </c>
      <c r="AA1244" s="1">
        <v>201900000</v>
      </c>
      <c r="AB1244" s="1">
        <v>35</v>
      </c>
    </row>
    <row r="1245" spans="1:28" x14ac:dyDescent="0.2">
      <c r="A1245" s="1">
        <v>3391</v>
      </c>
      <c r="B1245" s="1" t="s">
        <v>6850</v>
      </c>
      <c r="D1245" s="1" t="s">
        <v>6851</v>
      </c>
      <c r="F1245" s="1" t="s">
        <v>6914</v>
      </c>
      <c r="H1245" s="1" t="s">
        <v>6915</v>
      </c>
      <c r="J1245" s="1" t="s">
        <v>1324</v>
      </c>
      <c r="L1245" s="1" t="s">
        <v>894</v>
      </c>
      <c r="N1245" s="1" t="s">
        <v>4950</v>
      </c>
      <c r="P1245" s="1" t="s">
        <v>4952</v>
      </c>
      <c r="Q1245" s="3">
        <v>1</v>
      </c>
      <c r="R1245" s="23" t="s">
        <v>6854</v>
      </c>
      <c r="S1245" s="23" t="s">
        <v>6845</v>
      </c>
      <c r="T1245" s="23" t="s">
        <v>4866</v>
      </c>
      <c r="U1245" s="3">
        <v>35</v>
      </c>
      <c r="W1245" s="45" t="str">
        <f>HYPERLINK("http://ictvonline.org/taxonomy/p/taxonomy-history?taxnode_id=201905491","ICTVonline=201905491")</f>
        <v>ICTVonline=201905491</v>
      </c>
      <c r="AA1245" s="1">
        <v>201900000</v>
      </c>
      <c r="AB1245" s="1">
        <v>35</v>
      </c>
    </row>
    <row r="1246" spans="1:28" x14ac:dyDescent="0.2">
      <c r="A1246" s="1">
        <v>3395</v>
      </c>
      <c r="B1246" s="1" t="s">
        <v>6850</v>
      </c>
      <c r="D1246" s="1" t="s">
        <v>6851</v>
      </c>
      <c r="F1246" s="1" t="s">
        <v>6914</v>
      </c>
      <c r="H1246" s="1" t="s">
        <v>6915</v>
      </c>
      <c r="J1246" s="1" t="s">
        <v>1324</v>
      </c>
      <c r="L1246" s="1" t="s">
        <v>894</v>
      </c>
      <c r="N1246" s="1" t="s">
        <v>6287</v>
      </c>
      <c r="P1246" s="1" t="s">
        <v>4240</v>
      </c>
      <c r="Q1246" s="3">
        <v>1</v>
      </c>
      <c r="R1246" s="23" t="s">
        <v>6854</v>
      </c>
      <c r="S1246" s="23" t="s">
        <v>6845</v>
      </c>
      <c r="T1246" s="23" t="s">
        <v>4866</v>
      </c>
      <c r="U1246" s="3">
        <v>35</v>
      </c>
      <c r="W1246" s="45" t="str">
        <f>HYPERLINK("http://ictvonline.org/taxonomy/p/taxonomy-history?taxnode_id=201900652","ICTVonline=201900652")</f>
        <v>ICTVonline=201900652</v>
      </c>
      <c r="Y1246" s="1" t="s">
        <v>9188</v>
      </c>
      <c r="Z1246" s="1" t="s">
        <v>9189</v>
      </c>
      <c r="AA1246" s="1">
        <v>201900000</v>
      </c>
      <c r="AB1246" s="1">
        <v>35</v>
      </c>
    </row>
    <row r="1247" spans="1:28" x14ac:dyDescent="0.2">
      <c r="A1247" s="1">
        <v>3399</v>
      </c>
      <c r="B1247" s="1" t="s">
        <v>6850</v>
      </c>
      <c r="D1247" s="1" t="s">
        <v>6851</v>
      </c>
      <c r="F1247" s="1" t="s">
        <v>6914</v>
      </c>
      <c r="H1247" s="1" t="s">
        <v>6915</v>
      </c>
      <c r="J1247" s="1" t="s">
        <v>1324</v>
      </c>
      <c r="L1247" s="1" t="s">
        <v>894</v>
      </c>
      <c r="N1247" s="1" t="s">
        <v>9190</v>
      </c>
      <c r="P1247" s="1" t="s">
        <v>9191</v>
      </c>
      <c r="Q1247" s="3">
        <v>1</v>
      </c>
      <c r="R1247" s="23" t="s">
        <v>6854</v>
      </c>
      <c r="S1247" s="23" t="s">
        <v>6849</v>
      </c>
      <c r="T1247" s="23" t="s">
        <v>4864</v>
      </c>
      <c r="U1247" s="3">
        <v>35</v>
      </c>
      <c r="V1247" s="3" t="s">
        <v>9192</v>
      </c>
      <c r="W1247" s="45" t="str">
        <f>HYPERLINK("http://ictvonline.org/taxonomy/p/taxonomy-history?taxnode_id=201908022","ICTVonline=201908022")</f>
        <v>ICTVonline=201908022</v>
      </c>
      <c r="Y1247" s="1" t="s">
        <v>9193</v>
      </c>
      <c r="AA1247" s="1">
        <v>201900000</v>
      </c>
      <c r="AB1247" s="1">
        <v>35</v>
      </c>
    </row>
    <row r="1248" spans="1:28" x14ac:dyDescent="0.2">
      <c r="A1248" s="1">
        <v>3403</v>
      </c>
      <c r="B1248" s="1" t="s">
        <v>6850</v>
      </c>
      <c r="D1248" s="1" t="s">
        <v>6851</v>
      </c>
      <c r="F1248" s="1" t="s">
        <v>6914</v>
      </c>
      <c r="H1248" s="1" t="s">
        <v>6915</v>
      </c>
      <c r="J1248" s="1" t="s">
        <v>1324</v>
      </c>
      <c r="L1248" s="1" t="s">
        <v>894</v>
      </c>
      <c r="N1248" s="1" t="s">
        <v>6288</v>
      </c>
      <c r="P1248" s="1" t="s">
        <v>4241</v>
      </c>
      <c r="Q1248" s="3">
        <v>1</v>
      </c>
      <c r="R1248" s="23" t="s">
        <v>6854</v>
      </c>
      <c r="S1248" s="23" t="s">
        <v>6845</v>
      </c>
      <c r="T1248" s="23" t="s">
        <v>4866</v>
      </c>
      <c r="U1248" s="3">
        <v>35</v>
      </c>
      <c r="W1248" s="45" t="str">
        <f>HYPERLINK("http://ictvonline.org/taxonomy/p/taxonomy-history?taxnode_id=201900654","ICTVonline=201900654")</f>
        <v>ICTVonline=201900654</v>
      </c>
      <c r="Y1248" s="1" t="s">
        <v>9194</v>
      </c>
      <c r="Z1248" s="1" t="s">
        <v>9195</v>
      </c>
      <c r="AA1248" s="1">
        <v>201900000</v>
      </c>
      <c r="AB1248" s="1">
        <v>35</v>
      </c>
    </row>
    <row r="1249" spans="1:28" x14ac:dyDescent="0.2">
      <c r="A1249" s="1">
        <v>3405</v>
      </c>
      <c r="B1249" s="1" t="s">
        <v>6850</v>
      </c>
      <c r="D1249" s="1" t="s">
        <v>6851</v>
      </c>
      <c r="F1249" s="1" t="s">
        <v>6914</v>
      </c>
      <c r="H1249" s="1" t="s">
        <v>6915</v>
      </c>
      <c r="J1249" s="1" t="s">
        <v>1324</v>
      </c>
      <c r="L1249" s="1" t="s">
        <v>894</v>
      </c>
      <c r="N1249" s="1" t="s">
        <v>6288</v>
      </c>
      <c r="P1249" s="1" t="s">
        <v>4242</v>
      </c>
      <c r="Q1249" s="3">
        <v>0</v>
      </c>
      <c r="R1249" s="23" t="s">
        <v>6854</v>
      </c>
      <c r="S1249" s="23" t="s">
        <v>6845</v>
      </c>
      <c r="T1249" s="23" t="s">
        <v>4866</v>
      </c>
      <c r="U1249" s="3">
        <v>35</v>
      </c>
      <c r="W1249" s="45" t="str">
        <f>HYPERLINK("http://ictvonline.org/taxonomy/p/taxonomy-history?taxnode_id=201900655","ICTVonline=201900655")</f>
        <v>ICTVonline=201900655</v>
      </c>
      <c r="Y1249" s="1" t="s">
        <v>9196</v>
      </c>
      <c r="Z1249" s="1" t="s">
        <v>9197</v>
      </c>
      <c r="AA1249" s="1">
        <v>201900000</v>
      </c>
      <c r="AB1249" s="1">
        <v>35</v>
      </c>
    </row>
    <row r="1250" spans="1:28" x14ac:dyDescent="0.2">
      <c r="A1250" s="1">
        <v>3409</v>
      </c>
      <c r="B1250" s="1" t="s">
        <v>6850</v>
      </c>
      <c r="D1250" s="1" t="s">
        <v>6851</v>
      </c>
      <c r="F1250" s="1" t="s">
        <v>6914</v>
      </c>
      <c r="H1250" s="1" t="s">
        <v>6915</v>
      </c>
      <c r="J1250" s="1" t="s">
        <v>1324</v>
      </c>
      <c r="L1250" s="1" t="s">
        <v>894</v>
      </c>
      <c r="N1250" s="1" t="s">
        <v>6289</v>
      </c>
      <c r="P1250" s="1" t="s">
        <v>6290</v>
      </c>
      <c r="Q1250" s="3">
        <v>1</v>
      </c>
      <c r="R1250" s="23" t="s">
        <v>6854</v>
      </c>
      <c r="S1250" s="23" t="s">
        <v>6845</v>
      </c>
      <c r="T1250" s="23" t="s">
        <v>4866</v>
      </c>
      <c r="U1250" s="3">
        <v>35</v>
      </c>
      <c r="W1250" s="45" t="str">
        <f>HYPERLINK("http://ictvonline.org/taxonomy/p/taxonomy-history?taxnode_id=201906843","ICTVonline=201906843")</f>
        <v>ICTVonline=201906843</v>
      </c>
      <c r="Y1250" s="1" t="s">
        <v>9198</v>
      </c>
      <c r="Z1250" s="1" t="s">
        <v>9199</v>
      </c>
      <c r="AA1250" s="1">
        <v>201900000</v>
      </c>
      <c r="AB1250" s="1">
        <v>35</v>
      </c>
    </row>
    <row r="1251" spans="1:28" x14ac:dyDescent="0.2">
      <c r="A1251" s="1">
        <v>3413</v>
      </c>
      <c r="B1251" s="1" t="s">
        <v>6850</v>
      </c>
      <c r="D1251" s="1" t="s">
        <v>6851</v>
      </c>
      <c r="F1251" s="1" t="s">
        <v>6914</v>
      </c>
      <c r="H1251" s="1" t="s">
        <v>6915</v>
      </c>
      <c r="J1251" s="1" t="s">
        <v>1324</v>
      </c>
      <c r="L1251" s="1" t="s">
        <v>894</v>
      </c>
      <c r="N1251" s="1" t="s">
        <v>6291</v>
      </c>
      <c r="P1251" s="1" t="s">
        <v>4245</v>
      </c>
      <c r="Q1251" s="3">
        <v>0</v>
      </c>
      <c r="R1251" s="23" t="s">
        <v>6854</v>
      </c>
      <c r="S1251" s="23" t="s">
        <v>6845</v>
      </c>
      <c r="T1251" s="23" t="s">
        <v>4866</v>
      </c>
      <c r="U1251" s="3">
        <v>35</v>
      </c>
      <c r="W1251" s="45" t="str">
        <f>HYPERLINK("http://ictvonline.org/taxonomy/p/taxonomy-history?taxnode_id=201900688","ICTVonline=201900688")</f>
        <v>ICTVonline=201900688</v>
      </c>
      <c r="Y1251" s="1" t="s">
        <v>9200</v>
      </c>
      <c r="Z1251" s="1" t="s">
        <v>9201</v>
      </c>
      <c r="AA1251" s="1">
        <v>201900000</v>
      </c>
      <c r="AB1251" s="1">
        <v>35</v>
      </c>
    </row>
    <row r="1252" spans="1:28" x14ac:dyDescent="0.2">
      <c r="A1252" s="1">
        <v>3415</v>
      </c>
      <c r="B1252" s="1" t="s">
        <v>6850</v>
      </c>
      <c r="D1252" s="1" t="s">
        <v>6851</v>
      </c>
      <c r="F1252" s="1" t="s">
        <v>6914</v>
      </c>
      <c r="H1252" s="1" t="s">
        <v>6915</v>
      </c>
      <c r="J1252" s="1" t="s">
        <v>1324</v>
      </c>
      <c r="L1252" s="1" t="s">
        <v>894</v>
      </c>
      <c r="N1252" s="1" t="s">
        <v>6291</v>
      </c>
      <c r="P1252" s="1" t="s">
        <v>3011</v>
      </c>
      <c r="Q1252" s="3">
        <v>0</v>
      </c>
      <c r="R1252" s="23" t="s">
        <v>6854</v>
      </c>
      <c r="S1252" s="23" t="s">
        <v>6845</v>
      </c>
      <c r="T1252" s="23" t="s">
        <v>4866</v>
      </c>
      <c r="U1252" s="3">
        <v>35</v>
      </c>
      <c r="W1252" s="45" t="str">
        <f>HYPERLINK("http://ictvonline.org/taxonomy/p/taxonomy-history?taxnode_id=201900689","ICTVonline=201900689")</f>
        <v>ICTVonline=201900689</v>
      </c>
      <c r="Y1252" s="1" t="s">
        <v>9202</v>
      </c>
      <c r="Z1252" s="1" t="s">
        <v>9203</v>
      </c>
      <c r="AA1252" s="1">
        <v>201900000</v>
      </c>
      <c r="AB1252" s="1">
        <v>35</v>
      </c>
    </row>
    <row r="1253" spans="1:28" x14ac:dyDescent="0.2">
      <c r="A1253" s="1">
        <v>3417</v>
      </c>
      <c r="B1253" s="1" t="s">
        <v>6850</v>
      </c>
      <c r="D1253" s="1" t="s">
        <v>6851</v>
      </c>
      <c r="F1253" s="1" t="s">
        <v>6914</v>
      </c>
      <c r="H1253" s="1" t="s">
        <v>6915</v>
      </c>
      <c r="J1253" s="1" t="s">
        <v>1324</v>
      </c>
      <c r="L1253" s="1" t="s">
        <v>894</v>
      </c>
      <c r="N1253" s="1" t="s">
        <v>6291</v>
      </c>
      <c r="P1253" s="1" t="s">
        <v>3012</v>
      </c>
      <c r="Q1253" s="3">
        <v>0</v>
      </c>
      <c r="R1253" s="23" t="s">
        <v>6854</v>
      </c>
      <c r="S1253" s="23" t="s">
        <v>6845</v>
      </c>
      <c r="T1253" s="23" t="s">
        <v>4866</v>
      </c>
      <c r="U1253" s="3">
        <v>35</v>
      </c>
      <c r="W1253" s="45" t="str">
        <f>HYPERLINK("http://ictvonline.org/taxonomy/p/taxonomy-history?taxnode_id=201900690","ICTVonline=201900690")</f>
        <v>ICTVonline=201900690</v>
      </c>
      <c r="Y1253" s="1" t="s">
        <v>9204</v>
      </c>
      <c r="Z1253" s="1" t="s">
        <v>9205</v>
      </c>
      <c r="AA1253" s="1">
        <v>201900000</v>
      </c>
      <c r="AB1253" s="1">
        <v>35</v>
      </c>
    </row>
    <row r="1254" spans="1:28" x14ac:dyDescent="0.2">
      <c r="A1254" s="1">
        <v>3419</v>
      </c>
      <c r="B1254" s="1" t="s">
        <v>6850</v>
      </c>
      <c r="D1254" s="1" t="s">
        <v>6851</v>
      </c>
      <c r="F1254" s="1" t="s">
        <v>6914</v>
      </c>
      <c r="H1254" s="1" t="s">
        <v>6915</v>
      </c>
      <c r="J1254" s="1" t="s">
        <v>1324</v>
      </c>
      <c r="L1254" s="1" t="s">
        <v>894</v>
      </c>
      <c r="N1254" s="1" t="s">
        <v>6291</v>
      </c>
      <c r="P1254" s="1" t="s">
        <v>3013</v>
      </c>
      <c r="Q1254" s="3">
        <v>1</v>
      </c>
      <c r="R1254" s="23" t="s">
        <v>6854</v>
      </c>
      <c r="S1254" s="23" t="s">
        <v>6845</v>
      </c>
      <c r="T1254" s="23" t="s">
        <v>4866</v>
      </c>
      <c r="U1254" s="3">
        <v>35</v>
      </c>
      <c r="W1254" s="45" t="str">
        <f>HYPERLINK("http://ictvonline.org/taxonomy/p/taxonomy-history?taxnode_id=201900691","ICTVonline=201900691")</f>
        <v>ICTVonline=201900691</v>
      </c>
      <c r="AA1254" s="1">
        <v>201900000</v>
      </c>
      <c r="AB1254" s="1">
        <v>35</v>
      </c>
    </row>
    <row r="1255" spans="1:28" x14ac:dyDescent="0.2">
      <c r="A1255" s="1">
        <v>3421</v>
      </c>
      <c r="B1255" s="1" t="s">
        <v>6850</v>
      </c>
      <c r="D1255" s="1" t="s">
        <v>6851</v>
      </c>
      <c r="F1255" s="1" t="s">
        <v>6914</v>
      </c>
      <c r="H1255" s="1" t="s">
        <v>6915</v>
      </c>
      <c r="J1255" s="1" t="s">
        <v>1324</v>
      </c>
      <c r="L1255" s="1" t="s">
        <v>894</v>
      </c>
      <c r="N1255" s="1" t="s">
        <v>6291</v>
      </c>
      <c r="P1255" s="1" t="s">
        <v>3014</v>
      </c>
      <c r="Q1255" s="3">
        <v>0</v>
      </c>
      <c r="R1255" s="23" t="s">
        <v>6854</v>
      </c>
      <c r="S1255" s="23" t="s">
        <v>6845</v>
      </c>
      <c r="T1255" s="23" t="s">
        <v>4866</v>
      </c>
      <c r="U1255" s="3">
        <v>35</v>
      </c>
      <c r="W1255" s="45" t="str">
        <f>HYPERLINK("http://ictvonline.org/taxonomy/p/taxonomy-history?taxnode_id=201900692","ICTVonline=201900692")</f>
        <v>ICTVonline=201900692</v>
      </c>
      <c r="Y1255" s="1" t="s">
        <v>9206</v>
      </c>
      <c r="Z1255" s="1" t="s">
        <v>9207</v>
      </c>
      <c r="AA1255" s="1">
        <v>201900000</v>
      </c>
      <c r="AB1255" s="1">
        <v>35</v>
      </c>
    </row>
    <row r="1256" spans="1:28" x14ac:dyDescent="0.2">
      <c r="A1256" s="1">
        <v>3423</v>
      </c>
      <c r="B1256" s="1" t="s">
        <v>6850</v>
      </c>
      <c r="D1256" s="1" t="s">
        <v>6851</v>
      </c>
      <c r="F1256" s="1" t="s">
        <v>6914</v>
      </c>
      <c r="H1256" s="1" t="s">
        <v>6915</v>
      </c>
      <c r="J1256" s="1" t="s">
        <v>1324</v>
      </c>
      <c r="L1256" s="1" t="s">
        <v>894</v>
      </c>
      <c r="N1256" s="1" t="s">
        <v>6291</v>
      </c>
      <c r="P1256" s="1" t="s">
        <v>3015</v>
      </c>
      <c r="Q1256" s="3">
        <v>0</v>
      </c>
      <c r="R1256" s="23" t="s">
        <v>6854</v>
      </c>
      <c r="S1256" s="23" t="s">
        <v>6845</v>
      </c>
      <c r="T1256" s="23" t="s">
        <v>4866</v>
      </c>
      <c r="U1256" s="3">
        <v>35</v>
      </c>
      <c r="W1256" s="45" t="str">
        <f>HYPERLINK("http://ictvonline.org/taxonomy/p/taxonomy-history?taxnode_id=201900693","ICTVonline=201900693")</f>
        <v>ICTVonline=201900693</v>
      </c>
      <c r="Y1256" s="1" t="s">
        <v>9208</v>
      </c>
      <c r="Z1256" s="1" t="s">
        <v>9209</v>
      </c>
      <c r="AA1256" s="1">
        <v>201900000</v>
      </c>
      <c r="AB1256" s="1">
        <v>35</v>
      </c>
    </row>
    <row r="1257" spans="1:28" x14ac:dyDescent="0.2">
      <c r="A1257" s="1">
        <v>3427</v>
      </c>
      <c r="B1257" s="1" t="s">
        <v>6850</v>
      </c>
      <c r="D1257" s="1" t="s">
        <v>6851</v>
      </c>
      <c r="F1257" s="1" t="s">
        <v>6914</v>
      </c>
      <c r="H1257" s="1" t="s">
        <v>6915</v>
      </c>
      <c r="J1257" s="1" t="s">
        <v>1324</v>
      </c>
      <c r="L1257" s="1" t="s">
        <v>894</v>
      </c>
      <c r="N1257" s="1" t="s">
        <v>6292</v>
      </c>
      <c r="P1257" s="1" t="s">
        <v>9210</v>
      </c>
      <c r="Q1257" s="3">
        <v>0</v>
      </c>
      <c r="R1257" s="23" t="s">
        <v>6854</v>
      </c>
      <c r="S1257" s="23" t="s">
        <v>6849</v>
      </c>
      <c r="T1257" s="23" t="s">
        <v>4865</v>
      </c>
      <c r="U1257" s="3">
        <v>35</v>
      </c>
      <c r="V1257" s="3" t="s">
        <v>8732</v>
      </c>
      <c r="W1257" s="45" t="str">
        <f>HYPERLINK("http://ictvonline.org/taxonomy/p/taxonomy-history?taxnode_id=201900677","ICTVonline=201900677")</f>
        <v>ICTVonline=201900677</v>
      </c>
      <c r="Y1257" s="1" t="s">
        <v>9211</v>
      </c>
      <c r="AA1257" s="1">
        <v>201900000</v>
      </c>
      <c r="AB1257" s="1">
        <v>35</v>
      </c>
    </row>
    <row r="1258" spans="1:28" x14ac:dyDescent="0.2">
      <c r="A1258" s="1">
        <v>3429</v>
      </c>
      <c r="B1258" s="1" t="s">
        <v>6850</v>
      </c>
      <c r="D1258" s="1" t="s">
        <v>6851</v>
      </c>
      <c r="F1258" s="1" t="s">
        <v>6914</v>
      </c>
      <c r="H1258" s="1" t="s">
        <v>6915</v>
      </c>
      <c r="J1258" s="1" t="s">
        <v>1324</v>
      </c>
      <c r="L1258" s="1" t="s">
        <v>894</v>
      </c>
      <c r="N1258" s="1" t="s">
        <v>6292</v>
      </c>
      <c r="P1258" s="1" t="s">
        <v>4953</v>
      </c>
      <c r="Q1258" s="3">
        <v>0</v>
      </c>
      <c r="R1258" s="23" t="s">
        <v>6854</v>
      </c>
      <c r="S1258" s="23" t="s">
        <v>6845</v>
      </c>
      <c r="T1258" s="23" t="s">
        <v>4866</v>
      </c>
      <c r="U1258" s="3">
        <v>35</v>
      </c>
      <c r="W1258" s="45" t="str">
        <f>HYPERLINK("http://ictvonline.org/taxonomy/p/taxonomy-history?taxnode_id=201905493","ICTVonline=201905493")</f>
        <v>ICTVonline=201905493</v>
      </c>
      <c r="AA1258" s="1">
        <v>201900000</v>
      </c>
      <c r="AB1258" s="1">
        <v>35</v>
      </c>
    </row>
    <row r="1259" spans="1:28" x14ac:dyDescent="0.2">
      <c r="A1259" s="1">
        <v>3431</v>
      </c>
      <c r="B1259" s="1" t="s">
        <v>6850</v>
      </c>
      <c r="D1259" s="1" t="s">
        <v>6851</v>
      </c>
      <c r="F1259" s="1" t="s">
        <v>6914</v>
      </c>
      <c r="H1259" s="1" t="s">
        <v>6915</v>
      </c>
      <c r="J1259" s="1" t="s">
        <v>1324</v>
      </c>
      <c r="L1259" s="1" t="s">
        <v>894</v>
      </c>
      <c r="N1259" s="1" t="s">
        <v>6292</v>
      </c>
      <c r="P1259" s="1" t="s">
        <v>3002</v>
      </c>
      <c r="Q1259" s="3">
        <v>1</v>
      </c>
      <c r="R1259" s="23" t="s">
        <v>6854</v>
      </c>
      <c r="S1259" s="23" t="s">
        <v>6845</v>
      </c>
      <c r="T1259" s="23" t="s">
        <v>4866</v>
      </c>
      <c r="U1259" s="3">
        <v>35</v>
      </c>
      <c r="W1259" s="45" t="str">
        <f>HYPERLINK("http://ictvonline.org/taxonomy/p/taxonomy-history?taxnode_id=201900678","ICTVonline=201900678")</f>
        <v>ICTVonline=201900678</v>
      </c>
      <c r="AA1259" s="1">
        <v>201900000</v>
      </c>
      <c r="AB1259" s="1">
        <v>35</v>
      </c>
    </row>
    <row r="1260" spans="1:28" x14ac:dyDescent="0.2">
      <c r="A1260" s="1">
        <v>3433</v>
      </c>
      <c r="B1260" s="1" t="s">
        <v>6850</v>
      </c>
      <c r="D1260" s="1" t="s">
        <v>6851</v>
      </c>
      <c r="F1260" s="1" t="s">
        <v>6914</v>
      </c>
      <c r="H1260" s="1" t="s">
        <v>6915</v>
      </c>
      <c r="J1260" s="1" t="s">
        <v>1324</v>
      </c>
      <c r="L1260" s="1" t="s">
        <v>894</v>
      </c>
      <c r="N1260" s="1" t="s">
        <v>6292</v>
      </c>
      <c r="P1260" s="1" t="s">
        <v>6293</v>
      </c>
      <c r="Q1260" s="3">
        <v>0</v>
      </c>
      <c r="R1260" s="23" t="s">
        <v>6854</v>
      </c>
      <c r="S1260" s="23" t="s">
        <v>6845</v>
      </c>
      <c r="T1260" s="23" t="s">
        <v>4866</v>
      </c>
      <c r="U1260" s="3">
        <v>35</v>
      </c>
      <c r="W1260" s="45" t="str">
        <f>HYPERLINK("http://ictvonline.org/taxonomy/p/taxonomy-history?taxnode_id=201907078","ICTVonline=201907078")</f>
        <v>ICTVonline=201907078</v>
      </c>
      <c r="Y1260" s="1" t="s">
        <v>9212</v>
      </c>
      <c r="Z1260" s="1" t="s">
        <v>8533</v>
      </c>
      <c r="AA1260" s="1">
        <v>201900000</v>
      </c>
      <c r="AB1260" s="1">
        <v>35</v>
      </c>
    </row>
    <row r="1261" spans="1:28" x14ac:dyDescent="0.2">
      <c r="A1261" s="1">
        <v>3435</v>
      </c>
      <c r="B1261" s="1" t="s">
        <v>6850</v>
      </c>
      <c r="D1261" s="1" t="s">
        <v>6851</v>
      </c>
      <c r="F1261" s="1" t="s">
        <v>6914</v>
      </c>
      <c r="H1261" s="1" t="s">
        <v>6915</v>
      </c>
      <c r="J1261" s="1" t="s">
        <v>1324</v>
      </c>
      <c r="L1261" s="1" t="s">
        <v>894</v>
      </c>
      <c r="N1261" s="1" t="s">
        <v>6292</v>
      </c>
      <c r="P1261" s="1" t="s">
        <v>3003</v>
      </c>
      <c r="Q1261" s="3">
        <v>0</v>
      </c>
      <c r="R1261" s="23" t="s">
        <v>6854</v>
      </c>
      <c r="S1261" s="23" t="s">
        <v>6845</v>
      </c>
      <c r="T1261" s="23" t="s">
        <v>4866</v>
      </c>
      <c r="U1261" s="3">
        <v>35</v>
      </c>
      <c r="W1261" s="45" t="str">
        <f>HYPERLINK("http://ictvonline.org/taxonomy/p/taxonomy-history?taxnode_id=201900679","ICTVonline=201900679")</f>
        <v>ICTVonline=201900679</v>
      </c>
      <c r="AA1261" s="1">
        <v>201900000</v>
      </c>
      <c r="AB1261" s="1">
        <v>35</v>
      </c>
    </row>
    <row r="1262" spans="1:28" x14ac:dyDescent="0.2">
      <c r="A1262" s="1">
        <v>3437</v>
      </c>
      <c r="B1262" s="1" t="s">
        <v>6850</v>
      </c>
      <c r="D1262" s="1" t="s">
        <v>6851</v>
      </c>
      <c r="F1262" s="1" t="s">
        <v>6914</v>
      </c>
      <c r="H1262" s="1" t="s">
        <v>6915</v>
      </c>
      <c r="J1262" s="1" t="s">
        <v>1324</v>
      </c>
      <c r="L1262" s="1" t="s">
        <v>894</v>
      </c>
      <c r="N1262" s="1" t="s">
        <v>6292</v>
      </c>
      <c r="P1262" s="1" t="s">
        <v>3004</v>
      </c>
      <c r="Q1262" s="3">
        <v>0</v>
      </c>
      <c r="R1262" s="23" t="s">
        <v>6854</v>
      </c>
      <c r="S1262" s="23" t="s">
        <v>6845</v>
      </c>
      <c r="T1262" s="23" t="s">
        <v>4866</v>
      </c>
      <c r="U1262" s="3">
        <v>35</v>
      </c>
      <c r="W1262" s="45" t="str">
        <f>HYPERLINK("http://ictvonline.org/taxonomy/p/taxonomy-history?taxnode_id=201900680","ICTVonline=201900680")</f>
        <v>ICTVonline=201900680</v>
      </c>
      <c r="AA1262" s="1">
        <v>201900000</v>
      </c>
      <c r="AB1262" s="1">
        <v>35</v>
      </c>
    </row>
    <row r="1263" spans="1:28" x14ac:dyDescent="0.2">
      <c r="A1263" s="1">
        <v>3441</v>
      </c>
      <c r="B1263" s="1" t="s">
        <v>6850</v>
      </c>
      <c r="D1263" s="1" t="s">
        <v>6851</v>
      </c>
      <c r="F1263" s="1" t="s">
        <v>6914</v>
      </c>
      <c r="H1263" s="1" t="s">
        <v>6915</v>
      </c>
      <c r="J1263" s="1" t="s">
        <v>1324</v>
      </c>
      <c r="L1263" s="1" t="s">
        <v>894</v>
      </c>
      <c r="N1263" s="1" t="s">
        <v>6294</v>
      </c>
      <c r="P1263" s="1" t="s">
        <v>2966</v>
      </c>
      <c r="Q1263" s="3">
        <v>1</v>
      </c>
      <c r="R1263" s="23" t="s">
        <v>6854</v>
      </c>
      <c r="S1263" s="23" t="s">
        <v>6845</v>
      </c>
      <c r="T1263" s="23" t="s">
        <v>4866</v>
      </c>
      <c r="U1263" s="3">
        <v>35</v>
      </c>
      <c r="W1263" s="45" t="str">
        <f>HYPERLINK("http://ictvonline.org/taxonomy/p/taxonomy-history?taxnode_id=201900622","ICTVonline=201900622")</f>
        <v>ICTVonline=201900622</v>
      </c>
      <c r="Y1263" s="1" t="s">
        <v>9213</v>
      </c>
      <c r="AA1263" s="1">
        <v>201900000</v>
      </c>
      <c r="AB1263" s="1">
        <v>35</v>
      </c>
    </row>
    <row r="1264" spans="1:28" x14ac:dyDescent="0.2">
      <c r="A1264" s="1">
        <v>3443</v>
      </c>
      <c r="B1264" s="1" t="s">
        <v>6850</v>
      </c>
      <c r="D1264" s="1" t="s">
        <v>6851</v>
      </c>
      <c r="F1264" s="1" t="s">
        <v>6914</v>
      </c>
      <c r="H1264" s="1" t="s">
        <v>6915</v>
      </c>
      <c r="J1264" s="1" t="s">
        <v>1324</v>
      </c>
      <c r="L1264" s="1" t="s">
        <v>894</v>
      </c>
      <c r="N1264" s="1" t="s">
        <v>6294</v>
      </c>
      <c r="P1264" s="1" t="s">
        <v>2967</v>
      </c>
      <c r="Q1264" s="3">
        <v>0</v>
      </c>
      <c r="R1264" s="23" t="s">
        <v>6854</v>
      </c>
      <c r="S1264" s="23" t="s">
        <v>6845</v>
      </c>
      <c r="T1264" s="23" t="s">
        <v>4866</v>
      </c>
      <c r="U1264" s="3">
        <v>35</v>
      </c>
      <c r="W1264" s="45" t="str">
        <f>HYPERLINK("http://ictvonline.org/taxonomy/p/taxonomy-history?taxnode_id=201900623","ICTVonline=201900623")</f>
        <v>ICTVonline=201900623</v>
      </c>
      <c r="Y1264" s="1" t="s">
        <v>9214</v>
      </c>
      <c r="AA1264" s="1">
        <v>201900000</v>
      </c>
      <c r="AB1264" s="1">
        <v>35</v>
      </c>
    </row>
    <row r="1265" spans="1:28" x14ac:dyDescent="0.2">
      <c r="A1265" s="1">
        <v>3445</v>
      </c>
      <c r="B1265" s="1" t="s">
        <v>6850</v>
      </c>
      <c r="D1265" s="1" t="s">
        <v>6851</v>
      </c>
      <c r="F1265" s="1" t="s">
        <v>6914</v>
      </c>
      <c r="H1265" s="1" t="s">
        <v>6915</v>
      </c>
      <c r="J1265" s="1" t="s">
        <v>1324</v>
      </c>
      <c r="L1265" s="1" t="s">
        <v>894</v>
      </c>
      <c r="N1265" s="1" t="s">
        <v>6294</v>
      </c>
      <c r="P1265" s="1" t="s">
        <v>2968</v>
      </c>
      <c r="Q1265" s="3">
        <v>0</v>
      </c>
      <c r="R1265" s="23" t="s">
        <v>6854</v>
      </c>
      <c r="S1265" s="23" t="s">
        <v>6845</v>
      </c>
      <c r="T1265" s="23" t="s">
        <v>4866</v>
      </c>
      <c r="U1265" s="3">
        <v>35</v>
      </c>
      <c r="W1265" s="45" t="str">
        <f>HYPERLINK("http://ictvonline.org/taxonomy/p/taxonomy-history?taxnode_id=201900624","ICTVonline=201900624")</f>
        <v>ICTVonline=201900624</v>
      </c>
      <c r="Y1265" s="1" t="s">
        <v>9215</v>
      </c>
      <c r="AA1265" s="1">
        <v>201900000</v>
      </c>
      <c r="AB1265" s="1">
        <v>35</v>
      </c>
    </row>
    <row r="1266" spans="1:28" x14ac:dyDescent="0.2">
      <c r="A1266" s="1">
        <v>3447</v>
      </c>
      <c r="B1266" s="1" t="s">
        <v>6850</v>
      </c>
      <c r="D1266" s="1" t="s">
        <v>6851</v>
      </c>
      <c r="F1266" s="1" t="s">
        <v>6914</v>
      </c>
      <c r="H1266" s="1" t="s">
        <v>6915</v>
      </c>
      <c r="J1266" s="1" t="s">
        <v>1324</v>
      </c>
      <c r="L1266" s="1" t="s">
        <v>894</v>
      </c>
      <c r="N1266" s="1" t="s">
        <v>6294</v>
      </c>
      <c r="P1266" s="1" t="s">
        <v>2969</v>
      </c>
      <c r="Q1266" s="3">
        <v>0</v>
      </c>
      <c r="R1266" s="23" t="s">
        <v>6854</v>
      </c>
      <c r="S1266" s="23" t="s">
        <v>6845</v>
      </c>
      <c r="T1266" s="23" t="s">
        <v>4866</v>
      </c>
      <c r="U1266" s="3">
        <v>35</v>
      </c>
      <c r="W1266" s="45" t="str">
        <f>HYPERLINK("http://ictvonline.org/taxonomy/p/taxonomy-history?taxnode_id=201900625","ICTVonline=201900625")</f>
        <v>ICTVonline=201900625</v>
      </c>
      <c r="Y1266" s="1" t="s">
        <v>9216</v>
      </c>
      <c r="AA1266" s="1">
        <v>201900000</v>
      </c>
      <c r="AB1266" s="1">
        <v>35</v>
      </c>
    </row>
    <row r="1267" spans="1:28" x14ac:dyDescent="0.2">
      <c r="A1267" s="1">
        <v>3451</v>
      </c>
      <c r="B1267" s="1" t="s">
        <v>6850</v>
      </c>
      <c r="D1267" s="1" t="s">
        <v>6851</v>
      </c>
      <c r="F1267" s="1" t="s">
        <v>6914</v>
      </c>
      <c r="H1267" s="1" t="s">
        <v>6915</v>
      </c>
      <c r="J1267" s="1" t="s">
        <v>1324</v>
      </c>
      <c r="L1267" s="1" t="s">
        <v>894</v>
      </c>
      <c r="N1267" s="1" t="s">
        <v>6295</v>
      </c>
      <c r="P1267" s="1" t="s">
        <v>2972</v>
      </c>
      <c r="Q1267" s="3">
        <v>1</v>
      </c>
      <c r="R1267" s="23" t="s">
        <v>6854</v>
      </c>
      <c r="S1267" s="23" t="s">
        <v>6845</v>
      </c>
      <c r="T1267" s="23" t="s">
        <v>4866</v>
      </c>
      <c r="U1267" s="3">
        <v>35</v>
      </c>
      <c r="W1267" s="45" t="str">
        <f>HYPERLINK("http://ictvonline.org/taxonomy/p/taxonomy-history?taxnode_id=201900630","ICTVonline=201900630")</f>
        <v>ICTVonline=201900630</v>
      </c>
      <c r="Y1267" s="1" t="s">
        <v>9217</v>
      </c>
      <c r="Z1267" s="1" t="s">
        <v>9218</v>
      </c>
      <c r="AA1267" s="1">
        <v>201900000</v>
      </c>
      <c r="AB1267" s="1">
        <v>35</v>
      </c>
    </row>
    <row r="1268" spans="1:28" x14ac:dyDescent="0.2">
      <c r="A1268" s="1">
        <v>3453</v>
      </c>
      <c r="B1268" s="1" t="s">
        <v>6850</v>
      </c>
      <c r="D1268" s="1" t="s">
        <v>6851</v>
      </c>
      <c r="F1268" s="1" t="s">
        <v>6914</v>
      </c>
      <c r="H1268" s="1" t="s">
        <v>6915</v>
      </c>
      <c r="J1268" s="1" t="s">
        <v>1324</v>
      </c>
      <c r="L1268" s="1" t="s">
        <v>894</v>
      </c>
      <c r="N1268" s="1" t="s">
        <v>6295</v>
      </c>
      <c r="P1268" s="1" t="s">
        <v>2973</v>
      </c>
      <c r="Q1268" s="3">
        <v>0</v>
      </c>
      <c r="R1268" s="23" t="s">
        <v>6854</v>
      </c>
      <c r="S1268" s="23" t="s">
        <v>6845</v>
      </c>
      <c r="T1268" s="23" t="s">
        <v>4866</v>
      </c>
      <c r="U1268" s="3">
        <v>35</v>
      </c>
      <c r="W1268" s="45" t="str">
        <f>HYPERLINK("http://ictvonline.org/taxonomy/p/taxonomy-history?taxnode_id=201900631","ICTVonline=201900631")</f>
        <v>ICTVonline=201900631</v>
      </c>
      <c r="Y1268" s="1" t="s">
        <v>9219</v>
      </c>
      <c r="Z1268" s="1" t="s">
        <v>9220</v>
      </c>
      <c r="AA1268" s="1">
        <v>201900000</v>
      </c>
      <c r="AB1268" s="1">
        <v>35</v>
      </c>
    </row>
    <row r="1269" spans="1:28" x14ac:dyDescent="0.2">
      <c r="A1269" s="1">
        <v>3457</v>
      </c>
      <c r="B1269" s="1" t="s">
        <v>6850</v>
      </c>
      <c r="D1269" s="1" t="s">
        <v>6851</v>
      </c>
      <c r="F1269" s="1" t="s">
        <v>6914</v>
      </c>
      <c r="H1269" s="1" t="s">
        <v>6915</v>
      </c>
      <c r="J1269" s="1" t="s">
        <v>1324</v>
      </c>
      <c r="L1269" s="1" t="s">
        <v>894</v>
      </c>
      <c r="N1269" s="1" t="s">
        <v>6296</v>
      </c>
      <c r="P1269" s="1" t="s">
        <v>2988</v>
      </c>
      <c r="Q1269" s="3">
        <v>0</v>
      </c>
      <c r="R1269" s="23" t="s">
        <v>6854</v>
      </c>
      <c r="S1269" s="23" t="s">
        <v>6845</v>
      </c>
      <c r="T1269" s="23" t="s">
        <v>4866</v>
      </c>
      <c r="U1269" s="3">
        <v>35</v>
      </c>
      <c r="W1269" s="45" t="str">
        <f>HYPERLINK("http://ictvonline.org/taxonomy/p/taxonomy-history?taxnode_id=201900657","ICTVonline=201900657")</f>
        <v>ICTVonline=201900657</v>
      </c>
      <c r="Y1269" s="1" t="s">
        <v>9221</v>
      </c>
      <c r="Z1269" s="1" t="s">
        <v>9222</v>
      </c>
      <c r="AA1269" s="1">
        <v>201900000</v>
      </c>
      <c r="AB1269" s="1">
        <v>35</v>
      </c>
    </row>
    <row r="1270" spans="1:28" x14ac:dyDescent="0.2">
      <c r="A1270" s="1">
        <v>3459</v>
      </c>
      <c r="B1270" s="1" t="s">
        <v>6850</v>
      </c>
      <c r="D1270" s="1" t="s">
        <v>6851</v>
      </c>
      <c r="F1270" s="1" t="s">
        <v>6914</v>
      </c>
      <c r="H1270" s="1" t="s">
        <v>6915</v>
      </c>
      <c r="J1270" s="1" t="s">
        <v>1324</v>
      </c>
      <c r="L1270" s="1" t="s">
        <v>894</v>
      </c>
      <c r="N1270" s="1" t="s">
        <v>6296</v>
      </c>
      <c r="P1270" s="1" t="s">
        <v>2989</v>
      </c>
      <c r="Q1270" s="3">
        <v>1</v>
      </c>
      <c r="R1270" s="23" t="s">
        <v>6854</v>
      </c>
      <c r="S1270" s="23" t="s">
        <v>6845</v>
      </c>
      <c r="T1270" s="23" t="s">
        <v>4866</v>
      </c>
      <c r="U1270" s="3">
        <v>35</v>
      </c>
      <c r="W1270" s="45" t="str">
        <f>HYPERLINK("http://ictvonline.org/taxonomy/p/taxonomy-history?taxnode_id=201900658","ICTVonline=201900658")</f>
        <v>ICTVonline=201900658</v>
      </c>
      <c r="Y1270" s="1" t="s">
        <v>9223</v>
      </c>
      <c r="Z1270" s="1" t="s">
        <v>9224</v>
      </c>
      <c r="AA1270" s="1">
        <v>201900000</v>
      </c>
      <c r="AB1270" s="1">
        <v>35</v>
      </c>
    </row>
    <row r="1271" spans="1:28" x14ac:dyDescent="0.2">
      <c r="A1271" s="1">
        <v>3461</v>
      </c>
      <c r="B1271" s="1" t="s">
        <v>6850</v>
      </c>
      <c r="D1271" s="1" t="s">
        <v>6851</v>
      </c>
      <c r="F1271" s="1" t="s">
        <v>6914</v>
      </c>
      <c r="H1271" s="1" t="s">
        <v>6915</v>
      </c>
      <c r="J1271" s="1" t="s">
        <v>1324</v>
      </c>
      <c r="L1271" s="1" t="s">
        <v>894</v>
      </c>
      <c r="N1271" s="1" t="s">
        <v>6296</v>
      </c>
      <c r="P1271" s="1" t="s">
        <v>2990</v>
      </c>
      <c r="Q1271" s="3">
        <v>0</v>
      </c>
      <c r="R1271" s="23" t="s">
        <v>6854</v>
      </c>
      <c r="S1271" s="23" t="s">
        <v>6845</v>
      </c>
      <c r="T1271" s="23" t="s">
        <v>4866</v>
      </c>
      <c r="U1271" s="3">
        <v>35</v>
      </c>
      <c r="W1271" s="45" t="str">
        <f>HYPERLINK("http://ictvonline.org/taxonomy/p/taxonomy-history?taxnode_id=201900659","ICTVonline=201900659")</f>
        <v>ICTVonline=201900659</v>
      </c>
      <c r="Y1271" s="1" t="s">
        <v>9225</v>
      </c>
      <c r="Z1271" s="1" t="s">
        <v>9226</v>
      </c>
      <c r="AA1271" s="1">
        <v>201900000</v>
      </c>
      <c r="AB1271" s="1">
        <v>35</v>
      </c>
    </row>
    <row r="1272" spans="1:28" x14ac:dyDescent="0.2">
      <c r="A1272" s="1">
        <v>3465</v>
      </c>
      <c r="B1272" s="1" t="s">
        <v>6850</v>
      </c>
      <c r="D1272" s="1" t="s">
        <v>6851</v>
      </c>
      <c r="F1272" s="1" t="s">
        <v>6914</v>
      </c>
      <c r="H1272" s="1" t="s">
        <v>6915</v>
      </c>
      <c r="J1272" s="1" t="s">
        <v>1324</v>
      </c>
      <c r="L1272" s="1" t="s">
        <v>894</v>
      </c>
      <c r="N1272" s="1" t="s">
        <v>6297</v>
      </c>
      <c r="P1272" s="1" t="s">
        <v>4243</v>
      </c>
      <c r="Q1272" s="3">
        <v>0</v>
      </c>
      <c r="R1272" s="23" t="s">
        <v>6854</v>
      </c>
      <c r="S1272" s="23" t="s">
        <v>6845</v>
      </c>
      <c r="T1272" s="23" t="s">
        <v>4866</v>
      </c>
      <c r="U1272" s="3">
        <v>35</v>
      </c>
      <c r="W1272" s="45" t="str">
        <f>HYPERLINK("http://ictvonline.org/taxonomy/p/taxonomy-history?taxnode_id=201900669","ICTVonline=201900669")</f>
        <v>ICTVonline=201900669</v>
      </c>
      <c r="Y1272" s="1" t="s">
        <v>9227</v>
      </c>
      <c r="Z1272" s="1" t="s">
        <v>9228</v>
      </c>
      <c r="AA1272" s="1">
        <v>201900000</v>
      </c>
      <c r="AB1272" s="1">
        <v>35</v>
      </c>
    </row>
    <row r="1273" spans="1:28" x14ac:dyDescent="0.2">
      <c r="A1273" s="1">
        <v>3467</v>
      </c>
      <c r="B1273" s="1" t="s">
        <v>6850</v>
      </c>
      <c r="D1273" s="1" t="s">
        <v>6851</v>
      </c>
      <c r="F1273" s="1" t="s">
        <v>6914</v>
      </c>
      <c r="H1273" s="1" t="s">
        <v>6915</v>
      </c>
      <c r="J1273" s="1" t="s">
        <v>1324</v>
      </c>
      <c r="L1273" s="1" t="s">
        <v>894</v>
      </c>
      <c r="N1273" s="1" t="s">
        <v>6297</v>
      </c>
      <c r="P1273" s="1" t="s">
        <v>4244</v>
      </c>
      <c r="Q1273" s="3">
        <v>1</v>
      </c>
      <c r="R1273" s="23" t="s">
        <v>6854</v>
      </c>
      <c r="S1273" s="23" t="s">
        <v>6845</v>
      </c>
      <c r="T1273" s="23" t="s">
        <v>4866</v>
      </c>
      <c r="U1273" s="3">
        <v>35</v>
      </c>
      <c r="W1273" s="45" t="str">
        <f>HYPERLINK("http://ictvonline.org/taxonomy/p/taxonomy-history?taxnode_id=201900670","ICTVonline=201900670")</f>
        <v>ICTVonline=201900670</v>
      </c>
      <c r="Y1273" s="1" t="s">
        <v>9229</v>
      </c>
      <c r="Z1273" s="1" t="s">
        <v>9230</v>
      </c>
      <c r="AA1273" s="1">
        <v>201900000</v>
      </c>
      <c r="AB1273" s="1">
        <v>35</v>
      </c>
    </row>
    <row r="1274" spans="1:28" x14ac:dyDescent="0.2">
      <c r="A1274" s="1">
        <v>3471</v>
      </c>
      <c r="B1274" s="1" t="s">
        <v>6850</v>
      </c>
      <c r="D1274" s="1" t="s">
        <v>6851</v>
      </c>
      <c r="F1274" s="1" t="s">
        <v>6914</v>
      </c>
      <c r="H1274" s="1" t="s">
        <v>6915</v>
      </c>
      <c r="J1274" s="1" t="s">
        <v>1324</v>
      </c>
      <c r="L1274" s="1" t="s">
        <v>894</v>
      </c>
      <c r="N1274" s="1" t="s">
        <v>9231</v>
      </c>
      <c r="P1274" s="1" t="s">
        <v>9232</v>
      </c>
      <c r="Q1274" s="3">
        <v>1</v>
      </c>
      <c r="R1274" s="23" t="s">
        <v>6854</v>
      </c>
      <c r="S1274" s="23" t="s">
        <v>6849</v>
      </c>
      <c r="T1274" s="23" t="s">
        <v>4864</v>
      </c>
      <c r="U1274" s="3">
        <v>35</v>
      </c>
      <c r="V1274" s="3" t="s">
        <v>9233</v>
      </c>
      <c r="W1274" s="45" t="str">
        <f>HYPERLINK("http://ictvonline.org/taxonomy/p/taxonomy-history?taxnode_id=201907900","ICTVonline=201907900")</f>
        <v>ICTVonline=201907900</v>
      </c>
      <c r="Y1274" s="1" t="s">
        <v>9234</v>
      </c>
      <c r="AA1274" s="1">
        <v>201900000</v>
      </c>
      <c r="AB1274" s="1">
        <v>35</v>
      </c>
    </row>
    <row r="1275" spans="1:28" x14ac:dyDescent="0.2">
      <c r="A1275" s="1">
        <v>3473</v>
      </c>
      <c r="B1275" s="1" t="s">
        <v>6850</v>
      </c>
      <c r="D1275" s="1" t="s">
        <v>6851</v>
      </c>
      <c r="F1275" s="1" t="s">
        <v>6914</v>
      </c>
      <c r="H1275" s="1" t="s">
        <v>6915</v>
      </c>
      <c r="J1275" s="1" t="s">
        <v>1324</v>
      </c>
      <c r="L1275" s="1" t="s">
        <v>894</v>
      </c>
      <c r="N1275" s="1" t="s">
        <v>9231</v>
      </c>
      <c r="P1275" s="1" t="s">
        <v>9235</v>
      </c>
      <c r="Q1275" s="3">
        <v>0</v>
      </c>
      <c r="R1275" s="23" t="s">
        <v>6854</v>
      </c>
      <c r="S1275" s="23" t="s">
        <v>6849</v>
      </c>
      <c r="T1275" s="23" t="s">
        <v>4864</v>
      </c>
      <c r="U1275" s="3">
        <v>35</v>
      </c>
      <c r="V1275" s="3" t="s">
        <v>9233</v>
      </c>
      <c r="W1275" s="45" t="str">
        <f>HYPERLINK("http://ictvonline.org/taxonomy/p/taxonomy-history?taxnode_id=201907903","ICTVonline=201907903")</f>
        <v>ICTVonline=201907903</v>
      </c>
      <c r="Y1275" s="1" t="s">
        <v>9236</v>
      </c>
      <c r="AA1275" s="1">
        <v>201900000</v>
      </c>
      <c r="AB1275" s="1">
        <v>35</v>
      </c>
    </row>
    <row r="1276" spans="1:28" x14ac:dyDescent="0.2">
      <c r="A1276" s="1">
        <v>3475</v>
      </c>
      <c r="B1276" s="1" t="s">
        <v>6850</v>
      </c>
      <c r="D1276" s="1" t="s">
        <v>6851</v>
      </c>
      <c r="F1276" s="1" t="s">
        <v>6914</v>
      </c>
      <c r="H1276" s="1" t="s">
        <v>6915</v>
      </c>
      <c r="J1276" s="1" t="s">
        <v>1324</v>
      </c>
      <c r="L1276" s="1" t="s">
        <v>894</v>
      </c>
      <c r="N1276" s="1" t="s">
        <v>9231</v>
      </c>
      <c r="P1276" s="1" t="s">
        <v>9237</v>
      </c>
      <c r="Q1276" s="3">
        <v>0</v>
      </c>
      <c r="R1276" s="23" t="s">
        <v>6854</v>
      </c>
      <c r="S1276" s="23" t="s">
        <v>6849</v>
      </c>
      <c r="T1276" s="23" t="s">
        <v>4864</v>
      </c>
      <c r="U1276" s="3">
        <v>35</v>
      </c>
      <c r="V1276" s="3" t="s">
        <v>9233</v>
      </c>
      <c r="W1276" s="45" t="str">
        <f>HYPERLINK("http://ictvonline.org/taxonomy/p/taxonomy-history?taxnode_id=201907901","ICTVonline=201907901")</f>
        <v>ICTVonline=201907901</v>
      </c>
      <c r="Y1276" s="1" t="s">
        <v>9238</v>
      </c>
      <c r="AA1276" s="1">
        <v>201900000</v>
      </c>
      <c r="AB1276" s="1">
        <v>35</v>
      </c>
    </row>
    <row r="1277" spans="1:28" x14ac:dyDescent="0.2">
      <c r="A1277" s="1">
        <v>3477</v>
      </c>
      <c r="B1277" s="1" t="s">
        <v>6850</v>
      </c>
      <c r="D1277" s="1" t="s">
        <v>6851</v>
      </c>
      <c r="F1277" s="1" t="s">
        <v>6914</v>
      </c>
      <c r="H1277" s="1" t="s">
        <v>6915</v>
      </c>
      <c r="J1277" s="1" t="s">
        <v>1324</v>
      </c>
      <c r="L1277" s="1" t="s">
        <v>894</v>
      </c>
      <c r="N1277" s="1" t="s">
        <v>9231</v>
      </c>
      <c r="P1277" s="1" t="s">
        <v>9239</v>
      </c>
      <c r="Q1277" s="3">
        <v>0</v>
      </c>
      <c r="R1277" s="23" t="s">
        <v>6854</v>
      </c>
      <c r="S1277" s="23" t="s">
        <v>6849</v>
      </c>
      <c r="T1277" s="23" t="s">
        <v>4864</v>
      </c>
      <c r="U1277" s="3">
        <v>35</v>
      </c>
      <c r="V1277" s="3" t="s">
        <v>9233</v>
      </c>
      <c r="W1277" s="45" t="str">
        <f>HYPERLINK("http://ictvonline.org/taxonomy/p/taxonomy-history?taxnode_id=201907902","ICTVonline=201907902")</f>
        <v>ICTVonline=201907902</v>
      </c>
      <c r="Y1277" s="1" t="s">
        <v>9240</v>
      </c>
      <c r="AA1277" s="1">
        <v>201900000</v>
      </c>
      <c r="AB1277" s="1">
        <v>35</v>
      </c>
    </row>
    <row r="1278" spans="1:28" x14ac:dyDescent="0.2">
      <c r="A1278" s="1">
        <v>3481</v>
      </c>
      <c r="B1278" s="1" t="s">
        <v>6850</v>
      </c>
      <c r="D1278" s="1" t="s">
        <v>6851</v>
      </c>
      <c r="F1278" s="1" t="s">
        <v>6914</v>
      </c>
      <c r="H1278" s="1" t="s">
        <v>6915</v>
      </c>
      <c r="J1278" s="1" t="s">
        <v>1324</v>
      </c>
      <c r="L1278" s="1" t="s">
        <v>894</v>
      </c>
      <c r="N1278" s="1" t="s">
        <v>6298</v>
      </c>
      <c r="P1278" s="1" t="s">
        <v>6299</v>
      </c>
      <c r="Q1278" s="3">
        <v>1</v>
      </c>
      <c r="R1278" s="23" t="s">
        <v>6854</v>
      </c>
      <c r="S1278" s="23" t="s">
        <v>6845</v>
      </c>
      <c r="T1278" s="23" t="s">
        <v>4866</v>
      </c>
      <c r="U1278" s="3">
        <v>35</v>
      </c>
      <c r="W1278" s="45" t="str">
        <f>HYPERLINK("http://ictvonline.org/taxonomy/p/taxonomy-history?taxnode_id=201906850","ICTVonline=201906850")</f>
        <v>ICTVonline=201906850</v>
      </c>
      <c r="Y1278" s="1" t="s">
        <v>9241</v>
      </c>
      <c r="Z1278" s="1" t="s">
        <v>9242</v>
      </c>
      <c r="AA1278" s="1">
        <v>201900000</v>
      </c>
      <c r="AB1278" s="1">
        <v>35</v>
      </c>
    </row>
    <row r="1279" spans="1:28" x14ac:dyDescent="0.2">
      <c r="A1279" s="1">
        <v>3485</v>
      </c>
      <c r="B1279" s="1" t="s">
        <v>6850</v>
      </c>
      <c r="D1279" s="1" t="s">
        <v>6851</v>
      </c>
      <c r="F1279" s="1" t="s">
        <v>6914</v>
      </c>
      <c r="H1279" s="1" t="s">
        <v>6915</v>
      </c>
      <c r="J1279" s="1" t="s">
        <v>1324</v>
      </c>
      <c r="L1279" s="1" t="s">
        <v>894</v>
      </c>
      <c r="N1279" s="1" t="s">
        <v>3005</v>
      </c>
      <c r="P1279" s="1" t="s">
        <v>3006</v>
      </c>
      <c r="Q1279" s="3">
        <v>1</v>
      </c>
      <c r="R1279" s="23" t="s">
        <v>6854</v>
      </c>
      <c r="S1279" s="23" t="s">
        <v>6845</v>
      </c>
      <c r="T1279" s="23" t="s">
        <v>4866</v>
      </c>
      <c r="U1279" s="3">
        <v>35</v>
      </c>
      <c r="W1279" s="45" t="str">
        <f>HYPERLINK("http://ictvonline.org/taxonomy/p/taxonomy-history?taxnode_id=201900682","ICTVonline=201900682")</f>
        <v>ICTVonline=201900682</v>
      </c>
      <c r="Y1279" s="1" t="s">
        <v>9243</v>
      </c>
      <c r="Z1279" s="1" t="s">
        <v>9244</v>
      </c>
      <c r="AA1279" s="1">
        <v>201900000</v>
      </c>
      <c r="AB1279" s="1">
        <v>35</v>
      </c>
    </row>
    <row r="1280" spans="1:28" x14ac:dyDescent="0.2">
      <c r="A1280" s="1">
        <v>3487</v>
      </c>
      <c r="B1280" s="1" t="s">
        <v>6850</v>
      </c>
      <c r="D1280" s="1" t="s">
        <v>6851</v>
      </c>
      <c r="F1280" s="1" t="s">
        <v>6914</v>
      </c>
      <c r="H1280" s="1" t="s">
        <v>6915</v>
      </c>
      <c r="J1280" s="1" t="s">
        <v>1324</v>
      </c>
      <c r="L1280" s="1" t="s">
        <v>894</v>
      </c>
      <c r="N1280" s="1" t="s">
        <v>3005</v>
      </c>
      <c r="P1280" s="1" t="s">
        <v>3007</v>
      </c>
      <c r="Q1280" s="3">
        <v>0</v>
      </c>
      <c r="R1280" s="23" t="s">
        <v>6854</v>
      </c>
      <c r="S1280" s="23" t="s">
        <v>6845</v>
      </c>
      <c r="T1280" s="23" t="s">
        <v>4866</v>
      </c>
      <c r="U1280" s="3">
        <v>35</v>
      </c>
      <c r="W1280" s="45" t="str">
        <f>HYPERLINK("http://ictvonline.org/taxonomy/p/taxonomy-history?taxnode_id=201900683","ICTVonline=201900683")</f>
        <v>ICTVonline=201900683</v>
      </c>
      <c r="Y1280" s="1" t="s">
        <v>9245</v>
      </c>
      <c r="Z1280" s="1" t="s">
        <v>9246</v>
      </c>
      <c r="AA1280" s="1">
        <v>201900000</v>
      </c>
      <c r="AB1280" s="1">
        <v>35</v>
      </c>
    </row>
    <row r="1281" spans="1:28" x14ac:dyDescent="0.2">
      <c r="A1281" s="1">
        <v>3489</v>
      </c>
      <c r="B1281" s="1" t="s">
        <v>6850</v>
      </c>
      <c r="D1281" s="1" t="s">
        <v>6851</v>
      </c>
      <c r="F1281" s="1" t="s">
        <v>6914</v>
      </c>
      <c r="H1281" s="1" t="s">
        <v>6915</v>
      </c>
      <c r="J1281" s="1" t="s">
        <v>1324</v>
      </c>
      <c r="L1281" s="1" t="s">
        <v>894</v>
      </c>
      <c r="N1281" s="1" t="s">
        <v>3005</v>
      </c>
      <c r="P1281" s="1" t="s">
        <v>3008</v>
      </c>
      <c r="Q1281" s="3">
        <v>0</v>
      </c>
      <c r="R1281" s="23" t="s">
        <v>6854</v>
      </c>
      <c r="S1281" s="23" t="s">
        <v>6845</v>
      </c>
      <c r="T1281" s="23" t="s">
        <v>4866</v>
      </c>
      <c r="U1281" s="3">
        <v>35</v>
      </c>
      <c r="W1281" s="45" t="str">
        <f>HYPERLINK("http://ictvonline.org/taxonomy/p/taxonomy-history?taxnode_id=201900684","ICTVonline=201900684")</f>
        <v>ICTVonline=201900684</v>
      </c>
      <c r="Y1281" s="1" t="s">
        <v>9247</v>
      </c>
      <c r="Z1281" s="1" t="s">
        <v>9248</v>
      </c>
      <c r="AA1281" s="1">
        <v>201900000</v>
      </c>
      <c r="AB1281" s="1">
        <v>35</v>
      </c>
    </row>
    <row r="1282" spans="1:28" x14ac:dyDescent="0.2">
      <c r="A1282" s="1">
        <v>3491</v>
      </c>
      <c r="B1282" s="1" t="s">
        <v>6850</v>
      </c>
      <c r="D1282" s="1" t="s">
        <v>6851</v>
      </c>
      <c r="F1282" s="1" t="s">
        <v>6914</v>
      </c>
      <c r="H1282" s="1" t="s">
        <v>6915</v>
      </c>
      <c r="J1282" s="1" t="s">
        <v>1324</v>
      </c>
      <c r="L1282" s="1" t="s">
        <v>894</v>
      </c>
      <c r="N1282" s="1" t="s">
        <v>3005</v>
      </c>
      <c r="P1282" s="1" t="s">
        <v>3009</v>
      </c>
      <c r="Q1282" s="3">
        <v>0</v>
      </c>
      <c r="R1282" s="23" t="s">
        <v>6854</v>
      </c>
      <c r="S1282" s="23" t="s">
        <v>6845</v>
      </c>
      <c r="T1282" s="23" t="s">
        <v>4866</v>
      </c>
      <c r="U1282" s="3">
        <v>35</v>
      </c>
      <c r="W1282" s="45" t="str">
        <f>HYPERLINK("http://ictvonline.org/taxonomy/p/taxonomy-history?taxnode_id=201900685","ICTVonline=201900685")</f>
        <v>ICTVonline=201900685</v>
      </c>
      <c r="Y1282" s="1" t="s">
        <v>9249</v>
      </c>
      <c r="Z1282" s="1" t="s">
        <v>9250</v>
      </c>
      <c r="AA1282" s="1">
        <v>201900000</v>
      </c>
      <c r="AB1282" s="1">
        <v>35</v>
      </c>
    </row>
    <row r="1283" spans="1:28" x14ac:dyDescent="0.2">
      <c r="A1283" s="1">
        <v>3493</v>
      </c>
      <c r="B1283" s="1" t="s">
        <v>6850</v>
      </c>
      <c r="D1283" s="1" t="s">
        <v>6851</v>
      </c>
      <c r="F1283" s="1" t="s">
        <v>6914</v>
      </c>
      <c r="H1283" s="1" t="s">
        <v>6915</v>
      </c>
      <c r="J1283" s="1" t="s">
        <v>1324</v>
      </c>
      <c r="L1283" s="1" t="s">
        <v>894</v>
      </c>
      <c r="N1283" s="1" t="s">
        <v>3005</v>
      </c>
      <c r="P1283" s="1" t="s">
        <v>3010</v>
      </c>
      <c r="Q1283" s="3">
        <v>0</v>
      </c>
      <c r="R1283" s="23" t="s">
        <v>6854</v>
      </c>
      <c r="S1283" s="23" t="s">
        <v>6845</v>
      </c>
      <c r="T1283" s="23" t="s">
        <v>4866</v>
      </c>
      <c r="U1283" s="3">
        <v>35</v>
      </c>
      <c r="W1283" s="45" t="str">
        <f>HYPERLINK("http://ictvonline.org/taxonomy/p/taxonomy-history?taxnode_id=201900686","ICTVonline=201900686")</f>
        <v>ICTVonline=201900686</v>
      </c>
      <c r="Y1283" s="1" t="s">
        <v>9251</v>
      </c>
      <c r="Z1283" s="1" t="s">
        <v>9252</v>
      </c>
      <c r="AA1283" s="1">
        <v>201900000</v>
      </c>
      <c r="AB1283" s="1">
        <v>35</v>
      </c>
    </row>
    <row r="1284" spans="1:28" x14ac:dyDescent="0.2">
      <c r="A1284" s="1">
        <v>3497</v>
      </c>
      <c r="B1284" s="1" t="s">
        <v>6850</v>
      </c>
      <c r="D1284" s="1" t="s">
        <v>6851</v>
      </c>
      <c r="F1284" s="1" t="s">
        <v>6914</v>
      </c>
      <c r="H1284" s="1" t="s">
        <v>6915</v>
      </c>
      <c r="J1284" s="1" t="s">
        <v>1324</v>
      </c>
      <c r="L1284" s="1" t="s">
        <v>894</v>
      </c>
      <c r="N1284" s="1" t="s">
        <v>6300</v>
      </c>
      <c r="P1284" s="1" t="s">
        <v>4246</v>
      </c>
      <c r="Q1284" s="3">
        <v>1</v>
      </c>
      <c r="R1284" s="23" t="s">
        <v>6854</v>
      </c>
      <c r="S1284" s="23" t="s">
        <v>6845</v>
      </c>
      <c r="T1284" s="23" t="s">
        <v>4866</v>
      </c>
      <c r="U1284" s="3">
        <v>35</v>
      </c>
      <c r="W1284" s="45" t="str">
        <f>HYPERLINK("http://ictvonline.org/taxonomy/p/taxonomy-history?taxnode_id=201900695","ICTVonline=201900695")</f>
        <v>ICTVonline=201900695</v>
      </c>
      <c r="Y1284" s="1" t="s">
        <v>9253</v>
      </c>
      <c r="Z1284" s="1" t="s">
        <v>9254</v>
      </c>
      <c r="AA1284" s="1">
        <v>201900000</v>
      </c>
      <c r="AB1284" s="1">
        <v>35</v>
      </c>
    </row>
    <row r="1285" spans="1:28" x14ac:dyDescent="0.2">
      <c r="A1285" s="1">
        <v>3499</v>
      </c>
      <c r="B1285" s="1" t="s">
        <v>6850</v>
      </c>
      <c r="D1285" s="1" t="s">
        <v>6851</v>
      </c>
      <c r="F1285" s="1" t="s">
        <v>6914</v>
      </c>
      <c r="H1285" s="1" t="s">
        <v>6915</v>
      </c>
      <c r="J1285" s="1" t="s">
        <v>1324</v>
      </c>
      <c r="L1285" s="1" t="s">
        <v>894</v>
      </c>
      <c r="N1285" s="1" t="s">
        <v>6300</v>
      </c>
      <c r="P1285" s="1" t="s">
        <v>4247</v>
      </c>
      <c r="Q1285" s="3">
        <v>0</v>
      </c>
      <c r="R1285" s="23" t="s">
        <v>6854</v>
      </c>
      <c r="S1285" s="23" t="s">
        <v>6845</v>
      </c>
      <c r="T1285" s="23" t="s">
        <v>4866</v>
      </c>
      <c r="U1285" s="3">
        <v>35</v>
      </c>
      <c r="W1285" s="45" t="str">
        <f>HYPERLINK("http://ictvonline.org/taxonomy/p/taxonomy-history?taxnode_id=201900696","ICTVonline=201900696")</f>
        <v>ICTVonline=201900696</v>
      </c>
      <c r="Y1285" s="1" t="s">
        <v>9255</v>
      </c>
      <c r="Z1285" s="1" t="s">
        <v>9256</v>
      </c>
      <c r="AA1285" s="1">
        <v>201900000</v>
      </c>
      <c r="AB1285" s="1">
        <v>35</v>
      </c>
    </row>
    <row r="1286" spans="1:28" x14ac:dyDescent="0.2">
      <c r="A1286" s="1">
        <v>3503</v>
      </c>
      <c r="B1286" s="1" t="s">
        <v>6850</v>
      </c>
      <c r="D1286" s="1" t="s">
        <v>6851</v>
      </c>
      <c r="F1286" s="1" t="s">
        <v>6914</v>
      </c>
      <c r="H1286" s="1" t="s">
        <v>6915</v>
      </c>
      <c r="J1286" s="1" t="s">
        <v>1324</v>
      </c>
      <c r="L1286" s="1" t="s">
        <v>894</v>
      </c>
      <c r="N1286" s="1" t="s">
        <v>6301</v>
      </c>
      <c r="P1286" s="1" t="s">
        <v>2970</v>
      </c>
      <c r="Q1286" s="3">
        <v>1</v>
      </c>
      <c r="R1286" s="23" t="s">
        <v>6854</v>
      </c>
      <c r="S1286" s="23" t="s">
        <v>6845</v>
      </c>
      <c r="T1286" s="23" t="s">
        <v>4866</v>
      </c>
      <c r="U1286" s="3">
        <v>35</v>
      </c>
      <c r="W1286" s="45" t="str">
        <f>HYPERLINK("http://ictvonline.org/taxonomy/p/taxonomy-history?taxnode_id=201900627","ICTVonline=201900627")</f>
        <v>ICTVonline=201900627</v>
      </c>
      <c r="AA1286" s="1">
        <v>201900000</v>
      </c>
      <c r="AB1286" s="1">
        <v>35</v>
      </c>
    </row>
    <row r="1287" spans="1:28" x14ac:dyDescent="0.2">
      <c r="A1287" s="1">
        <v>3507</v>
      </c>
      <c r="B1287" s="1" t="s">
        <v>6850</v>
      </c>
      <c r="D1287" s="1" t="s">
        <v>6851</v>
      </c>
      <c r="F1287" s="1" t="s">
        <v>6914</v>
      </c>
      <c r="H1287" s="1" t="s">
        <v>6915</v>
      </c>
      <c r="J1287" s="1" t="s">
        <v>1324</v>
      </c>
      <c r="L1287" s="1" t="s">
        <v>894</v>
      </c>
      <c r="N1287" s="1" t="s">
        <v>9257</v>
      </c>
      <c r="P1287" s="1" t="s">
        <v>2971</v>
      </c>
      <c r="Q1287" s="3">
        <v>1</v>
      </c>
      <c r="R1287" s="23" t="s">
        <v>6854</v>
      </c>
      <c r="S1287" s="23" t="s">
        <v>6849</v>
      </c>
      <c r="T1287" s="23" t="s">
        <v>6395</v>
      </c>
      <c r="U1287" s="3">
        <v>35</v>
      </c>
      <c r="V1287" s="3" t="s">
        <v>9192</v>
      </c>
      <c r="W1287" s="45" t="str">
        <f>HYPERLINK("http://ictvonline.org/taxonomy/p/taxonomy-history?taxnode_id=201900628","ICTVonline=201900628")</f>
        <v>ICTVonline=201900628</v>
      </c>
      <c r="Y1287" s="1" t="s">
        <v>9258</v>
      </c>
      <c r="AA1287" s="1">
        <v>201900000</v>
      </c>
      <c r="AB1287" s="1">
        <v>35</v>
      </c>
    </row>
    <row r="1288" spans="1:28" x14ac:dyDescent="0.2">
      <c r="A1288" s="1">
        <v>3511</v>
      </c>
      <c r="B1288" s="1" t="s">
        <v>6850</v>
      </c>
      <c r="D1288" s="1" t="s">
        <v>6851</v>
      </c>
      <c r="F1288" s="1" t="s">
        <v>6914</v>
      </c>
      <c r="H1288" s="1" t="s">
        <v>6915</v>
      </c>
      <c r="J1288" s="1" t="s">
        <v>1324</v>
      </c>
      <c r="L1288" s="1" t="s">
        <v>894</v>
      </c>
      <c r="N1288" s="1" t="s">
        <v>6302</v>
      </c>
      <c r="P1288" s="1" t="s">
        <v>4248</v>
      </c>
      <c r="Q1288" s="3">
        <v>1</v>
      </c>
      <c r="R1288" s="23" t="s">
        <v>6854</v>
      </c>
      <c r="S1288" s="23" t="s">
        <v>6845</v>
      </c>
      <c r="T1288" s="23" t="s">
        <v>4866</v>
      </c>
      <c r="U1288" s="3">
        <v>35</v>
      </c>
      <c r="W1288" s="45" t="str">
        <f>HYPERLINK("http://ictvonline.org/taxonomy/p/taxonomy-history?taxnode_id=201900698","ICTVonline=201900698")</f>
        <v>ICTVonline=201900698</v>
      </c>
      <c r="Y1288" s="1" t="s">
        <v>9259</v>
      </c>
      <c r="Z1288" s="1" t="s">
        <v>9260</v>
      </c>
      <c r="AA1288" s="1">
        <v>201900000</v>
      </c>
      <c r="AB1288" s="1">
        <v>35</v>
      </c>
    </row>
    <row r="1289" spans="1:28" x14ac:dyDescent="0.2">
      <c r="A1289" s="1">
        <v>3513</v>
      </c>
      <c r="B1289" s="1" t="s">
        <v>6850</v>
      </c>
      <c r="D1289" s="1" t="s">
        <v>6851</v>
      </c>
      <c r="F1289" s="1" t="s">
        <v>6914</v>
      </c>
      <c r="H1289" s="1" t="s">
        <v>6915</v>
      </c>
      <c r="J1289" s="1" t="s">
        <v>1324</v>
      </c>
      <c r="L1289" s="1" t="s">
        <v>894</v>
      </c>
      <c r="N1289" s="1" t="s">
        <v>6302</v>
      </c>
      <c r="P1289" s="1" t="s">
        <v>4249</v>
      </c>
      <c r="Q1289" s="3">
        <v>0</v>
      </c>
      <c r="R1289" s="23" t="s">
        <v>6854</v>
      </c>
      <c r="S1289" s="23" t="s">
        <v>6845</v>
      </c>
      <c r="T1289" s="23" t="s">
        <v>4866</v>
      </c>
      <c r="U1289" s="3">
        <v>35</v>
      </c>
      <c r="W1289" s="45" t="str">
        <f>HYPERLINK("http://ictvonline.org/taxonomy/p/taxonomy-history?taxnode_id=201900699","ICTVonline=201900699")</f>
        <v>ICTVonline=201900699</v>
      </c>
      <c r="Y1289" s="1" t="s">
        <v>9261</v>
      </c>
      <c r="Z1289" s="1" t="s">
        <v>9262</v>
      </c>
      <c r="AA1289" s="1">
        <v>201900000</v>
      </c>
      <c r="AB1289" s="1">
        <v>35</v>
      </c>
    </row>
    <row r="1290" spans="1:28" x14ac:dyDescent="0.2">
      <c r="A1290" s="1">
        <v>3515</v>
      </c>
      <c r="B1290" s="1" t="s">
        <v>6850</v>
      </c>
      <c r="D1290" s="1" t="s">
        <v>6851</v>
      </c>
      <c r="F1290" s="1" t="s">
        <v>6914</v>
      </c>
      <c r="H1290" s="1" t="s">
        <v>6915</v>
      </c>
      <c r="J1290" s="1" t="s">
        <v>1324</v>
      </c>
      <c r="L1290" s="1" t="s">
        <v>894</v>
      </c>
      <c r="N1290" s="1" t="s">
        <v>6302</v>
      </c>
      <c r="P1290" s="1" t="s">
        <v>4250</v>
      </c>
      <c r="Q1290" s="3">
        <v>0</v>
      </c>
      <c r="R1290" s="23" t="s">
        <v>6854</v>
      </c>
      <c r="S1290" s="23" t="s">
        <v>6845</v>
      </c>
      <c r="T1290" s="23" t="s">
        <v>4866</v>
      </c>
      <c r="U1290" s="3">
        <v>35</v>
      </c>
      <c r="W1290" s="45" t="str">
        <f>HYPERLINK("http://ictvonline.org/taxonomy/p/taxonomy-history?taxnode_id=201900700","ICTVonline=201900700")</f>
        <v>ICTVonline=201900700</v>
      </c>
      <c r="Y1290" s="1" t="s">
        <v>9263</v>
      </c>
      <c r="Z1290" s="1" t="s">
        <v>9264</v>
      </c>
      <c r="AA1290" s="1">
        <v>201900000</v>
      </c>
      <c r="AB1290" s="1">
        <v>35</v>
      </c>
    </row>
    <row r="1291" spans="1:28" x14ac:dyDescent="0.2">
      <c r="A1291" s="1">
        <v>3519</v>
      </c>
      <c r="B1291" s="1" t="s">
        <v>6850</v>
      </c>
      <c r="D1291" s="1" t="s">
        <v>6851</v>
      </c>
      <c r="F1291" s="1" t="s">
        <v>6914</v>
      </c>
      <c r="H1291" s="1" t="s">
        <v>6915</v>
      </c>
      <c r="J1291" s="1" t="s">
        <v>1324</v>
      </c>
      <c r="L1291" s="1" t="s">
        <v>894</v>
      </c>
      <c r="N1291" s="1" t="s">
        <v>9265</v>
      </c>
      <c r="P1291" s="1" t="s">
        <v>9266</v>
      </c>
      <c r="Q1291" s="3">
        <v>1</v>
      </c>
      <c r="R1291" s="23" t="s">
        <v>6854</v>
      </c>
      <c r="S1291" s="23" t="s">
        <v>6849</v>
      </c>
      <c r="T1291" s="23" t="s">
        <v>4864</v>
      </c>
      <c r="U1291" s="3">
        <v>35</v>
      </c>
      <c r="V1291" s="3" t="s">
        <v>9267</v>
      </c>
      <c r="W1291" s="45" t="str">
        <f>HYPERLINK("http://ictvonline.org/taxonomy/p/taxonomy-history?taxnode_id=201907691","ICTVonline=201907691")</f>
        <v>ICTVonline=201907691</v>
      </c>
      <c r="Y1291" s="1" t="s">
        <v>9268</v>
      </c>
      <c r="AA1291" s="1">
        <v>201900000</v>
      </c>
      <c r="AB1291" s="1">
        <v>35</v>
      </c>
    </row>
    <row r="1292" spans="1:28" x14ac:dyDescent="0.2">
      <c r="A1292" s="1">
        <v>3523</v>
      </c>
      <c r="B1292" s="1" t="s">
        <v>6850</v>
      </c>
      <c r="D1292" s="1" t="s">
        <v>6851</v>
      </c>
      <c r="F1292" s="1" t="s">
        <v>6914</v>
      </c>
      <c r="H1292" s="1" t="s">
        <v>6915</v>
      </c>
      <c r="J1292" s="1" t="s">
        <v>1324</v>
      </c>
      <c r="L1292" s="1" t="s">
        <v>894</v>
      </c>
      <c r="N1292" s="1" t="s">
        <v>9269</v>
      </c>
      <c r="P1292" s="1" t="s">
        <v>9270</v>
      </c>
      <c r="Q1292" s="3">
        <v>1</v>
      </c>
      <c r="R1292" s="23" t="s">
        <v>6854</v>
      </c>
      <c r="S1292" s="23" t="s">
        <v>6849</v>
      </c>
      <c r="T1292" s="23" t="s">
        <v>4864</v>
      </c>
      <c r="U1292" s="3">
        <v>35</v>
      </c>
      <c r="V1292" s="3" t="s">
        <v>9178</v>
      </c>
      <c r="W1292" s="45" t="str">
        <f>HYPERLINK("http://ictvonline.org/taxonomy/p/taxonomy-history?taxnode_id=201907993","ICTVonline=201907993")</f>
        <v>ICTVonline=201907993</v>
      </c>
      <c r="Y1292" s="1" t="s">
        <v>9271</v>
      </c>
      <c r="AA1292" s="1">
        <v>201900000</v>
      </c>
      <c r="AB1292" s="1">
        <v>35</v>
      </c>
    </row>
    <row r="1293" spans="1:28" x14ac:dyDescent="0.2">
      <c r="A1293" s="1">
        <v>3527</v>
      </c>
      <c r="B1293" s="1" t="s">
        <v>6850</v>
      </c>
      <c r="D1293" s="1" t="s">
        <v>6851</v>
      </c>
      <c r="F1293" s="1" t="s">
        <v>6914</v>
      </c>
      <c r="H1293" s="1" t="s">
        <v>6915</v>
      </c>
      <c r="J1293" s="1" t="s">
        <v>1324</v>
      </c>
      <c r="L1293" s="1" t="s">
        <v>894</v>
      </c>
      <c r="N1293" s="1" t="s">
        <v>9272</v>
      </c>
      <c r="P1293" s="1" t="s">
        <v>9273</v>
      </c>
      <c r="Q1293" s="3">
        <v>1</v>
      </c>
      <c r="R1293" s="23" t="s">
        <v>6854</v>
      </c>
      <c r="S1293" s="23" t="s">
        <v>6849</v>
      </c>
      <c r="T1293" s="23" t="s">
        <v>4864</v>
      </c>
      <c r="U1293" s="3">
        <v>35</v>
      </c>
      <c r="V1293" s="3" t="s">
        <v>9178</v>
      </c>
      <c r="W1293" s="45" t="str">
        <f>HYPERLINK("http://ictvonline.org/taxonomy/p/taxonomy-history?taxnode_id=201907997","ICTVonline=201907997")</f>
        <v>ICTVonline=201907997</v>
      </c>
      <c r="Y1293" s="1" t="s">
        <v>9274</v>
      </c>
      <c r="AA1293" s="1">
        <v>201900000</v>
      </c>
      <c r="AB1293" s="1">
        <v>35</v>
      </c>
    </row>
    <row r="1294" spans="1:28" x14ac:dyDescent="0.2">
      <c r="A1294" s="1">
        <v>3529</v>
      </c>
      <c r="B1294" s="1" t="s">
        <v>6850</v>
      </c>
      <c r="D1294" s="1" t="s">
        <v>6851</v>
      </c>
      <c r="F1294" s="1" t="s">
        <v>6914</v>
      </c>
      <c r="H1294" s="1" t="s">
        <v>6915</v>
      </c>
      <c r="J1294" s="1" t="s">
        <v>1324</v>
      </c>
      <c r="L1294" s="1" t="s">
        <v>894</v>
      </c>
      <c r="N1294" s="1" t="s">
        <v>9272</v>
      </c>
      <c r="P1294" s="1" t="s">
        <v>9275</v>
      </c>
      <c r="Q1294" s="3">
        <v>0</v>
      </c>
      <c r="R1294" s="23" t="s">
        <v>6854</v>
      </c>
      <c r="S1294" s="23" t="s">
        <v>6849</v>
      </c>
      <c r="T1294" s="23" t="s">
        <v>4864</v>
      </c>
      <c r="U1294" s="3">
        <v>35</v>
      </c>
      <c r="V1294" s="3" t="s">
        <v>9178</v>
      </c>
      <c r="W1294" s="45" t="str">
        <f>HYPERLINK("http://ictvonline.org/taxonomy/p/taxonomy-history?taxnode_id=201907998","ICTVonline=201907998")</f>
        <v>ICTVonline=201907998</v>
      </c>
      <c r="Y1294" s="1" t="s">
        <v>9276</v>
      </c>
      <c r="AA1294" s="1">
        <v>201900000</v>
      </c>
      <c r="AB1294" s="1">
        <v>35</v>
      </c>
    </row>
    <row r="1295" spans="1:28" x14ac:dyDescent="0.2">
      <c r="A1295" s="1">
        <v>3533</v>
      </c>
      <c r="B1295" s="1" t="s">
        <v>6850</v>
      </c>
      <c r="D1295" s="1" t="s">
        <v>6851</v>
      </c>
      <c r="F1295" s="1" t="s">
        <v>6914</v>
      </c>
      <c r="H1295" s="1" t="s">
        <v>6915</v>
      </c>
      <c r="J1295" s="1" t="s">
        <v>1324</v>
      </c>
      <c r="L1295" s="1" t="s">
        <v>894</v>
      </c>
      <c r="N1295" s="1" t="s">
        <v>6305</v>
      </c>
      <c r="P1295" s="1" t="s">
        <v>2974</v>
      </c>
      <c r="Q1295" s="3">
        <v>0</v>
      </c>
      <c r="R1295" s="23" t="s">
        <v>6854</v>
      </c>
      <c r="S1295" s="23" t="s">
        <v>6845</v>
      </c>
      <c r="T1295" s="23" t="s">
        <v>4866</v>
      </c>
      <c r="U1295" s="3">
        <v>35</v>
      </c>
      <c r="W1295" s="45" t="str">
        <f>HYPERLINK("http://ictvonline.org/taxonomy/p/taxonomy-history?taxnode_id=201900636","ICTVonline=201900636")</f>
        <v>ICTVonline=201900636</v>
      </c>
      <c r="AA1295" s="1">
        <v>201900000</v>
      </c>
      <c r="AB1295" s="1">
        <v>35</v>
      </c>
    </row>
    <row r="1296" spans="1:28" x14ac:dyDescent="0.2">
      <c r="A1296" s="1">
        <v>3535</v>
      </c>
      <c r="B1296" s="1" t="s">
        <v>6850</v>
      </c>
      <c r="D1296" s="1" t="s">
        <v>6851</v>
      </c>
      <c r="F1296" s="1" t="s">
        <v>6914</v>
      </c>
      <c r="H1296" s="1" t="s">
        <v>6915</v>
      </c>
      <c r="J1296" s="1" t="s">
        <v>1324</v>
      </c>
      <c r="L1296" s="1" t="s">
        <v>894</v>
      </c>
      <c r="N1296" s="1" t="s">
        <v>6305</v>
      </c>
      <c r="P1296" s="1" t="s">
        <v>2975</v>
      </c>
      <c r="Q1296" s="3">
        <v>1</v>
      </c>
      <c r="R1296" s="23" t="s">
        <v>6854</v>
      </c>
      <c r="S1296" s="23" t="s">
        <v>6845</v>
      </c>
      <c r="T1296" s="23" t="s">
        <v>4866</v>
      </c>
      <c r="U1296" s="3">
        <v>35</v>
      </c>
      <c r="W1296" s="45" t="str">
        <f>HYPERLINK("http://ictvonline.org/taxonomy/p/taxonomy-history?taxnode_id=201900637","ICTVonline=201900637")</f>
        <v>ICTVonline=201900637</v>
      </c>
      <c r="AA1296" s="1">
        <v>201900000</v>
      </c>
      <c r="AB1296" s="1">
        <v>35</v>
      </c>
    </row>
    <row r="1297" spans="1:28" x14ac:dyDescent="0.2">
      <c r="A1297" s="1">
        <v>3537</v>
      </c>
      <c r="B1297" s="1" t="s">
        <v>6850</v>
      </c>
      <c r="D1297" s="1" t="s">
        <v>6851</v>
      </c>
      <c r="F1297" s="1" t="s">
        <v>6914</v>
      </c>
      <c r="H1297" s="1" t="s">
        <v>6915</v>
      </c>
      <c r="J1297" s="1" t="s">
        <v>1324</v>
      </c>
      <c r="L1297" s="1" t="s">
        <v>894</v>
      </c>
      <c r="N1297" s="1" t="s">
        <v>6305</v>
      </c>
      <c r="P1297" s="1" t="s">
        <v>4239</v>
      </c>
      <c r="Q1297" s="3">
        <v>0</v>
      </c>
      <c r="R1297" s="23" t="s">
        <v>6854</v>
      </c>
      <c r="S1297" s="23" t="s">
        <v>6845</v>
      </c>
      <c r="T1297" s="23" t="s">
        <v>4866</v>
      </c>
      <c r="U1297" s="3">
        <v>35</v>
      </c>
      <c r="W1297" s="45" t="str">
        <f>HYPERLINK("http://ictvonline.org/taxonomy/p/taxonomy-history?taxnode_id=201900638","ICTVonline=201900638")</f>
        <v>ICTVonline=201900638</v>
      </c>
      <c r="Y1297" s="1" t="s">
        <v>9277</v>
      </c>
      <c r="Z1297" s="1" t="s">
        <v>9278</v>
      </c>
      <c r="AA1297" s="1">
        <v>201900000</v>
      </c>
      <c r="AB1297" s="1">
        <v>35</v>
      </c>
    </row>
    <row r="1298" spans="1:28" x14ac:dyDescent="0.2">
      <c r="A1298" s="1">
        <v>3541</v>
      </c>
      <c r="B1298" s="1" t="s">
        <v>6850</v>
      </c>
      <c r="D1298" s="1" t="s">
        <v>6851</v>
      </c>
      <c r="F1298" s="1" t="s">
        <v>6914</v>
      </c>
      <c r="H1298" s="1" t="s">
        <v>6915</v>
      </c>
      <c r="J1298" s="1" t="s">
        <v>1324</v>
      </c>
      <c r="L1298" s="1" t="s">
        <v>894</v>
      </c>
      <c r="N1298" s="1" t="s">
        <v>6306</v>
      </c>
      <c r="P1298" s="1" t="s">
        <v>6307</v>
      </c>
      <c r="Q1298" s="3">
        <v>0</v>
      </c>
      <c r="R1298" s="23" t="s">
        <v>6854</v>
      </c>
      <c r="S1298" s="23" t="s">
        <v>6845</v>
      </c>
      <c r="T1298" s="23" t="s">
        <v>4866</v>
      </c>
      <c r="U1298" s="3">
        <v>35</v>
      </c>
      <c r="W1298" s="45" t="str">
        <f>HYPERLINK("http://ictvonline.org/taxonomy/p/taxonomy-history?taxnode_id=201906898","ICTVonline=201906898")</f>
        <v>ICTVonline=201906898</v>
      </c>
      <c r="Y1298" s="1" t="s">
        <v>9279</v>
      </c>
      <c r="Z1298" s="1" t="s">
        <v>9280</v>
      </c>
      <c r="AA1298" s="1">
        <v>201900000</v>
      </c>
      <c r="AB1298" s="1">
        <v>35</v>
      </c>
    </row>
    <row r="1299" spans="1:28" x14ac:dyDescent="0.2">
      <c r="A1299" s="1">
        <v>3543</v>
      </c>
      <c r="B1299" s="1" t="s">
        <v>6850</v>
      </c>
      <c r="D1299" s="1" t="s">
        <v>6851</v>
      </c>
      <c r="F1299" s="1" t="s">
        <v>6914</v>
      </c>
      <c r="H1299" s="1" t="s">
        <v>6915</v>
      </c>
      <c r="J1299" s="1" t="s">
        <v>1324</v>
      </c>
      <c r="L1299" s="1" t="s">
        <v>894</v>
      </c>
      <c r="N1299" s="1" t="s">
        <v>6306</v>
      </c>
      <c r="P1299" s="1" t="s">
        <v>6308</v>
      </c>
      <c r="Q1299" s="3">
        <v>1</v>
      </c>
      <c r="R1299" s="23" t="s">
        <v>6854</v>
      </c>
      <c r="S1299" s="23" t="s">
        <v>6845</v>
      </c>
      <c r="T1299" s="23" t="s">
        <v>4866</v>
      </c>
      <c r="U1299" s="3">
        <v>35</v>
      </c>
      <c r="W1299" s="45" t="str">
        <f>HYPERLINK("http://ictvonline.org/taxonomy/p/taxonomy-history?taxnode_id=201906897","ICTVonline=201906897")</f>
        <v>ICTVonline=201906897</v>
      </c>
      <c r="Y1299" s="1" t="s">
        <v>9281</v>
      </c>
      <c r="Z1299" s="1" t="s">
        <v>9282</v>
      </c>
      <c r="AA1299" s="1">
        <v>201900000</v>
      </c>
      <c r="AB1299" s="1">
        <v>35</v>
      </c>
    </row>
    <row r="1300" spans="1:28" x14ac:dyDescent="0.2">
      <c r="A1300" s="1">
        <v>3547</v>
      </c>
      <c r="B1300" s="1" t="s">
        <v>6850</v>
      </c>
      <c r="D1300" s="1" t="s">
        <v>6851</v>
      </c>
      <c r="F1300" s="1" t="s">
        <v>6914</v>
      </c>
      <c r="H1300" s="1" t="s">
        <v>6915</v>
      </c>
      <c r="J1300" s="1" t="s">
        <v>1324</v>
      </c>
      <c r="L1300" s="1" t="s">
        <v>894</v>
      </c>
      <c r="N1300" s="1" t="s">
        <v>9283</v>
      </c>
      <c r="P1300" s="1" t="s">
        <v>9284</v>
      </c>
      <c r="Q1300" s="3">
        <v>1</v>
      </c>
      <c r="R1300" s="23" t="s">
        <v>6854</v>
      </c>
      <c r="S1300" s="23" t="s">
        <v>6849</v>
      </c>
      <c r="T1300" s="23" t="s">
        <v>4864</v>
      </c>
      <c r="U1300" s="3">
        <v>35</v>
      </c>
      <c r="V1300" s="3" t="s">
        <v>9285</v>
      </c>
      <c r="W1300" s="45" t="str">
        <f>HYPERLINK("http://ictvonline.org/taxonomy/p/taxonomy-history?taxnode_id=201907710","ICTVonline=201907710")</f>
        <v>ICTVonline=201907710</v>
      </c>
      <c r="Y1300" s="1" t="s">
        <v>9286</v>
      </c>
      <c r="AA1300" s="1">
        <v>201900000</v>
      </c>
      <c r="AB1300" s="1">
        <v>35</v>
      </c>
    </row>
    <row r="1301" spans="1:28" x14ac:dyDescent="0.2">
      <c r="A1301" s="1">
        <v>3550</v>
      </c>
      <c r="B1301" s="1" t="s">
        <v>6850</v>
      </c>
      <c r="D1301" s="1" t="s">
        <v>6851</v>
      </c>
      <c r="F1301" s="1" t="s">
        <v>6914</v>
      </c>
      <c r="H1301" s="1" t="s">
        <v>6915</v>
      </c>
      <c r="J1301" s="1" t="s">
        <v>1324</v>
      </c>
      <c r="L1301" s="1" t="s">
        <v>894</v>
      </c>
      <c r="P1301" s="1" t="s">
        <v>3016</v>
      </c>
      <c r="Q1301" s="3">
        <v>0</v>
      </c>
      <c r="R1301" s="23" t="s">
        <v>6854</v>
      </c>
      <c r="S1301" s="23" t="s">
        <v>6845</v>
      </c>
      <c r="T1301" s="23" t="s">
        <v>4866</v>
      </c>
      <c r="U1301" s="3">
        <v>35</v>
      </c>
      <c r="W1301" s="45" t="str">
        <f>HYPERLINK("http://ictvonline.org/taxonomy/p/taxonomy-history?taxnode_id=201900702","ICTVonline=201900702")</f>
        <v>ICTVonline=201900702</v>
      </c>
      <c r="AA1301" s="1">
        <v>201900000</v>
      </c>
      <c r="AB1301" s="1">
        <v>35</v>
      </c>
    </row>
    <row r="1302" spans="1:28" x14ac:dyDescent="0.2">
      <c r="A1302" s="1">
        <v>3552</v>
      </c>
      <c r="B1302" s="1" t="s">
        <v>6850</v>
      </c>
      <c r="D1302" s="1" t="s">
        <v>6851</v>
      </c>
      <c r="F1302" s="1" t="s">
        <v>6914</v>
      </c>
      <c r="H1302" s="1" t="s">
        <v>6915</v>
      </c>
      <c r="J1302" s="1" t="s">
        <v>1324</v>
      </c>
      <c r="L1302" s="1" t="s">
        <v>894</v>
      </c>
      <c r="P1302" s="1" t="s">
        <v>3017</v>
      </c>
      <c r="Q1302" s="3">
        <v>0</v>
      </c>
      <c r="R1302" s="23" t="s">
        <v>6854</v>
      </c>
      <c r="S1302" s="23" t="s">
        <v>6845</v>
      </c>
      <c r="T1302" s="23" t="s">
        <v>4866</v>
      </c>
      <c r="U1302" s="3">
        <v>35</v>
      </c>
      <c r="W1302" s="45" t="str">
        <f>HYPERLINK("http://ictvonline.org/taxonomy/p/taxonomy-history?taxnode_id=201900703","ICTVonline=201900703")</f>
        <v>ICTVonline=201900703</v>
      </c>
      <c r="AA1302" s="1">
        <v>201900000</v>
      </c>
      <c r="AB1302" s="1">
        <v>35</v>
      </c>
    </row>
    <row r="1303" spans="1:28" x14ac:dyDescent="0.2">
      <c r="A1303" s="1">
        <v>3554</v>
      </c>
      <c r="B1303" s="1" t="s">
        <v>6850</v>
      </c>
      <c r="D1303" s="1" t="s">
        <v>6851</v>
      </c>
      <c r="F1303" s="1" t="s">
        <v>6914</v>
      </c>
      <c r="H1303" s="1" t="s">
        <v>6915</v>
      </c>
      <c r="J1303" s="1" t="s">
        <v>1324</v>
      </c>
      <c r="L1303" s="1" t="s">
        <v>894</v>
      </c>
      <c r="P1303" s="1" t="s">
        <v>3018</v>
      </c>
      <c r="Q1303" s="3">
        <v>0</v>
      </c>
      <c r="R1303" s="23" t="s">
        <v>6854</v>
      </c>
      <c r="S1303" s="23" t="s">
        <v>6845</v>
      </c>
      <c r="T1303" s="23" t="s">
        <v>4866</v>
      </c>
      <c r="U1303" s="3">
        <v>35</v>
      </c>
      <c r="W1303" s="45" t="str">
        <f>HYPERLINK("http://ictvonline.org/taxonomy/p/taxonomy-history?taxnode_id=201900704","ICTVonline=201900704")</f>
        <v>ICTVonline=201900704</v>
      </c>
      <c r="AA1303" s="1">
        <v>201900000</v>
      </c>
      <c r="AB1303" s="1">
        <v>35</v>
      </c>
    </row>
    <row r="1304" spans="1:28" x14ac:dyDescent="0.2">
      <c r="A1304" s="1">
        <v>3556</v>
      </c>
      <c r="B1304" s="1" t="s">
        <v>6850</v>
      </c>
      <c r="D1304" s="1" t="s">
        <v>6851</v>
      </c>
      <c r="F1304" s="1" t="s">
        <v>6914</v>
      </c>
      <c r="H1304" s="1" t="s">
        <v>6915</v>
      </c>
      <c r="J1304" s="1" t="s">
        <v>1324</v>
      </c>
      <c r="L1304" s="1" t="s">
        <v>894</v>
      </c>
      <c r="P1304" s="1" t="s">
        <v>3019</v>
      </c>
      <c r="Q1304" s="3">
        <v>0</v>
      </c>
      <c r="R1304" s="23" t="s">
        <v>6854</v>
      </c>
      <c r="S1304" s="23" t="s">
        <v>6845</v>
      </c>
      <c r="T1304" s="23" t="s">
        <v>4866</v>
      </c>
      <c r="U1304" s="3">
        <v>35</v>
      </c>
      <c r="W1304" s="45" t="str">
        <f>HYPERLINK("http://ictvonline.org/taxonomy/p/taxonomy-history?taxnode_id=201900705","ICTVonline=201900705")</f>
        <v>ICTVonline=201900705</v>
      </c>
      <c r="AA1304" s="1">
        <v>201900000</v>
      </c>
      <c r="AB1304" s="1">
        <v>35</v>
      </c>
    </row>
    <row r="1305" spans="1:28" x14ac:dyDescent="0.2">
      <c r="A1305" s="1">
        <v>3558</v>
      </c>
      <c r="B1305" s="1" t="s">
        <v>6850</v>
      </c>
      <c r="D1305" s="1" t="s">
        <v>6851</v>
      </c>
      <c r="F1305" s="1" t="s">
        <v>6914</v>
      </c>
      <c r="H1305" s="1" t="s">
        <v>6915</v>
      </c>
      <c r="J1305" s="1" t="s">
        <v>1324</v>
      </c>
      <c r="L1305" s="1" t="s">
        <v>894</v>
      </c>
      <c r="P1305" s="1" t="s">
        <v>3020</v>
      </c>
      <c r="Q1305" s="3">
        <v>0</v>
      </c>
      <c r="R1305" s="23" t="s">
        <v>6854</v>
      </c>
      <c r="S1305" s="23" t="s">
        <v>6845</v>
      </c>
      <c r="T1305" s="23" t="s">
        <v>4866</v>
      </c>
      <c r="U1305" s="3">
        <v>35</v>
      </c>
      <c r="W1305" s="45" t="str">
        <f>HYPERLINK("http://ictvonline.org/taxonomy/p/taxonomy-history?taxnode_id=201900706","ICTVonline=201900706")</f>
        <v>ICTVonline=201900706</v>
      </c>
      <c r="AA1305" s="1">
        <v>201900000</v>
      </c>
      <c r="AB1305" s="1">
        <v>35</v>
      </c>
    </row>
    <row r="1306" spans="1:28" x14ac:dyDescent="0.2">
      <c r="A1306" s="1">
        <v>3560</v>
      </c>
      <c r="B1306" s="1" t="s">
        <v>6850</v>
      </c>
      <c r="D1306" s="1" t="s">
        <v>6851</v>
      </c>
      <c r="F1306" s="1" t="s">
        <v>6914</v>
      </c>
      <c r="H1306" s="1" t="s">
        <v>6915</v>
      </c>
      <c r="J1306" s="1" t="s">
        <v>1324</v>
      </c>
      <c r="L1306" s="1" t="s">
        <v>894</v>
      </c>
      <c r="P1306" s="1" t="s">
        <v>3021</v>
      </c>
      <c r="Q1306" s="3">
        <v>0</v>
      </c>
      <c r="R1306" s="23" t="s">
        <v>6854</v>
      </c>
      <c r="S1306" s="23" t="s">
        <v>6845</v>
      </c>
      <c r="T1306" s="23" t="s">
        <v>4866</v>
      </c>
      <c r="U1306" s="3">
        <v>35</v>
      </c>
      <c r="W1306" s="45" t="str">
        <f>HYPERLINK("http://ictvonline.org/taxonomy/p/taxonomy-history?taxnode_id=201900707","ICTVonline=201900707")</f>
        <v>ICTVonline=201900707</v>
      </c>
      <c r="AA1306" s="1">
        <v>201900000</v>
      </c>
      <c r="AB1306" s="1">
        <v>35</v>
      </c>
    </row>
    <row r="1307" spans="1:28" x14ac:dyDescent="0.2">
      <c r="A1307" s="1">
        <v>3562</v>
      </c>
      <c r="B1307" s="1" t="s">
        <v>6850</v>
      </c>
      <c r="D1307" s="1" t="s">
        <v>6851</v>
      </c>
      <c r="F1307" s="1" t="s">
        <v>6914</v>
      </c>
      <c r="H1307" s="1" t="s">
        <v>6915</v>
      </c>
      <c r="J1307" s="1" t="s">
        <v>1324</v>
      </c>
      <c r="L1307" s="1" t="s">
        <v>894</v>
      </c>
      <c r="P1307" s="1" t="s">
        <v>3022</v>
      </c>
      <c r="Q1307" s="3">
        <v>0</v>
      </c>
      <c r="R1307" s="23" t="s">
        <v>6854</v>
      </c>
      <c r="S1307" s="23" t="s">
        <v>6845</v>
      </c>
      <c r="T1307" s="23" t="s">
        <v>4866</v>
      </c>
      <c r="U1307" s="3">
        <v>35</v>
      </c>
      <c r="W1307" s="45" t="str">
        <f>HYPERLINK("http://ictvonline.org/taxonomy/p/taxonomy-history?taxnode_id=201900708","ICTVonline=201900708")</f>
        <v>ICTVonline=201900708</v>
      </c>
      <c r="AA1307" s="1">
        <v>201900000</v>
      </c>
      <c r="AB1307" s="1">
        <v>35</v>
      </c>
    </row>
    <row r="1308" spans="1:28" x14ac:dyDescent="0.2">
      <c r="A1308" s="1">
        <v>3568</v>
      </c>
      <c r="B1308" s="1" t="s">
        <v>6850</v>
      </c>
      <c r="D1308" s="1" t="s">
        <v>6851</v>
      </c>
      <c r="F1308" s="1" t="s">
        <v>6914</v>
      </c>
      <c r="H1308" s="1" t="s">
        <v>6915</v>
      </c>
      <c r="J1308" s="1" t="s">
        <v>1324</v>
      </c>
      <c r="L1308" s="1" t="s">
        <v>895</v>
      </c>
      <c r="M1308" s="1" t="s">
        <v>4251</v>
      </c>
      <c r="N1308" s="1" t="s">
        <v>6309</v>
      </c>
      <c r="P1308" s="1" t="s">
        <v>4265</v>
      </c>
      <c r="Q1308" s="3">
        <v>0</v>
      </c>
      <c r="R1308" s="23" t="s">
        <v>6854</v>
      </c>
      <c r="S1308" s="23" t="s">
        <v>6845</v>
      </c>
      <c r="T1308" s="23" t="s">
        <v>4866</v>
      </c>
      <c r="U1308" s="3">
        <v>35</v>
      </c>
      <c r="W1308" s="45" t="str">
        <f>HYPERLINK("http://ictvonline.org/taxonomy/p/taxonomy-history?taxnode_id=201900729","ICTVonline=201900729")</f>
        <v>ICTVonline=201900729</v>
      </c>
      <c r="Y1308" s="1" t="s">
        <v>9287</v>
      </c>
      <c r="Z1308" s="1" t="s">
        <v>9288</v>
      </c>
      <c r="AA1308" s="1">
        <v>201900000</v>
      </c>
      <c r="AB1308" s="1">
        <v>35</v>
      </c>
    </row>
    <row r="1309" spans="1:28" x14ac:dyDescent="0.2">
      <c r="A1309" s="1">
        <v>3570</v>
      </c>
      <c r="B1309" s="1" t="s">
        <v>6850</v>
      </c>
      <c r="D1309" s="1" t="s">
        <v>6851</v>
      </c>
      <c r="F1309" s="1" t="s">
        <v>6914</v>
      </c>
      <c r="H1309" s="1" t="s">
        <v>6915</v>
      </c>
      <c r="J1309" s="1" t="s">
        <v>1324</v>
      </c>
      <c r="L1309" s="1" t="s">
        <v>895</v>
      </c>
      <c r="M1309" s="1" t="s">
        <v>4251</v>
      </c>
      <c r="N1309" s="1" t="s">
        <v>6309</v>
      </c>
      <c r="P1309" s="1" t="s">
        <v>4266</v>
      </c>
      <c r="Q1309" s="3">
        <v>1</v>
      </c>
      <c r="R1309" s="23" t="s">
        <v>6854</v>
      </c>
      <c r="S1309" s="23" t="s">
        <v>6845</v>
      </c>
      <c r="T1309" s="23" t="s">
        <v>4866</v>
      </c>
      <c r="U1309" s="3">
        <v>35</v>
      </c>
      <c r="W1309" s="45" t="str">
        <f>HYPERLINK("http://ictvonline.org/taxonomy/p/taxonomy-history?taxnode_id=201900730","ICTVonline=201900730")</f>
        <v>ICTVonline=201900730</v>
      </c>
      <c r="Y1309" s="1" t="s">
        <v>9289</v>
      </c>
      <c r="Z1309" s="1" t="s">
        <v>9290</v>
      </c>
      <c r="AA1309" s="1">
        <v>201900000</v>
      </c>
      <c r="AB1309" s="1">
        <v>35</v>
      </c>
    </row>
    <row r="1310" spans="1:28" x14ac:dyDescent="0.2">
      <c r="A1310" s="1">
        <v>3574</v>
      </c>
      <c r="B1310" s="1" t="s">
        <v>6850</v>
      </c>
      <c r="D1310" s="1" t="s">
        <v>6851</v>
      </c>
      <c r="F1310" s="1" t="s">
        <v>6914</v>
      </c>
      <c r="H1310" s="1" t="s">
        <v>6915</v>
      </c>
      <c r="J1310" s="1" t="s">
        <v>1324</v>
      </c>
      <c r="L1310" s="1" t="s">
        <v>895</v>
      </c>
      <c r="M1310" s="1" t="s">
        <v>4251</v>
      </c>
      <c r="N1310" s="1" t="s">
        <v>4252</v>
      </c>
      <c r="P1310" s="1" t="s">
        <v>4253</v>
      </c>
      <c r="Q1310" s="3">
        <v>0</v>
      </c>
      <c r="R1310" s="23" t="s">
        <v>6854</v>
      </c>
      <c r="S1310" s="23" t="s">
        <v>6845</v>
      </c>
      <c r="T1310" s="23" t="s">
        <v>4866</v>
      </c>
      <c r="U1310" s="3">
        <v>35</v>
      </c>
      <c r="W1310" s="45" t="str">
        <f>HYPERLINK("http://ictvonline.org/taxonomy/p/taxonomy-history?taxnode_id=201900716","ICTVonline=201900716")</f>
        <v>ICTVonline=201900716</v>
      </c>
      <c r="Y1310" s="1" t="s">
        <v>9291</v>
      </c>
      <c r="Z1310" s="1" t="s">
        <v>9292</v>
      </c>
      <c r="AA1310" s="1">
        <v>201900000</v>
      </c>
      <c r="AB1310" s="1">
        <v>35</v>
      </c>
    </row>
    <row r="1311" spans="1:28" x14ac:dyDescent="0.2">
      <c r="A1311" s="1">
        <v>3576</v>
      </c>
      <c r="B1311" s="1" t="s">
        <v>6850</v>
      </c>
      <c r="D1311" s="1" t="s">
        <v>6851</v>
      </c>
      <c r="F1311" s="1" t="s">
        <v>6914</v>
      </c>
      <c r="H1311" s="1" t="s">
        <v>6915</v>
      </c>
      <c r="J1311" s="1" t="s">
        <v>1324</v>
      </c>
      <c r="L1311" s="1" t="s">
        <v>895</v>
      </c>
      <c r="M1311" s="1" t="s">
        <v>4251</v>
      </c>
      <c r="N1311" s="1" t="s">
        <v>4252</v>
      </c>
      <c r="P1311" s="1" t="s">
        <v>4254</v>
      </c>
      <c r="Q1311" s="3">
        <v>1</v>
      </c>
      <c r="R1311" s="23" t="s">
        <v>6854</v>
      </c>
      <c r="S1311" s="23" t="s">
        <v>6845</v>
      </c>
      <c r="T1311" s="23" t="s">
        <v>4866</v>
      </c>
      <c r="U1311" s="3">
        <v>35</v>
      </c>
      <c r="W1311" s="45" t="str">
        <f>HYPERLINK("http://ictvonline.org/taxonomy/p/taxonomy-history?taxnode_id=201900717","ICTVonline=201900717")</f>
        <v>ICTVonline=201900717</v>
      </c>
      <c r="Y1311" s="1" t="s">
        <v>9293</v>
      </c>
      <c r="Z1311" s="1" t="s">
        <v>9294</v>
      </c>
      <c r="AA1311" s="1">
        <v>201900000</v>
      </c>
      <c r="AB1311" s="1">
        <v>35</v>
      </c>
    </row>
    <row r="1312" spans="1:28" x14ac:dyDescent="0.2">
      <c r="A1312" s="1">
        <v>3580</v>
      </c>
      <c r="B1312" s="1" t="s">
        <v>6850</v>
      </c>
      <c r="D1312" s="1" t="s">
        <v>6851</v>
      </c>
      <c r="F1312" s="1" t="s">
        <v>6914</v>
      </c>
      <c r="H1312" s="1" t="s">
        <v>6915</v>
      </c>
      <c r="J1312" s="1" t="s">
        <v>1324</v>
      </c>
      <c r="L1312" s="1" t="s">
        <v>895</v>
      </c>
      <c r="M1312" s="1" t="s">
        <v>4251</v>
      </c>
      <c r="N1312" s="1" t="s">
        <v>4255</v>
      </c>
      <c r="P1312" s="1" t="s">
        <v>4256</v>
      </c>
      <c r="Q1312" s="3">
        <v>0</v>
      </c>
      <c r="R1312" s="23" t="s">
        <v>6854</v>
      </c>
      <c r="S1312" s="23" t="s">
        <v>6845</v>
      </c>
      <c r="T1312" s="23" t="s">
        <v>4866</v>
      </c>
      <c r="U1312" s="3">
        <v>35</v>
      </c>
      <c r="W1312" s="45" t="str">
        <f>HYPERLINK("http://ictvonline.org/taxonomy/p/taxonomy-history?taxnode_id=201900719","ICTVonline=201900719")</f>
        <v>ICTVonline=201900719</v>
      </c>
      <c r="Y1312" s="1" t="s">
        <v>9295</v>
      </c>
      <c r="Z1312" s="1" t="s">
        <v>9296</v>
      </c>
      <c r="AA1312" s="1">
        <v>201900000</v>
      </c>
      <c r="AB1312" s="1">
        <v>35</v>
      </c>
    </row>
    <row r="1313" spans="1:28" x14ac:dyDescent="0.2">
      <c r="A1313" s="1">
        <v>3582</v>
      </c>
      <c r="B1313" s="1" t="s">
        <v>6850</v>
      </c>
      <c r="D1313" s="1" t="s">
        <v>6851</v>
      </c>
      <c r="F1313" s="1" t="s">
        <v>6914</v>
      </c>
      <c r="H1313" s="1" t="s">
        <v>6915</v>
      </c>
      <c r="J1313" s="1" t="s">
        <v>1324</v>
      </c>
      <c r="L1313" s="1" t="s">
        <v>895</v>
      </c>
      <c r="M1313" s="1" t="s">
        <v>4251</v>
      </c>
      <c r="N1313" s="1" t="s">
        <v>4255</v>
      </c>
      <c r="P1313" s="1" t="s">
        <v>4257</v>
      </c>
      <c r="Q1313" s="3">
        <v>0</v>
      </c>
      <c r="R1313" s="23" t="s">
        <v>6854</v>
      </c>
      <c r="S1313" s="23" t="s">
        <v>6845</v>
      </c>
      <c r="T1313" s="23" t="s">
        <v>4866</v>
      </c>
      <c r="U1313" s="3">
        <v>35</v>
      </c>
      <c r="W1313" s="45" t="str">
        <f>HYPERLINK("http://ictvonline.org/taxonomy/p/taxonomy-history?taxnode_id=201900720","ICTVonline=201900720")</f>
        <v>ICTVonline=201900720</v>
      </c>
      <c r="Y1313" s="1" t="s">
        <v>9297</v>
      </c>
      <c r="Z1313" s="1" t="s">
        <v>9298</v>
      </c>
      <c r="AA1313" s="1">
        <v>201900000</v>
      </c>
      <c r="AB1313" s="1">
        <v>35</v>
      </c>
    </row>
    <row r="1314" spans="1:28" x14ac:dyDescent="0.2">
      <c r="A1314" s="1">
        <v>3584</v>
      </c>
      <c r="B1314" s="1" t="s">
        <v>6850</v>
      </c>
      <c r="D1314" s="1" t="s">
        <v>6851</v>
      </c>
      <c r="F1314" s="1" t="s">
        <v>6914</v>
      </c>
      <c r="H1314" s="1" t="s">
        <v>6915</v>
      </c>
      <c r="J1314" s="1" t="s">
        <v>1324</v>
      </c>
      <c r="L1314" s="1" t="s">
        <v>895</v>
      </c>
      <c r="M1314" s="1" t="s">
        <v>4251</v>
      </c>
      <c r="N1314" s="1" t="s">
        <v>4255</v>
      </c>
      <c r="P1314" s="1" t="s">
        <v>4258</v>
      </c>
      <c r="Q1314" s="3">
        <v>0</v>
      </c>
      <c r="R1314" s="23" t="s">
        <v>6854</v>
      </c>
      <c r="S1314" s="23" t="s">
        <v>6845</v>
      </c>
      <c r="T1314" s="23" t="s">
        <v>4866</v>
      </c>
      <c r="U1314" s="3">
        <v>35</v>
      </c>
      <c r="W1314" s="45" t="str">
        <f>HYPERLINK("http://ictvonline.org/taxonomy/p/taxonomy-history?taxnode_id=201900721","ICTVonline=201900721")</f>
        <v>ICTVonline=201900721</v>
      </c>
      <c r="Y1314" s="1" t="s">
        <v>9299</v>
      </c>
      <c r="Z1314" s="1" t="s">
        <v>9300</v>
      </c>
      <c r="AA1314" s="1">
        <v>201900000</v>
      </c>
      <c r="AB1314" s="1">
        <v>35</v>
      </c>
    </row>
    <row r="1315" spans="1:28" x14ac:dyDescent="0.2">
      <c r="A1315" s="1">
        <v>3586</v>
      </c>
      <c r="B1315" s="1" t="s">
        <v>6850</v>
      </c>
      <c r="D1315" s="1" t="s">
        <v>6851</v>
      </c>
      <c r="F1315" s="1" t="s">
        <v>6914</v>
      </c>
      <c r="H1315" s="1" t="s">
        <v>6915</v>
      </c>
      <c r="J1315" s="1" t="s">
        <v>1324</v>
      </c>
      <c r="L1315" s="1" t="s">
        <v>895</v>
      </c>
      <c r="M1315" s="1" t="s">
        <v>4251</v>
      </c>
      <c r="N1315" s="1" t="s">
        <v>4255</v>
      </c>
      <c r="P1315" s="1" t="s">
        <v>4259</v>
      </c>
      <c r="Q1315" s="3">
        <v>0</v>
      </c>
      <c r="R1315" s="23" t="s">
        <v>6854</v>
      </c>
      <c r="S1315" s="23" t="s">
        <v>6845</v>
      </c>
      <c r="T1315" s="23" t="s">
        <v>4866</v>
      </c>
      <c r="U1315" s="3">
        <v>35</v>
      </c>
      <c r="W1315" s="45" t="str">
        <f>HYPERLINK("http://ictvonline.org/taxonomy/p/taxonomy-history?taxnode_id=201900722","ICTVonline=201900722")</f>
        <v>ICTVonline=201900722</v>
      </c>
      <c r="Y1315" s="1" t="s">
        <v>9301</v>
      </c>
      <c r="Z1315" s="1" t="s">
        <v>9302</v>
      </c>
      <c r="AA1315" s="1">
        <v>201900000</v>
      </c>
      <c r="AB1315" s="1">
        <v>35</v>
      </c>
    </row>
    <row r="1316" spans="1:28" x14ac:dyDescent="0.2">
      <c r="A1316" s="1">
        <v>3588</v>
      </c>
      <c r="B1316" s="1" t="s">
        <v>6850</v>
      </c>
      <c r="D1316" s="1" t="s">
        <v>6851</v>
      </c>
      <c r="F1316" s="1" t="s">
        <v>6914</v>
      </c>
      <c r="H1316" s="1" t="s">
        <v>6915</v>
      </c>
      <c r="J1316" s="1" t="s">
        <v>1324</v>
      </c>
      <c r="L1316" s="1" t="s">
        <v>895</v>
      </c>
      <c r="M1316" s="1" t="s">
        <v>4251</v>
      </c>
      <c r="N1316" s="1" t="s">
        <v>4255</v>
      </c>
      <c r="P1316" s="1" t="s">
        <v>4260</v>
      </c>
      <c r="Q1316" s="3">
        <v>0</v>
      </c>
      <c r="R1316" s="23" t="s">
        <v>6854</v>
      </c>
      <c r="S1316" s="23" t="s">
        <v>6845</v>
      </c>
      <c r="T1316" s="23" t="s">
        <v>4866</v>
      </c>
      <c r="U1316" s="3">
        <v>35</v>
      </c>
      <c r="W1316" s="45" t="str">
        <f>HYPERLINK("http://ictvonline.org/taxonomy/p/taxonomy-history?taxnode_id=201900723","ICTVonline=201900723")</f>
        <v>ICTVonline=201900723</v>
      </c>
      <c r="Y1316" s="1" t="s">
        <v>9303</v>
      </c>
      <c r="Z1316" s="1" t="s">
        <v>9304</v>
      </c>
      <c r="AA1316" s="1">
        <v>201900000</v>
      </c>
      <c r="AB1316" s="1">
        <v>35</v>
      </c>
    </row>
    <row r="1317" spans="1:28" x14ac:dyDescent="0.2">
      <c r="A1317" s="1">
        <v>3590</v>
      </c>
      <c r="B1317" s="1" t="s">
        <v>6850</v>
      </c>
      <c r="D1317" s="1" t="s">
        <v>6851</v>
      </c>
      <c r="F1317" s="1" t="s">
        <v>6914</v>
      </c>
      <c r="H1317" s="1" t="s">
        <v>6915</v>
      </c>
      <c r="J1317" s="1" t="s">
        <v>1324</v>
      </c>
      <c r="L1317" s="1" t="s">
        <v>895</v>
      </c>
      <c r="M1317" s="1" t="s">
        <v>4251</v>
      </c>
      <c r="N1317" s="1" t="s">
        <v>4255</v>
      </c>
      <c r="P1317" s="1" t="s">
        <v>4261</v>
      </c>
      <c r="Q1317" s="3">
        <v>0</v>
      </c>
      <c r="R1317" s="23" t="s">
        <v>6854</v>
      </c>
      <c r="S1317" s="23" t="s">
        <v>6845</v>
      </c>
      <c r="T1317" s="23" t="s">
        <v>4866</v>
      </c>
      <c r="U1317" s="3">
        <v>35</v>
      </c>
      <c r="W1317" s="45" t="str">
        <f>HYPERLINK("http://ictvonline.org/taxonomy/p/taxonomy-history?taxnode_id=201900724","ICTVonline=201900724")</f>
        <v>ICTVonline=201900724</v>
      </c>
      <c r="Y1317" s="1" t="s">
        <v>9305</v>
      </c>
      <c r="Z1317" s="1" t="s">
        <v>9306</v>
      </c>
      <c r="AA1317" s="1">
        <v>201900000</v>
      </c>
      <c r="AB1317" s="1">
        <v>35</v>
      </c>
    </row>
    <row r="1318" spans="1:28" x14ac:dyDescent="0.2">
      <c r="A1318" s="1">
        <v>3592</v>
      </c>
      <c r="B1318" s="1" t="s">
        <v>6850</v>
      </c>
      <c r="D1318" s="1" t="s">
        <v>6851</v>
      </c>
      <c r="F1318" s="1" t="s">
        <v>6914</v>
      </c>
      <c r="H1318" s="1" t="s">
        <v>6915</v>
      </c>
      <c r="J1318" s="1" t="s">
        <v>1324</v>
      </c>
      <c r="L1318" s="1" t="s">
        <v>895</v>
      </c>
      <c r="M1318" s="1" t="s">
        <v>4251</v>
      </c>
      <c r="N1318" s="1" t="s">
        <v>4255</v>
      </c>
      <c r="P1318" s="1" t="s">
        <v>4262</v>
      </c>
      <c r="Q1318" s="3">
        <v>1</v>
      </c>
      <c r="R1318" s="23" t="s">
        <v>6854</v>
      </c>
      <c r="S1318" s="23" t="s">
        <v>6845</v>
      </c>
      <c r="T1318" s="23" t="s">
        <v>4866</v>
      </c>
      <c r="U1318" s="3">
        <v>35</v>
      </c>
      <c r="W1318" s="45" t="str">
        <f>HYPERLINK("http://ictvonline.org/taxonomy/p/taxonomy-history?taxnode_id=201900725","ICTVonline=201900725")</f>
        <v>ICTVonline=201900725</v>
      </c>
      <c r="Y1318" s="1" t="s">
        <v>9307</v>
      </c>
      <c r="Z1318" s="1" t="s">
        <v>9308</v>
      </c>
      <c r="AA1318" s="1">
        <v>201900000</v>
      </c>
      <c r="AB1318" s="1">
        <v>35</v>
      </c>
    </row>
    <row r="1319" spans="1:28" x14ac:dyDescent="0.2">
      <c r="A1319" s="1">
        <v>3594</v>
      </c>
      <c r="B1319" s="1" t="s">
        <v>6850</v>
      </c>
      <c r="D1319" s="1" t="s">
        <v>6851</v>
      </c>
      <c r="F1319" s="1" t="s">
        <v>6914</v>
      </c>
      <c r="H1319" s="1" t="s">
        <v>6915</v>
      </c>
      <c r="J1319" s="1" t="s">
        <v>1324</v>
      </c>
      <c r="L1319" s="1" t="s">
        <v>895</v>
      </c>
      <c r="M1319" s="1" t="s">
        <v>4251</v>
      </c>
      <c r="N1319" s="1" t="s">
        <v>4255</v>
      </c>
      <c r="P1319" s="1" t="s">
        <v>4263</v>
      </c>
      <c r="Q1319" s="3">
        <v>0</v>
      </c>
      <c r="R1319" s="23" t="s">
        <v>6854</v>
      </c>
      <c r="S1319" s="23" t="s">
        <v>6845</v>
      </c>
      <c r="T1319" s="23" t="s">
        <v>4866</v>
      </c>
      <c r="U1319" s="3">
        <v>35</v>
      </c>
      <c r="W1319" s="45" t="str">
        <f>HYPERLINK("http://ictvonline.org/taxonomy/p/taxonomy-history?taxnode_id=201900726","ICTVonline=201900726")</f>
        <v>ICTVonline=201900726</v>
      </c>
      <c r="Y1319" s="1" t="s">
        <v>9309</v>
      </c>
      <c r="Z1319" s="1" t="s">
        <v>9310</v>
      </c>
      <c r="AA1319" s="1">
        <v>201900000</v>
      </c>
      <c r="AB1319" s="1">
        <v>35</v>
      </c>
    </row>
    <row r="1320" spans="1:28" x14ac:dyDescent="0.2">
      <c r="A1320" s="1">
        <v>3596</v>
      </c>
      <c r="B1320" s="1" t="s">
        <v>6850</v>
      </c>
      <c r="D1320" s="1" t="s">
        <v>6851</v>
      </c>
      <c r="F1320" s="1" t="s">
        <v>6914</v>
      </c>
      <c r="H1320" s="1" t="s">
        <v>6915</v>
      </c>
      <c r="J1320" s="1" t="s">
        <v>1324</v>
      </c>
      <c r="L1320" s="1" t="s">
        <v>895</v>
      </c>
      <c r="M1320" s="1" t="s">
        <v>4251</v>
      </c>
      <c r="N1320" s="1" t="s">
        <v>4255</v>
      </c>
      <c r="P1320" s="1" t="s">
        <v>4264</v>
      </c>
      <c r="Q1320" s="3">
        <v>0</v>
      </c>
      <c r="R1320" s="23" t="s">
        <v>6854</v>
      </c>
      <c r="S1320" s="23" t="s">
        <v>6845</v>
      </c>
      <c r="T1320" s="23" t="s">
        <v>4866</v>
      </c>
      <c r="U1320" s="3">
        <v>35</v>
      </c>
      <c r="W1320" s="45" t="str">
        <f>HYPERLINK("http://ictvonline.org/taxonomy/p/taxonomy-history?taxnode_id=201900727","ICTVonline=201900727")</f>
        <v>ICTVonline=201900727</v>
      </c>
      <c r="Y1320" s="1" t="s">
        <v>9311</v>
      </c>
      <c r="Z1320" s="1" t="s">
        <v>9312</v>
      </c>
      <c r="AA1320" s="1">
        <v>201900000</v>
      </c>
      <c r="AB1320" s="1">
        <v>35</v>
      </c>
    </row>
    <row r="1321" spans="1:28" x14ac:dyDescent="0.2">
      <c r="A1321" s="1">
        <v>3599</v>
      </c>
      <c r="B1321" s="1" t="s">
        <v>6850</v>
      </c>
      <c r="D1321" s="1" t="s">
        <v>6851</v>
      </c>
      <c r="F1321" s="1" t="s">
        <v>6914</v>
      </c>
      <c r="H1321" s="1" t="s">
        <v>6915</v>
      </c>
      <c r="J1321" s="1" t="s">
        <v>1324</v>
      </c>
      <c r="L1321" s="1" t="s">
        <v>895</v>
      </c>
      <c r="M1321" s="1" t="s">
        <v>4251</v>
      </c>
      <c r="P1321" s="1" t="s">
        <v>4267</v>
      </c>
      <c r="Q1321" s="3">
        <v>0</v>
      </c>
      <c r="R1321" s="23" t="s">
        <v>6854</v>
      </c>
      <c r="S1321" s="23" t="s">
        <v>6845</v>
      </c>
      <c r="T1321" s="23" t="s">
        <v>4866</v>
      </c>
      <c r="U1321" s="3">
        <v>35</v>
      </c>
      <c r="W1321" s="45" t="str">
        <f>HYPERLINK("http://ictvonline.org/taxonomy/p/taxonomy-history?taxnode_id=201900732","ICTVonline=201900732")</f>
        <v>ICTVonline=201900732</v>
      </c>
      <c r="Y1321" s="1" t="s">
        <v>9313</v>
      </c>
      <c r="Z1321" s="1" t="s">
        <v>9314</v>
      </c>
      <c r="AA1321" s="1">
        <v>201900000</v>
      </c>
      <c r="AB1321" s="1">
        <v>35</v>
      </c>
    </row>
    <row r="1322" spans="1:28" x14ac:dyDescent="0.2">
      <c r="A1322" s="1">
        <v>3604</v>
      </c>
      <c r="B1322" s="1" t="s">
        <v>6850</v>
      </c>
      <c r="D1322" s="1" t="s">
        <v>6851</v>
      </c>
      <c r="F1322" s="1" t="s">
        <v>6914</v>
      </c>
      <c r="H1322" s="1" t="s">
        <v>6915</v>
      </c>
      <c r="J1322" s="1" t="s">
        <v>1324</v>
      </c>
      <c r="L1322" s="1" t="s">
        <v>895</v>
      </c>
      <c r="M1322" s="1" t="s">
        <v>4060</v>
      </c>
      <c r="N1322" s="1" t="s">
        <v>4061</v>
      </c>
      <c r="P1322" s="1" t="s">
        <v>3259</v>
      </c>
      <c r="Q1322" s="3">
        <v>1</v>
      </c>
      <c r="R1322" s="23" t="s">
        <v>6854</v>
      </c>
      <c r="S1322" s="23" t="s">
        <v>6845</v>
      </c>
      <c r="T1322" s="23" t="s">
        <v>4866</v>
      </c>
      <c r="U1322" s="3">
        <v>35</v>
      </c>
      <c r="W1322" s="45" t="str">
        <f>HYPERLINK("http://ictvonline.org/taxonomy/p/taxonomy-history?taxnode_id=201900735","ICTVonline=201900735")</f>
        <v>ICTVonline=201900735</v>
      </c>
      <c r="Y1322" s="1" t="s">
        <v>9315</v>
      </c>
      <c r="AA1322" s="1">
        <v>201900000</v>
      </c>
      <c r="AB1322" s="1">
        <v>35</v>
      </c>
    </row>
    <row r="1323" spans="1:28" x14ac:dyDescent="0.2">
      <c r="A1323" s="1">
        <v>3606</v>
      </c>
      <c r="B1323" s="1" t="s">
        <v>6850</v>
      </c>
      <c r="D1323" s="1" t="s">
        <v>6851</v>
      </c>
      <c r="F1323" s="1" t="s">
        <v>6914</v>
      </c>
      <c r="H1323" s="1" t="s">
        <v>6915</v>
      </c>
      <c r="J1323" s="1" t="s">
        <v>1324</v>
      </c>
      <c r="L1323" s="1" t="s">
        <v>895</v>
      </c>
      <c r="M1323" s="1" t="s">
        <v>4060</v>
      </c>
      <c r="N1323" s="1" t="s">
        <v>4061</v>
      </c>
      <c r="P1323" s="1" t="s">
        <v>4268</v>
      </c>
      <c r="Q1323" s="3">
        <v>0</v>
      </c>
      <c r="R1323" s="23" t="s">
        <v>6854</v>
      </c>
      <c r="S1323" s="23" t="s">
        <v>6845</v>
      </c>
      <c r="T1323" s="23" t="s">
        <v>4866</v>
      </c>
      <c r="U1323" s="3">
        <v>35</v>
      </c>
      <c r="W1323" s="45" t="str">
        <f>HYPERLINK("http://ictvonline.org/taxonomy/p/taxonomy-history?taxnode_id=201900736","ICTVonline=201900736")</f>
        <v>ICTVonline=201900736</v>
      </c>
      <c r="Y1323" s="1" t="s">
        <v>9316</v>
      </c>
      <c r="Z1323" s="1" t="s">
        <v>9317</v>
      </c>
      <c r="AA1323" s="1">
        <v>201900000</v>
      </c>
      <c r="AB1323" s="1">
        <v>35</v>
      </c>
    </row>
    <row r="1324" spans="1:28" x14ac:dyDescent="0.2">
      <c r="A1324" s="1">
        <v>3608</v>
      </c>
      <c r="B1324" s="1" t="s">
        <v>6850</v>
      </c>
      <c r="D1324" s="1" t="s">
        <v>6851</v>
      </c>
      <c r="F1324" s="1" t="s">
        <v>6914</v>
      </c>
      <c r="H1324" s="1" t="s">
        <v>6915</v>
      </c>
      <c r="J1324" s="1" t="s">
        <v>1324</v>
      </c>
      <c r="L1324" s="1" t="s">
        <v>895</v>
      </c>
      <c r="M1324" s="1" t="s">
        <v>4060</v>
      </c>
      <c r="N1324" s="1" t="s">
        <v>4061</v>
      </c>
      <c r="P1324" s="1" t="s">
        <v>4269</v>
      </c>
      <c r="Q1324" s="3">
        <v>0</v>
      </c>
      <c r="R1324" s="23" t="s">
        <v>6854</v>
      </c>
      <c r="S1324" s="23" t="s">
        <v>6845</v>
      </c>
      <c r="T1324" s="23" t="s">
        <v>4866</v>
      </c>
      <c r="U1324" s="3">
        <v>35</v>
      </c>
      <c r="W1324" s="45" t="str">
        <f>HYPERLINK("http://ictvonline.org/taxonomy/p/taxonomy-history?taxnode_id=201900737","ICTVonline=201900737")</f>
        <v>ICTVonline=201900737</v>
      </c>
      <c r="Y1324" s="1" t="s">
        <v>9318</v>
      </c>
      <c r="Z1324" s="1" t="s">
        <v>9319</v>
      </c>
      <c r="AA1324" s="1">
        <v>201900000</v>
      </c>
      <c r="AB1324" s="1">
        <v>35</v>
      </c>
    </row>
    <row r="1325" spans="1:28" x14ac:dyDescent="0.2">
      <c r="A1325" s="1">
        <v>3612</v>
      </c>
      <c r="B1325" s="1" t="s">
        <v>6850</v>
      </c>
      <c r="D1325" s="1" t="s">
        <v>6851</v>
      </c>
      <c r="F1325" s="1" t="s">
        <v>6914</v>
      </c>
      <c r="H1325" s="1" t="s">
        <v>6915</v>
      </c>
      <c r="J1325" s="1" t="s">
        <v>1324</v>
      </c>
      <c r="L1325" s="1" t="s">
        <v>895</v>
      </c>
      <c r="M1325" s="1" t="s">
        <v>4060</v>
      </c>
      <c r="N1325" s="1" t="s">
        <v>4062</v>
      </c>
      <c r="P1325" s="1" t="s">
        <v>4270</v>
      </c>
      <c r="Q1325" s="3">
        <v>0</v>
      </c>
      <c r="R1325" s="23" t="s">
        <v>6854</v>
      </c>
      <c r="S1325" s="23" t="s">
        <v>6845</v>
      </c>
      <c r="T1325" s="23" t="s">
        <v>4866</v>
      </c>
      <c r="U1325" s="3">
        <v>35</v>
      </c>
      <c r="W1325" s="45" t="str">
        <f>HYPERLINK("http://ictvonline.org/taxonomy/p/taxonomy-history?taxnode_id=201900739","ICTVonline=201900739")</f>
        <v>ICTVonline=201900739</v>
      </c>
      <c r="Y1325" s="1" t="s">
        <v>9320</v>
      </c>
      <c r="Z1325" s="1" t="s">
        <v>9321</v>
      </c>
      <c r="AA1325" s="1">
        <v>201900000</v>
      </c>
      <c r="AB1325" s="1">
        <v>35</v>
      </c>
    </row>
    <row r="1326" spans="1:28" x14ac:dyDescent="0.2">
      <c r="A1326" s="1">
        <v>3614</v>
      </c>
      <c r="B1326" s="1" t="s">
        <v>6850</v>
      </c>
      <c r="D1326" s="1" t="s">
        <v>6851</v>
      </c>
      <c r="F1326" s="1" t="s">
        <v>6914</v>
      </c>
      <c r="H1326" s="1" t="s">
        <v>6915</v>
      </c>
      <c r="J1326" s="1" t="s">
        <v>1324</v>
      </c>
      <c r="L1326" s="1" t="s">
        <v>895</v>
      </c>
      <c r="M1326" s="1" t="s">
        <v>4060</v>
      </c>
      <c r="N1326" s="1" t="s">
        <v>4062</v>
      </c>
      <c r="P1326" s="1" t="s">
        <v>4271</v>
      </c>
      <c r="Q1326" s="3">
        <v>0</v>
      </c>
      <c r="R1326" s="23" t="s">
        <v>6854</v>
      </c>
      <c r="S1326" s="23" t="s">
        <v>6845</v>
      </c>
      <c r="T1326" s="23" t="s">
        <v>4866</v>
      </c>
      <c r="U1326" s="3">
        <v>35</v>
      </c>
      <c r="W1326" s="45" t="str">
        <f>HYPERLINK("http://ictvonline.org/taxonomy/p/taxonomy-history?taxnode_id=201900740","ICTVonline=201900740")</f>
        <v>ICTVonline=201900740</v>
      </c>
      <c r="Y1326" s="1" t="s">
        <v>9322</v>
      </c>
      <c r="Z1326" s="1" t="s">
        <v>9323</v>
      </c>
      <c r="AA1326" s="1">
        <v>201900000</v>
      </c>
      <c r="AB1326" s="1">
        <v>35</v>
      </c>
    </row>
    <row r="1327" spans="1:28" x14ac:dyDescent="0.2">
      <c r="A1327" s="1">
        <v>3616</v>
      </c>
      <c r="B1327" s="1" t="s">
        <v>6850</v>
      </c>
      <c r="D1327" s="1" t="s">
        <v>6851</v>
      </c>
      <c r="F1327" s="1" t="s">
        <v>6914</v>
      </c>
      <c r="H1327" s="1" t="s">
        <v>6915</v>
      </c>
      <c r="J1327" s="1" t="s">
        <v>1324</v>
      </c>
      <c r="L1327" s="1" t="s">
        <v>895</v>
      </c>
      <c r="M1327" s="1" t="s">
        <v>4060</v>
      </c>
      <c r="N1327" s="1" t="s">
        <v>4062</v>
      </c>
      <c r="P1327" s="1" t="s">
        <v>4272</v>
      </c>
      <c r="Q1327" s="3">
        <v>0</v>
      </c>
      <c r="R1327" s="23" t="s">
        <v>6854</v>
      </c>
      <c r="S1327" s="23" t="s">
        <v>6845</v>
      </c>
      <c r="T1327" s="23" t="s">
        <v>4866</v>
      </c>
      <c r="U1327" s="3">
        <v>35</v>
      </c>
      <c r="W1327" s="45" t="str">
        <f>HYPERLINK("http://ictvonline.org/taxonomy/p/taxonomy-history?taxnode_id=201900741","ICTVonline=201900741")</f>
        <v>ICTVonline=201900741</v>
      </c>
      <c r="Y1327" s="1" t="s">
        <v>9324</v>
      </c>
      <c r="Z1327" s="1" t="s">
        <v>9325</v>
      </c>
      <c r="AA1327" s="1">
        <v>201900000</v>
      </c>
      <c r="AB1327" s="1">
        <v>35</v>
      </c>
    </row>
    <row r="1328" spans="1:28" x14ac:dyDescent="0.2">
      <c r="A1328" s="1">
        <v>3618</v>
      </c>
      <c r="B1328" s="1" t="s">
        <v>6850</v>
      </c>
      <c r="D1328" s="1" t="s">
        <v>6851</v>
      </c>
      <c r="F1328" s="1" t="s">
        <v>6914</v>
      </c>
      <c r="H1328" s="1" t="s">
        <v>6915</v>
      </c>
      <c r="J1328" s="1" t="s">
        <v>1324</v>
      </c>
      <c r="L1328" s="1" t="s">
        <v>895</v>
      </c>
      <c r="M1328" s="1" t="s">
        <v>4060</v>
      </c>
      <c r="N1328" s="1" t="s">
        <v>4062</v>
      </c>
      <c r="P1328" s="1" t="s">
        <v>3261</v>
      </c>
      <c r="Q1328" s="3">
        <v>0</v>
      </c>
      <c r="R1328" s="23" t="s">
        <v>6854</v>
      </c>
      <c r="S1328" s="23" t="s">
        <v>6845</v>
      </c>
      <c r="T1328" s="23" t="s">
        <v>4866</v>
      </c>
      <c r="U1328" s="3">
        <v>35</v>
      </c>
      <c r="W1328" s="45" t="str">
        <f>HYPERLINK("http://ictvonline.org/taxonomy/p/taxonomy-history?taxnode_id=201900742","ICTVonline=201900742")</f>
        <v>ICTVonline=201900742</v>
      </c>
      <c r="Y1328" s="1" t="s">
        <v>9326</v>
      </c>
      <c r="AA1328" s="1">
        <v>201900000</v>
      </c>
      <c r="AB1328" s="1">
        <v>35</v>
      </c>
    </row>
    <row r="1329" spans="1:28" x14ac:dyDescent="0.2">
      <c r="A1329" s="1">
        <v>3620</v>
      </c>
      <c r="B1329" s="1" t="s">
        <v>6850</v>
      </c>
      <c r="D1329" s="1" t="s">
        <v>6851</v>
      </c>
      <c r="F1329" s="1" t="s">
        <v>6914</v>
      </c>
      <c r="H1329" s="1" t="s">
        <v>6915</v>
      </c>
      <c r="J1329" s="1" t="s">
        <v>1324</v>
      </c>
      <c r="L1329" s="1" t="s">
        <v>895</v>
      </c>
      <c r="M1329" s="1" t="s">
        <v>4060</v>
      </c>
      <c r="N1329" s="1" t="s">
        <v>4062</v>
      </c>
      <c r="P1329" s="1" t="s">
        <v>3262</v>
      </c>
      <c r="Q1329" s="3">
        <v>1</v>
      </c>
      <c r="R1329" s="23" t="s">
        <v>6854</v>
      </c>
      <c r="S1329" s="23" t="s">
        <v>6845</v>
      </c>
      <c r="T1329" s="23" t="s">
        <v>4866</v>
      </c>
      <c r="U1329" s="3">
        <v>35</v>
      </c>
      <c r="W1329" s="45" t="str">
        <f>HYPERLINK("http://ictvonline.org/taxonomy/p/taxonomy-history?taxnode_id=201900743","ICTVonline=201900743")</f>
        <v>ICTVonline=201900743</v>
      </c>
      <c r="Y1329" s="1" t="s">
        <v>9327</v>
      </c>
      <c r="AA1329" s="1">
        <v>201900000</v>
      </c>
      <c r="AB1329" s="1">
        <v>35</v>
      </c>
    </row>
    <row r="1330" spans="1:28" x14ac:dyDescent="0.2">
      <c r="A1330" s="1">
        <v>3622</v>
      </c>
      <c r="B1330" s="1" t="s">
        <v>6850</v>
      </c>
      <c r="D1330" s="1" t="s">
        <v>6851</v>
      </c>
      <c r="F1330" s="1" t="s">
        <v>6914</v>
      </c>
      <c r="H1330" s="1" t="s">
        <v>6915</v>
      </c>
      <c r="J1330" s="1" t="s">
        <v>1324</v>
      </c>
      <c r="L1330" s="1" t="s">
        <v>895</v>
      </c>
      <c r="M1330" s="1" t="s">
        <v>4060</v>
      </c>
      <c r="N1330" s="1" t="s">
        <v>4062</v>
      </c>
      <c r="P1330" s="1" t="s">
        <v>4273</v>
      </c>
      <c r="Q1330" s="3">
        <v>0</v>
      </c>
      <c r="R1330" s="23" t="s">
        <v>6854</v>
      </c>
      <c r="S1330" s="23" t="s">
        <v>6845</v>
      </c>
      <c r="T1330" s="23" t="s">
        <v>4866</v>
      </c>
      <c r="U1330" s="3">
        <v>35</v>
      </c>
      <c r="W1330" s="45" t="str">
        <f>HYPERLINK("http://ictvonline.org/taxonomy/p/taxonomy-history?taxnode_id=201900744","ICTVonline=201900744")</f>
        <v>ICTVonline=201900744</v>
      </c>
      <c r="Y1330" s="1" t="s">
        <v>9328</v>
      </c>
      <c r="Z1330" s="1" t="s">
        <v>9329</v>
      </c>
      <c r="AA1330" s="1">
        <v>201900000</v>
      </c>
      <c r="AB1330" s="1">
        <v>35</v>
      </c>
    </row>
    <row r="1331" spans="1:28" x14ac:dyDescent="0.2">
      <c r="A1331" s="1">
        <v>3624</v>
      </c>
      <c r="B1331" s="1" t="s">
        <v>6850</v>
      </c>
      <c r="D1331" s="1" t="s">
        <v>6851</v>
      </c>
      <c r="F1331" s="1" t="s">
        <v>6914</v>
      </c>
      <c r="H1331" s="1" t="s">
        <v>6915</v>
      </c>
      <c r="J1331" s="1" t="s">
        <v>1324</v>
      </c>
      <c r="L1331" s="1" t="s">
        <v>895</v>
      </c>
      <c r="M1331" s="1" t="s">
        <v>4060</v>
      </c>
      <c r="N1331" s="1" t="s">
        <v>4062</v>
      </c>
      <c r="P1331" s="1" t="s">
        <v>3264</v>
      </c>
      <c r="Q1331" s="3">
        <v>0</v>
      </c>
      <c r="R1331" s="23" t="s">
        <v>6854</v>
      </c>
      <c r="S1331" s="23" t="s">
        <v>6845</v>
      </c>
      <c r="T1331" s="23" t="s">
        <v>4866</v>
      </c>
      <c r="U1331" s="3">
        <v>35</v>
      </c>
      <c r="W1331" s="45" t="str">
        <f>HYPERLINK("http://ictvonline.org/taxonomy/p/taxonomy-history?taxnode_id=201900745","ICTVonline=201900745")</f>
        <v>ICTVonline=201900745</v>
      </c>
      <c r="Y1331" s="1" t="s">
        <v>9330</v>
      </c>
      <c r="AA1331" s="1">
        <v>201900000</v>
      </c>
      <c r="AB1331" s="1">
        <v>35</v>
      </c>
    </row>
    <row r="1332" spans="1:28" x14ac:dyDescent="0.2">
      <c r="A1332" s="1">
        <v>3626</v>
      </c>
      <c r="B1332" s="1" t="s">
        <v>6850</v>
      </c>
      <c r="D1332" s="1" t="s">
        <v>6851</v>
      </c>
      <c r="F1332" s="1" t="s">
        <v>6914</v>
      </c>
      <c r="H1332" s="1" t="s">
        <v>6915</v>
      </c>
      <c r="J1332" s="1" t="s">
        <v>1324</v>
      </c>
      <c r="L1332" s="1" t="s">
        <v>895</v>
      </c>
      <c r="M1332" s="1" t="s">
        <v>4060</v>
      </c>
      <c r="N1332" s="1" t="s">
        <v>4062</v>
      </c>
      <c r="P1332" s="1" t="s">
        <v>3269</v>
      </c>
      <c r="Q1332" s="3">
        <v>0</v>
      </c>
      <c r="R1332" s="23" t="s">
        <v>6854</v>
      </c>
      <c r="S1332" s="23" t="s">
        <v>6845</v>
      </c>
      <c r="T1332" s="23" t="s">
        <v>4866</v>
      </c>
      <c r="U1332" s="3">
        <v>35</v>
      </c>
      <c r="W1332" s="45" t="str">
        <f>HYPERLINK("http://ictvonline.org/taxonomy/p/taxonomy-history?taxnode_id=201900746","ICTVonline=201900746")</f>
        <v>ICTVonline=201900746</v>
      </c>
      <c r="Y1332" s="1" t="s">
        <v>9331</v>
      </c>
      <c r="AA1332" s="1">
        <v>201900000</v>
      </c>
      <c r="AB1332" s="1">
        <v>35</v>
      </c>
    </row>
    <row r="1333" spans="1:28" x14ac:dyDescent="0.2">
      <c r="A1333" s="1">
        <v>3628</v>
      </c>
      <c r="B1333" s="1" t="s">
        <v>6850</v>
      </c>
      <c r="D1333" s="1" t="s">
        <v>6851</v>
      </c>
      <c r="F1333" s="1" t="s">
        <v>6914</v>
      </c>
      <c r="H1333" s="1" t="s">
        <v>6915</v>
      </c>
      <c r="J1333" s="1" t="s">
        <v>1324</v>
      </c>
      <c r="L1333" s="1" t="s">
        <v>895</v>
      </c>
      <c r="M1333" s="1" t="s">
        <v>4060</v>
      </c>
      <c r="N1333" s="1" t="s">
        <v>4062</v>
      </c>
      <c r="P1333" s="1" t="s">
        <v>4274</v>
      </c>
      <c r="Q1333" s="3">
        <v>0</v>
      </c>
      <c r="R1333" s="23" t="s">
        <v>6854</v>
      </c>
      <c r="S1333" s="23" t="s">
        <v>6845</v>
      </c>
      <c r="T1333" s="23" t="s">
        <v>4866</v>
      </c>
      <c r="U1333" s="3">
        <v>35</v>
      </c>
      <c r="W1333" s="45" t="str">
        <f>HYPERLINK("http://ictvonline.org/taxonomy/p/taxonomy-history?taxnode_id=201900747","ICTVonline=201900747")</f>
        <v>ICTVonline=201900747</v>
      </c>
      <c r="Y1333" s="1" t="s">
        <v>9332</v>
      </c>
      <c r="Z1333" s="1" t="s">
        <v>9333</v>
      </c>
      <c r="AA1333" s="1">
        <v>201900000</v>
      </c>
      <c r="AB1333" s="1">
        <v>35</v>
      </c>
    </row>
    <row r="1334" spans="1:28" x14ac:dyDescent="0.2">
      <c r="A1334" s="1">
        <v>3630</v>
      </c>
      <c r="B1334" s="1" t="s">
        <v>6850</v>
      </c>
      <c r="D1334" s="1" t="s">
        <v>6851</v>
      </c>
      <c r="F1334" s="1" t="s">
        <v>6914</v>
      </c>
      <c r="H1334" s="1" t="s">
        <v>6915</v>
      </c>
      <c r="J1334" s="1" t="s">
        <v>1324</v>
      </c>
      <c r="L1334" s="1" t="s">
        <v>895</v>
      </c>
      <c r="M1334" s="1" t="s">
        <v>4060</v>
      </c>
      <c r="N1334" s="1" t="s">
        <v>4062</v>
      </c>
      <c r="P1334" s="1" t="s">
        <v>3270</v>
      </c>
      <c r="Q1334" s="3">
        <v>0</v>
      </c>
      <c r="R1334" s="23" t="s">
        <v>6854</v>
      </c>
      <c r="S1334" s="23" t="s">
        <v>6845</v>
      </c>
      <c r="T1334" s="23" t="s">
        <v>4866</v>
      </c>
      <c r="U1334" s="3">
        <v>35</v>
      </c>
      <c r="W1334" s="45" t="str">
        <f>HYPERLINK("http://ictvonline.org/taxonomy/p/taxonomy-history?taxnode_id=201900748","ICTVonline=201900748")</f>
        <v>ICTVonline=201900748</v>
      </c>
      <c r="Y1334" s="1" t="s">
        <v>9334</v>
      </c>
      <c r="AA1334" s="1">
        <v>201900000</v>
      </c>
      <c r="AB1334" s="1">
        <v>35</v>
      </c>
    </row>
    <row r="1335" spans="1:28" x14ac:dyDescent="0.2">
      <c r="A1335" s="1">
        <v>3634</v>
      </c>
      <c r="B1335" s="1" t="s">
        <v>6850</v>
      </c>
      <c r="D1335" s="1" t="s">
        <v>6851</v>
      </c>
      <c r="F1335" s="1" t="s">
        <v>6914</v>
      </c>
      <c r="H1335" s="1" t="s">
        <v>6915</v>
      </c>
      <c r="J1335" s="1" t="s">
        <v>1324</v>
      </c>
      <c r="L1335" s="1" t="s">
        <v>895</v>
      </c>
      <c r="M1335" s="1" t="s">
        <v>4060</v>
      </c>
      <c r="N1335" s="1" t="s">
        <v>6310</v>
      </c>
      <c r="P1335" s="1" t="s">
        <v>4275</v>
      </c>
      <c r="Q1335" s="3">
        <v>0</v>
      </c>
      <c r="R1335" s="23" t="s">
        <v>6854</v>
      </c>
      <c r="S1335" s="23" t="s">
        <v>6845</v>
      </c>
      <c r="T1335" s="23" t="s">
        <v>4866</v>
      </c>
      <c r="U1335" s="3">
        <v>35</v>
      </c>
      <c r="W1335" s="45" t="str">
        <f>HYPERLINK("http://ictvonline.org/taxonomy/p/taxonomy-history?taxnode_id=201900750","ICTVonline=201900750")</f>
        <v>ICTVonline=201900750</v>
      </c>
      <c r="Y1335" s="1" t="s">
        <v>9335</v>
      </c>
      <c r="Z1335" s="1" t="s">
        <v>9336</v>
      </c>
      <c r="AA1335" s="1">
        <v>201900000</v>
      </c>
      <c r="AB1335" s="1">
        <v>35</v>
      </c>
    </row>
    <row r="1336" spans="1:28" x14ac:dyDescent="0.2">
      <c r="A1336" s="1">
        <v>3636</v>
      </c>
      <c r="B1336" s="1" t="s">
        <v>6850</v>
      </c>
      <c r="D1336" s="1" t="s">
        <v>6851</v>
      </c>
      <c r="F1336" s="1" t="s">
        <v>6914</v>
      </c>
      <c r="H1336" s="1" t="s">
        <v>6915</v>
      </c>
      <c r="J1336" s="1" t="s">
        <v>1324</v>
      </c>
      <c r="L1336" s="1" t="s">
        <v>895</v>
      </c>
      <c r="M1336" s="1" t="s">
        <v>4060</v>
      </c>
      <c r="N1336" s="1" t="s">
        <v>6310</v>
      </c>
      <c r="P1336" s="1" t="s">
        <v>4276</v>
      </c>
      <c r="Q1336" s="3">
        <v>0</v>
      </c>
      <c r="R1336" s="23" t="s">
        <v>6854</v>
      </c>
      <c r="S1336" s="23" t="s">
        <v>6845</v>
      </c>
      <c r="T1336" s="23" t="s">
        <v>4866</v>
      </c>
      <c r="U1336" s="3">
        <v>35</v>
      </c>
      <c r="W1336" s="45" t="str">
        <f>HYPERLINK("http://ictvonline.org/taxonomy/p/taxonomy-history?taxnode_id=201900751","ICTVonline=201900751")</f>
        <v>ICTVonline=201900751</v>
      </c>
      <c r="Y1336" s="1" t="s">
        <v>9337</v>
      </c>
      <c r="Z1336" s="1" t="s">
        <v>9338</v>
      </c>
      <c r="AA1336" s="1">
        <v>201900000</v>
      </c>
      <c r="AB1336" s="1">
        <v>35</v>
      </c>
    </row>
    <row r="1337" spans="1:28" x14ac:dyDescent="0.2">
      <c r="A1337" s="1">
        <v>3638</v>
      </c>
      <c r="B1337" s="1" t="s">
        <v>6850</v>
      </c>
      <c r="D1337" s="1" t="s">
        <v>6851</v>
      </c>
      <c r="F1337" s="1" t="s">
        <v>6914</v>
      </c>
      <c r="H1337" s="1" t="s">
        <v>6915</v>
      </c>
      <c r="J1337" s="1" t="s">
        <v>1324</v>
      </c>
      <c r="L1337" s="1" t="s">
        <v>895</v>
      </c>
      <c r="M1337" s="1" t="s">
        <v>4060</v>
      </c>
      <c r="N1337" s="1" t="s">
        <v>6310</v>
      </c>
      <c r="P1337" s="1" t="s">
        <v>3265</v>
      </c>
      <c r="Q1337" s="3">
        <v>0</v>
      </c>
      <c r="R1337" s="23" t="s">
        <v>6854</v>
      </c>
      <c r="S1337" s="23" t="s">
        <v>6845</v>
      </c>
      <c r="T1337" s="23" t="s">
        <v>4866</v>
      </c>
      <c r="U1337" s="3">
        <v>35</v>
      </c>
      <c r="W1337" s="45" t="str">
        <f>HYPERLINK("http://ictvonline.org/taxonomy/p/taxonomy-history?taxnode_id=201900752","ICTVonline=201900752")</f>
        <v>ICTVonline=201900752</v>
      </c>
      <c r="Y1337" s="1" t="s">
        <v>9339</v>
      </c>
      <c r="AA1337" s="1">
        <v>201900000</v>
      </c>
      <c r="AB1337" s="1">
        <v>35</v>
      </c>
    </row>
    <row r="1338" spans="1:28" x14ac:dyDescent="0.2">
      <c r="A1338" s="1">
        <v>3640</v>
      </c>
      <c r="B1338" s="1" t="s">
        <v>6850</v>
      </c>
      <c r="D1338" s="1" t="s">
        <v>6851</v>
      </c>
      <c r="F1338" s="1" t="s">
        <v>6914</v>
      </c>
      <c r="H1338" s="1" t="s">
        <v>6915</v>
      </c>
      <c r="J1338" s="1" t="s">
        <v>1324</v>
      </c>
      <c r="L1338" s="1" t="s">
        <v>895</v>
      </c>
      <c r="M1338" s="1" t="s">
        <v>4060</v>
      </c>
      <c r="N1338" s="1" t="s">
        <v>6310</v>
      </c>
      <c r="P1338" s="1" t="s">
        <v>4277</v>
      </c>
      <c r="Q1338" s="3">
        <v>0</v>
      </c>
      <c r="R1338" s="23" t="s">
        <v>6854</v>
      </c>
      <c r="S1338" s="23" t="s">
        <v>6845</v>
      </c>
      <c r="T1338" s="23" t="s">
        <v>4866</v>
      </c>
      <c r="U1338" s="3">
        <v>35</v>
      </c>
      <c r="W1338" s="45" t="str">
        <f>HYPERLINK("http://ictvonline.org/taxonomy/p/taxonomy-history?taxnode_id=201900753","ICTVonline=201900753")</f>
        <v>ICTVonline=201900753</v>
      </c>
      <c r="Y1338" s="1" t="s">
        <v>9340</v>
      </c>
      <c r="Z1338" s="1" t="s">
        <v>9341</v>
      </c>
      <c r="AA1338" s="1">
        <v>201900000</v>
      </c>
      <c r="AB1338" s="1">
        <v>35</v>
      </c>
    </row>
    <row r="1339" spans="1:28" x14ac:dyDescent="0.2">
      <c r="A1339" s="1">
        <v>3642</v>
      </c>
      <c r="B1339" s="1" t="s">
        <v>6850</v>
      </c>
      <c r="D1339" s="1" t="s">
        <v>6851</v>
      </c>
      <c r="F1339" s="1" t="s">
        <v>6914</v>
      </c>
      <c r="H1339" s="1" t="s">
        <v>6915</v>
      </c>
      <c r="J1339" s="1" t="s">
        <v>1324</v>
      </c>
      <c r="L1339" s="1" t="s">
        <v>895</v>
      </c>
      <c r="M1339" s="1" t="s">
        <v>4060</v>
      </c>
      <c r="N1339" s="1" t="s">
        <v>6310</v>
      </c>
      <c r="P1339" s="1" t="s">
        <v>3266</v>
      </c>
      <c r="Q1339" s="3">
        <v>1</v>
      </c>
      <c r="R1339" s="23" t="s">
        <v>6854</v>
      </c>
      <c r="S1339" s="23" t="s">
        <v>6845</v>
      </c>
      <c r="T1339" s="23" t="s">
        <v>4866</v>
      </c>
      <c r="U1339" s="3">
        <v>35</v>
      </c>
      <c r="W1339" s="45" t="str">
        <f>HYPERLINK("http://ictvonline.org/taxonomy/p/taxonomy-history?taxnode_id=201900754","ICTVonline=201900754")</f>
        <v>ICTVonline=201900754</v>
      </c>
      <c r="Y1339" s="1" t="s">
        <v>9342</v>
      </c>
      <c r="AA1339" s="1">
        <v>201900000</v>
      </c>
      <c r="AB1339" s="1">
        <v>35</v>
      </c>
    </row>
    <row r="1340" spans="1:28" x14ac:dyDescent="0.2">
      <c r="A1340" s="1">
        <v>3644</v>
      </c>
      <c r="B1340" s="1" t="s">
        <v>6850</v>
      </c>
      <c r="D1340" s="1" t="s">
        <v>6851</v>
      </c>
      <c r="F1340" s="1" t="s">
        <v>6914</v>
      </c>
      <c r="H1340" s="1" t="s">
        <v>6915</v>
      </c>
      <c r="J1340" s="1" t="s">
        <v>1324</v>
      </c>
      <c r="L1340" s="1" t="s">
        <v>895</v>
      </c>
      <c r="M1340" s="1" t="s">
        <v>4060</v>
      </c>
      <c r="N1340" s="1" t="s">
        <v>6310</v>
      </c>
      <c r="P1340" s="1" t="s">
        <v>4278</v>
      </c>
      <c r="Q1340" s="3">
        <v>0</v>
      </c>
      <c r="R1340" s="23" t="s">
        <v>6854</v>
      </c>
      <c r="S1340" s="23" t="s">
        <v>6845</v>
      </c>
      <c r="T1340" s="23" t="s">
        <v>4866</v>
      </c>
      <c r="U1340" s="3">
        <v>35</v>
      </c>
      <c r="W1340" s="45" t="str">
        <f>HYPERLINK("http://ictvonline.org/taxonomy/p/taxonomy-history?taxnode_id=201900755","ICTVonline=201900755")</f>
        <v>ICTVonline=201900755</v>
      </c>
      <c r="Y1340" s="1" t="s">
        <v>9343</v>
      </c>
      <c r="Z1340" s="1" t="s">
        <v>9344</v>
      </c>
      <c r="AA1340" s="1">
        <v>201900000</v>
      </c>
      <c r="AB1340" s="1">
        <v>35</v>
      </c>
    </row>
    <row r="1341" spans="1:28" x14ac:dyDescent="0.2">
      <c r="A1341" s="1">
        <v>3646</v>
      </c>
      <c r="B1341" s="1" t="s">
        <v>6850</v>
      </c>
      <c r="D1341" s="1" t="s">
        <v>6851</v>
      </c>
      <c r="F1341" s="1" t="s">
        <v>6914</v>
      </c>
      <c r="H1341" s="1" t="s">
        <v>6915</v>
      </c>
      <c r="J1341" s="1" t="s">
        <v>1324</v>
      </c>
      <c r="L1341" s="1" t="s">
        <v>895</v>
      </c>
      <c r="M1341" s="2" t="s">
        <v>4060</v>
      </c>
      <c r="N1341" s="1" t="s">
        <v>6310</v>
      </c>
      <c r="P1341" s="1" t="s">
        <v>4279</v>
      </c>
      <c r="Q1341" s="3">
        <v>0</v>
      </c>
      <c r="R1341" s="23" t="s">
        <v>6854</v>
      </c>
      <c r="S1341" s="23" t="s">
        <v>6845</v>
      </c>
      <c r="T1341" s="23" t="s">
        <v>4866</v>
      </c>
      <c r="U1341" s="3">
        <v>35</v>
      </c>
      <c r="W1341" s="45" t="str">
        <f>HYPERLINK("http://ictvonline.org/taxonomy/p/taxonomy-history?taxnode_id=201900756","ICTVonline=201900756")</f>
        <v>ICTVonline=201900756</v>
      </c>
      <c r="Y1341" s="1" t="s">
        <v>9345</v>
      </c>
      <c r="Z1341" s="1" t="s">
        <v>9346</v>
      </c>
      <c r="AA1341" s="1">
        <v>201900000</v>
      </c>
      <c r="AB1341" s="1">
        <v>35</v>
      </c>
    </row>
    <row r="1342" spans="1:28" x14ac:dyDescent="0.2">
      <c r="A1342" s="1">
        <v>3650</v>
      </c>
      <c r="B1342" s="1" t="s">
        <v>6850</v>
      </c>
      <c r="D1342" s="1" t="s">
        <v>6851</v>
      </c>
      <c r="F1342" s="1" t="s">
        <v>6914</v>
      </c>
      <c r="H1342" s="1" t="s">
        <v>6915</v>
      </c>
      <c r="J1342" s="1" t="s">
        <v>1324</v>
      </c>
      <c r="L1342" s="1" t="s">
        <v>895</v>
      </c>
      <c r="M1342" s="1" t="s">
        <v>4060</v>
      </c>
      <c r="N1342" s="1" t="s">
        <v>4063</v>
      </c>
      <c r="P1342" s="1" t="s">
        <v>3260</v>
      </c>
      <c r="Q1342" s="3">
        <v>0</v>
      </c>
      <c r="R1342" s="23" t="s">
        <v>6854</v>
      </c>
      <c r="S1342" s="23" t="s">
        <v>6845</v>
      </c>
      <c r="T1342" s="23" t="s">
        <v>4866</v>
      </c>
      <c r="U1342" s="3">
        <v>35</v>
      </c>
      <c r="W1342" s="45" t="str">
        <f>HYPERLINK("http://ictvonline.org/taxonomy/p/taxonomy-history?taxnode_id=201900758","ICTVonline=201900758")</f>
        <v>ICTVonline=201900758</v>
      </c>
      <c r="Y1342" s="1" t="s">
        <v>9347</v>
      </c>
      <c r="AA1342" s="1">
        <v>201900000</v>
      </c>
      <c r="AB1342" s="1">
        <v>35</v>
      </c>
    </row>
    <row r="1343" spans="1:28" x14ac:dyDescent="0.2">
      <c r="A1343" s="1">
        <v>3652</v>
      </c>
      <c r="B1343" s="1" t="s">
        <v>6850</v>
      </c>
      <c r="D1343" s="1" t="s">
        <v>6851</v>
      </c>
      <c r="F1343" s="1" t="s">
        <v>6914</v>
      </c>
      <c r="H1343" s="1" t="s">
        <v>6915</v>
      </c>
      <c r="J1343" s="1" t="s">
        <v>1324</v>
      </c>
      <c r="L1343" s="1" t="s">
        <v>895</v>
      </c>
      <c r="M1343" s="1" t="s">
        <v>4060</v>
      </c>
      <c r="N1343" s="1" t="s">
        <v>4063</v>
      </c>
      <c r="P1343" s="1" t="s">
        <v>4280</v>
      </c>
      <c r="Q1343" s="3">
        <v>0</v>
      </c>
      <c r="R1343" s="23" t="s">
        <v>6854</v>
      </c>
      <c r="S1343" s="23" t="s">
        <v>6845</v>
      </c>
      <c r="T1343" s="23" t="s">
        <v>4866</v>
      </c>
      <c r="U1343" s="3">
        <v>35</v>
      </c>
      <c r="W1343" s="45" t="str">
        <f>HYPERLINK("http://ictvonline.org/taxonomy/p/taxonomy-history?taxnode_id=201900759","ICTVonline=201900759")</f>
        <v>ICTVonline=201900759</v>
      </c>
      <c r="Y1343" s="1" t="s">
        <v>9348</v>
      </c>
      <c r="Z1343" s="1" t="s">
        <v>9349</v>
      </c>
      <c r="AA1343" s="1">
        <v>201900000</v>
      </c>
      <c r="AB1343" s="1">
        <v>35</v>
      </c>
    </row>
    <row r="1344" spans="1:28" x14ac:dyDescent="0.2">
      <c r="A1344" s="1">
        <v>3654</v>
      </c>
      <c r="B1344" s="1" t="s">
        <v>6850</v>
      </c>
      <c r="D1344" s="1" t="s">
        <v>6851</v>
      </c>
      <c r="F1344" s="1" t="s">
        <v>6914</v>
      </c>
      <c r="H1344" s="1" t="s">
        <v>6915</v>
      </c>
      <c r="J1344" s="1" t="s">
        <v>1324</v>
      </c>
      <c r="L1344" s="1" t="s">
        <v>895</v>
      </c>
      <c r="M1344" s="1" t="s">
        <v>4060</v>
      </c>
      <c r="N1344" s="1" t="s">
        <v>4063</v>
      </c>
      <c r="P1344" s="1" t="s">
        <v>3263</v>
      </c>
      <c r="Q1344" s="3">
        <v>0</v>
      </c>
      <c r="R1344" s="23" t="s">
        <v>6854</v>
      </c>
      <c r="S1344" s="23" t="s">
        <v>6845</v>
      </c>
      <c r="T1344" s="23" t="s">
        <v>4866</v>
      </c>
      <c r="U1344" s="3">
        <v>35</v>
      </c>
      <c r="W1344" s="45" t="str">
        <f>HYPERLINK("http://ictvonline.org/taxonomy/p/taxonomy-history?taxnode_id=201900760","ICTVonline=201900760")</f>
        <v>ICTVonline=201900760</v>
      </c>
      <c r="Y1344" s="1" t="s">
        <v>9350</v>
      </c>
      <c r="AA1344" s="1">
        <v>201900000</v>
      </c>
      <c r="AB1344" s="1">
        <v>35</v>
      </c>
    </row>
    <row r="1345" spans="1:28" x14ac:dyDescent="0.2">
      <c r="A1345" s="1">
        <v>3656</v>
      </c>
      <c r="B1345" s="1" t="s">
        <v>6850</v>
      </c>
      <c r="D1345" s="1" t="s">
        <v>6851</v>
      </c>
      <c r="F1345" s="1" t="s">
        <v>6914</v>
      </c>
      <c r="H1345" s="1" t="s">
        <v>6915</v>
      </c>
      <c r="J1345" s="1" t="s">
        <v>1324</v>
      </c>
      <c r="L1345" s="1" t="s">
        <v>895</v>
      </c>
      <c r="M1345" s="1" t="s">
        <v>4060</v>
      </c>
      <c r="N1345" s="1" t="s">
        <v>4063</v>
      </c>
      <c r="P1345" s="1" t="s">
        <v>3267</v>
      </c>
      <c r="Q1345" s="3">
        <v>1</v>
      </c>
      <c r="R1345" s="23" t="s">
        <v>6854</v>
      </c>
      <c r="S1345" s="23" t="s">
        <v>6845</v>
      </c>
      <c r="T1345" s="23" t="s">
        <v>4866</v>
      </c>
      <c r="U1345" s="3">
        <v>35</v>
      </c>
      <c r="W1345" s="45" t="str">
        <f>HYPERLINK("http://ictvonline.org/taxonomy/p/taxonomy-history?taxnode_id=201900761","ICTVonline=201900761")</f>
        <v>ICTVonline=201900761</v>
      </c>
      <c r="Y1345" s="1" t="s">
        <v>9351</v>
      </c>
      <c r="AA1345" s="1">
        <v>201900000</v>
      </c>
      <c r="AB1345" s="1">
        <v>35</v>
      </c>
    </row>
    <row r="1346" spans="1:28" x14ac:dyDescent="0.2">
      <c r="A1346" s="1">
        <v>3660</v>
      </c>
      <c r="B1346" s="1" t="s">
        <v>6850</v>
      </c>
      <c r="D1346" s="1" t="s">
        <v>6851</v>
      </c>
      <c r="F1346" s="1" t="s">
        <v>6914</v>
      </c>
      <c r="H1346" s="1" t="s">
        <v>6915</v>
      </c>
      <c r="J1346" s="1" t="s">
        <v>1324</v>
      </c>
      <c r="L1346" s="1" t="s">
        <v>895</v>
      </c>
      <c r="M1346" s="1" t="s">
        <v>4060</v>
      </c>
      <c r="N1346" s="1" t="s">
        <v>4064</v>
      </c>
      <c r="P1346" s="1" t="s">
        <v>4281</v>
      </c>
      <c r="Q1346" s="3">
        <v>0</v>
      </c>
      <c r="R1346" s="23" t="s">
        <v>6854</v>
      </c>
      <c r="S1346" s="23" t="s">
        <v>6845</v>
      </c>
      <c r="T1346" s="23" t="s">
        <v>4866</v>
      </c>
      <c r="U1346" s="3">
        <v>35</v>
      </c>
      <c r="W1346" s="45" t="str">
        <f>HYPERLINK("http://ictvonline.org/taxonomy/p/taxonomy-history?taxnode_id=201900763","ICTVonline=201900763")</f>
        <v>ICTVonline=201900763</v>
      </c>
      <c r="Y1346" s="1" t="s">
        <v>9352</v>
      </c>
      <c r="Z1346" s="1" t="s">
        <v>9353</v>
      </c>
      <c r="AA1346" s="1">
        <v>201900000</v>
      </c>
      <c r="AB1346" s="1">
        <v>35</v>
      </c>
    </row>
    <row r="1347" spans="1:28" x14ac:dyDescent="0.2">
      <c r="A1347" s="1">
        <v>3662</v>
      </c>
      <c r="B1347" s="1" t="s">
        <v>6850</v>
      </c>
      <c r="D1347" s="1" t="s">
        <v>6851</v>
      </c>
      <c r="F1347" s="1" t="s">
        <v>6914</v>
      </c>
      <c r="H1347" s="1" t="s">
        <v>6915</v>
      </c>
      <c r="J1347" s="1" t="s">
        <v>1324</v>
      </c>
      <c r="L1347" s="1" t="s">
        <v>895</v>
      </c>
      <c r="M1347" s="1" t="s">
        <v>4060</v>
      </c>
      <c r="N1347" s="1" t="s">
        <v>4064</v>
      </c>
      <c r="P1347" s="1" t="s">
        <v>3268</v>
      </c>
      <c r="Q1347" s="3">
        <v>1</v>
      </c>
      <c r="R1347" s="23" t="s">
        <v>6854</v>
      </c>
      <c r="S1347" s="23" t="s">
        <v>6845</v>
      </c>
      <c r="T1347" s="23" t="s">
        <v>4866</v>
      </c>
      <c r="U1347" s="3">
        <v>35</v>
      </c>
      <c r="W1347" s="45" t="str">
        <f>HYPERLINK("http://ictvonline.org/taxonomy/p/taxonomy-history?taxnode_id=201900764","ICTVonline=201900764")</f>
        <v>ICTVonline=201900764</v>
      </c>
      <c r="Y1347" s="1" t="s">
        <v>9354</v>
      </c>
      <c r="AA1347" s="1">
        <v>201900000</v>
      </c>
      <c r="AB1347" s="1">
        <v>35</v>
      </c>
    </row>
    <row r="1348" spans="1:28" x14ac:dyDescent="0.2">
      <c r="A1348" s="1">
        <v>3664</v>
      </c>
      <c r="B1348" s="1" t="s">
        <v>6850</v>
      </c>
      <c r="D1348" s="1" t="s">
        <v>6851</v>
      </c>
      <c r="F1348" s="1" t="s">
        <v>6914</v>
      </c>
      <c r="H1348" s="1" t="s">
        <v>6915</v>
      </c>
      <c r="J1348" s="1" t="s">
        <v>1324</v>
      </c>
      <c r="L1348" s="1" t="s">
        <v>895</v>
      </c>
      <c r="M1348" s="1" t="s">
        <v>4060</v>
      </c>
      <c r="N1348" s="1" t="s">
        <v>4064</v>
      </c>
      <c r="P1348" s="1" t="s">
        <v>6311</v>
      </c>
      <c r="Q1348" s="3">
        <v>0</v>
      </c>
      <c r="R1348" s="23" t="s">
        <v>6854</v>
      </c>
      <c r="S1348" s="23" t="s">
        <v>6845</v>
      </c>
      <c r="T1348" s="23" t="s">
        <v>4866</v>
      </c>
      <c r="U1348" s="3">
        <v>35</v>
      </c>
      <c r="W1348" s="45" t="str">
        <f>HYPERLINK("http://ictvonline.org/taxonomy/p/taxonomy-history?taxnode_id=201901060","ICTVonline=201901060")</f>
        <v>ICTVonline=201901060</v>
      </c>
      <c r="Y1348" s="1" t="s">
        <v>9355</v>
      </c>
      <c r="Z1348" s="1" t="s">
        <v>9356</v>
      </c>
      <c r="AA1348" s="1">
        <v>201900000</v>
      </c>
      <c r="AB1348" s="1">
        <v>35</v>
      </c>
    </row>
    <row r="1349" spans="1:28" x14ac:dyDescent="0.2">
      <c r="A1349" s="1">
        <v>3670</v>
      </c>
      <c r="B1349" s="1" t="s">
        <v>6850</v>
      </c>
      <c r="D1349" s="1" t="s">
        <v>6851</v>
      </c>
      <c r="F1349" s="1" t="s">
        <v>6914</v>
      </c>
      <c r="H1349" s="1" t="s">
        <v>6915</v>
      </c>
      <c r="J1349" s="1" t="s">
        <v>1324</v>
      </c>
      <c r="L1349" s="1" t="s">
        <v>895</v>
      </c>
      <c r="M1349" s="1" t="s">
        <v>4957</v>
      </c>
      <c r="N1349" s="1" t="s">
        <v>4958</v>
      </c>
      <c r="P1349" s="1" t="s">
        <v>3131</v>
      </c>
      <c r="Q1349" s="3">
        <v>0</v>
      </c>
      <c r="R1349" s="23" t="s">
        <v>6854</v>
      </c>
      <c r="S1349" s="23" t="s">
        <v>6845</v>
      </c>
      <c r="T1349" s="23" t="s">
        <v>4866</v>
      </c>
      <c r="U1349" s="3">
        <v>35</v>
      </c>
      <c r="W1349" s="45" t="str">
        <f>HYPERLINK("http://ictvonline.org/taxonomy/p/taxonomy-history?taxnode_id=201900920","ICTVonline=201900920")</f>
        <v>ICTVonline=201900920</v>
      </c>
      <c r="Y1349" s="1" t="s">
        <v>9357</v>
      </c>
      <c r="AA1349" s="1">
        <v>201900000</v>
      </c>
      <c r="AB1349" s="1">
        <v>35</v>
      </c>
    </row>
    <row r="1350" spans="1:28" x14ac:dyDescent="0.2">
      <c r="A1350" s="1">
        <v>3672</v>
      </c>
      <c r="B1350" s="1" t="s">
        <v>6850</v>
      </c>
      <c r="D1350" s="1" t="s">
        <v>6851</v>
      </c>
      <c r="F1350" s="1" t="s">
        <v>6914</v>
      </c>
      <c r="H1350" s="1" t="s">
        <v>6915</v>
      </c>
      <c r="J1350" s="1" t="s">
        <v>1324</v>
      </c>
      <c r="L1350" s="1" t="s">
        <v>895</v>
      </c>
      <c r="M1350" s="1" t="s">
        <v>4957</v>
      </c>
      <c r="N1350" s="1" t="s">
        <v>4958</v>
      </c>
      <c r="P1350" s="1" t="s">
        <v>3132</v>
      </c>
      <c r="Q1350" s="3">
        <v>1</v>
      </c>
      <c r="R1350" s="23" t="s">
        <v>6854</v>
      </c>
      <c r="S1350" s="23" t="s">
        <v>6845</v>
      </c>
      <c r="T1350" s="23" t="s">
        <v>4866</v>
      </c>
      <c r="U1350" s="3">
        <v>35</v>
      </c>
      <c r="W1350" s="45" t="str">
        <f>HYPERLINK("http://ictvonline.org/taxonomy/p/taxonomy-history?taxnode_id=201900921","ICTVonline=201900921")</f>
        <v>ICTVonline=201900921</v>
      </c>
      <c r="Y1350" s="1" t="s">
        <v>9358</v>
      </c>
      <c r="AA1350" s="1">
        <v>201900000</v>
      </c>
      <c r="AB1350" s="1">
        <v>35</v>
      </c>
    </row>
    <row r="1351" spans="1:28" x14ac:dyDescent="0.2">
      <c r="A1351" s="1">
        <v>3678</v>
      </c>
      <c r="B1351" s="1" t="s">
        <v>6850</v>
      </c>
      <c r="D1351" s="1" t="s">
        <v>6851</v>
      </c>
      <c r="F1351" s="1" t="s">
        <v>6914</v>
      </c>
      <c r="H1351" s="1" t="s">
        <v>6915</v>
      </c>
      <c r="J1351" s="1" t="s">
        <v>1324</v>
      </c>
      <c r="L1351" s="1" t="s">
        <v>895</v>
      </c>
      <c r="M1351" s="1" t="s">
        <v>4960</v>
      </c>
      <c r="N1351" s="1" t="s">
        <v>4961</v>
      </c>
      <c r="P1351" s="1" t="s">
        <v>4962</v>
      </c>
      <c r="Q1351" s="3">
        <v>1</v>
      </c>
      <c r="R1351" s="23" t="s">
        <v>6854</v>
      </c>
      <c r="S1351" s="23" t="s">
        <v>6845</v>
      </c>
      <c r="T1351" s="23" t="s">
        <v>4866</v>
      </c>
      <c r="U1351" s="3">
        <v>35</v>
      </c>
      <c r="W1351" s="45" t="str">
        <f>HYPERLINK("http://ictvonline.org/taxonomy/p/taxonomy-history?taxnode_id=201905508","ICTVonline=201905508")</f>
        <v>ICTVonline=201905508</v>
      </c>
      <c r="AA1351" s="1">
        <v>201900000</v>
      </c>
      <c r="AB1351" s="1">
        <v>35</v>
      </c>
    </row>
    <row r="1352" spans="1:28" x14ac:dyDescent="0.2">
      <c r="A1352" s="1">
        <v>3682</v>
      </c>
      <c r="B1352" s="1" t="s">
        <v>6850</v>
      </c>
      <c r="D1352" s="1" t="s">
        <v>6851</v>
      </c>
      <c r="F1352" s="1" t="s">
        <v>6914</v>
      </c>
      <c r="H1352" s="1" t="s">
        <v>6915</v>
      </c>
      <c r="J1352" s="1" t="s">
        <v>1324</v>
      </c>
      <c r="L1352" s="1" t="s">
        <v>895</v>
      </c>
      <c r="M1352" s="1" t="s">
        <v>4960</v>
      </c>
      <c r="N1352" s="1" t="s">
        <v>4963</v>
      </c>
      <c r="P1352" s="1" t="s">
        <v>4964</v>
      </c>
      <c r="Q1352" s="3">
        <v>1</v>
      </c>
      <c r="R1352" s="23" t="s">
        <v>6854</v>
      </c>
      <c r="S1352" s="23" t="s">
        <v>6845</v>
      </c>
      <c r="T1352" s="23" t="s">
        <v>4866</v>
      </c>
      <c r="U1352" s="3">
        <v>35</v>
      </c>
      <c r="W1352" s="45" t="str">
        <f>HYPERLINK("http://ictvonline.org/taxonomy/p/taxonomy-history?taxnode_id=201905510","ICTVonline=201905510")</f>
        <v>ICTVonline=201905510</v>
      </c>
      <c r="AA1352" s="1">
        <v>201900000</v>
      </c>
      <c r="AB1352" s="1">
        <v>35</v>
      </c>
    </row>
    <row r="1353" spans="1:28" x14ac:dyDescent="0.2">
      <c r="A1353" s="1">
        <v>3688</v>
      </c>
      <c r="B1353" s="1" t="s">
        <v>6850</v>
      </c>
      <c r="D1353" s="1" t="s">
        <v>6851</v>
      </c>
      <c r="F1353" s="1" t="s">
        <v>6914</v>
      </c>
      <c r="H1353" s="1" t="s">
        <v>6915</v>
      </c>
      <c r="J1353" s="1" t="s">
        <v>1324</v>
      </c>
      <c r="L1353" s="1" t="s">
        <v>895</v>
      </c>
      <c r="M1353" s="1" t="s">
        <v>9359</v>
      </c>
      <c r="N1353" s="1" t="s">
        <v>9360</v>
      </c>
      <c r="P1353" s="1" t="s">
        <v>9361</v>
      </c>
      <c r="Q1353" s="3">
        <v>0</v>
      </c>
      <c r="R1353" s="23" t="s">
        <v>6854</v>
      </c>
      <c r="S1353" s="23" t="s">
        <v>6849</v>
      </c>
      <c r="T1353" s="23" t="s">
        <v>4864</v>
      </c>
      <c r="U1353" s="3">
        <v>35</v>
      </c>
      <c r="V1353" s="3" t="s">
        <v>9362</v>
      </c>
      <c r="W1353" s="45" t="str">
        <f>HYPERLINK("http://ictvonline.org/taxonomy/p/taxonomy-history?taxnode_id=201907721","ICTVonline=201907721")</f>
        <v>ICTVonline=201907721</v>
      </c>
      <c r="Y1353" s="1" t="s">
        <v>9363</v>
      </c>
      <c r="AA1353" s="1">
        <v>201900000</v>
      </c>
      <c r="AB1353" s="1">
        <v>35</v>
      </c>
    </row>
    <row r="1354" spans="1:28" x14ac:dyDescent="0.2">
      <c r="A1354" s="1">
        <v>3690</v>
      </c>
      <c r="B1354" s="1" t="s">
        <v>6850</v>
      </c>
      <c r="D1354" s="1" t="s">
        <v>6851</v>
      </c>
      <c r="F1354" s="1" t="s">
        <v>6914</v>
      </c>
      <c r="H1354" s="1" t="s">
        <v>6915</v>
      </c>
      <c r="J1354" s="1" t="s">
        <v>1324</v>
      </c>
      <c r="L1354" s="1" t="s">
        <v>895</v>
      </c>
      <c r="M1354" s="1" t="s">
        <v>9359</v>
      </c>
      <c r="N1354" s="1" t="s">
        <v>9360</v>
      </c>
      <c r="P1354" s="1" t="s">
        <v>9364</v>
      </c>
      <c r="Q1354" s="3">
        <v>1</v>
      </c>
      <c r="R1354" s="23" t="s">
        <v>6854</v>
      </c>
      <c r="S1354" s="23" t="s">
        <v>6849</v>
      </c>
      <c r="T1354" s="23" t="s">
        <v>4864</v>
      </c>
      <c r="U1354" s="3">
        <v>35</v>
      </c>
      <c r="V1354" s="3" t="s">
        <v>9362</v>
      </c>
      <c r="W1354" s="45" t="str">
        <f>HYPERLINK("http://ictvonline.org/taxonomy/p/taxonomy-history?taxnode_id=201907720","ICTVonline=201907720")</f>
        <v>ICTVonline=201907720</v>
      </c>
      <c r="Y1354" s="1" t="s">
        <v>9365</v>
      </c>
      <c r="AA1354" s="1">
        <v>201900000</v>
      </c>
      <c r="AB1354" s="1">
        <v>35</v>
      </c>
    </row>
    <row r="1355" spans="1:28" x14ac:dyDescent="0.2">
      <c r="A1355" s="1">
        <v>3694</v>
      </c>
      <c r="B1355" s="1" t="s">
        <v>6850</v>
      </c>
      <c r="D1355" s="1" t="s">
        <v>6851</v>
      </c>
      <c r="F1355" s="1" t="s">
        <v>6914</v>
      </c>
      <c r="H1355" s="1" t="s">
        <v>6915</v>
      </c>
      <c r="J1355" s="1" t="s">
        <v>1324</v>
      </c>
      <c r="L1355" s="1" t="s">
        <v>895</v>
      </c>
      <c r="M1355" s="1" t="s">
        <v>9359</v>
      </c>
      <c r="N1355" s="1" t="s">
        <v>9366</v>
      </c>
      <c r="P1355" s="1" t="s">
        <v>9367</v>
      </c>
      <c r="Q1355" s="3">
        <v>1</v>
      </c>
      <c r="R1355" s="23" t="s">
        <v>6854</v>
      </c>
      <c r="S1355" s="23" t="s">
        <v>6849</v>
      </c>
      <c r="T1355" s="23" t="s">
        <v>4864</v>
      </c>
      <c r="U1355" s="3">
        <v>35</v>
      </c>
      <c r="V1355" s="3" t="s">
        <v>9362</v>
      </c>
      <c r="W1355" s="45" t="str">
        <f>HYPERLINK("http://ictvonline.org/taxonomy/p/taxonomy-history?taxnode_id=201907717","ICTVonline=201907717")</f>
        <v>ICTVonline=201907717</v>
      </c>
      <c r="Y1355" s="1" t="s">
        <v>9368</v>
      </c>
      <c r="AA1355" s="1">
        <v>201900000</v>
      </c>
      <c r="AB1355" s="1">
        <v>35</v>
      </c>
    </row>
    <row r="1356" spans="1:28" x14ac:dyDescent="0.2">
      <c r="A1356" s="1">
        <v>3696</v>
      </c>
      <c r="B1356" s="1" t="s">
        <v>6850</v>
      </c>
      <c r="D1356" s="1" t="s">
        <v>6851</v>
      </c>
      <c r="F1356" s="1" t="s">
        <v>6914</v>
      </c>
      <c r="H1356" s="1" t="s">
        <v>6915</v>
      </c>
      <c r="J1356" s="1" t="s">
        <v>1324</v>
      </c>
      <c r="L1356" s="1" t="s">
        <v>895</v>
      </c>
      <c r="M1356" s="1" t="s">
        <v>9359</v>
      </c>
      <c r="N1356" s="1" t="s">
        <v>9366</v>
      </c>
      <c r="P1356" s="1" t="s">
        <v>9369</v>
      </c>
      <c r="Q1356" s="3">
        <v>0</v>
      </c>
      <c r="R1356" s="23" t="s">
        <v>6854</v>
      </c>
      <c r="S1356" s="23" t="s">
        <v>6849</v>
      </c>
      <c r="T1356" s="23" t="s">
        <v>4864</v>
      </c>
      <c r="U1356" s="3">
        <v>35</v>
      </c>
      <c r="V1356" s="3" t="s">
        <v>9362</v>
      </c>
      <c r="W1356" s="45" t="str">
        <f>HYPERLINK("http://ictvonline.org/taxonomy/p/taxonomy-history?taxnode_id=201907718","ICTVonline=201907718")</f>
        <v>ICTVonline=201907718</v>
      </c>
      <c r="Y1356" s="1" t="s">
        <v>9370</v>
      </c>
      <c r="AA1356" s="1">
        <v>201900000</v>
      </c>
      <c r="AB1356" s="1">
        <v>35</v>
      </c>
    </row>
    <row r="1357" spans="1:28" x14ac:dyDescent="0.2">
      <c r="A1357" s="1">
        <v>3700</v>
      </c>
      <c r="B1357" s="1" t="s">
        <v>6850</v>
      </c>
      <c r="D1357" s="1" t="s">
        <v>6851</v>
      </c>
      <c r="F1357" s="1" t="s">
        <v>6914</v>
      </c>
      <c r="H1357" s="1" t="s">
        <v>6915</v>
      </c>
      <c r="J1357" s="1" t="s">
        <v>1324</v>
      </c>
      <c r="L1357" s="1" t="s">
        <v>895</v>
      </c>
      <c r="M1357" s="1" t="s">
        <v>9359</v>
      </c>
      <c r="N1357" s="1" t="s">
        <v>9371</v>
      </c>
      <c r="P1357" s="1" t="s">
        <v>9372</v>
      </c>
      <c r="Q1357" s="3">
        <v>0</v>
      </c>
      <c r="R1357" s="23" t="s">
        <v>6854</v>
      </c>
      <c r="S1357" s="23" t="s">
        <v>6849</v>
      </c>
      <c r="T1357" s="23" t="s">
        <v>4864</v>
      </c>
      <c r="U1357" s="3">
        <v>35</v>
      </c>
      <c r="V1357" s="3" t="s">
        <v>9362</v>
      </c>
      <c r="W1357" s="45" t="str">
        <f>HYPERLINK("http://ictvonline.org/taxonomy/p/taxonomy-history?taxnode_id=201907715","ICTVonline=201907715")</f>
        <v>ICTVonline=201907715</v>
      </c>
      <c r="Y1357" s="1" t="s">
        <v>9373</v>
      </c>
      <c r="AA1357" s="1">
        <v>201900000</v>
      </c>
      <c r="AB1357" s="1">
        <v>35</v>
      </c>
    </row>
    <row r="1358" spans="1:28" x14ac:dyDescent="0.2">
      <c r="A1358" s="1">
        <v>3702</v>
      </c>
      <c r="B1358" s="1" t="s">
        <v>6850</v>
      </c>
      <c r="D1358" s="1" t="s">
        <v>6851</v>
      </c>
      <c r="F1358" s="1" t="s">
        <v>6914</v>
      </c>
      <c r="H1358" s="1" t="s">
        <v>6915</v>
      </c>
      <c r="J1358" s="1" t="s">
        <v>1324</v>
      </c>
      <c r="L1358" s="1" t="s">
        <v>895</v>
      </c>
      <c r="M1358" s="1" t="s">
        <v>9359</v>
      </c>
      <c r="N1358" s="1" t="s">
        <v>9371</v>
      </c>
      <c r="P1358" s="1" t="s">
        <v>9374</v>
      </c>
      <c r="Q1358" s="3">
        <v>1</v>
      </c>
      <c r="R1358" s="23" t="s">
        <v>6854</v>
      </c>
      <c r="S1358" s="23" t="s">
        <v>6849</v>
      </c>
      <c r="T1358" s="23" t="s">
        <v>6031</v>
      </c>
      <c r="U1358" s="3">
        <v>35</v>
      </c>
      <c r="V1358" s="3" t="s">
        <v>9362</v>
      </c>
      <c r="W1358" s="45" t="str">
        <f>HYPERLINK("http://ictvonline.org/taxonomy/p/taxonomy-history?taxnode_id=201901192","ICTVonline=201901192")</f>
        <v>ICTVonline=201901192</v>
      </c>
      <c r="Y1358" s="1" t="s">
        <v>9375</v>
      </c>
      <c r="AA1358" s="1">
        <v>201900000</v>
      </c>
      <c r="AB1358" s="1">
        <v>35</v>
      </c>
    </row>
    <row r="1359" spans="1:28" x14ac:dyDescent="0.2">
      <c r="A1359" s="1">
        <v>3706</v>
      </c>
      <c r="B1359" s="1" t="s">
        <v>6850</v>
      </c>
      <c r="D1359" s="1" t="s">
        <v>6851</v>
      </c>
      <c r="F1359" s="1" t="s">
        <v>6914</v>
      </c>
      <c r="H1359" s="1" t="s">
        <v>6915</v>
      </c>
      <c r="J1359" s="1" t="s">
        <v>1324</v>
      </c>
      <c r="L1359" s="1" t="s">
        <v>895</v>
      </c>
      <c r="M1359" s="1" t="s">
        <v>9359</v>
      </c>
      <c r="N1359" s="1" t="s">
        <v>9376</v>
      </c>
      <c r="P1359" s="1" t="s">
        <v>3274</v>
      </c>
      <c r="Q1359" s="3">
        <v>1</v>
      </c>
      <c r="R1359" s="23" t="s">
        <v>6854</v>
      </c>
      <c r="S1359" s="23" t="s">
        <v>6845</v>
      </c>
      <c r="T1359" s="23" t="s">
        <v>4866</v>
      </c>
      <c r="U1359" s="3">
        <v>35</v>
      </c>
      <c r="W1359" s="45" t="str">
        <f>HYPERLINK("http://ictvonline.org/taxonomy/p/taxonomy-history?taxnode_id=201901191","ICTVonline=201901191")</f>
        <v>ICTVonline=201901191</v>
      </c>
      <c r="Y1359" s="1" t="s">
        <v>9377</v>
      </c>
      <c r="AA1359" s="1">
        <v>201900000</v>
      </c>
      <c r="AB1359" s="1">
        <v>35</v>
      </c>
    </row>
    <row r="1360" spans="1:28" x14ac:dyDescent="0.2">
      <c r="A1360" s="1">
        <v>3708</v>
      </c>
      <c r="B1360" s="1" t="s">
        <v>6850</v>
      </c>
      <c r="D1360" s="1" t="s">
        <v>6851</v>
      </c>
      <c r="F1360" s="1" t="s">
        <v>6914</v>
      </c>
      <c r="H1360" s="1" t="s">
        <v>6915</v>
      </c>
      <c r="J1360" s="1" t="s">
        <v>1324</v>
      </c>
      <c r="L1360" s="1" t="s">
        <v>895</v>
      </c>
      <c r="M1360" s="1" t="s">
        <v>9359</v>
      </c>
      <c r="N1360" s="1" t="s">
        <v>9376</v>
      </c>
      <c r="P1360" s="1" t="s">
        <v>3275</v>
      </c>
      <c r="Q1360" s="3">
        <v>0</v>
      </c>
      <c r="R1360" s="23" t="s">
        <v>6854</v>
      </c>
      <c r="S1360" s="23" t="s">
        <v>6845</v>
      </c>
      <c r="T1360" s="23" t="s">
        <v>4866</v>
      </c>
      <c r="U1360" s="3">
        <v>35</v>
      </c>
      <c r="W1360" s="45" t="str">
        <f>HYPERLINK("http://ictvonline.org/taxonomy/p/taxonomy-history?taxnode_id=201901193","ICTVonline=201901193")</f>
        <v>ICTVonline=201901193</v>
      </c>
      <c r="Y1360" s="1" t="s">
        <v>9378</v>
      </c>
      <c r="AA1360" s="1">
        <v>201900000</v>
      </c>
      <c r="AB1360" s="1">
        <v>35</v>
      </c>
    </row>
    <row r="1361" spans="1:28" x14ac:dyDescent="0.2">
      <c r="A1361" s="1">
        <v>3714</v>
      </c>
      <c r="B1361" s="1" t="s">
        <v>6850</v>
      </c>
      <c r="D1361" s="1" t="s">
        <v>6851</v>
      </c>
      <c r="F1361" s="1" t="s">
        <v>6914</v>
      </c>
      <c r="H1361" s="1" t="s">
        <v>6915</v>
      </c>
      <c r="J1361" s="1" t="s">
        <v>1324</v>
      </c>
      <c r="L1361" s="1" t="s">
        <v>895</v>
      </c>
      <c r="M1361" s="1" t="s">
        <v>3026</v>
      </c>
      <c r="N1361" s="1" t="s">
        <v>6312</v>
      </c>
      <c r="P1361" s="1" t="s">
        <v>3042</v>
      </c>
      <c r="Q1361" s="3">
        <v>1</v>
      </c>
      <c r="R1361" s="23" t="s">
        <v>6854</v>
      </c>
      <c r="S1361" s="23" t="s">
        <v>6845</v>
      </c>
      <c r="T1361" s="23" t="s">
        <v>4866</v>
      </c>
      <c r="U1361" s="3">
        <v>35</v>
      </c>
      <c r="W1361" s="45" t="str">
        <f>HYPERLINK("http://ictvonline.org/taxonomy/p/taxonomy-history?taxnode_id=201900786","ICTVonline=201900786")</f>
        <v>ICTVonline=201900786</v>
      </c>
      <c r="Y1361" s="1" t="s">
        <v>9379</v>
      </c>
      <c r="Z1361" s="1" t="s">
        <v>9380</v>
      </c>
      <c r="AA1361" s="1">
        <v>201900000</v>
      </c>
      <c r="AB1361" s="1">
        <v>35</v>
      </c>
    </row>
    <row r="1362" spans="1:28" x14ac:dyDescent="0.2">
      <c r="A1362" s="1">
        <v>3718</v>
      </c>
      <c r="B1362" s="1" t="s">
        <v>6850</v>
      </c>
      <c r="D1362" s="1" t="s">
        <v>6851</v>
      </c>
      <c r="F1362" s="1" t="s">
        <v>6914</v>
      </c>
      <c r="H1362" s="1" t="s">
        <v>6915</v>
      </c>
      <c r="J1362" s="1" t="s">
        <v>1324</v>
      </c>
      <c r="L1362" s="1" t="s">
        <v>895</v>
      </c>
      <c r="M1362" s="1" t="s">
        <v>3026</v>
      </c>
      <c r="N1362" s="1" t="s">
        <v>3027</v>
      </c>
      <c r="P1362" s="1" t="s">
        <v>3028</v>
      </c>
      <c r="Q1362" s="3">
        <v>0</v>
      </c>
      <c r="R1362" s="23" t="s">
        <v>6854</v>
      </c>
      <c r="S1362" s="23" t="s">
        <v>6845</v>
      </c>
      <c r="T1362" s="23" t="s">
        <v>4866</v>
      </c>
      <c r="U1362" s="3">
        <v>35</v>
      </c>
      <c r="W1362" s="45" t="str">
        <f>HYPERLINK("http://ictvonline.org/taxonomy/p/taxonomy-history?taxnode_id=201900767","ICTVonline=201900767")</f>
        <v>ICTVonline=201900767</v>
      </c>
      <c r="Y1362" s="1" t="s">
        <v>9381</v>
      </c>
      <c r="Z1362" s="1" t="s">
        <v>9382</v>
      </c>
      <c r="AA1362" s="1">
        <v>201900000</v>
      </c>
      <c r="AB1362" s="1">
        <v>35</v>
      </c>
    </row>
    <row r="1363" spans="1:28" x14ac:dyDescent="0.2">
      <c r="A1363" s="1">
        <v>3720</v>
      </c>
      <c r="B1363" s="1" t="s">
        <v>6850</v>
      </c>
      <c r="D1363" s="1" t="s">
        <v>6851</v>
      </c>
      <c r="F1363" s="1" t="s">
        <v>6914</v>
      </c>
      <c r="H1363" s="1" t="s">
        <v>6915</v>
      </c>
      <c r="J1363" s="1" t="s">
        <v>1324</v>
      </c>
      <c r="L1363" s="1" t="s">
        <v>895</v>
      </c>
      <c r="M1363" s="1" t="s">
        <v>3026</v>
      </c>
      <c r="N1363" s="1" t="s">
        <v>3027</v>
      </c>
      <c r="P1363" s="1" t="s">
        <v>3029</v>
      </c>
      <c r="Q1363" s="3">
        <v>0</v>
      </c>
      <c r="R1363" s="23" t="s">
        <v>6854</v>
      </c>
      <c r="S1363" s="23" t="s">
        <v>6845</v>
      </c>
      <c r="T1363" s="23" t="s">
        <v>4866</v>
      </c>
      <c r="U1363" s="3">
        <v>35</v>
      </c>
      <c r="W1363" s="45" t="str">
        <f>HYPERLINK("http://ictvonline.org/taxonomy/p/taxonomy-history?taxnode_id=201900768","ICTVonline=201900768")</f>
        <v>ICTVonline=201900768</v>
      </c>
      <c r="Y1363" s="1" t="s">
        <v>9383</v>
      </c>
      <c r="AA1363" s="1">
        <v>201900000</v>
      </c>
      <c r="AB1363" s="1">
        <v>35</v>
      </c>
    </row>
    <row r="1364" spans="1:28" x14ac:dyDescent="0.2">
      <c r="A1364" s="1">
        <v>3722</v>
      </c>
      <c r="B1364" s="1" t="s">
        <v>6850</v>
      </c>
      <c r="D1364" s="1" t="s">
        <v>6851</v>
      </c>
      <c r="F1364" s="1" t="s">
        <v>6914</v>
      </c>
      <c r="H1364" s="1" t="s">
        <v>6915</v>
      </c>
      <c r="J1364" s="1" t="s">
        <v>1324</v>
      </c>
      <c r="L1364" s="1" t="s">
        <v>895</v>
      </c>
      <c r="M1364" s="1" t="s">
        <v>3026</v>
      </c>
      <c r="N1364" s="1" t="s">
        <v>3027</v>
      </c>
      <c r="P1364" s="1" t="s">
        <v>4065</v>
      </c>
      <c r="Q1364" s="3">
        <v>0</v>
      </c>
      <c r="R1364" s="23" t="s">
        <v>6854</v>
      </c>
      <c r="S1364" s="23" t="s">
        <v>6845</v>
      </c>
      <c r="T1364" s="23" t="s">
        <v>4866</v>
      </c>
      <c r="U1364" s="3">
        <v>35</v>
      </c>
      <c r="W1364" s="45" t="str">
        <f>HYPERLINK("http://ictvonline.org/taxonomy/p/taxonomy-history?taxnode_id=201900769","ICTVonline=201900769")</f>
        <v>ICTVonline=201900769</v>
      </c>
      <c r="Y1364" s="1" t="s">
        <v>9384</v>
      </c>
      <c r="Z1364" s="1" t="s">
        <v>9385</v>
      </c>
      <c r="AA1364" s="1">
        <v>201900000</v>
      </c>
      <c r="AB1364" s="1">
        <v>35</v>
      </c>
    </row>
    <row r="1365" spans="1:28" x14ac:dyDescent="0.2">
      <c r="A1365" s="1">
        <v>3724</v>
      </c>
      <c r="B1365" s="1" t="s">
        <v>6850</v>
      </c>
      <c r="D1365" s="1" t="s">
        <v>6851</v>
      </c>
      <c r="F1365" s="1" t="s">
        <v>6914</v>
      </c>
      <c r="H1365" s="1" t="s">
        <v>6915</v>
      </c>
      <c r="J1365" s="1" t="s">
        <v>1324</v>
      </c>
      <c r="L1365" s="1" t="s">
        <v>895</v>
      </c>
      <c r="M1365" s="1" t="s">
        <v>3026</v>
      </c>
      <c r="N1365" s="1" t="s">
        <v>3027</v>
      </c>
      <c r="P1365" s="1" t="s">
        <v>3030</v>
      </c>
      <c r="Q1365" s="3">
        <v>1</v>
      </c>
      <c r="R1365" s="23" t="s">
        <v>6854</v>
      </c>
      <c r="S1365" s="23" t="s">
        <v>6845</v>
      </c>
      <c r="T1365" s="23" t="s">
        <v>4866</v>
      </c>
      <c r="U1365" s="3">
        <v>35</v>
      </c>
      <c r="W1365" s="45" t="str">
        <f>HYPERLINK("http://ictvonline.org/taxonomy/p/taxonomy-history?taxnode_id=201900770","ICTVonline=201900770")</f>
        <v>ICTVonline=201900770</v>
      </c>
      <c r="Y1365" s="1" t="s">
        <v>9386</v>
      </c>
      <c r="AA1365" s="1">
        <v>201900000</v>
      </c>
      <c r="AB1365" s="1">
        <v>35</v>
      </c>
    </row>
    <row r="1366" spans="1:28" x14ac:dyDescent="0.2">
      <c r="A1366" s="1">
        <v>3726</v>
      </c>
      <c r="B1366" s="1" t="s">
        <v>6850</v>
      </c>
      <c r="D1366" s="1" t="s">
        <v>6851</v>
      </c>
      <c r="F1366" s="1" t="s">
        <v>6914</v>
      </c>
      <c r="H1366" s="1" t="s">
        <v>6915</v>
      </c>
      <c r="J1366" s="1" t="s">
        <v>1324</v>
      </c>
      <c r="L1366" s="1" t="s">
        <v>895</v>
      </c>
      <c r="M1366" s="1" t="s">
        <v>3026</v>
      </c>
      <c r="N1366" s="1" t="s">
        <v>3027</v>
      </c>
      <c r="P1366" s="1" t="s">
        <v>4870</v>
      </c>
      <c r="Q1366" s="3">
        <v>0</v>
      </c>
      <c r="R1366" s="23" t="s">
        <v>6854</v>
      </c>
      <c r="S1366" s="23" t="s">
        <v>6845</v>
      </c>
      <c r="T1366" s="23" t="s">
        <v>4866</v>
      </c>
      <c r="U1366" s="3">
        <v>35</v>
      </c>
      <c r="W1366" s="45" t="str">
        <f>HYPERLINK("http://ictvonline.org/taxonomy/p/taxonomy-history?taxnode_id=201900771","ICTVonline=201900771")</f>
        <v>ICTVonline=201900771</v>
      </c>
      <c r="AA1366" s="1">
        <v>201900000</v>
      </c>
      <c r="AB1366" s="1">
        <v>35</v>
      </c>
    </row>
    <row r="1367" spans="1:28" x14ac:dyDescent="0.2">
      <c r="A1367" s="1">
        <v>3728</v>
      </c>
      <c r="B1367" s="1" t="s">
        <v>6850</v>
      </c>
      <c r="D1367" s="1" t="s">
        <v>6851</v>
      </c>
      <c r="F1367" s="1" t="s">
        <v>6914</v>
      </c>
      <c r="H1367" s="1" t="s">
        <v>6915</v>
      </c>
      <c r="J1367" s="1" t="s">
        <v>1324</v>
      </c>
      <c r="L1367" s="1" t="s">
        <v>895</v>
      </c>
      <c r="M1367" s="1" t="s">
        <v>3026</v>
      </c>
      <c r="N1367" s="1" t="s">
        <v>3027</v>
      </c>
      <c r="P1367" s="1" t="s">
        <v>4871</v>
      </c>
      <c r="Q1367" s="3">
        <v>0</v>
      </c>
      <c r="R1367" s="23" t="s">
        <v>6854</v>
      </c>
      <c r="S1367" s="23" t="s">
        <v>6845</v>
      </c>
      <c r="T1367" s="23" t="s">
        <v>4866</v>
      </c>
      <c r="U1367" s="3">
        <v>35</v>
      </c>
      <c r="W1367" s="45" t="str">
        <f>HYPERLINK("http://ictvonline.org/taxonomy/p/taxonomy-history?taxnode_id=201900772","ICTVonline=201900772")</f>
        <v>ICTVonline=201900772</v>
      </c>
      <c r="AA1367" s="1">
        <v>201900000</v>
      </c>
      <c r="AB1367" s="1">
        <v>35</v>
      </c>
    </row>
    <row r="1368" spans="1:28" x14ac:dyDescent="0.2">
      <c r="A1368" s="1">
        <v>3730</v>
      </c>
      <c r="B1368" s="1" t="s">
        <v>6850</v>
      </c>
      <c r="D1368" s="1" t="s">
        <v>6851</v>
      </c>
      <c r="F1368" s="1" t="s">
        <v>6914</v>
      </c>
      <c r="H1368" s="1" t="s">
        <v>6915</v>
      </c>
      <c r="J1368" s="1" t="s">
        <v>1324</v>
      </c>
      <c r="L1368" s="1" t="s">
        <v>895</v>
      </c>
      <c r="M1368" s="1" t="s">
        <v>3026</v>
      </c>
      <c r="N1368" s="1" t="s">
        <v>3027</v>
      </c>
      <c r="P1368" s="1" t="s">
        <v>3031</v>
      </c>
      <c r="Q1368" s="3">
        <v>0</v>
      </c>
      <c r="R1368" s="23" t="s">
        <v>6854</v>
      </c>
      <c r="S1368" s="23" t="s">
        <v>6845</v>
      </c>
      <c r="T1368" s="23" t="s">
        <v>4866</v>
      </c>
      <c r="U1368" s="3">
        <v>35</v>
      </c>
      <c r="W1368" s="45" t="str">
        <f>HYPERLINK("http://ictvonline.org/taxonomy/p/taxonomy-history?taxnode_id=201900773","ICTVonline=201900773")</f>
        <v>ICTVonline=201900773</v>
      </c>
      <c r="Y1368" s="1" t="s">
        <v>9387</v>
      </c>
      <c r="AA1368" s="1">
        <v>201900000</v>
      </c>
      <c r="AB1368" s="1">
        <v>35</v>
      </c>
    </row>
    <row r="1369" spans="1:28" x14ac:dyDescent="0.2">
      <c r="A1369" s="1">
        <v>3732</v>
      </c>
      <c r="B1369" s="1" t="s">
        <v>6850</v>
      </c>
      <c r="D1369" s="1" t="s">
        <v>6851</v>
      </c>
      <c r="F1369" s="1" t="s">
        <v>6914</v>
      </c>
      <c r="H1369" s="1" t="s">
        <v>6915</v>
      </c>
      <c r="J1369" s="1" t="s">
        <v>1324</v>
      </c>
      <c r="L1369" s="1" t="s">
        <v>895</v>
      </c>
      <c r="M1369" s="1" t="s">
        <v>3026</v>
      </c>
      <c r="N1369" s="1" t="s">
        <v>3027</v>
      </c>
      <c r="P1369" s="1" t="s">
        <v>3032</v>
      </c>
      <c r="Q1369" s="3">
        <v>0</v>
      </c>
      <c r="R1369" s="23" t="s">
        <v>6854</v>
      </c>
      <c r="S1369" s="23" t="s">
        <v>6845</v>
      </c>
      <c r="T1369" s="23" t="s">
        <v>4866</v>
      </c>
      <c r="U1369" s="3">
        <v>35</v>
      </c>
      <c r="W1369" s="45" t="str">
        <f>HYPERLINK("http://ictvonline.org/taxonomy/p/taxonomy-history?taxnode_id=201900774","ICTVonline=201900774")</f>
        <v>ICTVonline=201900774</v>
      </c>
      <c r="Y1369" s="1" t="s">
        <v>9388</v>
      </c>
      <c r="AA1369" s="1">
        <v>201900000</v>
      </c>
      <c r="AB1369" s="1">
        <v>35</v>
      </c>
    </row>
    <row r="1370" spans="1:28" x14ac:dyDescent="0.2">
      <c r="A1370" s="1">
        <v>3734</v>
      </c>
      <c r="B1370" s="1" t="s">
        <v>6850</v>
      </c>
      <c r="D1370" s="1" t="s">
        <v>6851</v>
      </c>
      <c r="F1370" s="1" t="s">
        <v>6914</v>
      </c>
      <c r="H1370" s="1" t="s">
        <v>6915</v>
      </c>
      <c r="J1370" s="1" t="s">
        <v>1324</v>
      </c>
      <c r="L1370" s="1" t="s">
        <v>895</v>
      </c>
      <c r="M1370" s="1" t="s">
        <v>3026</v>
      </c>
      <c r="N1370" s="1" t="s">
        <v>3027</v>
      </c>
      <c r="P1370" s="1" t="s">
        <v>3033</v>
      </c>
      <c r="Q1370" s="3">
        <v>0</v>
      </c>
      <c r="R1370" s="23" t="s">
        <v>6854</v>
      </c>
      <c r="S1370" s="23" t="s">
        <v>6845</v>
      </c>
      <c r="T1370" s="23" t="s">
        <v>4866</v>
      </c>
      <c r="U1370" s="3">
        <v>35</v>
      </c>
      <c r="W1370" s="45" t="str">
        <f>HYPERLINK("http://ictvonline.org/taxonomy/p/taxonomy-history?taxnode_id=201900775","ICTVonline=201900775")</f>
        <v>ICTVonline=201900775</v>
      </c>
      <c r="Y1370" s="1" t="s">
        <v>9389</v>
      </c>
      <c r="Z1370" s="1" t="s">
        <v>9390</v>
      </c>
      <c r="AA1370" s="1">
        <v>201900000</v>
      </c>
      <c r="AB1370" s="1">
        <v>35</v>
      </c>
    </row>
    <row r="1371" spans="1:28" x14ac:dyDescent="0.2">
      <c r="A1371" s="1">
        <v>3736</v>
      </c>
      <c r="B1371" s="1" t="s">
        <v>6850</v>
      </c>
      <c r="D1371" s="1" t="s">
        <v>6851</v>
      </c>
      <c r="F1371" s="1" t="s">
        <v>6914</v>
      </c>
      <c r="H1371" s="1" t="s">
        <v>6915</v>
      </c>
      <c r="J1371" s="1" t="s">
        <v>1324</v>
      </c>
      <c r="L1371" s="1" t="s">
        <v>895</v>
      </c>
      <c r="M1371" s="1" t="s">
        <v>3026</v>
      </c>
      <c r="N1371" s="1" t="s">
        <v>3027</v>
      </c>
      <c r="P1371" s="1" t="s">
        <v>3034</v>
      </c>
      <c r="Q1371" s="3">
        <v>0</v>
      </c>
      <c r="R1371" s="23" t="s">
        <v>6854</v>
      </c>
      <c r="S1371" s="23" t="s">
        <v>6845</v>
      </c>
      <c r="T1371" s="23" t="s">
        <v>4866</v>
      </c>
      <c r="U1371" s="3">
        <v>35</v>
      </c>
      <c r="W1371" s="45" t="str">
        <f>HYPERLINK("http://ictvonline.org/taxonomy/p/taxonomy-history?taxnode_id=201900776","ICTVonline=201900776")</f>
        <v>ICTVonline=201900776</v>
      </c>
      <c r="Y1371" s="1" t="s">
        <v>9391</v>
      </c>
      <c r="Z1371" s="1" t="s">
        <v>9392</v>
      </c>
      <c r="AA1371" s="1">
        <v>201900000</v>
      </c>
      <c r="AB1371" s="1">
        <v>35</v>
      </c>
    </row>
    <row r="1372" spans="1:28" x14ac:dyDescent="0.2">
      <c r="A1372" s="1">
        <v>3738</v>
      </c>
      <c r="B1372" s="1" t="s">
        <v>6850</v>
      </c>
      <c r="D1372" s="1" t="s">
        <v>6851</v>
      </c>
      <c r="F1372" s="1" t="s">
        <v>6914</v>
      </c>
      <c r="H1372" s="1" t="s">
        <v>6915</v>
      </c>
      <c r="J1372" s="1" t="s">
        <v>1324</v>
      </c>
      <c r="L1372" s="1" t="s">
        <v>895</v>
      </c>
      <c r="M1372" s="1" t="s">
        <v>3026</v>
      </c>
      <c r="N1372" s="1" t="s">
        <v>3027</v>
      </c>
      <c r="P1372" s="1" t="s">
        <v>3035</v>
      </c>
      <c r="Q1372" s="3">
        <v>0</v>
      </c>
      <c r="R1372" s="23" t="s">
        <v>6854</v>
      </c>
      <c r="S1372" s="23" t="s">
        <v>6845</v>
      </c>
      <c r="T1372" s="23" t="s">
        <v>4866</v>
      </c>
      <c r="U1372" s="3">
        <v>35</v>
      </c>
      <c r="W1372" s="45" t="str">
        <f>HYPERLINK("http://ictvonline.org/taxonomy/p/taxonomy-history?taxnode_id=201900777","ICTVonline=201900777")</f>
        <v>ICTVonline=201900777</v>
      </c>
      <c r="Y1372" s="1" t="s">
        <v>9393</v>
      </c>
      <c r="Z1372" s="1" t="s">
        <v>9394</v>
      </c>
      <c r="AA1372" s="1">
        <v>201900000</v>
      </c>
      <c r="AB1372" s="1">
        <v>35</v>
      </c>
    </row>
    <row r="1373" spans="1:28" x14ac:dyDescent="0.2">
      <c r="A1373" s="1">
        <v>3740</v>
      </c>
      <c r="B1373" s="1" t="s">
        <v>6850</v>
      </c>
      <c r="D1373" s="1" t="s">
        <v>6851</v>
      </c>
      <c r="F1373" s="1" t="s">
        <v>6914</v>
      </c>
      <c r="H1373" s="1" t="s">
        <v>6915</v>
      </c>
      <c r="J1373" s="1" t="s">
        <v>1324</v>
      </c>
      <c r="L1373" s="1" t="s">
        <v>895</v>
      </c>
      <c r="M1373" s="1" t="s">
        <v>3026</v>
      </c>
      <c r="N1373" s="1" t="s">
        <v>3027</v>
      </c>
      <c r="P1373" s="1" t="s">
        <v>3036</v>
      </c>
      <c r="Q1373" s="3">
        <v>0</v>
      </c>
      <c r="R1373" s="23" t="s">
        <v>6854</v>
      </c>
      <c r="S1373" s="23" t="s">
        <v>6845</v>
      </c>
      <c r="T1373" s="23" t="s">
        <v>4866</v>
      </c>
      <c r="U1373" s="3">
        <v>35</v>
      </c>
      <c r="W1373" s="45" t="str">
        <f>HYPERLINK("http://ictvonline.org/taxonomy/p/taxonomy-history?taxnode_id=201900778","ICTVonline=201900778")</f>
        <v>ICTVonline=201900778</v>
      </c>
      <c r="Y1373" s="1" t="s">
        <v>9395</v>
      </c>
      <c r="AA1373" s="1">
        <v>201900000</v>
      </c>
      <c r="AB1373" s="1">
        <v>35</v>
      </c>
    </row>
    <row r="1374" spans="1:28" x14ac:dyDescent="0.2">
      <c r="A1374" s="1">
        <v>3742</v>
      </c>
      <c r="B1374" s="1" t="s">
        <v>6850</v>
      </c>
      <c r="D1374" s="1" t="s">
        <v>6851</v>
      </c>
      <c r="F1374" s="1" t="s">
        <v>6914</v>
      </c>
      <c r="H1374" s="1" t="s">
        <v>6915</v>
      </c>
      <c r="J1374" s="1" t="s">
        <v>1324</v>
      </c>
      <c r="L1374" s="1" t="s">
        <v>895</v>
      </c>
      <c r="M1374" s="1" t="s">
        <v>3026</v>
      </c>
      <c r="N1374" s="1" t="s">
        <v>3027</v>
      </c>
      <c r="P1374" s="1" t="s">
        <v>3037</v>
      </c>
      <c r="Q1374" s="3">
        <v>0</v>
      </c>
      <c r="R1374" s="23" t="s">
        <v>6854</v>
      </c>
      <c r="S1374" s="23" t="s">
        <v>6845</v>
      </c>
      <c r="T1374" s="23" t="s">
        <v>4866</v>
      </c>
      <c r="U1374" s="3">
        <v>35</v>
      </c>
      <c r="W1374" s="45" t="str">
        <f>HYPERLINK("http://ictvonline.org/taxonomy/p/taxonomy-history?taxnode_id=201900779","ICTVonline=201900779")</f>
        <v>ICTVonline=201900779</v>
      </c>
      <c r="Y1374" s="1" t="s">
        <v>9396</v>
      </c>
      <c r="AA1374" s="1">
        <v>201900000</v>
      </c>
      <c r="AB1374" s="1">
        <v>35</v>
      </c>
    </row>
    <row r="1375" spans="1:28" x14ac:dyDescent="0.2">
      <c r="A1375" s="1">
        <v>3746</v>
      </c>
      <c r="B1375" s="1" t="s">
        <v>6850</v>
      </c>
      <c r="D1375" s="1" t="s">
        <v>6851</v>
      </c>
      <c r="F1375" s="1" t="s">
        <v>6914</v>
      </c>
      <c r="H1375" s="1" t="s">
        <v>6915</v>
      </c>
      <c r="J1375" s="1" t="s">
        <v>1324</v>
      </c>
      <c r="L1375" s="1" t="s">
        <v>895</v>
      </c>
      <c r="M1375" s="1" t="s">
        <v>3026</v>
      </c>
      <c r="N1375" s="1" t="s">
        <v>6313</v>
      </c>
      <c r="P1375" s="1" t="s">
        <v>3038</v>
      </c>
      <c r="Q1375" s="3">
        <v>1</v>
      </c>
      <c r="R1375" s="23" t="s">
        <v>6854</v>
      </c>
      <c r="S1375" s="23" t="s">
        <v>6845</v>
      </c>
      <c r="T1375" s="23" t="s">
        <v>4866</v>
      </c>
      <c r="U1375" s="3">
        <v>35</v>
      </c>
      <c r="W1375" s="45" t="str">
        <f>HYPERLINK("http://ictvonline.org/taxonomy/p/taxonomy-history?taxnode_id=201900781","ICTVonline=201900781")</f>
        <v>ICTVonline=201900781</v>
      </c>
      <c r="Y1375" s="1" t="s">
        <v>9397</v>
      </c>
      <c r="Z1375" s="1" t="s">
        <v>9398</v>
      </c>
      <c r="AA1375" s="1">
        <v>201900000</v>
      </c>
      <c r="AB1375" s="1">
        <v>35</v>
      </c>
    </row>
    <row r="1376" spans="1:28" x14ac:dyDescent="0.2">
      <c r="A1376" s="1">
        <v>3748</v>
      </c>
      <c r="B1376" s="1" t="s">
        <v>6850</v>
      </c>
      <c r="D1376" s="1" t="s">
        <v>6851</v>
      </c>
      <c r="F1376" s="1" t="s">
        <v>6914</v>
      </c>
      <c r="H1376" s="1" t="s">
        <v>6915</v>
      </c>
      <c r="J1376" s="1" t="s">
        <v>1324</v>
      </c>
      <c r="L1376" s="1" t="s">
        <v>895</v>
      </c>
      <c r="M1376" s="1" t="s">
        <v>3026</v>
      </c>
      <c r="N1376" s="1" t="s">
        <v>6313</v>
      </c>
      <c r="P1376" s="1" t="s">
        <v>3039</v>
      </c>
      <c r="Q1376" s="3">
        <v>0</v>
      </c>
      <c r="R1376" s="23" t="s">
        <v>6854</v>
      </c>
      <c r="S1376" s="23" t="s">
        <v>6845</v>
      </c>
      <c r="T1376" s="23" t="s">
        <v>4866</v>
      </c>
      <c r="U1376" s="3">
        <v>35</v>
      </c>
      <c r="W1376" s="45" t="str">
        <f>HYPERLINK("http://ictvonline.org/taxonomy/p/taxonomy-history?taxnode_id=201900782","ICTVonline=201900782")</f>
        <v>ICTVonline=201900782</v>
      </c>
      <c r="Y1376" s="1" t="s">
        <v>9399</v>
      </c>
      <c r="Z1376" s="1" t="s">
        <v>9400</v>
      </c>
      <c r="AA1376" s="1">
        <v>201900000</v>
      </c>
      <c r="AB1376" s="1">
        <v>35</v>
      </c>
    </row>
    <row r="1377" spans="1:28" x14ac:dyDescent="0.2">
      <c r="A1377" s="1">
        <v>3750</v>
      </c>
      <c r="B1377" s="1" t="s">
        <v>6850</v>
      </c>
      <c r="D1377" s="1" t="s">
        <v>6851</v>
      </c>
      <c r="F1377" s="1" t="s">
        <v>6914</v>
      </c>
      <c r="H1377" s="1" t="s">
        <v>6915</v>
      </c>
      <c r="J1377" s="1" t="s">
        <v>1324</v>
      </c>
      <c r="L1377" s="1" t="s">
        <v>895</v>
      </c>
      <c r="M1377" s="1" t="s">
        <v>3026</v>
      </c>
      <c r="N1377" s="1" t="s">
        <v>6313</v>
      </c>
      <c r="P1377" s="1" t="s">
        <v>3040</v>
      </c>
      <c r="Q1377" s="3">
        <v>0</v>
      </c>
      <c r="R1377" s="23" t="s">
        <v>6854</v>
      </c>
      <c r="S1377" s="23" t="s">
        <v>6845</v>
      </c>
      <c r="T1377" s="23" t="s">
        <v>4866</v>
      </c>
      <c r="U1377" s="3">
        <v>35</v>
      </c>
      <c r="W1377" s="45" t="str">
        <f>HYPERLINK("http://ictvonline.org/taxonomy/p/taxonomy-history?taxnode_id=201900783","ICTVonline=201900783")</f>
        <v>ICTVonline=201900783</v>
      </c>
      <c r="Y1377" s="1" t="s">
        <v>9401</v>
      </c>
      <c r="Z1377" s="1" t="s">
        <v>9402</v>
      </c>
      <c r="AA1377" s="1">
        <v>201900000</v>
      </c>
      <c r="AB1377" s="1">
        <v>35</v>
      </c>
    </row>
    <row r="1378" spans="1:28" x14ac:dyDescent="0.2">
      <c r="A1378" s="1">
        <v>3752</v>
      </c>
      <c r="B1378" s="1" t="s">
        <v>6850</v>
      </c>
      <c r="D1378" s="1" t="s">
        <v>6851</v>
      </c>
      <c r="F1378" s="1" t="s">
        <v>6914</v>
      </c>
      <c r="H1378" s="1" t="s">
        <v>6915</v>
      </c>
      <c r="J1378" s="1" t="s">
        <v>1324</v>
      </c>
      <c r="L1378" s="1" t="s">
        <v>895</v>
      </c>
      <c r="M1378" s="1" t="s">
        <v>3026</v>
      </c>
      <c r="N1378" s="1" t="s">
        <v>6313</v>
      </c>
      <c r="P1378" s="1" t="s">
        <v>3041</v>
      </c>
      <c r="Q1378" s="3">
        <v>0</v>
      </c>
      <c r="R1378" s="23" t="s">
        <v>6854</v>
      </c>
      <c r="S1378" s="23" t="s">
        <v>6845</v>
      </c>
      <c r="T1378" s="23" t="s">
        <v>4866</v>
      </c>
      <c r="U1378" s="3">
        <v>35</v>
      </c>
      <c r="W1378" s="45" t="str">
        <f>HYPERLINK("http://ictvonline.org/taxonomy/p/taxonomy-history?taxnode_id=201900784","ICTVonline=201900784")</f>
        <v>ICTVonline=201900784</v>
      </c>
      <c r="Y1378" s="1" t="s">
        <v>9403</v>
      </c>
      <c r="Z1378" s="1" t="s">
        <v>9404</v>
      </c>
      <c r="AA1378" s="1">
        <v>201900000</v>
      </c>
      <c r="AB1378" s="1">
        <v>35</v>
      </c>
    </row>
    <row r="1379" spans="1:28" x14ac:dyDescent="0.2">
      <c r="A1379" s="1">
        <v>3754</v>
      </c>
      <c r="B1379" s="1" t="s">
        <v>6850</v>
      </c>
      <c r="D1379" s="1" t="s">
        <v>6851</v>
      </c>
      <c r="F1379" s="1" t="s">
        <v>6914</v>
      </c>
      <c r="H1379" s="1" t="s">
        <v>6915</v>
      </c>
      <c r="J1379" s="1" t="s">
        <v>1324</v>
      </c>
      <c r="L1379" s="1" t="s">
        <v>895</v>
      </c>
      <c r="M1379" s="1" t="s">
        <v>3026</v>
      </c>
      <c r="N1379" s="1" t="s">
        <v>6313</v>
      </c>
      <c r="P1379" s="1" t="s">
        <v>6314</v>
      </c>
      <c r="Q1379" s="3">
        <v>0</v>
      </c>
      <c r="R1379" s="23" t="s">
        <v>6854</v>
      </c>
      <c r="S1379" s="23" t="s">
        <v>6845</v>
      </c>
      <c r="T1379" s="23" t="s">
        <v>4866</v>
      </c>
      <c r="U1379" s="3">
        <v>35</v>
      </c>
      <c r="W1379" s="45" t="str">
        <f>HYPERLINK("http://ictvonline.org/taxonomy/p/taxonomy-history?taxnode_id=201906957","ICTVonline=201906957")</f>
        <v>ICTVonline=201906957</v>
      </c>
      <c r="Y1379" s="1" t="s">
        <v>9405</v>
      </c>
      <c r="Z1379" s="1" t="s">
        <v>9406</v>
      </c>
      <c r="AA1379" s="1">
        <v>201900000</v>
      </c>
      <c r="AB1379" s="1">
        <v>35</v>
      </c>
    </row>
    <row r="1380" spans="1:28" x14ac:dyDescent="0.2">
      <c r="A1380" s="1">
        <v>3756</v>
      </c>
      <c r="B1380" s="1" t="s">
        <v>6850</v>
      </c>
      <c r="D1380" s="1" t="s">
        <v>6851</v>
      </c>
      <c r="F1380" s="1" t="s">
        <v>6914</v>
      </c>
      <c r="H1380" s="1" t="s">
        <v>6915</v>
      </c>
      <c r="J1380" s="1" t="s">
        <v>1324</v>
      </c>
      <c r="L1380" s="1" t="s">
        <v>895</v>
      </c>
      <c r="M1380" s="1" t="s">
        <v>3026</v>
      </c>
      <c r="N1380" s="1" t="s">
        <v>6313</v>
      </c>
      <c r="P1380" s="1" t="s">
        <v>9407</v>
      </c>
      <c r="Q1380" s="3">
        <v>0</v>
      </c>
      <c r="R1380" s="23" t="s">
        <v>6854</v>
      </c>
      <c r="S1380" s="23" t="s">
        <v>6849</v>
      </c>
      <c r="T1380" s="23" t="s">
        <v>4864</v>
      </c>
      <c r="U1380" s="3">
        <v>35</v>
      </c>
      <c r="V1380" s="3" t="s">
        <v>9408</v>
      </c>
      <c r="W1380" s="45" t="str">
        <f>HYPERLINK("http://ictvonline.org/taxonomy/p/taxonomy-history?taxnode_id=201908019","ICTVonline=201908019")</f>
        <v>ICTVonline=201908019</v>
      </c>
      <c r="X1380" s="1" t="s">
        <v>9409</v>
      </c>
      <c r="Y1380" s="1" t="s">
        <v>9410</v>
      </c>
      <c r="AA1380" s="1">
        <v>201900000</v>
      </c>
      <c r="AB1380" s="1">
        <v>35</v>
      </c>
    </row>
    <row r="1381" spans="1:28" x14ac:dyDescent="0.2">
      <c r="A1381" s="1">
        <v>3762</v>
      </c>
      <c r="B1381" s="1" t="s">
        <v>6850</v>
      </c>
      <c r="D1381" s="1" t="s">
        <v>6851</v>
      </c>
      <c r="F1381" s="1" t="s">
        <v>6914</v>
      </c>
      <c r="H1381" s="1" t="s">
        <v>6915</v>
      </c>
      <c r="J1381" s="1" t="s">
        <v>1324</v>
      </c>
      <c r="L1381" s="1" t="s">
        <v>895</v>
      </c>
      <c r="M1381" s="1" t="s">
        <v>9411</v>
      </c>
      <c r="N1381" s="1" t="s">
        <v>9412</v>
      </c>
      <c r="P1381" s="1" t="s">
        <v>9413</v>
      </c>
      <c r="Q1381" s="3">
        <v>0</v>
      </c>
      <c r="R1381" s="23" t="s">
        <v>6854</v>
      </c>
      <c r="S1381" s="23" t="s">
        <v>6849</v>
      </c>
      <c r="T1381" s="23" t="s">
        <v>4864</v>
      </c>
      <c r="U1381" s="3">
        <v>35</v>
      </c>
      <c r="V1381" s="3" t="s">
        <v>9414</v>
      </c>
      <c r="W1381" s="45" t="str">
        <f>HYPERLINK("http://ictvonline.org/taxonomy/p/taxonomy-history?taxnode_id=201907882","ICTVonline=201907882")</f>
        <v>ICTVonline=201907882</v>
      </c>
      <c r="Y1381" s="1" t="s">
        <v>9415</v>
      </c>
      <c r="AA1381" s="1">
        <v>201900000</v>
      </c>
      <c r="AB1381" s="1">
        <v>35</v>
      </c>
    </row>
    <row r="1382" spans="1:28" x14ac:dyDescent="0.2">
      <c r="A1382" s="1">
        <v>3764</v>
      </c>
      <c r="B1382" s="1" t="s">
        <v>6850</v>
      </c>
      <c r="D1382" s="1" t="s">
        <v>6851</v>
      </c>
      <c r="F1382" s="1" t="s">
        <v>6914</v>
      </c>
      <c r="H1382" s="1" t="s">
        <v>6915</v>
      </c>
      <c r="J1382" s="1" t="s">
        <v>1324</v>
      </c>
      <c r="L1382" s="1" t="s">
        <v>895</v>
      </c>
      <c r="M1382" s="1" t="s">
        <v>9411</v>
      </c>
      <c r="N1382" s="1" t="s">
        <v>9412</v>
      </c>
      <c r="P1382" s="1" t="s">
        <v>9416</v>
      </c>
      <c r="Q1382" s="3">
        <v>0</v>
      </c>
      <c r="R1382" s="23" t="s">
        <v>6854</v>
      </c>
      <c r="S1382" s="23" t="s">
        <v>6849</v>
      </c>
      <c r="T1382" s="23" t="s">
        <v>4864</v>
      </c>
      <c r="U1382" s="3">
        <v>35</v>
      </c>
      <c r="V1382" s="3" t="s">
        <v>9414</v>
      </c>
      <c r="W1382" s="45" t="str">
        <f>HYPERLINK("http://ictvonline.org/taxonomy/p/taxonomy-history?taxnode_id=201907884","ICTVonline=201907884")</f>
        <v>ICTVonline=201907884</v>
      </c>
      <c r="Y1382" s="1" t="s">
        <v>9417</v>
      </c>
      <c r="AA1382" s="1">
        <v>201900000</v>
      </c>
      <c r="AB1382" s="1">
        <v>35</v>
      </c>
    </row>
    <row r="1383" spans="1:28" x14ac:dyDescent="0.2">
      <c r="A1383" s="1">
        <v>3766</v>
      </c>
      <c r="B1383" s="1" t="s">
        <v>6850</v>
      </c>
      <c r="D1383" s="1" t="s">
        <v>6851</v>
      </c>
      <c r="F1383" s="1" t="s">
        <v>6914</v>
      </c>
      <c r="H1383" s="1" t="s">
        <v>6915</v>
      </c>
      <c r="J1383" s="1" t="s">
        <v>1324</v>
      </c>
      <c r="L1383" s="1" t="s">
        <v>895</v>
      </c>
      <c r="M1383" s="1" t="s">
        <v>9411</v>
      </c>
      <c r="N1383" s="1" t="s">
        <v>9412</v>
      </c>
      <c r="P1383" s="1" t="s">
        <v>9418</v>
      </c>
      <c r="Q1383" s="3">
        <v>1</v>
      </c>
      <c r="R1383" s="23" t="s">
        <v>6854</v>
      </c>
      <c r="S1383" s="23" t="s">
        <v>6849</v>
      </c>
      <c r="T1383" s="23" t="s">
        <v>4864</v>
      </c>
      <c r="U1383" s="3">
        <v>35</v>
      </c>
      <c r="V1383" s="3" t="s">
        <v>9414</v>
      </c>
      <c r="W1383" s="45" t="str">
        <f>HYPERLINK("http://ictvonline.org/taxonomy/p/taxonomy-history?taxnode_id=201907881","ICTVonline=201907881")</f>
        <v>ICTVonline=201907881</v>
      </c>
      <c r="Y1383" s="1" t="s">
        <v>9419</v>
      </c>
      <c r="AA1383" s="1">
        <v>201900000</v>
      </c>
      <c r="AB1383" s="1">
        <v>35</v>
      </c>
    </row>
    <row r="1384" spans="1:28" x14ac:dyDescent="0.2">
      <c r="A1384" s="1">
        <v>3768</v>
      </c>
      <c r="B1384" s="1" t="s">
        <v>6850</v>
      </c>
      <c r="D1384" s="1" t="s">
        <v>6851</v>
      </c>
      <c r="F1384" s="1" t="s">
        <v>6914</v>
      </c>
      <c r="H1384" s="1" t="s">
        <v>6915</v>
      </c>
      <c r="J1384" s="1" t="s">
        <v>1324</v>
      </c>
      <c r="L1384" s="1" t="s">
        <v>895</v>
      </c>
      <c r="M1384" s="1" t="s">
        <v>9411</v>
      </c>
      <c r="N1384" s="1" t="s">
        <v>9412</v>
      </c>
      <c r="P1384" s="1" t="s">
        <v>9420</v>
      </c>
      <c r="Q1384" s="3">
        <v>0</v>
      </c>
      <c r="R1384" s="23" t="s">
        <v>6854</v>
      </c>
      <c r="S1384" s="23" t="s">
        <v>6849</v>
      </c>
      <c r="T1384" s="23" t="s">
        <v>4864</v>
      </c>
      <c r="U1384" s="3">
        <v>35</v>
      </c>
      <c r="V1384" s="3" t="s">
        <v>9414</v>
      </c>
      <c r="W1384" s="45" t="str">
        <f>HYPERLINK("http://ictvonline.org/taxonomy/p/taxonomy-history?taxnode_id=201907883","ICTVonline=201907883")</f>
        <v>ICTVonline=201907883</v>
      </c>
      <c r="Y1384" s="1" t="s">
        <v>9421</v>
      </c>
      <c r="AA1384" s="1">
        <v>201900000</v>
      </c>
      <c r="AB1384" s="1">
        <v>35</v>
      </c>
    </row>
    <row r="1385" spans="1:28" x14ac:dyDescent="0.2">
      <c r="A1385" s="1">
        <v>3772</v>
      </c>
      <c r="B1385" s="1" t="s">
        <v>6850</v>
      </c>
      <c r="D1385" s="1" t="s">
        <v>6851</v>
      </c>
      <c r="F1385" s="1" t="s">
        <v>6914</v>
      </c>
      <c r="H1385" s="1" t="s">
        <v>6915</v>
      </c>
      <c r="J1385" s="1" t="s">
        <v>1324</v>
      </c>
      <c r="L1385" s="1" t="s">
        <v>895</v>
      </c>
      <c r="M1385" s="1" t="s">
        <v>9411</v>
      </c>
      <c r="N1385" s="1" t="s">
        <v>9422</v>
      </c>
      <c r="P1385" s="1" t="s">
        <v>9423</v>
      </c>
      <c r="Q1385" s="3">
        <v>1</v>
      </c>
      <c r="R1385" s="23" t="s">
        <v>6854</v>
      </c>
      <c r="S1385" s="23" t="s">
        <v>6849</v>
      </c>
      <c r="T1385" s="23" t="s">
        <v>4864</v>
      </c>
      <c r="U1385" s="3">
        <v>35</v>
      </c>
      <c r="V1385" s="3" t="s">
        <v>9414</v>
      </c>
      <c r="W1385" s="45" t="str">
        <f>HYPERLINK("http://ictvonline.org/taxonomy/p/taxonomy-history?taxnode_id=201907886","ICTVonline=201907886")</f>
        <v>ICTVonline=201907886</v>
      </c>
      <c r="Y1385" s="1" t="s">
        <v>9424</v>
      </c>
      <c r="AA1385" s="1">
        <v>201900000</v>
      </c>
      <c r="AB1385" s="1">
        <v>35</v>
      </c>
    </row>
    <row r="1386" spans="1:28" x14ac:dyDescent="0.2">
      <c r="A1386" s="1">
        <v>3776</v>
      </c>
      <c r="B1386" s="1" t="s">
        <v>6850</v>
      </c>
      <c r="D1386" s="1" t="s">
        <v>6851</v>
      </c>
      <c r="F1386" s="1" t="s">
        <v>6914</v>
      </c>
      <c r="H1386" s="1" t="s">
        <v>6915</v>
      </c>
      <c r="J1386" s="1" t="s">
        <v>1324</v>
      </c>
      <c r="L1386" s="1" t="s">
        <v>895</v>
      </c>
      <c r="M1386" s="1" t="s">
        <v>9411</v>
      </c>
      <c r="N1386" s="1" t="s">
        <v>9425</v>
      </c>
      <c r="P1386" s="1" t="s">
        <v>9426</v>
      </c>
      <c r="Q1386" s="3">
        <v>1</v>
      </c>
      <c r="R1386" s="23" t="s">
        <v>6854</v>
      </c>
      <c r="S1386" s="23" t="s">
        <v>6849</v>
      </c>
      <c r="T1386" s="23" t="s">
        <v>4864</v>
      </c>
      <c r="U1386" s="3">
        <v>35</v>
      </c>
      <c r="V1386" s="3" t="s">
        <v>9414</v>
      </c>
      <c r="W1386" s="45" t="str">
        <f>HYPERLINK("http://ictvonline.org/taxonomy/p/taxonomy-history?taxnode_id=201907888","ICTVonline=201907888")</f>
        <v>ICTVonline=201907888</v>
      </c>
      <c r="Y1386" s="1" t="s">
        <v>9427</v>
      </c>
      <c r="AA1386" s="1">
        <v>201900000</v>
      </c>
      <c r="AB1386" s="1">
        <v>35</v>
      </c>
    </row>
    <row r="1387" spans="1:28" x14ac:dyDescent="0.2">
      <c r="A1387" s="1">
        <v>3782</v>
      </c>
      <c r="B1387" s="1" t="s">
        <v>6850</v>
      </c>
      <c r="D1387" s="1" t="s">
        <v>6851</v>
      </c>
      <c r="F1387" s="1" t="s">
        <v>6914</v>
      </c>
      <c r="H1387" s="1" t="s">
        <v>6915</v>
      </c>
      <c r="J1387" s="1" t="s">
        <v>1324</v>
      </c>
      <c r="L1387" s="1" t="s">
        <v>895</v>
      </c>
      <c r="M1387" s="1" t="s">
        <v>4965</v>
      </c>
      <c r="N1387" s="1" t="s">
        <v>6315</v>
      </c>
      <c r="P1387" s="1" t="s">
        <v>4966</v>
      </c>
      <c r="Q1387" s="3">
        <v>1</v>
      </c>
      <c r="R1387" s="23" t="s">
        <v>6854</v>
      </c>
      <c r="S1387" s="23" t="s">
        <v>6845</v>
      </c>
      <c r="T1387" s="23" t="s">
        <v>4866</v>
      </c>
      <c r="U1387" s="3">
        <v>35</v>
      </c>
      <c r="W1387" s="45" t="str">
        <f>HYPERLINK("http://ictvonline.org/taxonomy/p/taxonomy-history?taxnode_id=201905513","ICTVonline=201905513")</f>
        <v>ICTVonline=201905513</v>
      </c>
      <c r="AA1387" s="1">
        <v>201900000</v>
      </c>
      <c r="AB1387" s="1">
        <v>35</v>
      </c>
    </row>
    <row r="1388" spans="1:28" x14ac:dyDescent="0.2">
      <c r="A1388" s="1">
        <v>3784</v>
      </c>
      <c r="B1388" s="1" t="s">
        <v>6850</v>
      </c>
      <c r="D1388" s="1" t="s">
        <v>6851</v>
      </c>
      <c r="F1388" s="1" t="s">
        <v>6914</v>
      </c>
      <c r="H1388" s="1" t="s">
        <v>6915</v>
      </c>
      <c r="J1388" s="1" t="s">
        <v>1324</v>
      </c>
      <c r="L1388" s="1" t="s">
        <v>895</v>
      </c>
      <c r="M1388" s="1" t="s">
        <v>4965</v>
      </c>
      <c r="N1388" s="1" t="s">
        <v>6315</v>
      </c>
      <c r="P1388" s="1" t="s">
        <v>4967</v>
      </c>
      <c r="Q1388" s="3">
        <v>0</v>
      </c>
      <c r="R1388" s="23" t="s">
        <v>6854</v>
      </c>
      <c r="S1388" s="23" t="s">
        <v>6845</v>
      </c>
      <c r="T1388" s="23" t="s">
        <v>4866</v>
      </c>
      <c r="U1388" s="3">
        <v>35</v>
      </c>
      <c r="W1388" s="45" t="str">
        <f>HYPERLINK("http://ictvonline.org/taxonomy/p/taxonomy-history?taxnode_id=201905514","ICTVonline=201905514")</f>
        <v>ICTVonline=201905514</v>
      </c>
      <c r="AA1388" s="1">
        <v>201900000</v>
      </c>
      <c r="AB1388" s="1">
        <v>35</v>
      </c>
    </row>
    <row r="1389" spans="1:28" x14ac:dyDescent="0.2">
      <c r="A1389" s="1">
        <v>3786</v>
      </c>
      <c r="B1389" s="1" t="s">
        <v>6850</v>
      </c>
      <c r="D1389" s="1" t="s">
        <v>6851</v>
      </c>
      <c r="F1389" s="1" t="s">
        <v>6914</v>
      </c>
      <c r="H1389" s="1" t="s">
        <v>6915</v>
      </c>
      <c r="J1389" s="1" t="s">
        <v>1324</v>
      </c>
      <c r="L1389" s="1" t="s">
        <v>895</v>
      </c>
      <c r="M1389" s="1" t="s">
        <v>4965</v>
      </c>
      <c r="N1389" s="1" t="s">
        <v>6315</v>
      </c>
      <c r="P1389" s="1" t="s">
        <v>4968</v>
      </c>
      <c r="Q1389" s="3">
        <v>0</v>
      </c>
      <c r="R1389" s="23" t="s">
        <v>6854</v>
      </c>
      <c r="S1389" s="23" t="s">
        <v>6845</v>
      </c>
      <c r="T1389" s="23" t="s">
        <v>4866</v>
      </c>
      <c r="U1389" s="3">
        <v>35</v>
      </c>
      <c r="W1389" s="45" t="str">
        <f>HYPERLINK("http://ictvonline.org/taxonomy/p/taxonomy-history?taxnode_id=201905515","ICTVonline=201905515")</f>
        <v>ICTVonline=201905515</v>
      </c>
      <c r="AA1389" s="1">
        <v>201900000</v>
      </c>
      <c r="AB1389" s="1">
        <v>35</v>
      </c>
    </row>
    <row r="1390" spans="1:28" x14ac:dyDescent="0.2">
      <c r="A1390" s="1">
        <v>3788</v>
      </c>
      <c r="B1390" s="1" t="s">
        <v>6850</v>
      </c>
      <c r="D1390" s="1" t="s">
        <v>6851</v>
      </c>
      <c r="F1390" s="1" t="s">
        <v>6914</v>
      </c>
      <c r="H1390" s="1" t="s">
        <v>6915</v>
      </c>
      <c r="J1390" s="1" t="s">
        <v>1324</v>
      </c>
      <c r="L1390" s="1" t="s">
        <v>895</v>
      </c>
      <c r="M1390" s="1" t="s">
        <v>4965</v>
      </c>
      <c r="N1390" s="1" t="s">
        <v>6315</v>
      </c>
      <c r="P1390" s="1" t="s">
        <v>4969</v>
      </c>
      <c r="Q1390" s="3">
        <v>0</v>
      </c>
      <c r="R1390" s="23" t="s">
        <v>6854</v>
      </c>
      <c r="S1390" s="23" t="s">
        <v>6845</v>
      </c>
      <c r="T1390" s="23" t="s">
        <v>4866</v>
      </c>
      <c r="U1390" s="3">
        <v>35</v>
      </c>
      <c r="W1390" s="45" t="str">
        <f>HYPERLINK("http://ictvonline.org/taxonomy/p/taxonomy-history?taxnode_id=201905516","ICTVonline=201905516")</f>
        <v>ICTVonline=201905516</v>
      </c>
      <c r="AA1390" s="1">
        <v>201900000</v>
      </c>
      <c r="AB1390" s="1">
        <v>35</v>
      </c>
    </row>
    <row r="1391" spans="1:28" x14ac:dyDescent="0.2">
      <c r="A1391" s="1">
        <v>3790</v>
      </c>
      <c r="B1391" s="1" t="s">
        <v>6850</v>
      </c>
      <c r="D1391" s="1" t="s">
        <v>6851</v>
      </c>
      <c r="F1391" s="1" t="s">
        <v>6914</v>
      </c>
      <c r="H1391" s="1" t="s">
        <v>6915</v>
      </c>
      <c r="J1391" s="1" t="s">
        <v>1324</v>
      </c>
      <c r="L1391" s="1" t="s">
        <v>895</v>
      </c>
      <c r="M1391" s="1" t="s">
        <v>4965</v>
      </c>
      <c r="N1391" s="1" t="s">
        <v>6315</v>
      </c>
      <c r="P1391" s="1" t="s">
        <v>4970</v>
      </c>
      <c r="Q1391" s="3">
        <v>0</v>
      </c>
      <c r="R1391" s="23" t="s">
        <v>6854</v>
      </c>
      <c r="S1391" s="23" t="s">
        <v>6845</v>
      </c>
      <c r="T1391" s="23" t="s">
        <v>4866</v>
      </c>
      <c r="U1391" s="3">
        <v>35</v>
      </c>
      <c r="W1391" s="45" t="str">
        <f>HYPERLINK("http://ictvonline.org/taxonomy/p/taxonomy-history?taxnode_id=201905517","ICTVonline=201905517")</f>
        <v>ICTVonline=201905517</v>
      </c>
      <c r="AA1391" s="1">
        <v>201900000</v>
      </c>
      <c r="AB1391" s="1">
        <v>35</v>
      </c>
    </row>
    <row r="1392" spans="1:28" x14ac:dyDescent="0.2">
      <c r="A1392" s="1">
        <v>3792</v>
      </c>
      <c r="B1392" s="1" t="s">
        <v>6850</v>
      </c>
      <c r="D1392" s="1" t="s">
        <v>6851</v>
      </c>
      <c r="F1392" s="1" t="s">
        <v>6914</v>
      </c>
      <c r="H1392" s="1" t="s">
        <v>6915</v>
      </c>
      <c r="J1392" s="1" t="s">
        <v>1324</v>
      </c>
      <c r="L1392" s="1" t="s">
        <v>895</v>
      </c>
      <c r="M1392" s="1" t="s">
        <v>4965</v>
      </c>
      <c r="N1392" s="1" t="s">
        <v>6315</v>
      </c>
      <c r="P1392" s="1" t="s">
        <v>4971</v>
      </c>
      <c r="Q1392" s="3">
        <v>0</v>
      </c>
      <c r="R1392" s="23" t="s">
        <v>6854</v>
      </c>
      <c r="S1392" s="23" t="s">
        <v>6845</v>
      </c>
      <c r="T1392" s="23" t="s">
        <v>4866</v>
      </c>
      <c r="U1392" s="3">
        <v>35</v>
      </c>
      <c r="W1392" s="45" t="str">
        <f>HYPERLINK("http://ictvonline.org/taxonomy/p/taxonomy-history?taxnode_id=201905518","ICTVonline=201905518")</f>
        <v>ICTVonline=201905518</v>
      </c>
      <c r="AA1392" s="1">
        <v>201900000</v>
      </c>
      <c r="AB1392" s="1">
        <v>35</v>
      </c>
    </row>
    <row r="1393" spans="1:28" x14ac:dyDescent="0.2">
      <c r="A1393" s="1">
        <v>3796</v>
      </c>
      <c r="B1393" s="1" t="s">
        <v>6850</v>
      </c>
      <c r="D1393" s="1" t="s">
        <v>6851</v>
      </c>
      <c r="F1393" s="1" t="s">
        <v>6914</v>
      </c>
      <c r="H1393" s="1" t="s">
        <v>6915</v>
      </c>
      <c r="J1393" s="1" t="s">
        <v>1324</v>
      </c>
      <c r="L1393" s="1" t="s">
        <v>895</v>
      </c>
      <c r="M1393" s="1" t="s">
        <v>4965</v>
      </c>
      <c r="N1393" s="1" t="s">
        <v>6316</v>
      </c>
      <c r="P1393" s="1" t="s">
        <v>4972</v>
      </c>
      <c r="Q1393" s="3">
        <v>1</v>
      </c>
      <c r="R1393" s="23" t="s">
        <v>6854</v>
      </c>
      <c r="S1393" s="23" t="s">
        <v>6845</v>
      </c>
      <c r="T1393" s="23" t="s">
        <v>4866</v>
      </c>
      <c r="U1393" s="3">
        <v>35</v>
      </c>
      <c r="W1393" s="45" t="str">
        <f>HYPERLINK("http://ictvonline.org/taxonomy/p/taxonomy-history?taxnode_id=201905520","ICTVonline=201905520")</f>
        <v>ICTVonline=201905520</v>
      </c>
      <c r="AA1393" s="1">
        <v>201900000</v>
      </c>
      <c r="AB1393" s="1">
        <v>35</v>
      </c>
    </row>
    <row r="1394" spans="1:28" x14ac:dyDescent="0.2">
      <c r="A1394" s="1">
        <v>3798</v>
      </c>
      <c r="B1394" s="1" t="s">
        <v>6850</v>
      </c>
      <c r="D1394" s="1" t="s">
        <v>6851</v>
      </c>
      <c r="F1394" s="1" t="s">
        <v>6914</v>
      </c>
      <c r="H1394" s="1" t="s">
        <v>6915</v>
      </c>
      <c r="J1394" s="1" t="s">
        <v>1324</v>
      </c>
      <c r="L1394" s="1" t="s">
        <v>895</v>
      </c>
      <c r="M1394" s="1" t="s">
        <v>4965</v>
      </c>
      <c r="N1394" s="1" t="s">
        <v>6316</v>
      </c>
      <c r="P1394" s="1" t="s">
        <v>4973</v>
      </c>
      <c r="Q1394" s="3">
        <v>0</v>
      </c>
      <c r="R1394" s="23" t="s">
        <v>6854</v>
      </c>
      <c r="S1394" s="23" t="s">
        <v>6845</v>
      </c>
      <c r="T1394" s="23" t="s">
        <v>4866</v>
      </c>
      <c r="U1394" s="3">
        <v>35</v>
      </c>
      <c r="W1394" s="45" t="str">
        <f>HYPERLINK("http://ictvonline.org/taxonomy/p/taxonomy-history?taxnode_id=201905523","ICTVonline=201905523")</f>
        <v>ICTVonline=201905523</v>
      </c>
      <c r="AA1394" s="1">
        <v>201900000</v>
      </c>
      <c r="AB1394" s="1">
        <v>35</v>
      </c>
    </row>
    <row r="1395" spans="1:28" x14ac:dyDescent="0.2">
      <c r="A1395" s="1">
        <v>3800</v>
      </c>
      <c r="B1395" s="1" t="s">
        <v>6850</v>
      </c>
      <c r="D1395" s="1" t="s">
        <v>6851</v>
      </c>
      <c r="F1395" s="1" t="s">
        <v>6914</v>
      </c>
      <c r="H1395" s="1" t="s">
        <v>6915</v>
      </c>
      <c r="J1395" s="1" t="s">
        <v>1324</v>
      </c>
      <c r="L1395" s="1" t="s">
        <v>895</v>
      </c>
      <c r="M1395" s="1" t="s">
        <v>4965</v>
      </c>
      <c r="N1395" s="1" t="s">
        <v>6316</v>
      </c>
      <c r="P1395" s="1" t="s">
        <v>4974</v>
      </c>
      <c r="Q1395" s="3">
        <v>0</v>
      </c>
      <c r="R1395" s="23" t="s">
        <v>6854</v>
      </c>
      <c r="S1395" s="23" t="s">
        <v>6845</v>
      </c>
      <c r="T1395" s="23" t="s">
        <v>4866</v>
      </c>
      <c r="U1395" s="3">
        <v>35</v>
      </c>
      <c r="W1395" s="45" t="str">
        <f>HYPERLINK("http://ictvonline.org/taxonomy/p/taxonomy-history?taxnode_id=201905524","ICTVonline=201905524")</f>
        <v>ICTVonline=201905524</v>
      </c>
      <c r="AA1395" s="1">
        <v>201900000</v>
      </c>
      <c r="AB1395" s="1">
        <v>35</v>
      </c>
    </row>
    <row r="1396" spans="1:28" x14ac:dyDescent="0.2">
      <c r="A1396" s="1">
        <v>3802</v>
      </c>
      <c r="B1396" s="1" t="s">
        <v>6850</v>
      </c>
      <c r="D1396" s="1" t="s">
        <v>6851</v>
      </c>
      <c r="F1396" s="1" t="s">
        <v>6914</v>
      </c>
      <c r="H1396" s="1" t="s">
        <v>6915</v>
      </c>
      <c r="J1396" s="1" t="s">
        <v>1324</v>
      </c>
      <c r="L1396" s="1" t="s">
        <v>895</v>
      </c>
      <c r="M1396" s="1" t="s">
        <v>4965</v>
      </c>
      <c r="N1396" s="1" t="s">
        <v>6316</v>
      </c>
      <c r="P1396" s="1" t="s">
        <v>4975</v>
      </c>
      <c r="Q1396" s="3">
        <v>0</v>
      </c>
      <c r="R1396" s="23" t="s">
        <v>6854</v>
      </c>
      <c r="S1396" s="23" t="s">
        <v>6845</v>
      </c>
      <c r="T1396" s="23" t="s">
        <v>4866</v>
      </c>
      <c r="U1396" s="3">
        <v>35</v>
      </c>
      <c r="W1396" s="45" t="str">
        <f>HYPERLINK("http://ictvonline.org/taxonomy/p/taxonomy-history?taxnode_id=201905521","ICTVonline=201905521")</f>
        <v>ICTVonline=201905521</v>
      </c>
      <c r="AA1396" s="1">
        <v>201900000</v>
      </c>
      <c r="AB1396" s="1">
        <v>35</v>
      </c>
    </row>
    <row r="1397" spans="1:28" x14ac:dyDescent="0.2">
      <c r="A1397" s="1">
        <v>3804</v>
      </c>
      <c r="B1397" s="1" t="s">
        <v>6850</v>
      </c>
      <c r="D1397" s="1" t="s">
        <v>6851</v>
      </c>
      <c r="F1397" s="1" t="s">
        <v>6914</v>
      </c>
      <c r="H1397" s="1" t="s">
        <v>6915</v>
      </c>
      <c r="J1397" s="1" t="s">
        <v>1324</v>
      </c>
      <c r="L1397" s="1" t="s">
        <v>895</v>
      </c>
      <c r="M1397" s="1" t="s">
        <v>4965</v>
      </c>
      <c r="N1397" s="1" t="s">
        <v>6316</v>
      </c>
      <c r="P1397" s="1" t="s">
        <v>4976</v>
      </c>
      <c r="Q1397" s="3">
        <v>0</v>
      </c>
      <c r="R1397" s="23" t="s">
        <v>6854</v>
      </c>
      <c r="S1397" s="23" t="s">
        <v>6845</v>
      </c>
      <c r="T1397" s="23" t="s">
        <v>4866</v>
      </c>
      <c r="U1397" s="3">
        <v>35</v>
      </c>
      <c r="W1397" s="45" t="str">
        <f>HYPERLINK("http://ictvonline.org/taxonomy/p/taxonomy-history?taxnode_id=201905522","ICTVonline=201905522")</f>
        <v>ICTVonline=201905522</v>
      </c>
      <c r="AA1397" s="1">
        <v>201900000</v>
      </c>
      <c r="AB1397" s="1">
        <v>35</v>
      </c>
    </row>
    <row r="1398" spans="1:28" x14ac:dyDescent="0.2">
      <c r="A1398" s="1">
        <v>3806</v>
      </c>
      <c r="B1398" s="1" t="s">
        <v>6850</v>
      </c>
      <c r="D1398" s="1" t="s">
        <v>6851</v>
      </c>
      <c r="F1398" s="1" t="s">
        <v>6914</v>
      </c>
      <c r="H1398" s="1" t="s">
        <v>6915</v>
      </c>
      <c r="J1398" s="1" t="s">
        <v>1324</v>
      </c>
      <c r="L1398" s="1" t="s">
        <v>895</v>
      </c>
      <c r="M1398" s="1" t="s">
        <v>4965</v>
      </c>
      <c r="N1398" s="1" t="s">
        <v>6316</v>
      </c>
      <c r="P1398" s="1" t="s">
        <v>4977</v>
      </c>
      <c r="Q1398" s="3">
        <v>0</v>
      </c>
      <c r="R1398" s="23" t="s">
        <v>6854</v>
      </c>
      <c r="S1398" s="23" t="s">
        <v>6845</v>
      </c>
      <c r="T1398" s="23" t="s">
        <v>4866</v>
      </c>
      <c r="U1398" s="3">
        <v>35</v>
      </c>
      <c r="W1398" s="45" t="str">
        <f>HYPERLINK("http://ictvonline.org/taxonomy/p/taxonomy-history?taxnode_id=201905525","ICTVonline=201905525")</f>
        <v>ICTVonline=201905525</v>
      </c>
      <c r="AA1398" s="1">
        <v>201900000</v>
      </c>
      <c r="AB1398" s="1">
        <v>35</v>
      </c>
    </row>
    <row r="1399" spans="1:28" x14ac:dyDescent="0.2">
      <c r="A1399" s="1">
        <v>3812</v>
      </c>
      <c r="B1399" s="1" t="s">
        <v>6850</v>
      </c>
      <c r="D1399" s="1" t="s">
        <v>6851</v>
      </c>
      <c r="F1399" s="1" t="s">
        <v>6914</v>
      </c>
      <c r="H1399" s="1" t="s">
        <v>6915</v>
      </c>
      <c r="J1399" s="1" t="s">
        <v>1324</v>
      </c>
      <c r="L1399" s="1" t="s">
        <v>895</v>
      </c>
      <c r="M1399" s="1" t="s">
        <v>4066</v>
      </c>
      <c r="N1399" s="1" t="s">
        <v>4067</v>
      </c>
      <c r="P1399" s="1" t="s">
        <v>3320</v>
      </c>
      <c r="Q1399" s="3">
        <v>1</v>
      </c>
      <c r="R1399" s="23" t="s">
        <v>6854</v>
      </c>
      <c r="S1399" s="23" t="s">
        <v>6845</v>
      </c>
      <c r="T1399" s="23" t="s">
        <v>4866</v>
      </c>
      <c r="U1399" s="3">
        <v>35</v>
      </c>
      <c r="W1399" s="45" t="str">
        <f>HYPERLINK("http://ictvonline.org/taxonomy/p/taxonomy-history?taxnode_id=201900789","ICTVonline=201900789")</f>
        <v>ICTVonline=201900789</v>
      </c>
      <c r="Y1399" s="1" t="s">
        <v>9428</v>
      </c>
      <c r="AA1399" s="1">
        <v>201900000</v>
      </c>
      <c r="AB1399" s="1">
        <v>35</v>
      </c>
    </row>
    <row r="1400" spans="1:28" x14ac:dyDescent="0.2">
      <c r="A1400" s="1">
        <v>3816</v>
      </c>
      <c r="B1400" s="1" t="s">
        <v>6850</v>
      </c>
      <c r="D1400" s="1" t="s">
        <v>6851</v>
      </c>
      <c r="F1400" s="1" t="s">
        <v>6914</v>
      </c>
      <c r="H1400" s="1" t="s">
        <v>6915</v>
      </c>
      <c r="J1400" s="1" t="s">
        <v>1324</v>
      </c>
      <c r="L1400" s="1" t="s">
        <v>895</v>
      </c>
      <c r="M1400" s="1" t="s">
        <v>4066</v>
      </c>
      <c r="N1400" s="1" t="s">
        <v>3319</v>
      </c>
      <c r="P1400" s="1" t="s">
        <v>3321</v>
      </c>
      <c r="Q1400" s="3">
        <v>1</v>
      </c>
      <c r="R1400" s="23" t="s">
        <v>6854</v>
      </c>
      <c r="S1400" s="23" t="s">
        <v>6845</v>
      </c>
      <c r="T1400" s="23" t="s">
        <v>4866</v>
      </c>
      <c r="U1400" s="3">
        <v>35</v>
      </c>
      <c r="W1400" s="45" t="str">
        <f>HYPERLINK("http://ictvonline.org/taxonomy/p/taxonomy-history?taxnode_id=201900791","ICTVonline=201900791")</f>
        <v>ICTVonline=201900791</v>
      </c>
      <c r="Y1400" s="1" t="s">
        <v>9429</v>
      </c>
      <c r="AA1400" s="1">
        <v>201900000</v>
      </c>
      <c r="AB1400" s="1">
        <v>35</v>
      </c>
    </row>
    <row r="1401" spans="1:28" x14ac:dyDescent="0.2">
      <c r="A1401" s="1">
        <v>3822</v>
      </c>
      <c r="B1401" s="1" t="s">
        <v>6850</v>
      </c>
      <c r="D1401" s="1" t="s">
        <v>6851</v>
      </c>
      <c r="F1401" s="1" t="s">
        <v>6914</v>
      </c>
      <c r="H1401" s="1" t="s">
        <v>6915</v>
      </c>
      <c r="J1401" s="1" t="s">
        <v>1324</v>
      </c>
      <c r="L1401" s="1" t="s">
        <v>895</v>
      </c>
      <c r="M1401" s="1" t="s">
        <v>4978</v>
      </c>
      <c r="N1401" s="1" t="s">
        <v>4979</v>
      </c>
      <c r="P1401" s="1" t="s">
        <v>4980</v>
      </c>
      <c r="Q1401" s="3">
        <v>1</v>
      </c>
      <c r="R1401" s="23" t="s">
        <v>6854</v>
      </c>
      <c r="S1401" s="23" t="s">
        <v>6845</v>
      </c>
      <c r="T1401" s="23" t="s">
        <v>4866</v>
      </c>
      <c r="U1401" s="3">
        <v>35</v>
      </c>
      <c r="W1401" s="45" t="str">
        <f>HYPERLINK("http://ictvonline.org/taxonomy/p/taxonomy-history?taxnode_id=201905528","ICTVonline=201905528")</f>
        <v>ICTVonline=201905528</v>
      </c>
      <c r="AA1401" s="1">
        <v>201900000</v>
      </c>
      <c r="AB1401" s="1">
        <v>35</v>
      </c>
    </row>
    <row r="1402" spans="1:28" x14ac:dyDescent="0.2">
      <c r="A1402" s="1">
        <v>3824</v>
      </c>
      <c r="B1402" s="1" t="s">
        <v>6850</v>
      </c>
      <c r="D1402" s="1" t="s">
        <v>6851</v>
      </c>
      <c r="F1402" s="1" t="s">
        <v>6914</v>
      </c>
      <c r="H1402" s="1" t="s">
        <v>6915</v>
      </c>
      <c r="J1402" s="1" t="s">
        <v>1324</v>
      </c>
      <c r="L1402" s="1" t="s">
        <v>895</v>
      </c>
      <c r="M1402" s="1" t="s">
        <v>4978</v>
      </c>
      <c r="N1402" s="1" t="s">
        <v>4979</v>
      </c>
      <c r="P1402" s="1" t="s">
        <v>4981</v>
      </c>
      <c r="Q1402" s="3">
        <v>0</v>
      </c>
      <c r="R1402" s="23" t="s">
        <v>6854</v>
      </c>
      <c r="S1402" s="23" t="s">
        <v>6845</v>
      </c>
      <c r="T1402" s="23" t="s">
        <v>4866</v>
      </c>
      <c r="U1402" s="3">
        <v>35</v>
      </c>
      <c r="W1402" s="45" t="str">
        <f>HYPERLINK("http://ictvonline.org/taxonomy/p/taxonomy-history?taxnode_id=201905529","ICTVonline=201905529")</f>
        <v>ICTVonline=201905529</v>
      </c>
      <c r="AA1402" s="1">
        <v>201900000</v>
      </c>
      <c r="AB1402" s="1">
        <v>35</v>
      </c>
    </row>
    <row r="1403" spans="1:28" x14ac:dyDescent="0.2">
      <c r="A1403" s="1">
        <v>3828</v>
      </c>
      <c r="B1403" s="1" t="s">
        <v>6850</v>
      </c>
      <c r="D1403" s="1" t="s">
        <v>6851</v>
      </c>
      <c r="F1403" s="1" t="s">
        <v>6914</v>
      </c>
      <c r="H1403" s="1" t="s">
        <v>6915</v>
      </c>
      <c r="J1403" s="1" t="s">
        <v>1324</v>
      </c>
      <c r="L1403" s="1" t="s">
        <v>895</v>
      </c>
      <c r="M1403" s="1" t="s">
        <v>4978</v>
      </c>
      <c r="N1403" s="1" t="s">
        <v>3104</v>
      </c>
      <c r="P1403" s="1" t="s">
        <v>3105</v>
      </c>
      <c r="Q1403" s="3">
        <v>1</v>
      </c>
      <c r="R1403" s="23" t="s">
        <v>6854</v>
      </c>
      <c r="S1403" s="23" t="s">
        <v>6845</v>
      </c>
      <c r="T1403" s="23" t="s">
        <v>4866</v>
      </c>
      <c r="U1403" s="3">
        <v>35</v>
      </c>
      <c r="W1403" s="45" t="str">
        <f>HYPERLINK("http://ictvonline.org/taxonomy/p/taxonomy-history?taxnode_id=201900888","ICTVonline=201900888")</f>
        <v>ICTVonline=201900888</v>
      </c>
      <c r="Y1403" s="1" t="s">
        <v>9430</v>
      </c>
      <c r="AA1403" s="1">
        <v>201900000</v>
      </c>
      <c r="AB1403" s="1">
        <v>35</v>
      </c>
    </row>
    <row r="1404" spans="1:28" x14ac:dyDescent="0.2">
      <c r="A1404" s="1">
        <v>3830</v>
      </c>
      <c r="B1404" s="1" t="s">
        <v>6850</v>
      </c>
      <c r="D1404" s="1" t="s">
        <v>6851</v>
      </c>
      <c r="F1404" s="1" t="s">
        <v>6914</v>
      </c>
      <c r="H1404" s="1" t="s">
        <v>6915</v>
      </c>
      <c r="J1404" s="1" t="s">
        <v>1324</v>
      </c>
      <c r="L1404" s="1" t="s">
        <v>895</v>
      </c>
      <c r="M1404" s="1" t="s">
        <v>4978</v>
      </c>
      <c r="N1404" s="1" t="s">
        <v>3104</v>
      </c>
      <c r="P1404" s="1" t="s">
        <v>4982</v>
      </c>
      <c r="Q1404" s="3">
        <v>0</v>
      </c>
      <c r="R1404" s="23" t="s">
        <v>6854</v>
      </c>
      <c r="S1404" s="23" t="s">
        <v>6845</v>
      </c>
      <c r="T1404" s="23" t="s">
        <v>4866</v>
      </c>
      <c r="U1404" s="3">
        <v>35</v>
      </c>
      <c r="W1404" s="45" t="str">
        <f>HYPERLINK("http://ictvonline.org/taxonomy/p/taxonomy-history?taxnode_id=201905531","ICTVonline=201905531")</f>
        <v>ICTVonline=201905531</v>
      </c>
      <c r="AA1404" s="1">
        <v>201900000</v>
      </c>
      <c r="AB1404" s="1">
        <v>35</v>
      </c>
    </row>
    <row r="1405" spans="1:28" x14ac:dyDescent="0.2">
      <c r="A1405" s="1">
        <v>3832</v>
      </c>
      <c r="B1405" s="1" t="s">
        <v>6850</v>
      </c>
      <c r="D1405" s="1" t="s">
        <v>6851</v>
      </c>
      <c r="F1405" s="1" t="s">
        <v>6914</v>
      </c>
      <c r="H1405" s="1" t="s">
        <v>6915</v>
      </c>
      <c r="J1405" s="1" t="s">
        <v>1324</v>
      </c>
      <c r="L1405" s="1" t="s">
        <v>895</v>
      </c>
      <c r="M1405" s="1" t="s">
        <v>4978</v>
      </c>
      <c r="N1405" s="1" t="s">
        <v>3104</v>
      </c>
      <c r="P1405" s="1" t="s">
        <v>4983</v>
      </c>
      <c r="Q1405" s="3">
        <v>0</v>
      </c>
      <c r="R1405" s="23" t="s">
        <v>6854</v>
      </c>
      <c r="S1405" s="23" t="s">
        <v>6845</v>
      </c>
      <c r="T1405" s="23" t="s">
        <v>4866</v>
      </c>
      <c r="U1405" s="3">
        <v>35</v>
      </c>
      <c r="W1405" s="45" t="str">
        <f>HYPERLINK("http://ictvonline.org/taxonomy/p/taxonomy-history?taxnode_id=201905532","ICTVonline=201905532")</f>
        <v>ICTVonline=201905532</v>
      </c>
      <c r="AA1405" s="1">
        <v>201900000</v>
      </c>
      <c r="AB1405" s="1">
        <v>35</v>
      </c>
    </row>
    <row r="1406" spans="1:28" x14ac:dyDescent="0.2">
      <c r="A1406" s="1">
        <v>3836</v>
      </c>
      <c r="B1406" s="1" t="s">
        <v>6850</v>
      </c>
      <c r="D1406" s="1" t="s">
        <v>6851</v>
      </c>
      <c r="F1406" s="1" t="s">
        <v>6914</v>
      </c>
      <c r="H1406" s="1" t="s">
        <v>6915</v>
      </c>
      <c r="J1406" s="1" t="s">
        <v>1324</v>
      </c>
      <c r="L1406" s="1" t="s">
        <v>895</v>
      </c>
      <c r="M1406" s="1" t="s">
        <v>4978</v>
      </c>
      <c r="N1406" s="1" t="s">
        <v>4984</v>
      </c>
      <c r="P1406" s="1" t="s">
        <v>4985</v>
      </c>
      <c r="Q1406" s="3">
        <v>0</v>
      </c>
      <c r="R1406" s="23" t="s">
        <v>6854</v>
      </c>
      <c r="S1406" s="23" t="s">
        <v>6845</v>
      </c>
      <c r="T1406" s="23" t="s">
        <v>4866</v>
      </c>
      <c r="U1406" s="3">
        <v>35</v>
      </c>
      <c r="W1406" s="45" t="str">
        <f>HYPERLINK("http://ictvonline.org/taxonomy/p/taxonomy-history?taxnode_id=201905533","ICTVonline=201905533")</f>
        <v>ICTVonline=201905533</v>
      </c>
      <c r="AA1406" s="1">
        <v>201900000</v>
      </c>
      <c r="AB1406" s="1">
        <v>35</v>
      </c>
    </row>
    <row r="1407" spans="1:28" x14ac:dyDescent="0.2">
      <c r="A1407" s="1">
        <v>3838</v>
      </c>
      <c r="B1407" s="1" t="s">
        <v>6850</v>
      </c>
      <c r="D1407" s="1" t="s">
        <v>6851</v>
      </c>
      <c r="F1407" s="1" t="s">
        <v>6914</v>
      </c>
      <c r="H1407" s="1" t="s">
        <v>6915</v>
      </c>
      <c r="J1407" s="1" t="s">
        <v>1324</v>
      </c>
      <c r="L1407" s="1" t="s">
        <v>895</v>
      </c>
      <c r="M1407" s="1" t="s">
        <v>4978</v>
      </c>
      <c r="N1407" s="1" t="s">
        <v>4984</v>
      </c>
      <c r="P1407" s="1" t="s">
        <v>4986</v>
      </c>
      <c r="Q1407" s="3">
        <v>0</v>
      </c>
      <c r="R1407" s="23" t="s">
        <v>6854</v>
      </c>
      <c r="S1407" s="23" t="s">
        <v>6845</v>
      </c>
      <c r="T1407" s="23" t="s">
        <v>4866</v>
      </c>
      <c r="U1407" s="3">
        <v>35</v>
      </c>
      <c r="W1407" s="45" t="str">
        <f>HYPERLINK("http://ictvonline.org/taxonomy/p/taxonomy-history?taxnode_id=201905534","ICTVonline=201905534")</f>
        <v>ICTVonline=201905534</v>
      </c>
      <c r="AA1407" s="1">
        <v>201900000</v>
      </c>
      <c r="AB1407" s="1">
        <v>35</v>
      </c>
    </row>
    <row r="1408" spans="1:28" x14ac:dyDescent="0.2">
      <c r="A1408" s="1">
        <v>3840</v>
      </c>
      <c r="B1408" s="1" t="s">
        <v>6850</v>
      </c>
      <c r="D1408" s="1" t="s">
        <v>6851</v>
      </c>
      <c r="F1408" s="1" t="s">
        <v>6914</v>
      </c>
      <c r="H1408" s="1" t="s">
        <v>6915</v>
      </c>
      <c r="J1408" s="1" t="s">
        <v>1324</v>
      </c>
      <c r="L1408" s="1" t="s">
        <v>895</v>
      </c>
      <c r="M1408" s="1" t="s">
        <v>4978</v>
      </c>
      <c r="N1408" s="1" t="s">
        <v>4984</v>
      </c>
      <c r="P1408" s="1" t="s">
        <v>3106</v>
      </c>
      <c r="Q1408" s="3">
        <v>1</v>
      </c>
      <c r="R1408" s="23" t="s">
        <v>6854</v>
      </c>
      <c r="S1408" s="23" t="s">
        <v>6845</v>
      </c>
      <c r="T1408" s="23" t="s">
        <v>4866</v>
      </c>
      <c r="U1408" s="3">
        <v>35</v>
      </c>
      <c r="W1408" s="45" t="str">
        <f>HYPERLINK("http://ictvonline.org/taxonomy/p/taxonomy-history?taxnode_id=201900889","ICTVonline=201900889")</f>
        <v>ICTVonline=201900889</v>
      </c>
      <c r="Y1408" s="1" t="s">
        <v>9431</v>
      </c>
      <c r="AA1408" s="1">
        <v>201900000</v>
      </c>
      <c r="AB1408" s="1">
        <v>35</v>
      </c>
    </row>
    <row r="1409" spans="1:28" x14ac:dyDescent="0.2">
      <c r="A1409" s="1">
        <v>3842</v>
      </c>
      <c r="B1409" s="1" t="s">
        <v>6850</v>
      </c>
      <c r="D1409" s="1" t="s">
        <v>6851</v>
      </c>
      <c r="F1409" s="1" t="s">
        <v>6914</v>
      </c>
      <c r="H1409" s="1" t="s">
        <v>6915</v>
      </c>
      <c r="J1409" s="1" t="s">
        <v>1324</v>
      </c>
      <c r="L1409" s="1" t="s">
        <v>895</v>
      </c>
      <c r="M1409" s="1" t="s">
        <v>4978</v>
      </c>
      <c r="N1409" s="1" t="s">
        <v>4984</v>
      </c>
      <c r="P1409" s="1" t="s">
        <v>4987</v>
      </c>
      <c r="Q1409" s="3">
        <v>0</v>
      </c>
      <c r="R1409" s="23" t="s">
        <v>6854</v>
      </c>
      <c r="S1409" s="23" t="s">
        <v>6845</v>
      </c>
      <c r="T1409" s="23" t="s">
        <v>4866</v>
      </c>
      <c r="U1409" s="3">
        <v>35</v>
      </c>
      <c r="W1409" s="45" t="str">
        <f>HYPERLINK("http://ictvonline.org/taxonomy/p/taxonomy-history?taxnode_id=201905535","ICTVonline=201905535")</f>
        <v>ICTVonline=201905535</v>
      </c>
      <c r="AA1409" s="1">
        <v>201900000</v>
      </c>
      <c r="AB1409" s="1">
        <v>35</v>
      </c>
    </row>
    <row r="1410" spans="1:28" x14ac:dyDescent="0.2">
      <c r="A1410" s="1">
        <v>3848</v>
      </c>
      <c r="B1410" s="1" t="s">
        <v>6850</v>
      </c>
      <c r="D1410" s="1" t="s">
        <v>6851</v>
      </c>
      <c r="F1410" s="1" t="s">
        <v>6914</v>
      </c>
      <c r="H1410" s="1" t="s">
        <v>6915</v>
      </c>
      <c r="J1410" s="1" t="s">
        <v>1324</v>
      </c>
      <c r="L1410" s="1" t="s">
        <v>895</v>
      </c>
      <c r="M1410" s="1" t="s">
        <v>4988</v>
      </c>
      <c r="N1410" s="1" t="s">
        <v>4989</v>
      </c>
      <c r="P1410" s="1" t="s">
        <v>4990</v>
      </c>
      <c r="Q1410" s="3">
        <v>1</v>
      </c>
      <c r="R1410" s="23" t="s">
        <v>6854</v>
      </c>
      <c r="S1410" s="23" t="s">
        <v>6845</v>
      </c>
      <c r="T1410" s="23" t="s">
        <v>4866</v>
      </c>
      <c r="U1410" s="3">
        <v>35</v>
      </c>
      <c r="W1410" s="45" t="str">
        <f>HYPERLINK("http://ictvonline.org/taxonomy/p/taxonomy-history?taxnode_id=201905498","ICTVonline=201905498")</f>
        <v>ICTVonline=201905498</v>
      </c>
      <c r="AA1410" s="1">
        <v>201900000</v>
      </c>
      <c r="AB1410" s="1">
        <v>35</v>
      </c>
    </row>
    <row r="1411" spans="1:28" x14ac:dyDescent="0.2">
      <c r="A1411" s="1">
        <v>3850</v>
      </c>
      <c r="B1411" s="1" t="s">
        <v>6850</v>
      </c>
      <c r="D1411" s="1" t="s">
        <v>6851</v>
      </c>
      <c r="F1411" s="1" t="s">
        <v>6914</v>
      </c>
      <c r="H1411" s="1" t="s">
        <v>6915</v>
      </c>
      <c r="J1411" s="1" t="s">
        <v>1324</v>
      </c>
      <c r="L1411" s="1" t="s">
        <v>895</v>
      </c>
      <c r="M1411" s="1" t="s">
        <v>4988</v>
      </c>
      <c r="N1411" s="1" t="s">
        <v>4989</v>
      </c>
      <c r="P1411" s="1" t="s">
        <v>4991</v>
      </c>
      <c r="Q1411" s="3">
        <v>0</v>
      </c>
      <c r="R1411" s="23" t="s">
        <v>6854</v>
      </c>
      <c r="S1411" s="23" t="s">
        <v>6845</v>
      </c>
      <c r="T1411" s="23" t="s">
        <v>4866</v>
      </c>
      <c r="U1411" s="3">
        <v>35</v>
      </c>
      <c r="W1411" s="45" t="str">
        <f>HYPERLINK("http://ictvonline.org/taxonomy/p/taxonomy-history?taxnode_id=201905499","ICTVonline=201905499")</f>
        <v>ICTVonline=201905499</v>
      </c>
      <c r="AA1411" s="1">
        <v>201900000</v>
      </c>
      <c r="AB1411" s="1">
        <v>35</v>
      </c>
    </row>
    <row r="1412" spans="1:28" x14ac:dyDescent="0.2">
      <c r="A1412" s="1">
        <v>3854</v>
      </c>
      <c r="B1412" s="1" t="s">
        <v>6850</v>
      </c>
      <c r="D1412" s="1" t="s">
        <v>6851</v>
      </c>
      <c r="F1412" s="1" t="s">
        <v>6914</v>
      </c>
      <c r="H1412" s="1" t="s">
        <v>6915</v>
      </c>
      <c r="J1412" s="1" t="s">
        <v>1324</v>
      </c>
      <c r="L1412" s="1" t="s">
        <v>895</v>
      </c>
      <c r="M1412" s="1" t="s">
        <v>4988</v>
      </c>
      <c r="N1412" s="1" t="s">
        <v>4992</v>
      </c>
      <c r="P1412" s="1" t="s">
        <v>4993</v>
      </c>
      <c r="Q1412" s="3">
        <v>0</v>
      </c>
      <c r="R1412" s="23" t="s">
        <v>6854</v>
      </c>
      <c r="S1412" s="23" t="s">
        <v>6845</v>
      </c>
      <c r="T1412" s="23" t="s">
        <v>4866</v>
      </c>
      <c r="U1412" s="3">
        <v>35</v>
      </c>
      <c r="W1412" s="45" t="str">
        <f>HYPERLINK("http://ictvonline.org/taxonomy/p/taxonomy-history?taxnode_id=201905501","ICTVonline=201905501")</f>
        <v>ICTVonline=201905501</v>
      </c>
      <c r="AA1412" s="1">
        <v>201900000</v>
      </c>
      <c r="AB1412" s="1">
        <v>35</v>
      </c>
    </row>
    <row r="1413" spans="1:28" x14ac:dyDescent="0.2">
      <c r="A1413" s="1">
        <v>3856</v>
      </c>
      <c r="B1413" s="1" t="s">
        <v>6850</v>
      </c>
      <c r="D1413" s="1" t="s">
        <v>6851</v>
      </c>
      <c r="F1413" s="1" t="s">
        <v>6914</v>
      </c>
      <c r="H1413" s="1" t="s">
        <v>6915</v>
      </c>
      <c r="J1413" s="1" t="s">
        <v>1324</v>
      </c>
      <c r="L1413" s="1" t="s">
        <v>895</v>
      </c>
      <c r="M1413" s="1" t="s">
        <v>4988</v>
      </c>
      <c r="N1413" s="1" t="s">
        <v>4992</v>
      </c>
      <c r="P1413" s="1" t="s">
        <v>6317</v>
      </c>
      <c r="Q1413" s="3">
        <v>1</v>
      </c>
      <c r="R1413" s="23" t="s">
        <v>6854</v>
      </c>
      <c r="S1413" s="23" t="s">
        <v>6845</v>
      </c>
      <c r="T1413" s="23" t="s">
        <v>4866</v>
      </c>
      <c r="U1413" s="3">
        <v>35</v>
      </c>
      <c r="W1413" s="45" t="str">
        <f>HYPERLINK("http://ictvonline.org/taxonomy/p/taxonomy-history?taxnode_id=201905503","ICTVonline=201905503")</f>
        <v>ICTVonline=201905503</v>
      </c>
      <c r="Y1413" s="1" t="s">
        <v>9432</v>
      </c>
      <c r="Z1413" s="1" t="s">
        <v>9433</v>
      </c>
      <c r="AA1413" s="1">
        <v>201900000</v>
      </c>
      <c r="AB1413" s="1">
        <v>35</v>
      </c>
    </row>
    <row r="1414" spans="1:28" x14ac:dyDescent="0.2">
      <c r="A1414" s="1">
        <v>3858</v>
      </c>
      <c r="B1414" s="1" t="s">
        <v>6850</v>
      </c>
      <c r="D1414" s="1" t="s">
        <v>6851</v>
      </c>
      <c r="F1414" s="1" t="s">
        <v>6914</v>
      </c>
      <c r="H1414" s="1" t="s">
        <v>6915</v>
      </c>
      <c r="J1414" s="1" t="s">
        <v>1324</v>
      </c>
      <c r="L1414" s="1" t="s">
        <v>895</v>
      </c>
      <c r="M1414" s="1" t="s">
        <v>4988</v>
      </c>
      <c r="N1414" s="1" t="s">
        <v>4992</v>
      </c>
      <c r="P1414" s="1" t="s">
        <v>4994</v>
      </c>
      <c r="Q1414" s="3">
        <v>0</v>
      </c>
      <c r="R1414" s="23" t="s">
        <v>6854</v>
      </c>
      <c r="S1414" s="23" t="s">
        <v>6845</v>
      </c>
      <c r="T1414" s="23" t="s">
        <v>4866</v>
      </c>
      <c r="U1414" s="3">
        <v>35</v>
      </c>
      <c r="W1414" s="45" t="str">
        <f>HYPERLINK("http://ictvonline.org/taxonomy/p/taxonomy-history?taxnode_id=201905502","ICTVonline=201905502")</f>
        <v>ICTVonline=201905502</v>
      </c>
      <c r="AA1414" s="1">
        <v>201900000</v>
      </c>
      <c r="AB1414" s="1">
        <v>35</v>
      </c>
    </row>
    <row r="1415" spans="1:28" x14ac:dyDescent="0.2">
      <c r="A1415" s="1">
        <v>3864</v>
      </c>
      <c r="B1415" s="1" t="s">
        <v>6850</v>
      </c>
      <c r="D1415" s="1" t="s">
        <v>6851</v>
      </c>
      <c r="F1415" s="1" t="s">
        <v>6914</v>
      </c>
      <c r="H1415" s="1" t="s">
        <v>6915</v>
      </c>
      <c r="J1415" s="1" t="s">
        <v>1324</v>
      </c>
      <c r="L1415" s="1" t="s">
        <v>895</v>
      </c>
      <c r="M1415" s="1" t="s">
        <v>4068</v>
      </c>
      <c r="N1415" s="1" t="s">
        <v>3081</v>
      </c>
      <c r="P1415" s="1" t="s">
        <v>3082</v>
      </c>
      <c r="Q1415" s="3">
        <v>1</v>
      </c>
      <c r="R1415" s="23" t="s">
        <v>6854</v>
      </c>
      <c r="S1415" s="23" t="s">
        <v>6845</v>
      </c>
      <c r="T1415" s="23" t="s">
        <v>4866</v>
      </c>
      <c r="U1415" s="3">
        <v>35</v>
      </c>
      <c r="W1415" s="45" t="str">
        <f>HYPERLINK("http://ictvonline.org/taxonomy/p/taxonomy-history?taxnode_id=201900794","ICTVonline=201900794")</f>
        <v>ICTVonline=201900794</v>
      </c>
      <c r="Y1415" s="1" t="s">
        <v>9434</v>
      </c>
      <c r="AA1415" s="1">
        <v>201900000</v>
      </c>
      <c r="AB1415" s="1">
        <v>35</v>
      </c>
    </row>
    <row r="1416" spans="1:28" x14ac:dyDescent="0.2">
      <c r="A1416" s="1">
        <v>3868</v>
      </c>
      <c r="B1416" s="1" t="s">
        <v>6850</v>
      </c>
      <c r="D1416" s="1" t="s">
        <v>6851</v>
      </c>
      <c r="F1416" s="1" t="s">
        <v>6914</v>
      </c>
      <c r="H1416" s="1" t="s">
        <v>6915</v>
      </c>
      <c r="J1416" s="1" t="s">
        <v>1324</v>
      </c>
      <c r="L1416" s="1" t="s">
        <v>895</v>
      </c>
      <c r="M1416" s="1" t="s">
        <v>4068</v>
      </c>
      <c r="N1416" s="1" t="s">
        <v>4069</v>
      </c>
      <c r="P1416" s="1" t="s">
        <v>4282</v>
      </c>
      <c r="Q1416" s="3">
        <v>0</v>
      </c>
      <c r="R1416" s="23" t="s">
        <v>6854</v>
      </c>
      <c r="S1416" s="23" t="s">
        <v>6845</v>
      </c>
      <c r="T1416" s="23" t="s">
        <v>4866</v>
      </c>
      <c r="U1416" s="3">
        <v>35</v>
      </c>
      <c r="W1416" s="45" t="str">
        <f>HYPERLINK("http://ictvonline.org/taxonomy/p/taxonomy-history?taxnode_id=201900796","ICTVonline=201900796")</f>
        <v>ICTVonline=201900796</v>
      </c>
      <c r="Y1416" s="1" t="s">
        <v>9435</v>
      </c>
      <c r="Z1416" s="1" t="s">
        <v>9436</v>
      </c>
      <c r="AA1416" s="1">
        <v>201900000</v>
      </c>
      <c r="AB1416" s="1">
        <v>35</v>
      </c>
    </row>
    <row r="1417" spans="1:28" x14ac:dyDescent="0.2">
      <c r="A1417" s="1">
        <v>3870</v>
      </c>
      <c r="B1417" s="1" t="s">
        <v>6850</v>
      </c>
      <c r="D1417" s="1" t="s">
        <v>6851</v>
      </c>
      <c r="F1417" s="1" t="s">
        <v>6914</v>
      </c>
      <c r="H1417" s="1" t="s">
        <v>6915</v>
      </c>
      <c r="J1417" s="1" t="s">
        <v>1324</v>
      </c>
      <c r="L1417" s="1" t="s">
        <v>895</v>
      </c>
      <c r="M1417" s="1" t="s">
        <v>4068</v>
      </c>
      <c r="N1417" s="1" t="s">
        <v>4069</v>
      </c>
      <c r="P1417" s="1" t="s">
        <v>4283</v>
      </c>
      <c r="Q1417" s="3">
        <v>0</v>
      </c>
      <c r="R1417" s="23" t="s">
        <v>6854</v>
      </c>
      <c r="S1417" s="23" t="s">
        <v>6845</v>
      </c>
      <c r="T1417" s="23" t="s">
        <v>4866</v>
      </c>
      <c r="U1417" s="3">
        <v>35</v>
      </c>
      <c r="W1417" s="45" t="str">
        <f>HYPERLINK("http://ictvonline.org/taxonomy/p/taxonomy-history?taxnode_id=201900797","ICTVonline=201900797")</f>
        <v>ICTVonline=201900797</v>
      </c>
      <c r="Y1417" s="1" t="s">
        <v>9437</v>
      </c>
      <c r="Z1417" s="1" t="s">
        <v>9438</v>
      </c>
      <c r="AA1417" s="1">
        <v>201900000</v>
      </c>
      <c r="AB1417" s="1">
        <v>35</v>
      </c>
    </row>
    <row r="1418" spans="1:28" x14ac:dyDescent="0.2">
      <c r="A1418" s="1">
        <v>3872</v>
      </c>
      <c r="B1418" s="1" t="s">
        <v>6850</v>
      </c>
      <c r="D1418" s="1" t="s">
        <v>6851</v>
      </c>
      <c r="F1418" s="1" t="s">
        <v>6914</v>
      </c>
      <c r="H1418" s="1" t="s">
        <v>6915</v>
      </c>
      <c r="J1418" s="1" t="s">
        <v>1324</v>
      </c>
      <c r="L1418" s="1" t="s">
        <v>895</v>
      </c>
      <c r="M1418" s="1" t="s">
        <v>4068</v>
      </c>
      <c r="N1418" s="1" t="s">
        <v>4069</v>
      </c>
      <c r="P1418" s="1" t="s">
        <v>4284</v>
      </c>
      <c r="Q1418" s="3">
        <v>1</v>
      </c>
      <c r="R1418" s="23" t="s">
        <v>6854</v>
      </c>
      <c r="S1418" s="23" t="s">
        <v>6845</v>
      </c>
      <c r="T1418" s="23" t="s">
        <v>4866</v>
      </c>
      <c r="U1418" s="3">
        <v>35</v>
      </c>
      <c r="W1418" s="45" t="str">
        <f>HYPERLINK("http://ictvonline.org/taxonomy/p/taxonomy-history?taxnode_id=201900798","ICTVonline=201900798")</f>
        <v>ICTVonline=201900798</v>
      </c>
      <c r="Y1418" s="1" t="s">
        <v>9439</v>
      </c>
      <c r="Z1418" s="1" t="s">
        <v>9440</v>
      </c>
      <c r="AA1418" s="1">
        <v>201900000</v>
      </c>
      <c r="AB1418" s="1">
        <v>35</v>
      </c>
    </row>
    <row r="1419" spans="1:28" x14ac:dyDescent="0.2">
      <c r="A1419" s="1">
        <v>3874</v>
      </c>
      <c r="B1419" s="1" t="s">
        <v>6850</v>
      </c>
      <c r="D1419" s="1" t="s">
        <v>6851</v>
      </c>
      <c r="F1419" s="1" t="s">
        <v>6914</v>
      </c>
      <c r="H1419" s="1" t="s">
        <v>6915</v>
      </c>
      <c r="J1419" s="1" t="s">
        <v>1324</v>
      </c>
      <c r="L1419" s="1" t="s">
        <v>895</v>
      </c>
      <c r="M1419" s="1" t="s">
        <v>4068</v>
      </c>
      <c r="N1419" s="1" t="s">
        <v>4069</v>
      </c>
      <c r="P1419" s="1" t="s">
        <v>3083</v>
      </c>
      <c r="Q1419" s="3">
        <v>0</v>
      </c>
      <c r="R1419" s="23" t="s">
        <v>6854</v>
      </c>
      <c r="S1419" s="23" t="s">
        <v>6845</v>
      </c>
      <c r="T1419" s="23" t="s">
        <v>4866</v>
      </c>
      <c r="U1419" s="3">
        <v>35</v>
      </c>
      <c r="W1419" s="45" t="str">
        <f>HYPERLINK("http://ictvonline.org/taxonomy/p/taxonomy-history?taxnode_id=201900799","ICTVonline=201900799")</f>
        <v>ICTVonline=201900799</v>
      </c>
      <c r="Y1419" s="1" t="s">
        <v>9441</v>
      </c>
      <c r="AA1419" s="1">
        <v>201900000</v>
      </c>
      <c r="AB1419" s="1">
        <v>35</v>
      </c>
    </row>
    <row r="1420" spans="1:28" x14ac:dyDescent="0.2">
      <c r="A1420" s="1">
        <v>3876</v>
      </c>
      <c r="B1420" s="1" t="s">
        <v>6850</v>
      </c>
      <c r="D1420" s="1" t="s">
        <v>6851</v>
      </c>
      <c r="F1420" s="1" t="s">
        <v>6914</v>
      </c>
      <c r="H1420" s="1" t="s">
        <v>6915</v>
      </c>
      <c r="J1420" s="1" t="s">
        <v>1324</v>
      </c>
      <c r="L1420" s="1" t="s">
        <v>895</v>
      </c>
      <c r="M1420" s="1" t="s">
        <v>4068</v>
      </c>
      <c r="N1420" s="1" t="s">
        <v>4069</v>
      </c>
      <c r="P1420" s="1" t="s">
        <v>4285</v>
      </c>
      <c r="Q1420" s="3">
        <v>0</v>
      </c>
      <c r="R1420" s="23" t="s">
        <v>6854</v>
      </c>
      <c r="S1420" s="23" t="s">
        <v>6845</v>
      </c>
      <c r="T1420" s="23" t="s">
        <v>4866</v>
      </c>
      <c r="U1420" s="3">
        <v>35</v>
      </c>
      <c r="W1420" s="45" t="str">
        <f>HYPERLINK("http://ictvonline.org/taxonomy/p/taxonomy-history?taxnode_id=201900800","ICTVonline=201900800")</f>
        <v>ICTVonline=201900800</v>
      </c>
      <c r="Y1420" s="1" t="s">
        <v>9442</v>
      </c>
      <c r="Z1420" s="1" t="s">
        <v>9443</v>
      </c>
      <c r="AA1420" s="1">
        <v>201900000</v>
      </c>
      <c r="AB1420" s="1">
        <v>35</v>
      </c>
    </row>
    <row r="1421" spans="1:28" x14ac:dyDescent="0.2">
      <c r="A1421" s="1">
        <v>3880</v>
      </c>
      <c r="B1421" s="1" t="s">
        <v>6850</v>
      </c>
      <c r="D1421" s="1" t="s">
        <v>6851</v>
      </c>
      <c r="F1421" s="1" t="s">
        <v>6914</v>
      </c>
      <c r="H1421" s="1" t="s">
        <v>6915</v>
      </c>
      <c r="J1421" s="1" t="s">
        <v>1324</v>
      </c>
      <c r="L1421" s="1" t="s">
        <v>895</v>
      </c>
      <c r="M1421" s="1" t="s">
        <v>4068</v>
      </c>
      <c r="N1421" s="1" t="s">
        <v>4286</v>
      </c>
      <c r="P1421" s="1" t="s">
        <v>4287</v>
      </c>
      <c r="Q1421" s="3">
        <v>1</v>
      </c>
      <c r="R1421" s="23" t="s">
        <v>6854</v>
      </c>
      <c r="S1421" s="23" t="s">
        <v>6845</v>
      </c>
      <c r="T1421" s="23" t="s">
        <v>4866</v>
      </c>
      <c r="U1421" s="3">
        <v>35</v>
      </c>
      <c r="W1421" s="45" t="str">
        <f>HYPERLINK("http://ictvonline.org/taxonomy/p/taxonomy-history?taxnode_id=201900802","ICTVonline=201900802")</f>
        <v>ICTVonline=201900802</v>
      </c>
      <c r="Y1421" s="1" t="s">
        <v>9444</v>
      </c>
      <c r="Z1421" s="1" t="s">
        <v>9445</v>
      </c>
      <c r="AA1421" s="1">
        <v>201900000</v>
      </c>
      <c r="AB1421" s="1">
        <v>35</v>
      </c>
    </row>
    <row r="1422" spans="1:28" x14ac:dyDescent="0.2">
      <c r="A1422" s="1">
        <v>3886</v>
      </c>
      <c r="B1422" s="1" t="s">
        <v>6850</v>
      </c>
      <c r="D1422" s="1" t="s">
        <v>6851</v>
      </c>
      <c r="F1422" s="1" t="s">
        <v>6914</v>
      </c>
      <c r="H1422" s="1" t="s">
        <v>6915</v>
      </c>
      <c r="J1422" s="1" t="s">
        <v>1324</v>
      </c>
      <c r="L1422" s="1" t="s">
        <v>895</v>
      </c>
      <c r="M1422" s="1" t="s">
        <v>9446</v>
      </c>
      <c r="N1422" s="1" t="s">
        <v>9447</v>
      </c>
      <c r="P1422" s="1" t="s">
        <v>9448</v>
      </c>
      <c r="Q1422" s="3">
        <v>1</v>
      </c>
      <c r="R1422" s="23" t="s">
        <v>6854</v>
      </c>
      <c r="S1422" s="23" t="s">
        <v>6849</v>
      </c>
      <c r="T1422" s="23" t="s">
        <v>4864</v>
      </c>
      <c r="U1422" s="3">
        <v>35</v>
      </c>
      <c r="V1422" s="3" t="s">
        <v>9449</v>
      </c>
      <c r="W1422" s="45" t="str">
        <f>HYPERLINK("http://ictvonline.org/taxonomy/p/taxonomy-history?taxnode_id=201907824","ICTVonline=201907824")</f>
        <v>ICTVonline=201907824</v>
      </c>
      <c r="Y1422" s="1" t="s">
        <v>9450</v>
      </c>
      <c r="AA1422" s="1">
        <v>201900000</v>
      </c>
      <c r="AB1422" s="1">
        <v>35</v>
      </c>
    </row>
    <row r="1423" spans="1:28" x14ac:dyDescent="0.2">
      <c r="A1423" s="1">
        <v>3890</v>
      </c>
      <c r="B1423" s="1" t="s">
        <v>6850</v>
      </c>
      <c r="D1423" s="1" t="s">
        <v>6851</v>
      </c>
      <c r="F1423" s="1" t="s">
        <v>6914</v>
      </c>
      <c r="H1423" s="1" t="s">
        <v>6915</v>
      </c>
      <c r="J1423" s="1" t="s">
        <v>1324</v>
      </c>
      <c r="L1423" s="1" t="s">
        <v>895</v>
      </c>
      <c r="M1423" s="1" t="s">
        <v>9446</v>
      </c>
      <c r="N1423" s="1" t="s">
        <v>9451</v>
      </c>
      <c r="P1423" s="1" t="s">
        <v>9452</v>
      </c>
      <c r="Q1423" s="3">
        <v>1</v>
      </c>
      <c r="R1423" s="23" t="s">
        <v>6854</v>
      </c>
      <c r="S1423" s="23" t="s">
        <v>6849</v>
      </c>
      <c r="T1423" s="23" t="s">
        <v>4864</v>
      </c>
      <c r="U1423" s="3">
        <v>35</v>
      </c>
      <c r="V1423" s="3" t="s">
        <v>9449</v>
      </c>
      <c r="W1423" s="45" t="str">
        <f>HYPERLINK("http://ictvonline.org/taxonomy/p/taxonomy-history?taxnode_id=201907829","ICTVonline=201907829")</f>
        <v>ICTVonline=201907829</v>
      </c>
      <c r="Y1423" s="1" t="s">
        <v>9453</v>
      </c>
      <c r="AA1423" s="1">
        <v>201900000</v>
      </c>
      <c r="AB1423" s="1">
        <v>35</v>
      </c>
    </row>
    <row r="1424" spans="1:28" x14ac:dyDescent="0.2">
      <c r="A1424" s="1">
        <v>3892</v>
      </c>
      <c r="B1424" s="1" t="s">
        <v>6850</v>
      </c>
      <c r="D1424" s="1" t="s">
        <v>6851</v>
      </c>
      <c r="F1424" s="1" t="s">
        <v>6914</v>
      </c>
      <c r="H1424" s="1" t="s">
        <v>6915</v>
      </c>
      <c r="J1424" s="1" t="s">
        <v>1324</v>
      </c>
      <c r="L1424" s="1" t="s">
        <v>895</v>
      </c>
      <c r="M1424" s="1" t="s">
        <v>9446</v>
      </c>
      <c r="N1424" s="1" t="s">
        <v>9451</v>
      </c>
      <c r="P1424" s="1" t="s">
        <v>9454</v>
      </c>
      <c r="Q1424" s="3">
        <v>0</v>
      </c>
      <c r="R1424" s="23" t="s">
        <v>6854</v>
      </c>
      <c r="S1424" s="23" t="s">
        <v>6849</v>
      </c>
      <c r="T1424" s="23" t="s">
        <v>4864</v>
      </c>
      <c r="U1424" s="3">
        <v>35</v>
      </c>
      <c r="V1424" s="3" t="s">
        <v>9449</v>
      </c>
      <c r="W1424" s="45" t="str">
        <f>HYPERLINK("http://ictvonline.org/taxonomy/p/taxonomy-history?taxnode_id=201907830","ICTVonline=201907830")</f>
        <v>ICTVonline=201907830</v>
      </c>
      <c r="Y1424" s="1" t="s">
        <v>9455</v>
      </c>
      <c r="AA1424" s="1">
        <v>201900000</v>
      </c>
      <c r="AB1424" s="1">
        <v>35</v>
      </c>
    </row>
    <row r="1425" spans="1:28" x14ac:dyDescent="0.2">
      <c r="A1425" s="1">
        <v>3894</v>
      </c>
      <c r="B1425" s="1" t="s">
        <v>6850</v>
      </c>
      <c r="D1425" s="1" t="s">
        <v>6851</v>
      </c>
      <c r="F1425" s="1" t="s">
        <v>6914</v>
      </c>
      <c r="H1425" s="1" t="s">
        <v>6915</v>
      </c>
      <c r="J1425" s="1" t="s">
        <v>1324</v>
      </c>
      <c r="L1425" s="1" t="s">
        <v>895</v>
      </c>
      <c r="M1425" s="1" t="s">
        <v>9446</v>
      </c>
      <c r="N1425" s="1" t="s">
        <v>9451</v>
      </c>
      <c r="P1425" s="1" t="s">
        <v>9456</v>
      </c>
      <c r="Q1425" s="3">
        <v>0</v>
      </c>
      <c r="R1425" s="23" t="s">
        <v>6854</v>
      </c>
      <c r="S1425" s="23" t="s">
        <v>6849</v>
      </c>
      <c r="T1425" s="23" t="s">
        <v>4864</v>
      </c>
      <c r="U1425" s="3">
        <v>35</v>
      </c>
      <c r="V1425" s="3" t="s">
        <v>9449</v>
      </c>
      <c r="W1425" s="45" t="str">
        <f>HYPERLINK("http://ictvonline.org/taxonomy/p/taxonomy-history?taxnode_id=201907831","ICTVonline=201907831")</f>
        <v>ICTVonline=201907831</v>
      </c>
      <c r="Y1425" s="1" t="s">
        <v>9457</v>
      </c>
      <c r="AA1425" s="1">
        <v>201900000</v>
      </c>
      <c r="AB1425" s="1">
        <v>35</v>
      </c>
    </row>
    <row r="1426" spans="1:28" x14ac:dyDescent="0.2">
      <c r="A1426" s="1">
        <v>3898</v>
      </c>
      <c r="B1426" s="1" t="s">
        <v>6850</v>
      </c>
      <c r="D1426" s="1" t="s">
        <v>6851</v>
      </c>
      <c r="F1426" s="1" t="s">
        <v>6914</v>
      </c>
      <c r="H1426" s="1" t="s">
        <v>6915</v>
      </c>
      <c r="J1426" s="1" t="s">
        <v>1324</v>
      </c>
      <c r="L1426" s="1" t="s">
        <v>895</v>
      </c>
      <c r="M1426" s="1" t="s">
        <v>9446</v>
      </c>
      <c r="N1426" s="1" t="s">
        <v>9458</v>
      </c>
      <c r="P1426" s="1" t="s">
        <v>9459</v>
      </c>
      <c r="Q1426" s="3">
        <v>1</v>
      </c>
      <c r="R1426" s="23" t="s">
        <v>6854</v>
      </c>
      <c r="S1426" s="23" t="s">
        <v>6849</v>
      </c>
      <c r="T1426" s="23" t="s">
        <v>4864</v>
      </c>
      <c r="U1426" s="3">
        <v>35</v>
      </c>
      <c r="V1426" s="3" t="s">
        <v>9449</v>
      </c>
      <c r="W1426" s="45" t="str">
        <f>HYPERLINK("http://ictvonline.org/taxonomy/p/taxonomy-history?taxnode_id=201907826","ICTVonline=201907826")</f>
        <v>ICTVonline=201907826</v>
      </c>
      <c r="Y1426" s="1" t="s">
        <v>9460</v>
      </c>
      <c r="AA1426" s="1">
        <v>201900000</v>
      </c>
      <c r="AB1426" s="1">
        <v>35</v>
      </c>
    </row>
    <row r="1427" spans="1:28" x14ac:dyDescent="0.2">
      <c r="A1427" s="1">
        <v>3900</v>
      </c>
      <c r="B1427" s="1" t="s">
        <v>6850</v>
      </c>
      <c r="D1427" s="1" t="s">
        <v>6851</v>
      </c>
      <c r="F1427" s="1" t="s">
        <v>6914</v>
      </c>
      <c r="H1427" s="1" t="s">
        <v>6915</v>
      </c>
      <c r="J1427" s="1" t="s">
        <v>1324</v>
      </c>
      <c r="L1427" s="1" t="s">
        <v>895</v>
      </c>
      <c r="M1427" s="1" t="s">
        <v>9446</v>
      </c>
      <c r="N1427" s="1" t="s">
        <v>9458</v>
      </c>
      <c r="P1427" s="1" t="s">
        <v>9461</v>
      </c>
      <c r="Q1427" s="3">
        <v>0</v>
      </c>
      <c r="R1427" s="23" t="s">
        <v>6854</v>
      </c>
      <c r="S1427" s="23" t="s">
        <v>6849</v>
      </c>
      <c r="T1427" s="23" t="s">
        <v>4864</v>
      </c>
      <c r="U1427" s="3">
        <v>35</v>
      </c>
      <c r="V1427" s="3" t="s">
        <v>9449</v>
      </c>
      <c r="W1427" s="45" t="str">
        <f>HYPERLINK("http://ictvonline.org/taxonomy/p/taxonomy-history?taxnode_id=201907827","ICTVonline=201907827")</f>
        <v>ICTVonline=201907827</v>
      </c>
      <c r="Y1427" s="1" t="s">
        <v>9462</v>
      </c>
      <c r="AA1427" s="1">
        <v>201900000</v>
      </c>
      <c r="AB1427" s="1">
        <v>35</v>
      </c>
    </row>
    <row r="1428" spans="1:28" x14ac:dyDescent="0.2">
      <c r="A1428" s="1">
        <v>3904</v>
      </c>
      <c r="B1428" s="1" t="s">
        <v>6850</v>
      </c>
      <c r="D1428" s="1" t="s">
        <v>6851</v>
      </c>
      <c r="F1428" s="1" t="s">
        <v>6914</v>
      </c>
      <c r="H1428" s="1" t="s">
        <v>6915</v>
      </c>
      <c r="J1428" s="1" t="s">
        <v>1324</v>
      </c>
      <c r="L1428" s="1" t="s">
        <v>895</v>
      </c>
      <c r="M1428" s="1" t="s">
        <v>9446</v>
      </c>
      <c r="N1428" s="1" t="s">
        <v>9463</v>
      </c>
      <c r="P1428" s="1" t="s">
        <v>9464</v>
      </c>
      <c r="Q1428" s="3">
        <v>1</v>
      </c>
      <c r="R1428" s="23" t="s">
        <v>6854</v>
      </c>
      <c r="S1428" s="23" t="s">
        <v>6849</v>
      </c>
      <c r="T1428" s="23" t="s">
        <v>4864</v>
      </c>
      <c r="U1428" s="3">
        <v>35</v>
      </c>
      <c r="V1428" s="3" t="s">
        <v>9449</v>
      </c>
      <c r="W1428" s="45" t="str">
        <f>HYPERLINK("http://ictvonline.org/taxonomy/p/taxonomy-history?taxnode_id=201907833","ICTVonline=201907833")</f>
        <v>ICTVonline=201907833</v>
      </c>
      <c r="Y1428" s="1" t="s">
        <v>9465</v>
      </c>
      <c r="AA1428" s="1">
        <v>201900000</v>
      </c>
      <c r="AB1428" s="1">
        <v>35</v>
      </c>
    </row>
    <row r="1429" spans="1:28" x14ac:dyDescent="0.2">
      <c r="A1429" s="1">
        <v>3906</v>
      </c>
      <c r="B1429" s="1" t="s">
        <v>6850</v>
      </c>
      <c r="D1429" s="1" t="s">
        <v>6851</v>
      </c>
      <c r="F1429" s="1" t="s">
        <v>6914</v>
      </c>
      <c r="H1429" s="1" t="s">
        <v>6915</v>
      </c>
      <c r="J1429" s="1" t="s">
        <v>1324</v>
      </c>
      <c r="L1429" s="1" t="s">
        <v>895</v>
      </c>
      <c r="M1429" s="1" t="s">
        <v>9446</v>
      </c>
      <c r="N1429" s="1" t="s">
        <v>9463</v>
      </c>
      <c r="P1429" s="1" t="s">
        <v>9466</v>
      </c>
      <c r="Q1429" s="3">
        <v>0</v>
      </c>
      <c r="R1429" s="23" t="s">
        <v>6854</v>
      </c>
      <c r="S1429" s="23" t="s">
        <v>6849</v>
      </c>
      <c r="T1429" s="23" t="s">
        <v>4864</v>
      </c>
      <c r="U1429" s="3">
        <v>35</v>
      </c>
      <c r="V1429" s="3" t="s">
        <v>9449</v>
      </c>
      <c r="W1429" s="45" t="str">
        <f>HYPERLINK("http://ictvonline.org/taxonomy/p/taxonomy-history?taxnode_id=201907835","ICTVonline=201907835")</f>
        <v>ICTVonline=201907835</v>
      </c>
      <c r="Y1429" s="1" t="s">
        <v>9467</v>
      </c>
      <c r="AA1429" s="1">
        <v>201900000</v>
      </c>
      <c r="AB1429" s="1">
        <v>35</v>
      </c>
    </row>
    <row r="1430" spans="1:28" x14ac:dyDescent="0.2">
      <c r="A1430" s="1">
        <v>3908</v>
      </c>
      <c r="B1430" s="1" t="s">
        <v>6850</v>
      </c>
      <c r="D1430" s="1" t="s">
        <v>6851</v>
      </c>
      <c r="F1430" s="1" t="s">
        <v>6914</v>
      </c>
      <c r="H1430" s="1" t="s">
        <v>6915</v>
      </c>
      <c r="J1430" s="1" t="s">
        <v>1324</v>
      </c>
      <c r="L1430" s="1" t="s">
        <v>895</v>
      </c>
      <c r="M1430" s="1" t="s">
        <v>9446</v>
      </c>
      <c r="N1430" s="1" t="s">
        <v>9463</v>
      </c>
      <c r="P1430" s="1" t="s">
        <v>9468</v>
      </c>
      <c r="Q1430" s="3">
        <v>0</v>
      </c>
      <c r="R1430" s="23" t="s">
        <v>6854</v>
      </c>
      <c r="S1430" s="23" t="s">
        <v>6849</v>
      </c>
      <c r="T1430" s="23" t="s">
        <v>4864</v>
      </c>
      <c r="U1430" s="3">
        <v>35</v>
      </c>
      <c r="V1430" s="3" t="s">
        <v>9449</v>
      </c>
      <c r="W1430" s="45" t="str">
        <f>HYPERLINK("http://ictvonline.org/taxonomy/p/taxonomy-history?taxnode_id=201907834","ICTVonline=201907834")</f>
        <v>ICTVonline=201907834</v>
      </c>
      <c r="Y1430" s="1" t="s">
        <v>9469</v>
      </c>
      <c r="AA1430" s="1">
        <v>201900000</v>
      </c>
      <c r="AB1430" s="1">
        <v>35</v>
      </c>
    </row>
    <row r="1431" spans="1:28" x14ac:dyDescent="0.2">
      <c r="A1431" s="1">
        <v>3913</v>
      </c>
      <c r="B1431" s="1" t="s">
        <v>6850</v>
      </c>
      <c r="D1431" s="1" t="s">
        <v>6851</v>
      </c>
      <c r="F1431" s="1" t="s">
        <v>6914</v>
      </c>
      <c r="H1431" s="1" t="s">
        <v>6915</v>
      </c>
      <c r="J1431" s="1" t="s">
        <v>1324</v>
      </c>
      <c r="L1431" s="1" t="s">
        <v>895</v>
      </c>
      <c r="N1431" s="1" t="s">
        <v>9470</v>
      </c>
      <c r="P1431" s="1" t="s">
        <v>9471</v>
      </c>
      <c r="Q1431" s="3">
        <v>1</v>
      </c>
      <c r="R1431" s="23" t="s">
        <v>6854</v>
      </c>
      <c r="S1431" s="23" t="s">
        <v>6849</v>
      </c>
      <c r="T1431" s="23" t="s">
        <v>4864</v>
      </c>
      <c r="U1431" s="3">
        <v>35</v>
      </c>
      <c r="V1431" s="3" t="s">
        <v>9472</v>
      </c>
      <c r="W1431" s="45" t="str">
        <f>HYPERLINK("http://ictvonline.org/taxonomy/p/taxonomy-history?taxnode_id=201907712","ICTVonline=201907712")</f>
        <v>ICTVonline=201907712</v>
      </c>
      <c r="Y1431" s="1" t="s">
        <v>9473</v>
      </c>
      <c r="AA1431" s="1">
        <v>201900000</v>
      </c>
      <c r="AB1431" s="1">
        <v>35</v>
      </c>
    </row>
    <row r="1432" spans="1:28" x14ac:dyDescent="0.2">
      <c r="A1432" s="1">
        <v>3917</v>
      </c>
      <c r="B1432" s="1" t="s">
        <v>6850</v>
      </c>
      <c r="D1432" s="1" t="s">
        <v>6851</v>
      </c>
      <c r="F1432" s="1" t="s">
        <v>6914</v>
      </c>
      <c r="H1432" s="1" t="s">
        <v>6915</v>
      </c>
      <c r="J1432" s="1" t="s">
        <v>1324</v>
      </c>
      <c r="L1432" s="1" t="s">
        <v>895</v>
      </c>
      <c r="N1432" s="1" t="s">
        <v>6329</v>
      </c>
      <c r="P1432" s="1" t="s">
        <v>4294</v>
      </c>
      <c r="Q1432" s="3">
        <v>1</v>
      </c>
      <c r="R1432" s="23" t="s">
        <v>6854</v>
      </c>
      <c r="S1432" s="23" t="s">
        <v>6845</v>
      </c>
      <c r="T1432" s="23" t="s">
        <v>4866</v>
      </c>
      <c r="U1432" s="3">
        <v>35</v>
      </c>
      <c r="W1432" s="45" t="str">
        <f>HYPERLINK("http://ictvonline.org/taxonomy/p/taxonomy-history?taxnode_id=201900839","ICTVonline=201900839")</f>
        <v>ICTVonline=201900839</v>
      </c>
      <c r="Y1432" s="1" t="s">
        <v>9474</v>
      </c>
      <c r="Z1432" s="1" t="s">
        <v>9475</v>
      </c>
      <c r="AA1432" s="1">
        <v>201900000</v>
      </c>
      <c r="AB1432" s="1">
        <v>35</v>
      </c>
    </row>
    <row r="1433" spans="1:28" x14ac:dyDescent="0.2">
      <c r="A1433" s="1">
        <v>3919</v>
      </c>
      <c r="B1433" s="1" t="s">
        <v>6850</v>
      </c>
      <c r="D1433" s="1" t="s">
        <v>6851</v>
      </c>
      <c r="F1433" s="1" t="s">
        <v>6914</v>
      </c>
      <c r="H1433" s="1" t="s">
        <v>6915</v>
      </c>
      <c r="J1433" s="1" t="s">
        <v>1324</v>
      </c>
      <c r="L1433" s="1" t="s">
        <v>895</v>
      </c>
      <c r="N1433" s="1" t="s">
        <v>6329</v>
      </c>
      <c r="P1433" s="1" t="s">
        <v>4295</v>
      </c>
      <c r="Q1433" s="3">
        <v>0</v>
      </c>
      <c r="R1433" s="23" t="s">
        <v>6854</v>
      </c>
      <c r="S1433" s="23" t="s">
        <v>6845</v>
      </c>
      <c r="T1433" s="23" t="s">
        <v>4866</v>
      </c>
      <c r="U1433" s="3">
        <v>35</v>
      </c>
      <c r="W1433" s="45" t="str">
        <f>HYPERLINK("http://ictvonline.org/taxonomy/p/taxonomy-history?taxnode_id=201900840","ICTVonline=201900840")</f>
        <v>ICTVonline=201900840</v>
      </c>
      <c r="Y1433" s="1" t="s">
        <v>9476</v>
      </c>
      <c r="Z1433" s="1" t="s">
        <v>9477</v>
      </c>
      <c r="AA1433" s="1">
        <v>201900000</v>
      </c>
      <c r="AB1433" s="1">
        <v>35</v>
      </c>
    </row>
    <row r="1434" spans="1:28" x14ac:dyDescent="0.2">
      <c r="A1434" s="1">
        <v>3921</v>
      </c>
      <c r="B1434" s="1" t="s">
        <v>6850</v>
      </c>
      <c r="D1434" s="1" t="s">
        <v>6851</v>
      </c>
      <c r="F1434" s="1" t="s">
        <v>6914</v>
      </c>
      <c r="H1434" s="1" t="s">
        <v>6915</v>
      </c>
      <c r="J1434" s="1" t="s">
        <v>1324</v>
      </c>
      <c r="L1434" s="1" t="s">
        <v>895</v>
      </c>
      <c r="N1434" s="1" t="s">
        <v>6329</v>
      </c>
      <c r="P1434" s="1" t="s">
        <v>4296</v>
      </c>
      <c r="Q1434" s="3">
        <v>0</v>
      </c>
      <c r="R1434" s="23" t="s">
        <v>6854</v>
      </c>
      <c r="S1434" s="23" t="s">
        <v>6845</v>
      </c>
      <c r="T1434" s="23" t="s">
        <v>4866</v>
      </c>
      <c r="U1434" s="3">
        <v>35</v>
      </c>
      <c r="W1434" s="45" t="str">
        <f>HYPERLINK("http://ictvonline.org/taxonomy/p/taxonomy-history?taxnode_id=201900841","ICTVonline=201900841")</f>
        <v>ICTVonline=201900841</v>
      </c>
      <c r="Y1434" s="1" t="s">
        <v>9478</v>
      </c>
      <c r="Z1434" s="1" t="s">
        <v>9479</v>
      </c>
      <c r="AA1434" s="1">
        <v>201900000</v>
      </c>
      <c r="AB1434" s="1">
        <v>35</v>
      </c>
    </row>
    <row r="1435" spans="1:28" x14ac:dyDescent="0.2">
      <c r="A1435" s="1">
        <v>3925</v>
      </c>
      <c r="B1435" s="1" t="s">
        <v>6850</v>
      </c>
      <c r="D1435" s="1" t="s">
        <v>6851</v>
      </c>
      <c r="F1435" s="1" t="s">
        <v>6914</v>
      </c>
      <c r="H1435" s="1" t="s">
        <v>6915</v>
      </c>
      <c r="J1435" s="1" t="s">
        <v>1324</v>
      </c>
      <c r="L1435" s="1" t="s">
        <v>895</v>
      </c>
      <c r="N1435" s="1" t="s">
        <v>6330</v>
      </c>
      <c r="P1435" s="1" t="s">
        <v>6331</v>
      </c>
      <c r="Q1435" s="3">
        <v>1</v>
      </c>
      <c r="R1435" s="23" t="s">
        <v>6854</v>
      </c>
      <c r="S1435" s="23" t="s">
        <v>6845</v>
      </c>
      <c r="T1435" s="23" t="s">
        <v>4866</v>
      </c>
      <c r="U1435" s="3">
        <v>35</v>
      </c>
      <c r="W1435" s="45" t="str">
        <f>HYPERLINK("http://ictvonline.org/taxonomy/p/taxonomy-history?taxnode_id=201906759","ICTVonline=201906759")</f>
        <v>ICTVonline=201906759</v>
      </c>
      <c r="Y1435" s="1" t="s">
        <v>9480</v>
      </c>
      <c r="Z1435" s="1" t="s">
        <v>9481</v>
      </c>
      <c r="AA1435" s="1">
        <v>201900000</v>
      </c>
      <c r="AB1435" s="1">
        <v>35</v>
      </c>
    </row>
    <row r="1436" spans="1:28" x14ac:dyDescent="0.2">
      <c r="A1436" s="1">
        <v>3929</v>
      </c>
      <c r="B1436" s="1" t="s">
        <v>6850</v>
      </c>
      <c r="D1436" s="1" t="s">
        <v>6851</v>
      </c>
      <c r="F1436" s="1" t="s">
        <v>6914</v>
      </c>
      <c r="H1436" s="1" t="s">
        <v>6915</v>
      </c>
      <c r="J1436" s="1" t="s">
        <v>1324</v>
      </c>
      <c r="L1436" s="1" t="s">
        <v>895</v>
      </c>
      <c r="N1436" s="1" t="s">
        <v>4297</v>
      </c>
      <c r="P1436" s="1" t="s">
        <v>4298</v>
      </c>
      <c r="Q1436" s="3">
        <v>1</v>
      </c>
      <c r="R1436" s="23" t="s">
        <v>6854</v>
      </c>
      <c r="S1436" s="23" t="s">
        <v>6845</v>
      </c>
      <c r="T1436" s="23" t="s">
        <v>4866</v>
      </c>
      <c r="U1436" s="3">
        <v>35</v>
      </c>
      <c r="W1436" s="45" t="str">
        <f>HYPERLINK("http://ictvonline.org/taxonomy/p/taxonomy-history?taxnode_id=201900843","ICTVonline=201900843")</f>
        <v>ICTVonline=201900843</v>
      </c>
      <c r="Y1436" s="1" t="s">
        <v>9482</v>
      </c>
      <c r="Z1436" s="1" t="s">
        <v>9483</v>
      </c>
      <c r="AA1436" s="1">
        <v>201900000</v>
      </c>
      <c r="AB1436" s="1">
        <v>35</v>
      </c>
    </row>
    <row r="1437" spans="1:28" x14ac:dyDescent="0.2">
      <c r="A1437" s="1">
        <v>3931</v>
      </c>
      <c r="B1437" s="1" t="s">
        <v>6850</v>
      </c>
      <c r="D1437" s="1" t="s">
        <v>6851</v>
      </c>
      <c r="F1437" s="1" t="s">
        <v>6914</v>
      </c>
      <c r="H1437" s="1" t="s">
        <v>6915</v>
      </c>
      <c r="J1437" s="1" t="s">
        <v>1324</v>
      </c>
      <c r="L1437" s="1" t="s">
        <v>895</v>
      </c>
      <c r="N1437" s="1" t="s">
        <v>4297</v>
      </c>
      <c r="P1437" s="1" t="s">
        <v>6332</v>
      </c>
      <c r="Q1437" s="3">
        <v>0</v>
      </c>
      <c r="R1437" s="23" t="s">
        <v>6854</v>
      </c>
      <c r="S1437" s="23" t="s">
        <v>6845</v>
      </c>
      <c r="T1437" s="23" t="s">
        <v>4866</v>
      </c>
      <c r="U1437" s="3">
        <v>35</v>
      </c>
      <c r="W1437" s="45" t="str">
        <f>HYPERLINK("http://ictvonline.org/taxonomy/p/taxonomy-history?taxnode_id=201906757","ICTVonline=201906757")</f>
        <v>ICTVonline=201906757</v>
      </c>
      <c r="Y1437" s="1" t="s">
        <v>9484</v>
      </c>
      <c r="Z1437" s="1" t="s">
        <v>9485</v>
      </c>
      <c r="AA1437" s="1">
        <v>201900000</v>
      </c>
      <c r="AB1437" s="1">
        <v>35</v>
      </c>
    </row>
    <row r="1438" spans="1:28" x14ac:dyDescent="0.2">
      <c r="A1438" s="1">
        <v>3935</v>
      </c>
      <c r="B1438" s="1" t="s">
        <v>6850</v>
      </c>
      <c r="D1438" s="1" t="s">
        <v>6851</v>
      </c>
      <c r="F1438" s="1" t="s">
        <v>6914</v>
      </c>
      <c r="H1438" s="1" t="s">
        <v>6915</v>
      </c>
      <c r="J1438" s="1" t="s">
        <v>1324</v>
      </c>
      <c r="L1438" s="1" t="s">
        <v>895</v>
      </c>
      <c r="N1438" s="1" t="s">
        <v>4995</v>
      </c>
      <c r="P1438" s="1" t="s">
        <v>4996</v>
      </c>
      <c r="Q1438" s="3">
        <v>1</v>
      </c>
      <c r="R1438" s="23" t="s">
        <v>6854</v>
      </c>
      <c r="S1438" s="23" t="s">
        <v>6845</v>
      </c>
      <c r="T1438" s="23" t="s">
        <v>4866</v>
      </c>
      <c r="U1438" s="3">
        <v>35</v>
      </c>
      <c r="W1438" s="45" t="str">
        <f>HYPERLINK("http://ictvonline.org/taxonomy/p/taxonomy-history?taxnode_id=201905538","ICTVonline=201905538")</f>
        <v>ICTVonline=201905538</v>
      </c>
      <c r="AA1438" s="1">
        <v>201900000</v>
      </c>
      <c r="AB1438" s="1">
        <v>35</v>
      </c>
    </row>
    <row r="1439" spans="1:28" x14ac:dyDescent="0.2">
      <c r="A1439" s="1">
        <v>3937</v>
      </c>
      <c r="B1439" s="1" t="s">
        <v>6850</v>
      </c>
      <c r="D1439" s="1" t="s">
        <v>6851</v>
      </c>
      <c r="F1439" s="1" t="s">
        <v>6914</v>
      </c>
      <c r="H1439" s="1" t="s">
        <v>6915</v>
      </c>
      <c r="J1439" s="1" t="s">
        <v>1324</v>
      </c>
      <c r="L1439" s="1" t="s">
        <v>895</v>
      </c>
      <c r="N1439" s="1" t="s">
        <v>4995</v>
      </c>
      <c r="P1439" s="1" t="s">
        <v>4997</v>
      </c>
      <c r="Q1439" s="3">
        <v>0</v>
      </c>
      <c r="R1439" s="23" t="s">
        <v>6854</v>
      </c>
      <c r="S1439" s="23" t="s">
        <v>6845</v>
      </c>
      <c r="T1439" s="23" t="s">
        <v>4866</v>
      </c>
      <c r="U1439" s="3">
        <v>35</v>
      </c>
      <c r="W1439" s="45" t="str">
        <f>HYPERLINK("http://ictvonline.org/taxonomy/p/taxonomy-history?taxnode_id=201905539","ICTVonline=201905539")</f>
        <v>ICTVonline=201905539</v>
      </c>
      <c r="AA1439" s="1">
        <v>201900000</v>
      </c>
      <c r="AB1439" s="1">
        <v>35</v>
      </c>
    </row>
    <row r="1440" spans="1:28" x14ac:dyDescent="0.2">
      <c r="A1440" s="1">
        <v>3941</v>
      </c>
      <c r="B1440" s="1" t="s">
        <v>6850</v>
      </c>
      <c r="D1440" s="1" t="s">
        <v>6851</v>
      </c>
      <c r="F1440" s="1" t="s">
        <v>6914</v>
      </c>
      <c r="H1440" s="1" t="s">
        <v>6915</v>
      </c>
      <c r="J1440" s="1" t="s">
        <v>1324</v>
      </c>
      <c r="L1440" s="1" t="s">
        <v>895</v>
      </c>
      <c r="N1440" s="1" t="s">
        <v>9486</v>
      </c>
      <c r="P1440" s="1" t="s">
        <v>9487</v>
      </c>
      <c r="Q1440" s="3">
        <v>1</v>
      </c>
      <c r="R1440" s="23" t="s">
        <v>6854</v>
      </c>
      <c r="S1440" s="23" t="s">
        <v>6849</v>
      </c>
      <c r="T1440" s="23" t="s">
        <v>4864</v>
      </c>
      <c r="U1440" s="3">
        <v>35</v>
      </c>
      <c r="V1440" s="3" t="s">
        <v>9488</v>
      </c>
      <c r="W1440" s="45" t="str">
        <f>HYPERLINK("http://ictvonline.org/taxonomy/p/taxonomy-history?taxnode_id=201907734","ICTVonline=201907734")</f>
        <v>ICTVonline=201907734</v>
      </c>
      <c r="Y1440" s="1" t="s">
        <v>9489</v>
      </c>
      <c r="AA1440" s="1">
        <v>201900000</v>
      </c>
      <c r="AB1440" s="1">
        <v>35</v>
      </c>
    </row>
    <row r="1441" spans="1:28" x14ac:dyDescent="0.2">
      <c r="A1441" s="1">
        <v>3945</v>
      </c>
      <c r="B1441" s="1" t="s">
        <v>6850</v>
      </c>
      <c r="D1441" s="1" t="s">
        <v>6851</v>
      </c>
      <c r="F1441" s="1" t="s">
        <v>6914</v>
      </c>
      <c r="H1441" s="1" t="s">
        <v>6915</v>
      </c>
      <c r="J1441" s="1" t="s">
        <v>1324</v>
      </c>
      <c r="L1441" s="1" t="s">
        <v>895</v>
      </c>
      <c r="N1441" s="1" t="s">
        <v>3067</v>
      </c>
      <c r="P1441" s="1" t="s">
        <v>3068</v>
      </c>
      <c r="Q1441" s="3">
        <v>1</v>
      </c>
      <c r="R1441" s="23" t="s">
        <v>6854</v>
      </c>
      <c r="S1441" s="23" t="s">
        <v>6845</v>
      </c>
      <c r="T1441" s="23" t="s">
        <v>4866</v>
      </c>
      <c r="U1441" s="3">
        <v>35</v>
      </c>
      <c r="W1441" s="45" t="str">
        <f>HYPERLINK("http://ictvonline.org/taxonomy/p/taxonomy-history?taxnode_id=201900845","ICTVonline=201900845")</f>
        <v>ICTVonline=201900845</v>
      </c>
      <c r="Y1441" s="1" t="s">
        <v>9490</v>
      </c>
      <c r="AA1441" s="1">
        <v>201900000</v>
      </c>
      <c r="AB1441" s="1">
        <v>35</v>
      </c>
    </row>
    <row r="1442" spans="1:28" x14ac:dyDescent="0.2">
      <c r="A1442" s="1">
        <v>3947</v>
      </c>
      <c r="B1442" s="1" t="s">
        <v>6850</v>
      </c>
      <c r="D1442" s="1" t="s">
        <v>6851</v>
      </c>
      <c r="F1442" s="1" t="s">
        <v>6914</v>
      </c>
      <c r="H1442" s="1" t="s">
        <v>6915</v>
      </c>
      <c r="J1442" s="1" t="s">
        <v>1324</v>
      </c>
      <c r="L1442" s="1" t="s">
        <v>895</v>
      </c>
      <c r="N1442" s="1" t="s">
        <v>3067</v>
      </c>
      <c r="P1442" s="1" t="s">
        <v>3069</v>
      </c>
      <c r="Q1442" s="3">
        <v>0</v>
      </c>
      <c r="R1442" s="23" t="s">
        <v>6854</v>
      </c>
      <c r="S1442" s="23" t="s">
        <v>6845</v>
      </c>
      <c r="T1442" s="23" t="s">
        <v>4866</v>
      </c>
      <c r="U1442" s="3">
        <v>35</v>
      </c>
      <c r="W1442" s="45" t="str">
        <f>HYPERLINK("http://ictvonline.org/taxonomy/p/taxonomy-history?taxnode_id=201900846","ICTVonline=201900846")</f>
        <v>ICTVonline=201900846</v>
      </c>
      <c r="Y1442" s="1" t="s">
        <v>9491</v>
      </c>
      <c r="AA1442" s="1">
        <v>201900000</v>
      </c>
      <c r="AB1442" s="1">
        <v>35</v>
      </c>
    </row>
    <row r="1443" spans="1:28" x14ac:dyDescent="0.2">
      <c r="A1443" s="1">
        <v>3949</v>
      </c>
      <c r="B1443" s="1" t="s">
        <v>6850</v>
      </c>
      <c r="D1443" s="1" t="s">
        <v>6851</v>
      </c>
      <c r="F1443" s="1" t="s">
        <v>6914</v>
      </c>
      <c r="H1443" s="1" t="s">
        <v>6915</v>
      </c>
      <c r="J1443" s="1" t="s">
        <v>1324</v>
      </c>
      <c r="L1443" s="1" t="s">
        <v>895</v>
      </c>
      <c r="N1443" s="1" t="s">
        <v>3067</v>
      </c>
      <c r="P1443" s="1" t="s">
        <v>3070</v>
      </c>
      <c r="Q1443" s="3">
        <v>0</v>
      </c>
      <c r="R1443" s="23" t="s">
        <v>6854</v>
      </c>
      <c r="S1443" s="23" t="s">
        <v>6845</v>
      </c>
      <c r="T1443" s="23" t="s">
        <v>4866</v>
      </c>
      <c r="U1443" s="3">
        <v>35</v>
      </c>
      <c r="W1443" s="45" t="str">
        <f>HYPERLINK("http://ictvonline.org/taxonomy/p/taxonomy-history?taxnode_id=201900847","ICTVonline=201900847")</f>
        <v>ICTVonline=201900847</v>
      </c>
      <c r="Y1443" s="1" t="s">
        <v>9492</v>
      </c>
      <c r="AA1443" s="1">
        <v>201900000</v>
      </c>
      <c r="AB1443" s="1">
        <v>35</v>
      </c>
    </row>
    <row r="1444" spans="1:28" x14ac:dyDescent="0.2">
      <c r="A1444" s="1">
        <v>3951</v>
      </c>
      <c r="B1444" s="1" t="s">
        <v>6850</v>
      </c>
      <c r="D1444" s="1" t="s">
        <v>6851</v>
      </c>
      <c r="F1444" s="1" t="s">
        <v>6914</v>
      </c>
      <c r="H1444" s="1" t="s">
        <v>6915</v>
      </c>
      <c r="J1444" s="1" t="s">
        <v>1324</v>
      </c>
      <c r="L1444" s="1" t="s">
        <v>895</v>
      </c>
      <c r="N1444" s="1" t="s">
        <v>3067</v>
      </c>
      <c r="P1444" s="1" t="s">
        <v>3071</v>
      </c>
      <c r="Q1444" s="3">
        <v>0</v>
      </c>
      <c r="R1444" s="23" t="s">
        <v>6854</v>
      </c>
      <c r="S1444" s="23" t="s">
        <v>6845</v>
      </c>
      <c r="T1444" s="23" t="s">
        <v>4866</v>
      </c>
      <c r="U1444" s="3">
        <v>35</v>
      </c>
      <c r="W1444" s="45" t="str">
        <f>HYPERLINK("http://ictvonline.org/taxonomy/p/taxonomy-history?taxnode_id=201900848","ICTVonline=201900848")</f>
        <v>ICTVonline=201900848</v>
      </c>
      <c r="Y1444" s="1" t="s">
        <v>9493</v>
      </c>
      <c r="AA1444" s="1">
        <v>201900000</v>
      </c>
      <c r="AB1444" s="1">
        <v>35</v>
      </c>
    </row>
    <row r="1445" spans="1:28" x14ac:dyDescent="0.2">
      <c r="A1445" s="1">
        <v>3953</v>
      </c>
      <c r="B1445" s="1" t="s">
        <v>6850</v>
      </c>
      <c r="D1445" s="1" t="s">
        <v>6851</v>
      </c>
      <c r="F1445" s="1" t="s">
        <v>6914</v>
      </c>
      <c r="H1445" s="1" t="s">
        <v>6915</v>
      </c>
      <c r="J1445" s="1" t="s">
        <v>1324</v>
      </c>
      <c r="L1445" s="1" t="s">
        <v>895</v>
      </c>
      <c r="N1445" s="1" t="s">
        <v>3067</v>
      </c>
      <c r="P1445" s="1" t="s">
        <v>3072</v>
      </c>
      <c r="Q1445" s="3">
        <v>0</v>
      </c>
      <c r="R1445" s="23" t="s">
        <v>6854</v>
      </c>
      <c r="S1445" s="23" t="s">
        <v>6845</v>
      </c>
      <c r="T1445" s="23" t="s">
        <v>4866</v>
      </c>
      <c r="U1445" s="3">
        <v>35</v>
      </c>
      <c r="W1445" s="45" t="str">
        <f>HYPERLINK("http://ictvonline.org/taxonomy/p/taxonomy-history?taxnode_id=201900849","ICTVonline=201900849")</f>
        <v>ICTVonline=201900849</v>
      </c>
      <c r="Y1445" s="1" t="s">
        <v>9494</v>
      </c>
      <c r="AA1445" s="1">
        <v>201900000</v>
      </c>
      <c r="AB1445" s="1">
        <v>35</v>
      </c>
    </row>
    <row r="1446" spans="1:28" x14ac:dyDescent="0.2">
      <c r="A1446" s="1">
        <v>3955</v>
      </c>
      <c r="B1446" s="1" t="s">
        <v>6850</v>
      </c>
      <c r="D1446" s="1" t="s">
        <v>6851</v>
      </c>
      <c r="F1446" s="1" t="s">
        <v>6914</v>
      </c>
      <c r="H1446" s="1" t="s">
        <v>6915</v>
      </c>
      <c r="J1446" s="1" t="s">
        <v>1324</v>
      </c>
      <c r="L1446" s="1" t="s">
        <v>895</v>
      </c>
      <c r="N1446" s="1" t="s">
        <v>3067</v>
      </c>
      <c r="P1446" s="1" t="s">
        <v>3073</v>
      </c>
      <c r="Q1446" s="3">
        <v>0</v>
      </c>
      <c r="R1446" s="23" t="s">
        <v>6854</v>
      </c>
      <c r="S1446" s="23" t="s">
        <v>6845</v>
      </c>
      <c r="T1446" s="23" t="s">
        <v>4866</v>
      </c>
      <c r="U1446" s="3">
        <v>35</v>
      </c>
      <c r="W1446" s="45" t="str">
        <f>HYPERLINK("http://ictvonline.org/taxonomy/p/taxonomy-history?taxnode_id=201900850","ICTVonline=201900850")</f>
        <v>ICTVonline=201900850</v>
      </c>
      <c r="Y1446" s="1" t="s">
        <v>9495</v>
      </c>
      <c r="AA1446" s="1">
        <v>201900000</v>
      </c>
      <c r="AB1446" s="1">
        <v>35</v>
      </c>
    </row>
    <row r="1447" spans="1:28" x14ac:dyDescent="0.2">
      <c r="A1447" s="1">
        <v>3957</v>
      </c>
      <c r="B1447" s="1" t="s">
        <v>6850</v>
      </c>
      <c r="D1447" s="1" t="s">
        <v>6851</v>
      </c>
      <c r="F1447" s="1" t="s">
        <v>6914</v>
      </c>
      <c r="H1447" s="1" t="s">
        <v>6915</v>
      </c>
      <c r="J1447" s="1" t="s">
        <v>1324</v>
      </c>
      <c r="L1447" s="1" t="s">
        <v>895</v>
      </c>
      <c r="N1447" s="1" t="s">
        <v>3067</v>
      </c>
      <c r="P1447" s="1" t="s">
        <v>3074</v>
      </c>
      <c r="Q1447" s="3">
        <v>0</v>
      </c>
      <c r="R1447" s="23" t="s">
        <v>6854</v>
      </c>
      <c r="S1447" s="23" t="s">
        <v>6845</v>
      </c>
      <c r="T1447" s="23" t="s">
        <v>4866</v>
      </c>
      <c r="U1447" s="3">
        <v>35</v>
      </c>
      <c r="W1447" s="45" t="str">
        <f>HYPERLINK("http://ictvonline.org/taxonomy/p/taxonomy-history?taxnode_id=201900851","ICTVonline=201900851")</f>
        <v>ICTVonline=201900851</v>
      </c>
      <c r="Y1447" s="1" t="s">
        <v>9496</v>
      </c>
      <c r="AA1447" s="1">
        <v>201900000</v>
      </c>
      <c r="AB1447" s="1">
        <v>35</v>
      </c>
    </row>
    <row r="1448" spans="1:28" x14ac:dyDescent="0.2">
      <c r="A1448" s="1">
        <v>3959</v>
      </c>
      <c r="B1448" s="1" t="s">
        <v>6850</v>
      </c>
      <c r="D1448" s="1" t="s">
        <v>6851</v>
      </c>
      <c r="F1448" s="1" t="s">
        <v>6914</v>
      </c>
      <c r="H1448" s="1" t="s">
        <v>6915</v>
      </c>
      <c r="J1448" s="1" t="s">
        <v>1324</v>
      </c>
      <c r="L1448" s="1" t="s">
        <v>895</v>
      </c>
      <c r="N1448" s="1" t="s">
        <v>3067</v>
      </c>
      <c r="P1448" s="1" t="s">
        <v>3075</v>
      </c>
      <c r="Q1448" s="3">
        <v>0</v>
      </c>
      <c r="R1448" s="23" t="s">
        <v>6854</v>
      </c>
      <c r="S1448" s="23" t="s">
        <v>6845</v>
      </c>
      <c r="T1448" s="23" t="s">
        <v>4866</v>
      </c>
      <c r="U1448" s="3">
        <v>35</v>
      </c>
      <c r="W1448" s="45" t="str">
        <f>HYPERLINK("http://ictvonline.org/taxonomy/p/taxonomy-history?taxnode_id=201900852","ICTVonline=201900852")</f>
        <v>ICTVonline=201900852</v>
      </c>
      <c r="Y1448" s="1" t="s">
        <v>9497</v>
      </c>
      <c r="AA1448" s="1">
        <v>201900000</v>
      </c>
      <c r="AB1448" s="1">
        <v>35</v>
      </c>
    </row>
    <row r="1449" spans="1:28" x14ac:dyDescent="0.2">
      <c r="A1449" s="1">
        <v>3963</v>
      </c>
      <c r="B1449" s="1" t="s">
        <v>6850</v>
      </c>
      <c r="D1449" s="1" t="s">
        <v>6851</v>
      </c>
      <c r="F1449" s="1" t="s">
        <v>6914</v>
      </c>
      <c r="H1449" s="1" t="s">
        <v>6915</v>
      </c>
      <c r="J1449" s="1" t="s">
        <v>1324</v>
      </c>
      <c r="L1449" s="1" t="s">
        <v>895</v>
      </c>
      <c r="N1449" s="1" t="s">
        <v>9498</v>
      </c>
      <c r="P1449" s="1" t="s">
        <v>9499</v>
      </c>
      <c r="Q1449" s="3">
        <v>1</v>
      </c>
      <c r="R1449" s="23" t="s">
        <v>6854</v>
      </c>
      <c r="S1449" s="23" t="s">
        <v>6849</v>
      </c>
      <c r="T1449" s="23" t="s">
        <v>4864</v>
      </c>
      <c r="U1449" s="3">
        <v>35</v>
      </c>
      <c r="V1449" s="3" t="s">
        <v>9500</v>
      </c>
      <c r="W1449" s="45" t="str">
        <f>HYPERLINK("http://ictvonline.org/taxonomy/p/taxonomy-history?taxnode_id=201907736","ICTVonline=201907736")</f>
        <v>ICTVonline=201907736</v>
      </c>
      <c r="Y1449" s="1" t="s">
        <v>9501</v>
      </c>
      <c r="AA1449" s="1">
        <v>201900000</v>
      </c>
      <c r="AB1449" s="1">
        <v>35</v>
      </c>
    </row>
    <row r="1450" spans="1:28" x14ac:dyDescent="0.2">
      <c r="A1450" s="1">
        <v>3967</v>
      </c>
      <c r="B1450" s="1" t="s">
        <v>6850</v>
      </c>
      <c r="D1450" s="1" t="s">
        <v>6851</v>
      </c>
      <c r="F1450" s="1" t="s">
        <v>6914</v>
      </c>
      <c r="H1450" s="1" t="s">
        <v>6915</v>
      </c>
      <c r="J1450" s="1" t="s">
        <v>1324</v>
      </c>
      <c r="L1450" s="1" t="s">
        <v>895</v>
      </c>
      <c r="N1450" s="1" t="s">
        <v>9502</v>
      </c>
      <c r="P1450" s="1" t="s">
        <v>9503</v>
      </c>
      <c r="Q1450" s="3">
        <v>1</v>
      </c>
      <c r="R1450" s="23" t="s">
        <v>6854</v>
      </c>
      <c r="S1450" s="23" t="s">
        <v>6849</v>
      </c>
      <c r="T1450" s="23" t="s">
        <v>4864</v>
      </c>
      <c r="U1450" s="3">
        <v>35</v>
      </c>
      <c r="V1450" s="3" t="s">
        <v>9504</v>
      </c>
      <c r="W1450" s="45" t="str">
        <f>HYPERLINK("http://ictvonline.org/taxonomy/p/taxonomy-history?taxnode_id=201908701","ICTVonline=201908701")</f>
        <v>ICTVonline=201908701</v>
      </c>
      <c r="Y1450" s="1" t="s">
        <v>9505</v>
      </c>
      <c r="AA1450" s="1">
        <v>201900000</v>
      </c>
      <c r="AB1450" s="1">
        <v>35</v>
      </c>
    </row>
    <row r="1451" spans="1:28" x14ac:dyDescent="0.2">
      <c r="A1451" s="1">
        <v>3971</v>
      </c>
      <c r="B1451" s="1" t="s">
        <v>6850</v>
      </c>
      <c r="D1451" s="1" t="s">
        <v>6851</v>
      </c>
      <c r="F1451" s="1" t="s">
        <v>6914</v>
      </c>
      <c r="H1451" s="1" t="s">
        <v>6915</v>
      </c>
      <c r="J1451" s="1" t="s">
        <v>1324</v>
      </c>
      <c r="L1451" s="1" t="s">
        <v>895</v>
      </c>
      <c r="N1451" s="1" t="s">
        <v>9506</v>
      </c>
      <c r="P1451" s="1" t="s">
        <v>9507</v>
      </c>
      <c r="Q1451" s="3">
        <v>1</v>
      </c>
      <c r="R1451" s="23" t="s">
        <v>6854</v>
      </c>
      <c r="S1451" s="23" t="s">
        <v>6849</v>
      </c>
      <c r="T1451" s="23" t="s">
        <v>4864</v>
      </c>
      <c r="U1451" s="3">
        <v>35</v>
      </c>
      <c r="V1451" s="3" t="s">
        <v>9508</v>
      </c>
      <c r="W1451" s="45" t="str">
        <f>HYPERLINK("http://ictvonline.org/taxonomy/p/taxonomy-history?taxnode_id=201907723","ICTVonline=201907723")</f>
        <v>ICTVonline=201907723</v>
      </c>
      <c r="Y1451" s="1" t="s">
        <v>9509</v>
      </c>
      <c r="AA1451" s="1">
        <v>201900000</v>
      </c>
      <c r="AB1451" s="1">
        <v>35</v>
      </c>
    </row>
    <row r="1452" spans="1:28" x14ac:dyDescent="0.2">
      <c r="A1452" s="1">
        <v>3975</v>
      </c>
      <c r="B1452" s="1" t="s">
        <v>6850</v>
      </c>
      <c r="D1452" s="1" t="s">
        <v>6851</v>
      </c>
      <c r="F1452" s="1" t="s">
        <v>6914</v>
      </c>
      <c r="H1452" s="1" t="s">
        <v>6915</v>
      </c>
      <c r="J1452" s="1" t="s">
        <v>1324</v>
      </c>
      <c r="L1452" s="1" t="s">
        <v>895</v>
      </c>
      <c r="N1452" s="1" t="s">
        <v>4998</v>
      </c>
      <c r="P1452" s="1" t="s">
        <v>4999</v>
      </c>
      <c r="Q1452" s="3">
        <v>1</v>
      </c>
      <c r="R1452" s="23" t="s">
        <v>6854</v>
      </c>
      <c r="S1452" s="23" t="s">
        <v>6845</v>
      </c>
      <c r="T1452" s="23" t="s">
        <v>4866</v>
      </c>
      <c r="U1452" s="3">
        <v>35</v>
      </c>
      <c r="W1452" s="45" t="str">
        <f>HYPERLINK("http://ictvonline.org/taxonomy/p/taxonomy-history?taxnode_id=201905541","ICTVonline=201905541")</f>
        <v>ICTVonline=201905541</v>
      </c>
      <c r="AA1452" s="1">
        <v>201900000</v>
      </c>
      <c r="AB1452" s="1">
        <v>35</v>
      </c>
    </row>
    <row r="1453" spans="1:28" x14ac:dyDescent="0.2">
      <c r="A1453" s="1">
        <v>3979</v>
      </c>
      <c r="B1453" s="1" t="s">
        <v>6850</v>
      </c>
      <c r="D1453" s="1" t="s">
        <v>6851</v>
      </c>
      <c r="F1453" s="1" t="s">
        <v>6914</v>
      </c>
      <c r="H1453" s="1" t="s">
        <v>6915</v>
      </c>
      <c r="J1453" s="1" t="s">
        <v>1324</v>
      </c>
      <c r="L1453" s="1" t="s">
        <v>895</v>
      </c>
      <c r="N1453" s="1" t="s">
        <v>9510</v>
      </c>
      <c r="P1453" s="1" t="s">
        <v>9511</v>
      </c>
      <c r="Q1453" s="3">
        <v>1</v>
      </c>
      <c r="R1453" s="23" t="s">
        <v>6854</v>
      </c>
      <c r="S1453" s="23" t="s">
        <v>6849</v>
      </c>
      <c r="T1453" s="23" t="s">
        <v>4864</v>
      </c>
      <c r="U1453" s="3">
        <v>35</v>
      </c>
      <c r="V1453" s="3" t="s">
        <v>9512</v>
      </c>
      <c r="W1453" s="45" t="str">
        <f>HYPERLINK("http://ictvonline.org/taxonomy/p/taxonomy-history?taxnode_id=201907725","ICTVonline=201907725")</f>
        <v>ICTVonline=201907725</v>
      </c>
      <c r="Y1453" s="1" t="s">
        <v>9513</v>
      </c>
      <c r="AA1453" s="1">
        <v>201900000</v>
      </c>
      <c r="AB1453" s="1">
        <v>35</v>
      </c>
    </row>
    <row r="1454" spans="1:28" x14ac:dyDescent="0.2">
      <c r="A1454" s="1">
        <v>3983</v>
      </c>
      <c r="B1454" s="1" t="s">
        <v>6850</v>
      </c>
      <c r="D1454" s="1" t="s">
        <v>6851</v>
      </c>
      <c r="F1454" s="1" t="s">
        <v>6914</v>
      </c>
      <c r="H1454" s="1" t="s">
        <v>6915</v>
      </c>
      <c r="J1454" s="1" t="s">
        <v>1324</v>
      </c>
      <c r="L1454" s="1" t="s">
        <v>895</v>
      </c>
      <c r="N1454" s="1" t="s">
        <v>9514</v>
      </c>
      <c r="P1454" s="1" t="s">
        <v>9515</v>
      </c>
      <c r="Q1454" s="3">
        <v>1</v>
      </c>
      <c r="R1454" s="23" t="s">
        <v>6854</v>
      </c>
      <c r="S1454" s="23" t="s">
        <v>6849</v>
      </c>
      <c r="T1454" s="23" t="s">
        <v>4864</v>
      </c>
      <c r="U1454" s="3">
        <v>35</v>
      </c>
      <c r="V1454" s="3" t="s">
        <v>9516</v>
      </c>
      <c r="W1454" s="45" t="str">
        <f>HYPERLINK("http://ictvonline.org/taxonomy/p/taxonomy-history?taxnode_id=201907727","ICTVonline=201907727")</f>
        <v>ICTVonline=201907727</v>
      </c>
      <c r="Y1454" s="1" t="s">
        <v>9517</v>
      </c>
      <c r="AA1454" s="1">
        <v>201900000</v>
      </c>
      <c r="AB1454" s="1">
        <v>35</v>
      </c>
    </row>
    <row r="1455" spans="1:28" x14ac:dyDescent="0.2">
      <c r="A1455" s="1">
        <v>3985</v>
      </c>
      <c r="B1455" s="1" t="s">
        <v>6850</v>
      </c>
      <c r="D1455" s="1" t="s">
        <v>6851</v>
      </c>
      <c r="F1455" s="1" t="s">
        <v>6914</v>
      </c>
      <c r="H1455" s="1" t="s">
        <v>6915</v>
      </c>
      <c r="J1455" s="1" t="s">
        <v>1324</v>
      </c>
      <c r="L1455" s="1" t="s">
        <v>895</v>
      </c>
      <c r="N1455" s="1" t="s">
        <v>9514</v>
      </c>
      <c r="P1455" s="1" t="s">
        <v>9518</v>
      </c>
      <c r="Q1455" s="3">
        <v>0</v>
      </c>
      <c r="R1455" s="23" t="s">
        <v>6854</v>
      </c>
      <c r="S1455" s="23" t="s">
        <v>6849</v>
      </c>
      <c r="T1455" s="23" t="s">
        <v>4864</v>
      </c>
      <c r="U1455" s="3">
        <v>35</v>
      </c>
      <c r="V1455" s="3" t="s">
        <v>9516</v>
      </c>
      <c r="W1455" s="45" t="str">
        <f>HYPERLINK("http://ictvonline.org/taxonomy/p/taxonomy-history?taxnode_id=201907728","ICTVonline=201907728")</f>
        <v>ICTVonline=201907728</v>
      </c>
      <c r="Y1455" s="1" t="s">
        <v>9519</v>
      </c>
      <c r="AA1455" s="1">
        <v>201900000</v>
      </c>
      <c r="AB1455" s="1">
        <v>35</v>
      </c>
    </row>
    <row r="1456" spans="1:28" x14ac:dyDescent="0.2">
      <c r="A1456" s="1">
        <v>3987</v>
      </c>
      <c r="B1456" s="1" t="s">
        <v>6850</v>
      </c>
      <c r="D1456" s="1" t="s">
        <v>6851</v>
      </c>
      <c r="F1456" s="1" t="s">
        <v>6914</v>
      </c>
      <c r="H1456" s="1" t="s">
        <v>6915</v>
      </c>
      <c r="J1456" s="1" t="s">
        <v>1324</v>
      </c>
      <c r="L1456" s="1" t="s">
        <v>895</v>
      </c>
      <c r="N1456" s="1" t="s">
        <v>9514</v>
      </c>
      <c r="P1456" s="1" t="s">
        <v>9520</v>
      </c>
      <c r="Q1456" s="3">
        <v>0</v>
      </c>
      <c r="R1456" s="23" t="s">
        <v>6854</v>
      </c>
      <c r="S1456" s="23" t="s">
        <v>6849</v>
      </c>
      <c r="T1456" s="23" t="s">
        <v>4864</v>
      </c>
      <c r="U1456" s="3">
        <v>35</v>
      </c>
      <c r="V1456" s="3" t="s">
        <v>9516</v>
      </c>
      <c r="W1456" s="45" t="str">
        <f>HYPERLINK("http://ictvonline.org/taxonomy/p/taxonomy-history?taxnode_id=201907729","ICTVonline=201907729")</f>
        <v>ICTVonline=201907729</v>
      </c>
      <c r="Y1456" s="1" t="s">
        <v>9521</v>
      </c>
      <c r="AA1456" s="1">
        <v>201900000</v>
      </c>
      <c r="AB1456" s="1">
        <v>35</v>
      </c>
    </row>
    <row r="1457" spans="1:28" x14ac:dyDescent="0.2">
      <c r="A1457" s="1">
        <v>3991</v>
      </c>
      <c r="B1457" s="1" t="s">
        <v>6850</v>
      </c>
      <c r="D1457" s="1" t="s">
        <v>6851</v>
      </c>
      <c r="F1457" s="1" t="s">
        <v>6914</v>
      </c>
      <c r="H1457" s="1" t="s">
        <v>6915</v>
      </c>
      <c r="J1457" s="1" t="s">
        <v>1324</v>
      </c>
      <c r="L1457" s="1" t="s">
        <v>895</v>
      </c>
      <c r="N1457" s="1" t="s">
        <v>6333</v>
      </c>
      <c r="P1457" s="1" t="s">
        <v>6334</v>
      </c>
      <c r="Q1457" s="3">
        <v>1</v>
      </c>
      <c r="R1457" s="23" t="s">
        <v>6854</v>
      </c>
      <c r="S1457" s="23" t="s">
        <v>6845</v>
      </c>
      <c r="T1457" s="23" t="s">
        <v>4866</v>
      </c>
      <c r="U1457" s="3">
        <v>35</v>
      </c>
      <c r="W1457" s="45" t="str">
        <f>HYPERLINK("http://ictvonline.org/taxonomy/p/taxonomy-history?taxnode_id=201906342","ICTVonline=201906342")</f>
        <v>ICTVonline=201906342</v>
      </c>
      <c r="Y1457" s="1" t="s">
        <v>9522</v>
      </c>
      <c r="Z1457" s="1" t="s">
        <v>9523</v>
      </c>
      <c r="AA1457" s="1">
        <v>201900000</v>
      </c>
      <c r="AB1457" s="1">
        <v>35</v>
      </c>
    </row>
    <row r="1458" spans="1:28" x14ac:dyDescent="0.2">
      <c r="A1458" s="1">
        <v>3995</v>
      </c>
      <c r="B1458" s="1" t="s">
        <v>6850</v>
      </c>
      <c r="D1458" s="1" t="s">
        <v>6851</v>
      </c>
      <c r="F1458" s="1" t="s">
        <v>6914</v>
      </c>
      <c r="H1458" s="1" t="s">
        <v>6915</v>
      </c>
      <c r="J1458" s="1" t="s">
        <v>1324</v>
      </c>
      <c r="L1458" s="1" t="s">
        <v>895</v>
      </c>
      <c r="N1458" s="1" t="s">
        <v>3076</v>
      </c>
      <c r="P1458" s="1" t="s">
        <v>3077</v>
      </c>
      <c r="Q1458" s="3">
        <v>1</v>
      </c>
      <c r="R1458" s="23" t="s">
        <v>6854</v>
      </c>
      <c r="S1458" s="23" t="s">
        <v>6845</v>
      </c>
      <c r="T1458" s="23" t="s">
        <v>4866</v>
      </c>
      <c r="U1458" s="3">
        <v>35</v>
      </c>
      <c r="W1458" s="45" t="str">
        <f>HYPERLINK("http://ictvonline.org/taxonomy/p/taxonomy-history?taxnode_id=201900854","ICTVonline=201900854")</f>
        <v>ICTVonline=201900854</v>
      </c>
      <c r="Y1458" s="1" t="s">
        <v>9524</v>
      </c>
      <c r="AA1458" s="1">
        <v>201900000</v>
      </c>
      <c r="AB1458" s="1">
        <v>35</v>
      </c>
    </row>
    <row r="1459" spans="1:28" x14ac:dyDescent="0.2">
      <c r="A1459" s="1">
        <v>3997</v>
      </c>
      <c r="B1459" s="1" t="s">
        <v>6850</v>
      </c>
      <c r="D1459" s="1" t="s">
        <v>6851</v>
      </c>
      <c r="F1459" s="1" t="s">
        <v>6914</v>
      </c>
      <c r="H1459" s="1" t="s">
        <v>6915</v>
      </c>
      <c r="J1459" s="1" t="s">
        <v>1324</v>
      </c>
      <c r="L1459" s="1" t="s">
        <v>895</v>
      </c>
      <c r="N1459" s="1" t="s">
        <v>3076</v>
      </c>
      <c r="P1459" s="1" t="s">
        <v>3078</v>
      </c>
      <c r="Q1459" s="3">
        <v>0</v>
      </c>
      <c r="R1459" s="23" t="s">
        <v>6854</v>
      </c>
      <c r="S1459" s="23" t="s">
        <v>6845</v>
      </c>
      <c r="T1459" s="23" t="s">
        <v>4866</v>
      </c>
      <c r="U1459" s="3">
        <v>35</v>
      </c>
      <c r="W1459" s="45" t="str">
        <f>HYPERLINK("http://ictvonline.org/taxonomy/p/taxonomy-history?taxnode_id=201900855","ICTVonline=201900855")</f>
        <v>ICTVonline=201900855</v>
      </c>
      <c r="Y1459" s="1" t="s">
        <v>9525</v>
      </c>
      <c r="AA1459" s="1">
        <v>201900000</v>
      </c>
      <c r="AB1459" s="1">
        <v>35</v>
      </c>
    </row>
    <row r="1460" spans="1:28" x14ac:dyDescent="0.2">
      <c r="A1460" s="1">
        <v>3999</v>
      </c>
      <c r="B1460" s="1" t="s">
        <v>6850</v>
      </c>
      <c r="D1460" s="1" t="s">
        <v>6851</v>
      </c>
      <c r="F1460" s="1" t="s">
        <v>6914</v>
      </c>
      <c r="H1460" s="1" t="s">
        <v>6915</v>
      </c>
      <c r="J1460" s="1" t="s">
        <v>1324</v>
      </c>
      <c r="L1460" s="1" t="s">
        <v>895</v>
      </c>
      <c r="N1460" s="1" t="s">
        <v>3076</v>
      </c>
      <c r="P1460" s="1" t="s">
        <v>3080</v>
      </c>
      <c r="Q1460" s="3">
        <v>0</v>
      </c>
      <c r="R1460" s="23" t="s">
        <v>6854</v>
      </c>
      <c r="S1460" s="23" t="s">
        <v>6845</v>
      </c>
      <c r="T1460" s="23" t="s">
        <v>4866</v>
      </c>
      <c r="U1460" s="3">
        <v>35</v>
      </c>
      <c r="W1460" s="45" t="str">
        <f>HYPERLINK("http://ictvonline.org/taxonomy/p/taxonomy-history?taxnode_id=201900856","ICTVonline=201900856")</f>
        <v>ICTVonline=201900856</v>
      </c>
      <c r="Y1460" s="1" t="s">
        <v>9526</v>
      </c>
      <c r="AA1460" s="1">
        <v>201900000</v>
      </c>
      <c r="AB1460" s="1">
        <v>35</v>
      </c>
    </row>
    <row r="1461" spans="1:28" x14ac:dyDescent="0.2">
      <c r="A1461" s="1">
        <v>4003</v>
      </c>
      <c r="B1461" s="1" t="s">
        <v>6850</v>
      </c>
      <c r="D1461" s="1" t="s">
        <v>6851</v>
      </c>
      <c r="F1461" s="1" t="s">
        <v>6914</v>
      </c>
      <c r="H1461" s="1" t="s">
        <v>6915</v>
      </c>
      <c r="J1461" s="1" t="s">
        <v>1324</v>
      </c>
      <c r="L1461" s="1" t="s">
        <v>895</v>
      </c>
      <c r="N1461" s="1" t="s">
        <v>6335</v>
      </c>
      <c r="P1461" s="1" t="s">
        <v>6336</v>
      </c>
      <c r="Q1461" s="3">
        <v>1</v>
      </c>
      <c r="R1461" s="23" t="s">
        <v>6854</v>
      </c>
      <c r="S1461" s="23" t="s">
        <v>6845</v>
      </c>
      <c r="T1461" s="23" t="s">
        <v>4866</v>
      </c>
      <c r="U1461" s="3">
        <v>35</v>
      </c>
      <c r="W1461" s="45" t="str">
        <f>HYPERLINK("http://ictvonline.org/taxonomy/p/taxonomy-history?taxnode_id=201907091","ICTVonline=201907091")</f>
        <v>ICTVonline=201907091</v>
      </c>
      <c r="Y1461" s="1" t="s">
        <v>9527</v>
      </c>
      <c r="Z1461" s="1" t="s">
        <v>9528</v>
      </c>
      <c r="AA1461" s="1">
        <v>201900000</v>
      </c>
      <c r="AB1461" s="1">
        <v>35</v>
      </c>
    </row>
    <row r="1462" spans="1:28" x14ac:dyDescent="0.2">
      <c r="A1462" s="1">
        <v>4005</v>
      </c>
      <c r="B1462" s="1" t="s">
        <v>6850</v>
      </c>
      <c r="D1462" s="1" t="s">
        <v>6851</v>
      </c>
      <c r="F1462" s="1" t="s">
        <v>6914</v>
      </c>
      <c r="H1462" s="1" t="s">
        <v>6915</v>
      </c>
      <c r="J1462" s="1" t="s">
        <v>1324</v>
      </c>
      <c r="L1462" s="1" t="s">
        <v>895</v>
      </c>
      <c r="N1462" s="1" t="s">
        <v>6335</v>
      </c>
      <c r="P1462" s="1" t="s">
        <v>6337</v>
      </c>
      <c r="Q1462" s="3">
        <v>0</v>
      </c>
      <c r="R1462" s="23" t="s">
        <v>6854</v>
      </c>
      <c r="S1462" s="23" t="s">
        <v>6845</v>
      </c>
      <c r="T1462" s="23" t="s">
        <v>4866</v>
      </c>
      <c r="U1462" s="3">
        <v>35</v>
      </c>
      <c r="W1462" s="45" t="str">
        <f>HYPERLINK("http://ictvonline.org/taxonomy/p/taxonomy-history?taxnode_id=201907094","ICTVonline=201907094")</f>
        <v>ICTVonline=201907094</v>
      </c>
      <c r="Y1462" s="1" t="s">
        <v>9529</v>
      </c>
      <c r="Z1462" s="1" t="s">
        <v>9530</v>
      </c>
      <c r="AA1462" s="1">
        <v>201900000</v>
      </c>
      <c r="AB1462" s="1">
        <v>35</v>
      </c>
    </row>
    <row r="1463" spans="1:28" x14ac:dyDescent="0.2">
      <c r="A1463" s="1">
        <v>4007</v>
      </c>
      <c r="B1463" s="1" t="s">
        <v>6850</v>
      </c>
      <c r="D1463" s="1" t="s">
        <v>6851</v>
      </c>
      <c r="F1463" s="1" t="s">
        <v>6914</v>
      </c>
      <c r="H1463" s="1" t="s">
        <v>6915</v>
      </c>
      <c r="J1463" s="1" t="s">
        <v>1324</v>
      </c>
      <c r="L1463" s="1" t="s">
        <v>895</v>
      </c>
      <c r="N1463" s="1" t="s">
        <v>6335</v>
      </c>
      <c r="P1463" s="1" t="s">
        <v>6338</v>
      </c>
      <c r="Q1463" s="3">
        <v>0</v>
      </c>
      <c r="R1463" s="23" t="s">
        <v>6854</v>
      </c>
      <c r="S1463" s="23" t="s">
        <v>6845</v>
      </c>
      <c r="T1463" s="23" t="s">
        <v>4866</v>
      </c>
      <c r="U1463" s="3">
        <v>35</v>
      </c>
      <c r="W1463" s="45" t="str">
        <f>HYPERLINK("http://ictvonline.org/taxonomy/p/taxonomy-history?taxnode_id=201907092","ICTVonline=201907092")</f>
        <v>ICTVonline=201907092</v>
      </c>
      <c r="Y1463" s="1" t="s">
        <v>9531</v>
      </c>
      <c r="Z1463" s="1" t="s">
        <v>9532</v>
      </c>
      <c r="AA1463" s="1">
        <v>201900000</v>
      </c>
      <c r="AB1463" s="1">
        <v>35</v>
      </c>
    </row>
    <row r="1464" spans="1:28" x14ac:dyDescent="0.2">
      <c r="A1464" s="1">
        <v>4009</v>
      </c>
      <c r="B1464" s="1" t="s">
        <v>6850</v>
      </c>
      <c r="D1464" s="1" t="s">
        <v>6851</v>
      </c>
      <c r="F1464" s="1" t="s">
        <v>6914</v>
      </c>
      <c r="H1464" s="1" t="s">
        <v>6915</v>
      </c>
      <c r="J1464" s="1" t="s">
        <v>1324</v>
      </c>
      <c r="L1464" s="1" t="s">
        <v>895</v>
      </c>
      <c r="N1464" s="1" t="s">
        <v>6335</v>
      </c>
      <c r="P1464" s="1" t="s">
        <v>6339</v>
      </c>
      <c r="Q1464" s="3">
        <v>0</v>
      </c>
      <c r="R1464" s="23" t="s">
        <v>6854</v>
      </c>
      <c r="S1464" s="23" t="s">
        <v>6845</v>
      </c>
      <c r="T1464" s="23" t="s">
        <v>4866</v>
      </c>
      <c r="U1464" s="3">
        <v>35</v>
      </c>
      <c r="W1464" s="45" t="str">
        <f>HYPERLINK("http://ictvonline.org/taxonomy/p/taxonomy-history?taxnode_id=201907093","ICTVonline=201907093")</f>
        <v>ICTVonline=201907093</v>
      </c>
      <c r="Y1464" s="1" t="s">
        <v>9533</v>
      </c>
      <c r="Z1464" s="1" t="s">
        <v>9534</v>
      </c>
      <c r="AA1464" s="1">
        <v>201900000</v>
      </c>
      <c r="AB1464" s="1">
        <v>35</v>
      </c>
    </row>
    <row r="1465" spans="1:28" x14ac:dyDescent="0.2">
      <c r="A1465" s="1">
        <v>4013</v>
      </c>
      <c r="B1465" s="1" t="s">
        <v>6850</v>
      </c>
      <c r="D1465" s="1" t="s">
        <v>6851</v>
      </c>
      <c r="F1465" s="1" t="s">
        <v>6914</v>
      </c>
      <c r="H1465" s="1" t="s">
        <v>6915</v>
      </c>
      <c r="J1465" s="1" t="s">
        <v>1324</v>
      </c>
      <c r="L1465" s="1" t="s">
        <v>895</v>
      </c>
      <c r="N1465" s="1" t="s">
        <v>6342</v>
      </c>
      <c r="P1465" s="1" t="s">
        <v>4299</v>
      </c>
      <c r="Q1465" s="3">
        <v>1</v>
      </c>
      <c r="R1465" s="23" t="s">
        <v>6854</v>
      </c>
      <c r="S1465" s="23" t="s">
        <v>6845</v>
      </c>
      <c r="T1465" s="23" t="s">
        <v>4866</v>
      </c>
      <c r="U1465" s="3">
        <v>35</v>
      </c>
      <c r="W1465" s="45" t="str">
        <f>HYPERLINK("http://ictvonline.org/taxonomy/p/taxonomy-history?taxnode_id=201900858","ICTVonline=201900858")</f>
        <v>ICTVonline=201900858</v>
      </c>
      <c r="Y1465" s="1" t="s">
        <v>9535</v>
      </c>
      <c r="Z1465" s="1" t="s">
        <v>9536</v>
      </c>
      <c r="AA1465" s="1">
        <v>201900000</v>
      </c>
      <c r="AB1465" s="1">
        <v>35</v>
      </c>
    </row>
    <row r="1466" spans="1:28" x14ac:dyDescent="0.2">
      <c r="A1466" s="1">
        <v>4017</v>
      </c>
      <c r="B1466" s="1" t="s">
        <v>6850</v>
      </c>
      <c r="D1466" s="1" t="s">
        <v>6851</v>
      </c>
      <c r="F1466" s="1" t="s">
        <v>6914</v>
      </c>
      <c r="H1466" s="1" t="s">
        <v>6915</v>
      </c>
      <c r="J1466" s="1" t="s">
        <v>1324</v>
      </c>
      <c r="L1466" s="1" t="s">
        <v>895</v>
      </c>
      <c r="N1466" s="1" t="s">
        <v>6343</v>
      </c>
      <c r="P1466" s="1" t="s">
        <v>6344</v>
      </c>
      <c r="Q1466" s="3">
        <v>1</v>
      </c>
      <c r="R1466" s="23" t="s">
        <v>6854</v>
      </c>
      <c r="S1466" s="23" t="s">
        <v>6845</v>
      </c>
      <c r="T1466" s="23" t="s">
        <v>4866</v>
      </c>
      <c r="U1466" s="3">
        <v>35</v>
      </c>
      <c r="W1466" s="45" t="str">
        <f>HYPERLINK("http://ictvonline.org/taxonomy/p/taxonomy-history?taxnode_id=201906801","ICTVonline=201906801")</f>
        <v>ICTVonline=201906801</v>
      </c>
      <c r="Y1466" s="1" t="s">
        <v>9537</v>
      </c>
      <c r="Z1466" s="1" t="s">
        <v>9538</v>
      </c>
      <c r="AA1466" s="1">
        <v>201900000</v>
      </c>
      <c r="AB1466" s="1">
        <v>35</v>
      </c>
    </row>
    <row r="1467" spans="1:28" x14ac:dyDescent="0.2">
      <c r="A1467" s="1">
        <v>4021</v>
      </c>
      <c r="B1467" s="1" t="s">
        <v>6850</v>
      </c>
      <c r="D1467" s="1" t="s">
        <v>6851</v>
      </c>
      <c r="F1467" s="1" t="s">
        <v>6914</v>
      </c>
      <c r="H1467" s="1" t="s">
        <v>6915</v>
      </c>
      <c r="J1467" s="1" t="s">
        <v>1324</v>
      </c>
      <c r="L1467" s="1" t="s">
        <v>895</v>
      </c>
      <c r="N1467" s="1" t="s">
        <v>6345</v>
      </c>
      <c r="P1467" s="1" t="s">
        <v>6346</v>
      </c>
      <c r="Q1467" s="3">
        <v>1</v>
      </c>
      <c r="R1467" s="23" t="s">
        <v>6854</v>
      </c>
      <c r="S1467" s="23" t="s">
        <v>6845</v>
      </c>
      <c r="T1467" s="23" t="s">
        <v>4866</v>
      </c>
      <c r="U1467" s="3">
        <v>35</v>
      </c>
      <c r="W1467" s="45" t="str">
        <f>HYPERLINK("http://ictvonline.org/taxonomy/p/taxonomy-history?taxnode_id=201906724","ICTVonline=201906724")</f>
        <v>ICTVonline=201906724</v>
      </c>
      <c r="Y1467" s="1" t="s">
        <v>9539</v>
      </c>
      <c r="Z1467" s="1" t="s">
        <v>9540</v>
      </c>
      <c r="AA1467" s="1">
        <v>201900000</v>
      </c>
      <c r="AB1467" s="1">
        <v>35</v>
      </c>
    </row>
    <row r="1468" spans="1:28" x14ac:dyDescent="0.2">
      <c r="A1468" s="1">
        <v>4025</v>
      </c>
      <c r="B1468" s="1" t="s">
        <v>6850</v>
      </c>
      <c r="D1468" s="1" t="s">
        <v>6851</v>
      </c>
      <c r="F1468" s="1" t="s">
        <v>6914</v>
      </c>
      <c r="H1468" s="1" t="s">
        <v>6915</v>
      </c>
      <c r="J1468" s="1" t="s">
        <v>1324</v>
      </c>
      <c r="L1468" s="1" t="s">
        <v>895</v>
      </c>
      <c r="N1468" s="1" t="s">
        <v>3084</v>
      </c>
      <c r="P1468" s="1" t="s">
        <v>3085</v>
      </c>
      <c r="Q1468" s="3">
        <v>0</v>
      </c>
      <c r="R1468" s="23" t="s">
        <v>6854</v>
      </c>
      <c r="S1468" s="23" t="s">
        <v>6845</v>
      </c>
      <c r="T1468" s="23" t="s">
        <v>4866</v>
      </c>
      <c r="U1468" s="3">
        <v>35</v>
      </c>
      <c r="W1468" s="45" t="str">
        <f>HYPERLINK("http://ictvonline.org/taxonomy/p/taxonomy-history?taxnode_id=201900860","ICTVonline=201900860")</f>
        <v>ICTVonline=201900860</v>
      </c>
      <c r="Y1468" s="1" t="s">
        <v>9541</v>
      </c>
      <c r="AA1468" s="1">
        <v>201900000</v>
      </c>
      <c r="AB1468" s="1">
        <v>35</v>
      </c>
    </row>
    <row r="1469" spans="1:28" x14ac:dyDescent="0.2">
      <c r="A1469" s="1">
        <v>4027</v>
      </c>
      <c r="B1469" s="1" t="s">
        <v>6850</v>
      </c>
      <c r="D1469" s="1" t="s">
        <v>6851</v>
      </c>
      <c r="F1469" s="1" t="s">
        <v>6914</v>
      </c>
      <c r="H1469" s="1" t="s">
        <v>6915</v>
      </c>
      <c r="J1469" s="1" t="s">
        <v>1324</v>
      </c>
      <c r="L1469" s="1" t="s">
        <v>895</v>
      </c>
      <c r="N1469" s="1" t="s">
        <v>3084</v>
      </c>
      <c r="P1469" s="1" t="s">
        <v>3086</v>
      </c>
      <c r="Q1469" s="3">
        <v>1</v>
      </c>
      <c r="R1469" s="23" t="s">
        <v>6854</v>
      </c>
      <c r="S1469" s="23" t="s">
        <v>6845</v>
      </c>
      <c r="T1469" s="23" t="s">
        <v>4866</v>
      </c>
      <c r="U1469" s="3">
        <v>35</v>
      </c>
      <c r="W1469" s="45" t="str">
        <f>HYPERLINK("http://ictvonline.org/taxonomy/p/taxonomy-history?taxnode_id=201900861","ICTVonline=201900861")</f>
        <v>ICTVonline=201900861</v>
      </c>
      <c r="Y1469" s="1" t="s">
        <v>9542</v>
      </c>
      <c r="AA1469" s="1">
        <v>201900000</v>
      </c>
      <c r="AB1469" s="1">
        <v>35</v>
      </c>
    </row>
    <row r="1470" spans="1:28" x14ac:dyDescent="0.2">
      <c r="A1470" s="1">
        <v>4029</v>
      </c>
      <c r="B1470" s="1" t="s">
        <v>6850</v>
      </c>
      <c r="D1470" s="1" t="s">
        <v>6851</v>
      </c>
      <c r="F1470" s="1" t="s">
        <v>6914</v>
      </c>
      <c r="H1470" s="1" t="s">
        <v>6915</v>
      </c>
      <c r="J1470" s="1" t="s">
        <v>1324</v>
      </c>
      <c r="L1470" s="1" t="s">
        <v>895</v>
      </c>
      <c r="N1470" s="1" t="s">
        <v>3084</v>
      </c>
      <c r="P1470" s="1" t="s">
        <v>3087</v>
      </c>
      <c r="Q1470" s="3">
        <v>0</v>
      </c>
      <c r="R1470" s="23" t="s">
        <v>6854</v>
      </c>
      <c r="S1470" s="23" t="s">
        <v>6845</v>
      </c>
      <c r="T1470" s="23" t="s">
        <v>4866</v>
      </c>
      <c r="U1470" s="3">
        <v>35</v>
      </c>
      <c r="W1470" s="45" t="str">
        <f>HYPERLINK("http://ictvonline.org/taxonomy/p/taxonomy-history?taxnode_id=201900862","ICTVonline=201900862")</f>
        <v>ICTVonline=201900862</v>
      </c>
      <c r="Y1470" s="1" t="s">
        <v>9543</v>
      </c>
      <c r="AA1470" s="1">
        <v>201900000</v>
      </c>
      <c r="AB1470" s="1">
        <v>35</v>
      </c>
    </row>
    <row r="1471" spans="1:28" x14ac:dyDescent="0.2">
      <c r="A1471" s="1">
        <v>4033</v>
      </c>
      <c r="B1471" s="1" t="s">
        <v>6850</v>
      </c>
      <c r="D1471" s="1" t="s">
        <v>6851</v>
      </c>
      <c r="F1471" s="1" t="s">
        <v>6914</v>
      </c>
      <c r="H1471" s="1" t="s">
        <v>6915</v>
      </c>
      <c r="J1471" s="1" t="s">
        <v>1324</v>
      </c>
      <c r="L1471" s="1" t="s">
        <v>895</v>
      </c>
      <c r="N1471" s="1" t="s">
        <v>6347</v>
      </c>
      <c r="P1471" s="1" t="s">
        <v>6348</v>
      </c>
      <c r="Q1471" s="3">
        <v>1</v>
      </c>
      <c r="R1471" s="23" t="s">
        <v>6854</v>
      </c>
      <c r="S1471" s="23" t="s">
        <v>6845</v>
      </c>
      <c r="T1471" s="23" t="s">
        <v>4866</v>
      </c>
      <c r="U1471" s="3">
        <v>35</v>
      </c>
      <c r="W1471" s="45" t="str">
        <f>HYPERLINK("http://ictvonline.org/taxonomy/p/taxonomy-history?taxnode_id=201906620","ICTVonline=201906620")</f>
        <v>ICTVonline=201906620</v>
      </c>
      <c r="Y1471" s="1" t="s">
        <v>9544</v>
      </c>
      <c r="Z1471" s="1" t="s">
        <v>9545</v>
      </c>
      <c r="AA1471" s="1">
        <v>201900000</v>
      </c>
      <c r="AB1471" s="1">
        <v>35</v>
      </c>
    </row>
    <row r="1472" spans="1:28" x14ac:dyDescent="0.2">
      <c r="A1472" s="1">
        <v>4037</v>
      </c>
      <c r="B1472" s="1" t="s">
        <v>6850</v>
      </c>
      <c r="D1472" s="1" t="s">
        <v>6851</v>
      </c>
      <c r="F1472" s="1" t="s">
        <v>6914</v>
      </c>
      <c r="H1472" s="1" t="s">
        <v>6915</v>
      </c>
      <c r="J1472" s="1" t="s">
        <v>1324</v>
      </c>
      <c r="L1472" s="1" t="s">
        <v>895</v>
      </c>
      <c r="N1472" s="1" t="s">
        <v>9546</v>
      </c>
      <c r="P1472" s="1" t="s">
        <v>9547</v>
      </c>
      <c r="Q1472" s="3">
        <v>1</v>
      </c>
      <c r="R1472" s="23" t="s">
        <v>6854</v>
      </c>
      <c r="S1472" s="23" t="s">
        <v>6849</v>
      </c>
      <c r="T1472" s="23" t="s">
        <v>4864</v>
      </c>
      <c r="U1472" s="3">
        <v>35</v>
      </c>
      <c r="V1472" s="3" t="s">
        <v>9548</v>
      </c>
      <c r="W1472" s="45" t="str">
        <f>HYPERLINK("http://ictvonline.org/taxonomy/p/taxonomy-history?taxnode_id=201907136","ICTVonline=201907136")</f>
        <v>ICTVonline=201907136</v>
      </c>
      <c r="Y1472" s="1" t="s">
        <v>9549</v>
      </c>
      <c r="AA1472" s="1">
        <v>201900000</v>
      </c>
      <c r="AB1472" s="1">
        <v>35</v>
      </c>
    </row>
    <row r="1473" spans="1:28" x14ac:dyDescent="0.2">
      <c r="A1473" s="1">
        <v>4039</v>
      </c>
      <c r="B1473" s="1" t="s">
        <v>6850</v>
      </c>
      <c r="D1473" s="1" t="s">
        <v>6851</v>
      </c>
      <c r="F1473" s="1" t="s">
        <v>6914</v>
      </c>
      <c r="H1473" s="1" t="s">
        <v>6915</v>
      </c>
      <c r="J1473" s="1" t="s">
        <v>1324</v>
      </c>
      <c r="L1473" s="1" t="s">
        <v>895</v>
      </c>
      <c r="N1473" s="1" t="s">
        <v>9546</v>
      </c>
      <c r="P1473" s="1" t="s">
        <v>9550</v>
      </c>
      <c r="Q1473" s="3">
        <v>0</v>
      </c>
      <c r="R1473" s="23" t="s">
        <v>6854</v>
      </c>
      <c r="S1473" s="23" t="s">
        <v>6849</v>
      </c>
      <c r="T1473" s="23" t="s">
        <v>4864</v>
      </c>
      <c r="U1473" s="3">
        <v>35</v>
      </c>
      <c r="V1473" s="3" t="s">
        <v>9548</v>
      </c>
      <c r="W1473" s="45" t="str">
        <f>HYPERLINK("http://ictvonline.org/taxonomy/p/taxonomy-history?taxnode_id=201907138","ICTVonline=201907138")</f>
        <v>ICTVonline=201907138</v>
      </c>
      <c r="Y1473" s="1" t="s">
        <v>9551</v>
      </c>
      <c r="AA1473" s="1">
        <v>201900000</v>
      </c>
      <c r="AB1473" s="1">
        <v>35</v>
      </c>
    </row>
    <row r="1474" spans="1:28" x14ac:dyDescent="0.2">
      <c r="A1474" s="1">
        <v>4041</v>
      </c>
      <c r="B1474" s="1" t="s">
        <v>6850</v>
      </c>
      <c r="D1474" s="1" t="s">
        <v>6851</v>
      </c>
      <c r="F1474" s="1" t="s">
        <v>6914</v>
      </c>
      <c r="H1474" s="1" t="s">
        <v>6915</v>
      </c>
      <c r="J1474" s="1" t="s">
        <v>1324</v>
      </c>
      <c r="L1474" s="1" t="s">
        <v>895</v>
      </c>
      <c r="N1474" s="1" t="s">
        <v>9546</v>
      </c>
      <c r="P1474" s="1" t="s">
        <v>9552</v>
      </c>
      <c r="Q1474" s="3">
        <v>0</v>
      </c>
      <c r="R1474" s="23" t="s">
        <v>6854</v>
      </c>
      <c r="S1474" s="23" t="s">
        <v>6849</v>
      </c>
      <c r="T1474" s="23" t="s">
        <v>4864</v>
      </c>
      <c r="U1474" s="3">
        <v>35</v>
      </c>
      <c r="V1474" s="3" t="s">
        <v>9548</v>
      </c>
      <c r="W1474" s="45" t="str">
        <f>HYPERLINK("http://ictvonline.org/taxonomy/p/taxonomy-history?taxnode_id=201907140","ICTVonline=201907140")</f>
        <v>ICTVonline=201907140</v>
      </c>
      <c r="Y1474" s="1" t="s">
        <v>9553</v>
      </c>
      <c r="AA1474" s="1">
        <v>201900000</v>
      </c>
      <c r="AB1474" s="1">
        <v>35</v>
      </c>
    </row>
    <row r="1475" spans="1:28" x14ac:dyDescent="0.2">
      <c r="A1475" s="1">
        <v>4043</v>
      </c>
      <c r="B1475" s="1" t="s">
        <v>6850</v>
      </c>
      <c r="D1475" s="1" t="s">
        <v>6851</v>
      </c>
      <c r="F1475" s="1" t="s">
        <v>6914</v>
      </c>
      <c r="H1475" s="1" t="s">
        <v>6915</v>
      </c>
      <c r="J1475" s="1" t="s">
        <v>1324</v>
      </c>
      <c r="L1475" s="1" t="s">
        <v>895</v>
      </c>
      <c r="N1475" s="1" t="s">
        <v>9546</v>
      </c>
      <c r="P1475" s="1" t="s">
        <v>9554</v>
      </c>
      <c r="Q1475" s="3">
        <v>0</v>
      </c>
      <c r="R1475" s="23" t="s">
        <v>6854</v>
      </c>
      <c r="S1475" s="23" t="s">
        <v>6849</v>
      </c>
      <c r="T1475" s="23" t="s">
        <v>4864</v>
      </c>
      <c r="U1475" s="3">
        <v>35</v>
      </c>
      <c r="V1475" s="3" t="s">
        <v>9548</v>
      </c>
      <c r="W1475" s="45" t="str">
        <f>HYPERLINK("http://ictvonline.org/taxonomy/p/taxonomy-history?taxnode_id=201907137","ICTVonline=201907137")</f>
        <v>ICTVonline=201907137</v>
      </c>
      <c r="Y1475" s="1" t="s">
        <v>9555</v>
      </c>
      <c r="AA1475" s="1">
        <v>201900000</v>
      </c>
      <c r="AB1475" s="1">
        <v>35</v>
      </c>
    </row>
    <row r="1476" spans="1:28" x14ac:dyDescent="0.2">
      <c r="A1476" s="1">
        <v>4045</v>
      </c>
      <c r="B1476" s="1" t="s">
        <v>6850</v>
      </c>
      <c r="D1476" s="1" t="s">
        <v>6851</v>
      </c>
      <c r="F1476" s="1" t="s">
        <v>6914</v>
      </c>
      <c r="H1476" s="1" t="s">
        <v>6915</v>
      </c>
      <c r="J1476" s="1" t="s">
        <v>1324</v>
      </c>
      <c r="L1476" s="1" t="s">
        <v>895</v>
      </c>
      <c r="N1476" s="1" t="s">
        <v>9546</v>
      </c>
      <c r="P1476" s="1" t="s">
        <v>9556</v>
      </c>
      <c r="Q1476" s="3">
        <v>0</v>
      </c>
      <c r="R1476" s="23" t="s">
        <v>6854</v>
      </c>
      <c r="S1476" s="23" t="s">
        <v>6849</v>
      </c>
      <c r="T1476" s="23" t="s">
        <v>4864</v>
      </c>
      <c r="U1476" s="3">
        <v>35</v>
      </c>
      <c r="V1476" s="3" t="s">
        <v>9548</v>
      </c>
      <c r="W1476" s="45" t="str">
        <f>HYPERLINK("http://ictvonline.org/taxonomy/p/taxonomy-history?taxnode_id=201907139","ICTVonline=201907139")</f>
        <v>ICTVonline=201907139</v>
      </c>
      <c r="Y1476" s="1" t="s">
        <v>9557</v>
      </c>
      <c r="AA1476" s="1">
        <v>201900000</v>
      </c>
      <c r="AB1476" s="1">
        <v>35</v>
      </c>
    </row>
    <row r="1477" spans="1:28" x14ac:dyDescent="0.2">
      <c r="A1477" s="1">
        <v>4049</v>
      </c>
      <c r="B1477" s="1" t="s">
        <v>6850</v>
      </c>
      <c r="D1477" s="1" t="s">
        <v>6851</v>
      </c>
      <c r="F1477" s="1" t="s">
        <v>6914</v>
      </c>
      <c r="H1477" s="1" t="s">
        <v>6915</v>
      </c>
      <c r="J1477" s="1" t="s">
        <v>1324</v>
      </c>
      <c r="L1477" s="1" t="s">
        <v>895</v>
      </c>
      <c r="N1477" s="1" t="s">
        <v>6349</v>
      </c>
      <c r="P1477" s="1" t="s">
        <v>6350</v>
      </c>
      <c r="Q1477" s="3">
        <v>1</v>
      </c>
      <c r="R1477" s="23" t="s">
        <v>6854</v>
      </c>
      <c r="S1477" s="23" t="s">
        <v>6845</v>
      </c>
      <c r="T1477" s="23" t="s">
        <v>4866</v>
      </c>
      <c r="U1477" s="3">
        <v>35</v>
      </c>
      <c r="W1477" s="45" t="str">
        <f>HYPERLINK("http://ictvonline.org/taxonomy/p/taxonomy-history?taxnode_id=201906808","ICTVonline=201906808")</f>
        <v>ICTVonline=201906808</v>
      </c>
      <c r="Y1477" s="1" t="s">
        <v>9558</v>
      </c>
      <c r="Z1477" s="1" t="s">
        <v>9559</v>
      </c>
      <c r="AA1477" s="1">
        <v>201900000</v>
      </c>
      <c r="AB1477" s="1">
        <v>35</v>
      </c>
    </row>
    <row r="1478" spans="1:28" x14ac:dyDescent="0.2">
      <c r="A1478" s="1">
        <v>4053</v>
      </c>
      <c r="B1478" s="1" t="s">
        <v>6850</v>
      </c>
      <c r="D1478" s="1" t="s">
        <v>6851</v>
      </c>
      <c r="F1478" s="1" t="s">
        <v>6914</v>
      </c>
      <c r="H1478" s="1" t="s">
        <v>6915</v>
      </c>
      <c r="J1478" s="1" t="s">
        <v>1324</v>
      </c>
      <c r="L1478" s="1" t="s">
        <v>895</v>
      </c>
      <c r="N1478" s="1" t="s">
        <v>3088</v>
      </c>
      <c r="P1478" s="1" t="s">
        <v>3089</v>
      </c>
      <c r="Q1478" s="3">
        <v>1</v>
      </c>
      <c r="R1478" s="23" t="s">
        <v>6854</v>
      </c>
      <c r="S1478" s="23" t="s">
        <v>6845</v>
      </c>
      <c r="T1478" s="23" t="s">
        <v>4866</v>
      </c>
      <c r="U1478" s="3">
        <v>35</v>
      </c>
      <c r="W1478" s="45" t="str">
        <f>HYPERLINK("http://ictvonline.org/taxonomy/p/taxonomy-history?taxnode_id=201900864","ICTVonline=201900864")</f>
        <v>ICTVonline=201900864</v>
      </c>
      <c r="Y1478" s="1" t="s">
        <v>9560</v>
      </c>
      <c r="AA1478" s="1">
        <v>201900000</v>
      </c>
      <c r="AB1478" s="1">
        <v>35</v>
      </c>
    </row>
    <row r="1479" spans="1:28" x14ac:dyDescent="0.2">
      <c r="A1479" s="1">
        <v>4055</v>
      </c>
      <c r="B1479" s="1" t="s">
        <v>6850</v>
      </c>
      <c r="D1479" s="1" t="s">
        <v>6851</v>
      </c>
      <c r="F1479" s="1" t="s">
        <v>6914</v>
      </c>
      <c r="H1479" s="1" t="s">
        <v>6915</v>
      </c>
      <c r="J1479" s="1" t="s">
        <v>1324</v>
      </c>
      <c r="L1479" s="1" t="s">
        <v>895</v>
      </c>
      <c r="N1479" s="1" t="s">
        <v>3088</v>
      </c>
      <c r="P1479" s="1" t="s">
        <v>3090</v>
      </c>
      <c r="Q1479" s="3">
        <v>0</v>
      </c>
      <c r="R1479" s="23" t="s">
        <v>6854</v>
      </c>
      <c r="S1479" s="23" t="s">
        <v>6845</v>
      </c>
      <c r="T1479" s="23" t="s">
        <v>4866</v>
      </c>
      <c r="U1479" s="3">
        <v>35</v>
      </c>
      <c r="W1479" s="45" t="str">
        <f>HYPERLINK("http://ictvonline.org/taxonomy/p/taxonomy-history?taxnode_id=201900865","ICTVonline=201900865")</f>
        <v>ICTVonline=201900865</v>
      </c>
      <c r="Y1479" s="1" t="s">
        <v>9561</v>
      </c>
      <c r="AA1479" s="1">
        <v>201900000</v>
      </c>
      <c r="AB1479" s="1">
        <v>35</v>
      </c>
    </row>
    <row r="1480" spans="1:28" x14ac:dyDescent="0.2">
      <c r="A1480" s="1">
        <v>4057</v>
      </c>
      <c r="B1480" s="1" t="s">
        <v>6850</v>
      </c>
      <c r="D1480" s="1" t="s">
        <v>6851</v>
      </c>
      <c r="F1480" s="1" t="s">
        <v>6914</v>
      </c>
      <c r="H1480" s="1" t="s">
        <v>6915</v>
      </c>
      <c r="J1480" s="1" t="s">
        <v>1324</v>
      </c>
      <c r="L1480" s="1" t="s">
        <v>895</v>
      </c>
      <c r="N1480" s="1" t="s">
        <v>3088</v>
      </c>
      <c r="P1480" s="1" t="s">
        <v>9562</v>
      </c>
      <c r="Q1480" s="3">
        <v>0</v>
      </c>
      <c r="R1480" s="23" t="s">
        <v>6854</v>
      </c>
      <c r="S1480" s="23" t="s">
        <v>6849</v>
      </c>
      <c r="T1480" s="23" t="s">
        <v>4866</v>
      </c>
      <c r="U1480" s="3">
        <v>35</v>
      </c>
      <c r="V1480" s="3" t="s">
        <v>9563</v>
      </c>
      <c r="W1480" s="45" t="str">
        <f>HYPERLINK("http://ictvonline.org/taxonomy/p/taxonomy-history?taxnode_id=201900866","ICTVonline=201900866")</f>
        <v>ICTVonline=201900866</v>
      </c>
      <c r="Y1480" s="1" t="s">
        <v>9564</v>
      </c>
      <c r="AA1480" s="1">
        <v>201900000</v>
      </c>
      <c r="AB1480" s="1">
        <v>35</v>
      </c>
    </row>
    <row r="1481" spans="1:28" x14ac:dyDescent="0.2">
      <c r="A1481" s="1">
        <v>4059</v>
      </c>
      <c r="B1481" s="1" t="s">
        <v>6850</v>
      </c>
      <c r="D1481" s="1" t="s">
        <v>6851</v>
      </c>
      <c r="F1481" s="1" t="s">
        <v>6914</v>
      </c>
      <c r="H1481" s="1" t="s">
        <v>6915</v>
      </c>
      <c r="J1481" s="1" t="s">
        <v>1324</v>
      </c>
      <c r="L1481" s="1" t="s">
        <v>895</v>
      </c>
      <c r="N1481" s="1" t="s">
        <v>3088</v>
      </c>
      <c r="P1481" s="1" t="s">
        <v>3091</v>
      </c>
      <c r="Q1481" s="3">
        <v>0</v>
      </c>
      <c r="R1481" s="23" t="s">
        <v>6854</v>
      </c>
      <c r="S1481" s="23" t="s">
        <v>6845</v>
      </c>
      <c r="T1481" s="23" t="s">
        <v>4866</v>
      </c>
      <c r="U1481" s="3">
        <v>35</v>
      </c>
      <c r="W1481" s="45" t="str">
        <f>HYPERLINK("http://ictvonline.org/taxonomy/p/taxonomy-history?taxnode_id=201900867","ICTVonline=201900867")</f>
        <v>ICTVonline=201900867</v>
      </c>
      <c r="Y1481" s="1" t="s">
        <v>9565</v>
      </c>
      <c r="AA1481" s="1">
        <v>201900000</v>
      </c>
      <c r="AB1481" s="1">
        <v>35</v>
      </c>
    </row>
    <row r="1482" spans="1:28" x14ac:dyDescent="0.2">
      <c r="A1482" s="1">
        <v>4063</v>
      </c>
      <c r="B1482" s="1" t="s">
        <v>6850</v>
      </c>
      <c r="D1482" s="1" t="s">
        <v>6851</v>
      </c>
      <c r="F1482" s="1" t="s">
        <v>6914</v>
      </c>
      <c r="H1482" s="1" t="s">
        <v>6915</v>
      </c>
      <c r="J1482" s="1" t="s">
        <v>1324</v>
      </c>
      <c r="L1482" s="1" t="s">
        <v>895</v>
      </c>
      <c r="N1482" s="1" t="s">
        <v>6351</v>
      </c>
      <c r="P1482" s="1" t="s">
        <v>3337</v>
      </c>
      <c r="Q1482" s="3">
        <v>0</v>
      </c>
      <c r="R1482" s="23" t="s">
        <v>6854</v>
      </c>
      <c r="S1482" s="23" t="s">
        <v>6845</v>
      </c>
      <c r="T1482" s="23" t="s">
        <v>4866</v>
      </c>
      <c r="U1482" s="3">
        <v>35</v>
      </c>
      <c r="W1482" s="45" t="str">
        <f>HYPERLINK("http://ictvonline.org/taxonomy/p/taxonomy-history?taxnode_id=201901267","ICTVonline=201901267")</f>
        <v>ICTVonline=201901267</v>
      </c>
      <c r="Y1482" s="1" t="s">
        <v>9566</v>
      </c>
      <c r="AA1482" s="1">
        <v>201900000</v>
      </c>
      <c r="AB1482" s="1">
        <v>35</v>
      </c>
    </row>
    <row r="1483" spans="1:28" x14ac:dyDescent="0.2">
      <c r="A1483" s="1">
        <v>4065</v>
      </c>
      <c r="B1483" s="1" t="s">
        <v>6850</v>
      </c>
      <c r="D1483" s="1" t="s">
        <v>6851</v>
      </c>
      <c r="F1483" s="1" t="s">
        <v>6914</v>
      </c>
      <c r="H1483" s="1" t="s">
        <v>6915</v>
      </c>
      <c r="J1483" s="1" t="s">
        <v>1324</v>
      </c>
      <c r="L1483" s="1" t="s">
        <v>895</v>
      </c>
      <c r="N1483" s="1" t="s">
        <v>6351</v>
      </c>
      <c r="P1483" s="1" t="s">
        <v>3338</v>
      </c>
      <c r="Q1483" s="3">
        <v>0</v>
      </c>
      <c r="R1483" s="23" t="s">
        <v>6854</v>
      </c>
      <c r="S1483" s="23" t="s">
        <v>6845</v>
      </c>
      <c r="T1483" s="23" t="s">
        <v>4866</v>
      </c>
      <c r="U1483" s="3">
        <v>35</v>
      </c>
      <c r="W1483" s="45" t="str">
        <f>HYPERLINK("http://ictvonline.org/taxonomy/p/taxonomy-history?taxnode_id=201901268","ICTVonline=201901268")</f>
        <v>ICTVonline=201901268</v>
      </c>
      <c r="Y1483" s="1" t="s">
        <v>9567</v>
      </c>
      <c r="AA1483" s="1">
        <v>201900000</v>
      </c>
      <c r="AB1483" s="1">
        <v>35</v>
      </c>
    </row>
    <row r="1484" spans="1:28" x14ac:dyDescent="0.2">
      <c r="A1484" s="1">
        <v>4067</v>
      </c>
      <c r="B1484" s="1" t="s">
        <v>6850</v>
      </c>
      <c r="D1484" s="1" t="s">
        <v>6851</v>
      </c>
      <c r="F1484" s="1" t="s">
        <v>6914</v>
      </c>
      <c r="H1484" s="1" t="s">
        <v>6915</v>
      </c>
      <c r="J1484" s="1" t="s">
        <v>1324</v>
      </c>
      <c r="L1484" s="1" t="s">
        <v>895</v>
      </c>
      <c r="N1484" s="1" t="s">
        <v>6351</v>
      </c>
      <c r="P1484" s="1" t="s">
        <v>3339</v>
      </c>
      <c r="Q1484" s="3">
        <v>0</v>
      </c>
      <c r="R1484" s="23" t="s">
        <v>6854</v>
      </c>
      <c r="S1484" s="23" t="s">
        <v>6845</v>
      </c>
      <c r="T1484" s="23" t="s">
        <v>4866</v>
      </c>
      <c r="U1484" s="3">
        <v>35</v>
      </c>
      <c r="W1484" s="45" t="str">
        <f>HYPERLINK("http://ictvonline.org/taxonomy/p/taxonomy-history?taxnode_id=201901269","ICTVonline=201901269")</f>
        <v>ICTVonline=201901269</v>
      </c>
      <c r="Y1484" s="1" t="s">
        <v>9568</v>
      </c>
      <c r="AA1484" s="1">
        <v>201900000</v>
      </c>
      <c r="AB1484" s="1">
        <v>35</v>
      </c>
    </row>
    <row r="1485" spans="1:28" x14ac:dyDescent="0.2">
      <c r="A1485" s="1">
        <v>4069</v>
      </c>
      <c r="B1485" s="1" t="s">
        <v>6850</v>
      </c>
      <c r="D1485" s="1" t="s">
        <v>6851</v>
      </c>
      <c r="F1485" s="1" t="s">
        <v>6914</v>
      </c>
      <c r="H1485" s="1" t="s">
        <v>6915</v>
      </c>
      <c r="J1485" s="1" t="s">
        <v>1324</v>
      </c>
      <c r="L1485" s="1" t="s">
        <v>895</v>
      </c>
      <c r="N1485" s="1" t="s">
        <v>6351</v>
      </c>
      <c r="P1485" s="1" t="s">
        <v>3340</v>
      </c>
      <c r="Q1485" s="3">
        <v>0</v>
      </c>
      <c r="R1485" s="23" t="s">
        <v>6854</v>
      </c>
      <c r="S1485" s="23" t="s">
        <v>6845</v>
      </c>
      <c r="T1485" s="23" t="s">
        <v>4866</v>
      </c>
      <c r="U1485" s="3">
        <v>35</v>
      </c>
      <c r="W1485" s="45" t="str">
        <f>HYPERLINK("http://ictvonline.org/taxonomy/p/taxonomy-history?taxnode_id=201901270","ICTVonline=201901270")</f>
        <v>ICTVonline=201901270</v>
      </c>
      <c r="Y1485" s="1" t="s">
        <v>9569</v>
      </c>
      <c r="AA1485" s="1">
        <v>201900000</v>
      </c>
      <c r="AB1485" s="1">
        <v>35</v>
      </c>
    </row>
    <row r="1486" spans="1:28" x14ac:dyDescent="0.2">
      <c r="A1486" s="1">
        <v>4071</v>
      </c>
      <c r="B1486" s="1" t="s">
        <v>6850</v>
      </c>
      <c r="D1486" s="1" t="s">
        <v>6851</v>
      </c>
      <c r="F1486" s="1" t="s">
        <v>6914</v>
      </c>
      <c r="H1486" s="1" t="s">
        <v>6915</v>
      </c>
      <c r="J1486" s="1" t="s">
        <v>1324</v>
      </c>
      <c r="L1486" s="1" t="s">
        <v>895</v>
      </c>
      <c r="N1486" s="1" t="s">
        <v>6351</v>
      </c>
      <c r="P1486" s="1" t="s">
        <v>3341</v>
      </c>
      <c r="Q1486" s="3">
        <v>1</v>
      </c>
      <c r="R1486" s="23" t="s">
        <v>6854</v>
      </c>
      <c r="S1486" s="23" t="s">
        <v>6845</v>
      </c>
      <c r="T1486" s="23" t="s">
        <v>4866</v>
      </c>
      <c r="U1486" s="3">
        <v>35</v>
      </c>
      <c r="W1486" s="45" t="str">
        <f>HYPERLINK("http://ictvonline.org/taxonomy/p/taxonomy-history?taxnode_id=201901271","ICTVonline=201901271")</f>
        <v>ICTVonline=201901271</v>
      </c>
      <c r="Y1486" s="1" t="s">
        <v>9570</v>
      </c>
      <c r="AA1486" s="1">
        <v>201900000</v>
      </c>
      <c r="AB1486" s="1">
        <v>35</v>
      </c>
    </row>
    <row r="1487" spans="1:28" x14ac:dyDescent="0.2">
      <c r="A1487" s="1">
        <v>4075</v>
      </c>
      <c r="B1487" s="1" t="s">
        <v>6850</v>
      </c>
      <c r="D1487" s="1" t="s">
        <v>6851</v>
      </c>
      <c r="F1487" s="1" t="s">
        <v>6914</v>
      </c>
      <c r="H1487" s="1" t="s">
        <v>6915</v>
      </c>
      <c r="J1487" s="1" t="s">
        <v>1324</v>
      </c>
      <c r="L1487" s="1" t="s">
        <v>895</v>
      </c>
      <c r="N1487" s="1" t="s">
        <v>6352</v>
      </c>
      <c r="P1487" s="1" t="s">
        <v>3152</v>
      </c>
      <c r="Q1487" s="3">
        <v>1</v>
      </c>
      <c r="R1487" s="23" t="s">
        <v>6854</v>
      </c>
      <c r="S1487" s="23" t="s">
        <v>6845</v>
      </c>
      <c r="T1487" s="23" t="s">
        <v>4866</v>
      </c>
      <c r="U1487" s="3">
        <v>35</v>
      </c>
      <c r="W1487" s="45" t="str">
        <f>HYPERLINK("http://ictvonline.org/taxonomy/p/taxonomy-history?taxnode_id=201900945","ICTVonline=201900945")</f>
        <v>ICTVonline=201900945</v>
      </c>
      <c r="Y1487" s="1" t="s">
        <v>9571</v>
      </c>
      <c r="AA1487" s="1">
        <v>201900000</v>
      </c>
      <c r="AB1487" s="1">
        <v>35</v>
      </c>
    </row>
    <row r="1488" spans="1:28" x14ac:dyDescent="0.2">
      <c r="A1488" s="1">
        <v>4077</v>
      </c>
      <c r="B1488" s="1" t="s">
        <v>6850</v>
      </c>
      <c r="D1488" s="1" t="s">
        <v>6851</v>
      </c>
      <c r="F1488" s="1" t="s">
        <v>6914</v>
      </c>
      <c r="H1488" s="1" t="s">
        <v>6915</v>
      </c>
      <c r="J1488" s="1" t="s">
        <v>1324</v>
      </c>
      <c r="L1488" s="1" t="s">
        <v>895</v>
      </c>
      <c r="N1488" s="1" t="s">
        <v>6352</v>
      </c>
      <c r="P1488" s="1" t="s">
        <v>3153</v>
      </c>
      <c r="Q1488" s="3">
        <v>0</v>
      </c>
      <c r="R1488" s="23" t="s">
        <v>6854</v>
      </c>
      <c r="S1488" s="23" t="s">
        <v>6845</v>
      </c>
      <c r="T1488" s="23" t="s">
        <v>4866</v>
      </c>
      <c r="U1488" s="3">
        <v>35</v>
      </c>
      <c r="W1488" s="45" t="str">
        <f>HYPERLINK("http://ictvonline.org/taxonomy/p/taxonomy-history?taxnode_id=201900946","ICTVonline=201900946")</f>
        <v>ICTVonline=201900946</v>
      </c>
      <c r="Y1488" s="1" t="s">
        <v>9572</v>
      </c>
      <c r="AA1488" s="1">
        <v>201900000</v>
      </c>
      <c r="AB1488" s="1">
        <v>35</v>
      </c>
    </row>
    <row r="1489" spans="1:28" x14ac:dyDescent="0.2">
      <c r="A1489" s="1">
        <v>4079</v>
      </c>
      <c r="B1489" s="1" t="s">
        <v>6850</v>
      </c>
      <c r="D1489" s="1" t="s">
        <v>6851</v>
      </c>
      <c r="F1489" s="1" t="s">
        <v>6914</v>
      </c>
      <c r="H1489" s="1" t="s">
        <v>6915</v>
      </c>
      <c r="J1489" s="1" t="s">
        <v>1324</v>
      </c>
      <c r="L1489" s="1" t="s">
        <v>895</v>
      </c>
      <c r="N1489" s="1" t="s">
        <v>6352</v>
      </c>
      <c r="P1489" s="1" t="s">
        <v>3154</v>
      </c>
      <c r="Q1489" s="3">
        <v>0</v>
      </c>
      <c r="R1489" s="23" t="s">
        <v>6854</v>
      </c>
      <c r="S1489" s="23" t="s">
        <v>6845</v>
      </c>
      <c r="T1489" s="23" t="s">
        <v>4866</v>
      </c>
      <c r="U1489" s="3">
        <v>35</v>
      </c>
      <c r="W1489" s="45" t="str">
        <f>HYPERLINK("http://ictvonline.org/taxonomy/p/taxonomy-history?taxnode_id=201900947","ICTVonline=201900947")</f>
        <v>ICTVonline=201900947</v>
      </c>
      <c r="Y1489" s="1" t="s">
        <v>9573</v>
      </c>
      <c r="AA1489" s="1">
        <v>201900000</v>
      </c>
      <c r="AB1489" s="1">
        <v>35</v>
      </c>
    </row>
    <row r="1490" spans="1:28" x14ac:dyDescent="0.2">
      <c r="A1490" s="1">
        <v>4081</v>
      </c>
      <c r="B1490" s="1" t="s">
        <v>6850</v>
      </c>
      <c r="D1490" s="1" t="s">
        <v>6851</v>
      </c>
      <c r="F1490" s="1" t="s">
        <v>6914</v>
      </c>
      <c r="H1490" s="1" t="s">
        <v>6915</v>
      </c>
      <c r="J1490" s="1" t="s">
        <v>1324</v>
      </c>
      <c r="L1490" s="1" t="s">
        <v>895</v>
      </c>
      <c r="N1490" s="1" t="s">
        <v>6352</v>
      </c>
      <c r="P1490" s="1" t="s">
        <v>3155</v>
      </c>
      <c r="Q1490" s="3">
        <v>0</v>
      </c>
      <c r="R1490" s="23" t="s">
        <v>6854</v>
      </c>
      <c r="S1490" s="23" t="s">
        <v>6845</v>
      </c>
      <c r="T1490" s="23" t="s">
        <v>4866</v>
      </c>
      <c r="U1490" s="3">
        <v>35</v>
      </c>
      <c r="W1490" s="45" t="str">
        <f>HYPERLINK("http://ictvonline.org/taxonomy/p/taxonomy-history?taxnode_id=201900948","ICTVonline=201900948")</f>
        <v>ICTVonline=201900948</v>
      </c>
      <c r="Y1490" s="1" t="s">
        <v>9574</v>
      </c>
      <c r="AA1490" s="1">
        <v>201900000</v>
      </c>
      <c r="AB1490" s="1">
        <v>35</v>
      </c>
    </row>
    <row r="1491" spans="1:28" x14ac:dyDescent="0.2">
      <c r="A1491" s="1">
        <v>4083</v>
      </c>
      <c r="B1491" s="1" t="s">
        <v>6850</v>
      </c>
      <c r="D1491" s="1" t="s">
        <v>6851</v>
      </c>
      <c r="F1491" s="1" t="s">
        <v>6914</v>
      </c>
      <c r="H1491" s="1" t="s">
        <v>6915</v>
      </c>
      <c r="J1491" s="1" t="s">
        <v>1324</v>
      </c>
      <c r="L1491" s="1" t="s">
        <v>895</v>
      </c>
      <c r="N1491" s="1" t="s">
        <v>6352</v>
      </c>
      <c r="P1491" s="1" t="s">
        <v>3156</v>
      </c>
      <c r="Q1491" s="3">
        <v>0</v>
      </c>
      <c r="R1491" s="23" t="s">
        <v>6854</v>
      </c>
      <c r="S1491" s="23" t="s">
        <v>6845</v>
      </c>
      <c r="T1491" s="23" t="s">
        <v>4866</v>
      </c>
      <c r="U1491" s="3">
        <v>35</v>
      </c>
      <c r="W1491" s="45" t="str">
        <f>HYPERLINK("http://ictvonline.org/taxonomy/p/taxonomy-history?taxnode_id=201900949","ICTVonline=201900949")</f>
        <v>ICTVonline=201900949</v>
      </c>
      <c r="Y1491" s="1" t="s">
        <v>9575</v>
      </c>
      <c r="AA1491" s="1">
        <v>201900000</v>
      </c>
      <c r="AB1491" s="1">
        <v>35</v>
      </c>
    </row>
    <row r="1492" spans="1:28" x14ac:dyDescent="0.2">
      <c r="A1492" s="1">
        <v>4085</v>
      </c>
      <c r="B1492" s="1" t="s">
        <v>6850</v>
      </c>
      <c r="D1492" s="1" t="s">
        <v>6851</v>
      </c>
      <c r="F1492" s="1" t="s">
        <v>6914</v>
      </c>
      <c r="H1492" s="1" t="s">
        <v>6915</v>
      </c>
      <c r="J1492" s="1" t="s">
        <v>1324</v>
      </c>
      <c r="L1492" s="1" t="s">
        <v>895</v>
      </c>
      <c r="N1492" s="1" t="s">
        <v>6352</v>
      </c>
      <c r="P1492" s="1" t="s">
        <v>3157</v>
      </c>
      <c r="Q1492" s="3">
        <v>0</v>
      </c>
      <c r="R1492" s="23" t="s">
        <v>6854</v>
      </c>
      <c r="S1492" s="23" t="s">
        <v>6845</v>
      </c>
      <c r="T1492" s="23" t="s">
        <v>4866</v>
      </c>
      <c r="U1492" s="3">
        <v>35</v>
      </c>
      <c r="W1492" s="45" t="str">
        <f>HYPERLINK("http://ictvonline.org/taxonomy/p/taxonomy-history?taxnode_id=201900950","ICTVonline=201900950")</f>
        <v>ICTVonline=201900950</v>
      </c>
      <c r="Y1492" s="1" t="s">
        <v>9576</v>
      </c>
      <c r="AA1492" s="1">
        <v>201900000</v>
      </c>
      <c r="AB1492" s="1">
        <v>35</v>
      </c>
    </row>
    <row r="1493" spans="1:28" x14ac:dyDescent="0.2">
      <c r="A1493" s="1">
        <v>4087</v>
      </c>
      <c r="B1493" s="1" t="s">
        <v>6850</v>
      </c>
      <c r="D1493" s="1" t="s">
        <v>6851</v>
      </c>
      <c r="F1493" s="1" t="s">
        <v>6914</v>
      </c>
      <c r="H1493" s="1" t="s">
        <v>6915</v>
      </c>
      <c r="J1493" s="1" t="s">
        <v>1324</v>
      </c>
      <c r="L1493" s="1" t="s">
        <v>895</v>
      </c>
      <c r="N1493" s="1" t="s">
        <v>6352</v>
      </c>
      <c r="P1493" s="1" t="s">
        <v>3158</v>
      </c>
      <c r="Q1493" s="3">
        <v>0</v>
      </c>
      <c r="R1493" s="23" t="s">
        <v>6854</v>
      </c>
      <c r="S1493" s="23" t="s">
        <v>6845</v>
      </c>
      <c r="T1493" s="23" t="s">
        <v>4866</v>
      </c>
      <c r="U1493" s="3">
        <v>35</v>
      </c>
      <c r="W1493" s="45" t="str">
        <f>HYPERLINK("http://ictvonline.org/taxonomy/p/taxonomy-history?taxnode_id=201900951","ICTVonline=201900951")</f>
        <v>ICTVonline=201900951</v>
      </c>
      <c r="Y1493" s="1" t="s">
        <v>9577</v>
      </c>
      <c r="AA1493" s="1">
        <v>201900000</v>
      </c>
      <c r="AB1493" s="1">
        <v>35</v>
      </c>
    </row>
    <row r="1494" spans="1:28" x14ac:dyDescent="0.2">
      <c r="A1494" s="1">
        <v>4089</v>
      </c>
      <c r="B1494" s="1" t="s">
        <v>6850</v>
      </c>
      <c r="D1494" s="1" t="s">
        <v>6851</v>
      </c>
      <c r="F1494" s="1" t="s">
        <v>6914</v>
      </c>
      <c r="H1494" s="1" t="s">
        <v>6915</v>
      </c>
      <c r="J1494" s="1" t="s">
        <v>1324</v>
      </c>
      <c r="L1494" s="1" t="s">
        <v>895</v>
      </c>
      <c r="N1494" s="1" t="s">
        <v>6352</v>
      </c>
      <c r="P1494" s="1" t="s">
        <v>3159</v>
      </c>
      <c r="Q1494" s="3">
        <v>0</v>
      </c>
      <c r="R1494" s="23" t="s">
        <v>6854</v>
      </c>
      <c r="S1494" s="23" t="s">
        <v>6845</v>
      </c>
      <c r="T1494" s="23" t="s">
        <v>4866</v>
      </c>
      <c r="U1494" s="3">
        <v>35</v>
      </c>
      <c r="W1494" s="45" t="str">
        <f>HYPERLINK("http://ictvonline.org/taxonomy/p/taxonomy-history?taxnode_id=201900952","ICTVonline=201900952")</f>
        <v>ICTVonline=201900952</v>
      </c>
      <c r="Y1494" s="1" t="s">
        <v>9578</v>
      </c>
      <c r="AA1494" s="1">
        <v>201900000</v>
      </c>
      <c r="AB1494" s="1">
        <v>35</v>
      </c>
    </row>
    <row r="1495" spans="1:28" x14ac:dyDescent="0.2">
      <c r="A1495" s="1">
        <v>4093</v>
      </c>
      <c r="B1495" s="1" t="s">
        <v>6850</v>
      </c>
      <c r="D1495" s="1" t="s">
        <v>6851</v>
      </c>
      <c r="F1495" s="1" t="s">
        <v>6914</v>
      </c>
      <c r="H1495" s="1" t="s">
        <v>6915</v>
      </c>
      <c r="J1495" s="1" t="s">
        <v>1324</v>
      </c>
      <c r="L1495" s="1" t="s">
        <v>895</v>
      </c>
      <c r="N1495" s="1" t="s">
        <v>3099</v>
      </c>
      <c r="P1495" s="1" t="s">
        <v>3100</v>
      </c>
      <c r="Q1495" s="3">
        <v>1</v>
      </c>
      <c r="R1495" s="23" t="s">
        <v>6854</v>
      </c>
      <c r="S1495" s="23" t="s">
        <v>6845</v>
      </c>
      <c r="T1495" s="23" t="s">
        <v>4866</v>
      </c>
      <c r="U1495" s="3">
        <v>35</v>
      </c>
      <c r="W1495" s="45" t="str">
        <f>HYPERLINK("http://ictvonline.org/taxonomy/p/taxonomy-history?taxnode_id=201900883","ICTVonline=201900883")</f>
        <v>ICTVonline=201900883</v>
      </c>
      <c r="Y1495" s="1" t="s">
        <v>9579</v>
      </c>
      <c r="Z1495" s="1" t="s">
        <v>9580</v>
      </c>
      <c r="AA1495" s="1">
        <v>201900000</v>
      </c>
      <c r="AB1495" s="1">
        <v>35</v>
      </c>
    </row>
    <row r="1496" spans="1:28" x14ac:dyDescent="0.2">
      <c r="A1496" s="1">
        <v>4097</v>
      </c>
      <c r="B1496" s="1" t="s">
        <v>6850</v>
      </c>
      <c r="D1496" s="1" t="s">
        <v>6851</v>
      </c>
      <c r="F1496" s="1" t="s">
        <v>6914</v>
      </c>
      <c r="H1496" s="1" t="s">
        <v>6915</v>
      </c>
      <c r="J1496" s="1" t="s">
        <v>1324</v>
      </c>
      <c r="L1496" s="1" t="s">
        <v>895</v>
      </c>
      <c r="N1496" s="1" t="s">
        <v>3101</v>
      </c>
      <c r="P1496" s="1" t="s">
        <v>3102</v>
      </c>
      <c r="Q1496" s="3">
        <v>0</v>
      </c>
      <c r="R1496" s="23" t="s">
        <v>6854</v>
      </c>
      <c r="S1496" s="23" t="s">
        <v>6845</v>
      </c>
      <c r="T1496" s="23" t="s">
        <v>4866</v>
      </c>
      <c r="U1496" s="3">
        <v>35</v>
      </c>
      <c r="W1496" s="45" t="str">
        <f>HYPERLINK("http://ictvonline.org/taxonomy/p/taxonomy-history?taxnode_id=201900885","ICTVonline=201900885")</f>
        <v>ICTVonline=201900885</v>
      </c>
      <c r="Y1496" s="1" t="s">
        <v>9581</v>
      </c>
      <c r="AA1496" s="1">
        <v>201900000</v>
      </c>
      <c r="AB1496" s="1">
        <v>35</v>
      </c>
    </row>
    <row r="1497" spans="1:28" x14ac:dyDescent="0.2">
      <c r="A1497" s="1">
        <v>4099</v>
      </c>
      <c r="B1497" s="1" t="s">
        <v>6850</v>
      </c>
      <c r="D1497" s="1" t="s">
        <v>6851</v>
      </c>
      <c r="F1497" s="1" t="s">
        <v>6914</v>
      </c>
      <c r="H1497" s="1" t="s">
        <v>6915</v>
      </c>
      <c r="J1497" s="1" t="s">
        <v>1324</v>
      </c>
      <c r="L1497" s="1" t="s">
        <v>895</v>
      </c>
      <c r="N1497" s="1" t="s">
        <v>3101</v>
      </c>
      <c r="P1497" s="1" t="s">
        <v>3103</v>
      </c>
      <c r="Q1497" s="3">
        <v>1</v>
      </c>
      <c r="R1497" s="23" t="s">
        <v>6854</v>
      </c>
      <c r="S1497" s="23" t="s">
        <v>6845</v>
      </c>
      <c r="T1497" s="23" t="s">
        <v>4866</v>
      </c>
      <c r="U1497" s="3">
        <v>35</v>
      </c>
      <c r="W1497" s="45" t="str">
        <f>HYPERLINK("http://ictvonline.org/taxonomy/p/taxonomy-history?taxnode_id=201900886","ICTVonline=201900886")</f>
        <v>ICTVonline=201900886</v>
      </c>
      <c r="Y1497" s="1" t="s">
        <v>9582</v>
      </c>
      <c r="AA1497" s="1">
        <v>201900000</v>
      </c>
      <c r="AB1497" s="1">
        <v>35</v>
      </c>
    </row>
    <row r="1498" spans="1:28" x14ac:dyDescent="0.2">
      <c r="A1498" s="1">
        <v>4103</v>
      </c>
      <c r="B1498" s="1" t="s">
        <v>6850</v>
      </c>
      <c r="D1498" s="1" t="s">
        <v>6851</v>
      </c>
      <c r="F1498" s="1" t="s">
        <v>6914</v>
      </c>
      <c r="H1498" s="1" t="s">
        <v>6915</v>
      </c>
      <c r="J1498" s="1" t="s">
        <v>1324</v>
      </c>
      <c r="L1498" s="1" t="s">
        <v>895</v>
      </c>
      <c r="N1498" s="1" t="s">
        <v>6353</v>
      </c>
      <c r="P1498" s="1" t="s">
        <v>3092</v>
      </c>
      <c r="Q1498" s="3">
        <v>0</v>
      </c>
      <c r="R1498" s="23" t="s">
        <v>6854</v>
      </c>
      <c r="S1498" s="23" t="s">
        <v>6845</v>
      </c>
      <c r="T1498" s="23" t="s">
        <v>4866</v>
      </c>
      <c r="U1498" s="3">
        <v>35</v>
      </c>
      <c r="W1498" s="45" t="str">
        <f>HYPERLINK("http://ictvonline.org/taxonomy/p/taxonomy-history?taxnode_id=201900869","ICTVonline=201900869")</f>
        <v>ICTVonline=201900869</v>
      </c>
      <c r="AA1498" s="1">
        <v>201900000</v>
      </c>
      <c r="AB1498" s="1">
        <v>35</v>
      </c>
    </row>
    <row r="1499" spans="1:28" x14ac:dyDescent="0.2">
      <c r="A1499" s="1">
        <v>4105</v>
      </c>
      <c r="B1499" s="1" t="s">
        <v>6850</v>
      </c>
      <c r="D1499" s="1" t="s">
        <v>6851</v>
      </c>
      <c r="F1499" s="1" t="s">
        <v>6914</v>
      </c>
      <c r="H1499" s="1" t="s">
        <v>6915</v>
      </c>
      <c r="J1499" s="1" t="s">
        <v>1324</v>
      </c>
      <c r="L1499" s="1" t="s">
        <v>895</v>
      </c>
      <c r="N1499" s="1" t="s">
        <v>6353</v>
      </c>
      <c r="P1499" s="1" t="s">
        <v>3093</v>
      </c>
      <c r="Q1499" s="3">
        <v>1</v>
      </c>
      <c r="R1499" s="23" t="s">
        <v>6854</v>
      </c>
      <c r="S1499" s="23" t="s">
        <v>6845</v>
      </c>
      <c r="T1499" s="23" t="s">
        <v>4866</v>
      </c>
      <c r="U1499" s="3">
        <v>35</v>
      </c>
      <c r="W1499" s="45" t="str">
        <f>HYPERLINK("http://ictvonline.org/taxonomy/p/taxonomy-history?taxnode_id=201900870","ICTVonline=201900870")</f>
        <v>ICTVonline=201900870</v>
      </c>
      <c r="AA1499" s="1">
        <v>201900000</v>
      </c>
      <c r="AB1499" s="1">
        <v>35</v>
      </c>
    </row>
    <row r="1500" spans="1:28" x14ac:dyDescent="0.2">
      <c r="A1500" s="1">
        <v>4109</v>
      </c>
      <c r="B1500" s="1" t="s">
        <v>6850</v>
      </c>
      <c r="D1500" s="1" t="s">
        <v>6851</v>
      </c>
      <c r="F1500" s="1" t="s">
        <v>6914</v>
      </c>
      <c r="H1500" s="1" t="s">
        <v>6915</v>
      </c>
      <c r="J1500" s="1" t="s">
        <v>1324</v>
      </c>
      <c r="L1500" s="1" t="s">
        <v>895</v>
      </c>
      <c r="N1500" s="1" t="s">
        <v>6354</v>
      </c>
      <c r="P1500" s="1" t="s">
        <v>6355</v>
      </c>
      <c r="Q1500" s="3">
        <v>1</v>
      </c>
      <c r="R1500" s="23" t="s">
        <v>6854</v>
      </c>
      <c r="S1500" s="23" t="s">
        <v>6845</v>
      </c>
      <c r="T1500" s="23" t="s">
        <v>4866</v>
      </c>
      <c r="U1500" s="3">
        <v>35</v>
      </c>
      <c r="W1500" s="45" t="str">
        <f>HYPERLINK("http://ictvonline.org/taxonomy/p/taxonomy-history?taxnode_id=201906763","ICTVonline=201906763")</f>
        <v>ICTVonline=201906763</v>
      </c>
      <c r="Y1500" s="1" t="s">
        <v>9583</v>
      </c>
      <c r="Z1500" s="1" t="s">
        <v>9584</v>
      </c>
      <c r="AA1500" s="1">
        <v>201900000</v>
      </c>
      <c r="AB1500" s="1">
        <v>35</v>
      </c>
    </row>
    <row r="1501" spans="1:28" x14ac:dyDescent="0.2">
      <c r="A1501" s="1">
        <v>4111</v>
      </c>
      <c r="B1501" s="1" t="s">
        <v>6850</v>
      </c>
      <c r="D1501" s="1" t="s">
        <v>6851</v>
      </c>
      <c r="F1501" s="1" t="s">
        <v>6914</v>
      </c>
      <c r="H1501" s="1" t="s">
        <v>6915</v>
      </c>
      <c r="J1501" s="1" t="s">
        <v>1324</v>
      </c>
      <c r="L1501" s="1" t="s">
        <v>895</v>
      </c>
      <c r="N1501" s="1" t="s">
        <v>6354</v>
      </c>
      <c r="P1501" s="1" t="s">
        <v>6356</v>
      </c>
      <c r="Q1501" s="3">
        <v>0</v>
      </c>
      <c r="R1501" s="23" t="s">
        <v>6854</v>
      </c>
      <c r="S1501" s="23" t="s">
        <v>6845</v>
      </c>
      <c r="T1501" s="23" t="s">
        <v>4866</v>
      </c>
      <c r="U1501" s="3">
        <v>35</v>
      </c>
      <c r="W1501" s="45" t="str">
        <f>HYPERLINK("http://ictvonline.org/taxonomy/p/taxonomy-history?taxnode_id=201906765","ICTVonline=201906765")</f>
        <v>ICTVonline=201906765</v>
      </c>
      <c r="Y1501" s="1" t="s">
        <v>9585</v>
      </c>
      <c r="Z1501" s="1" t="s">
        <v>9586</v>
      </c>
      <c r="AA1501" s="1">
        <v>201900000</v>
      </c>
      <c r="AB1501" s="1">
        <v>35</v>
      </c>
    </row>
    <row r="1502" spans="1:28" x14ac:dyDescent="0.2">
      <c r="A1502" s="1">
        <v>4113</v>
      </c>
      <c r="B1502" s="1" t="s">
        <v>6850</v>
      </c>
      <c r="D1502" s="1" t="s">
        <v>6851</v>
      </c>
      <c r="F1502" s="1" t="s">
        <v>6914</v>
      </c>
      <c r="H1502" s="1" t="s">
        <v>6915</v>
      </c>
      <c r="J1502" s="1" t="s">
        <v>1324</v>
      </c>
      <c r="L1502" s="1" t="s">
        <v>895</v>
      </c>
      <c r="N1502" s="1" t="s">
        <v>6354</v>
      </c>
      <c r="P1502" s="1" t="s">
        <v>6357</v>
      </c>
      <c r="Q1502" s="3">
        <v>0</v>
      </c>
      <c r="R1502" s="23" t="s">
        <v>6854</v>
      </c>
      <c r="S1502" s="23" t="s">
        <v>6845</v>
      </c>
      <c r="T1502" s="23" t="s">
        <v>4866</v>
      </c>
      <c r="U1502" s="3">
        <v>35</v>
      </c>
      <c r="W1502" s="45" t="str">
        <f>HYPERLINK("http://ictvonline.org/taxonomy/p/taxonomy-history?taxnode_id=201906764","ICTVonline=201906764")</f>
        <v>ICTVonline=201906764</v>
      </c>
      <c r="Y1502" s="1" t="s">
        <v>9587</v>
      </c>
      <c r="Z1502" s="1" t="s">
        <v>9588</v>
      </c>
      <c r="AA1502" s="1">
        <v>201900000</v>
      </c>
      <c r="AB1502" s="1">
        <v>35</v>
      </c>
    </row>
    <row r="1503" spans="1:28" x14ac:dyDescent="0.2">
      <c r="A1503" s="1">
        <v>4117</v>
      </c>
      <c r="B1503" s="1" t="s">
        <v>6850</v>
      </c>
      <c r="D1503" s="1" t="s">
        <v>6851</v>
      </c>
      <c r="F1503" s="1" t="s">
        <v>6914</v>
      </c>
      <c r="H1503" s="1" t="s">
        <v>6915</v>
      </c>
      <c r="J1503" s="1" t="s">
        <v>1324</v>
      </c>
      <c r="L1503" s="1" t="s">
        <v>895</v>
      </c>
      <c r="N1503" s="1" t="s">
        <v>6358</v>
      </c>
      <c r="P1503" s="1" t="s">
        <v>3094</v>
      </c>
      <c r="Q1503" s="3">
        <v>1</v>
      </c>
      <c r="R1503" s="23" t="s">
        <v>6854</v>
      </c>
      <c r="S1503" s="23" t="s">
        <v>6845</v>
      </c>
      <c r="T1503" s="23" t="s">
        <v>4866</v>
      </c>
      <c r="U1503" s="3">
        <v>35</v>
      </c>
      <c r="W1503" s="45" t="str">
        <f>HYPERLINK("http://ictvonline.org/taxonomy/p/taxonomy-history?taxnode_id=201900872","ICTVonline=201900872")</f>
        <v>ICTVonline=201900872</v>
      </c>
      <c r="Y1503" s="1" t="s">
        <v>9589</v>
      </c>
      <c r="AA1503" s="1">
        <v>201900000</v>
      </c>
      <c r="AB1503" s="1">
        <v>35</v>
      </c>
    </row>
    <row r="1504" spans="1:28" x14ac:dyDescent="0.2">
      <c r="A1504" s="1">
        <v>4119</v>
      </c>
      <c r="B1504" s="1" t="s">
        <v>6850</v>
      </c>
      <c r="D1504" s="1" t="s">
        <v>6851</v>
      </c>
      <c r="F1504" s="1" t="s">
        <v>6914</v>
      </c>
      <c r="H1504" s="1" t="s">
        <v>6915</v>
      </c>
      <c r="J1504" s="1" t="s">
        <v>1324</v>
      </c>
      <c r="L1504" s="1" t="s">
        <v>895</v>
      </c>
      <c r="N1504" s="1" t="s">
        <v>6358</v>
      </c>
      <c r="P1504" s="1" t="s">
        <v>4300</v>
      </c>
      <c r="Q1504" s="3">
        <v>0</v>
      </c>
      <c r="R1504" s="23" t="s">
        <v>6854</v>
      </c>
      <c r="S1504" s="23" t="s">
        <v>6845</v>
      </c>
      <c r="T1504" s="23" t="s">
        <v>4866</v>
      </c>
      <c r="U1504" s="3">
        <v>35</v>
      </c>
      <c r="W1504" s="45" t="str">
        <f>HYPERLINK("http://ictvonline.org/taxonomy/p/taxonomy-history?taxnode_id=201900873","ICTVonline=201900873")</f>
        <v>ICTVonline=201900873</v>
      </c>
      <c r="Y1504" s="1" t="s">
        <v>9590</v>
      </c>
      <c r="Z1504" s="1" t="s">
        <v>9591</v>
      </c>
      <c r="AA1504" s="1">
        <v>201900000</v>
      </c>
      <c r="AB1504" s="1">
        <v>35</v>
      </c>
    </row>
    <row r="1505" spans="1:28" x14ac:dyDescent="0.2">
      <c r="A1505" s="1">
        <v>4121</v>
      </c>
      <c r="B1505" s="1" t="s">
        <v>6850</v>
      </c>
      <c r="D1505" s="1" t="s">
        <v>6851</v>
      </c>
      <c r="F1505" s="1" t="s">
        <v>6914</v>
      </c>
      <c r="H1505" s="1" t="s">
        <v>6915</v>
      </c>
      <c r="J1505" s="1" t="s">
        <v>1324</v>
      </c>
      <c r="L1505" s="1" t="s">
        <v>895</v>
      </c>
      <c r="N1505" s="1" t="s">
        <v>6358</v>
      </c>
      <c r="P1505" s="1" t="s">
        <v>4301</v>
      </c>
      <c r="Q1505" s="3">
        <v>0</v>
      </c>
      <c r="R1505" s="23" t="s">
        <v>6854</v>
      </c>
      <c r="S1505" s="23" t="s">
        <v>6845</v>
      </c>
      <c r="T1505" s="23" t="s">
        <v>4866</v>
      </c>
      <c r="U1505" s="3">
        <v>35</v>
      </c>
      <c r="W1505" s="45" t="str">
        <f>HYPERLINK("http://ictvonline.org/taxonomy/p/taxonomy-history?taxnode_id=201900874","ICTVonline=201900874")</f>
        <v>ICTVonline=201900874</v>
      </c>
      <c r="Y1505" s="1" t="s">
        <v>9592</v>
      </c>
      <c r="Z1505" s="1" t="s">
        <v>9593</v>
      </c>
      <c r="AA1505" s="1">
        <v>201900000</v>
      </c>
      <c r="AB1505" s="1">
        <v>35</v>
      </c>
    </row>
    <row r="1506" spans="1:28" x14ac:dyDescent="0.2">
      <c r="A1506" s="1">
        <v>4123</v>
      </c>
      <c r="B1506" s="1" t="s">
        <v>6850</v>
      </c>
      <c r="D1506" s="1" t="s">
        <v>6851</v>
      </c>
      <c r="F1506" s="1" t="s">
        <v>6914</v>
      </c>
      <c r="H1506" s="1" t="s">
        <v>6915</v>
      </c>
      <c r="J1506" s="1" t="s">
        <v>1324</v>
      </c>
      <c r="L1506" s="1" t="s">
        <v>895</v>
      </c>
      <c r="N1506" s="1" t="s">
        <v>6358</v>
      </c>
      <c r="P1506" s="1" t="s">
        <v>4302</v>
      </c>
      <c r="Q1506" s="3">
        <v>0</v>
      </c>
      <c r="R1506" s="23" t="s">
        <v>6854</v>
      </c>
      <c r="S1506" s="23" t="s">
        <v>6845</v>
      </c>
      <c r="T1506" s="23" t="s">
        <v>4866</v>
      </c>
      <c r="U1506" s="3">
        <v>35</v>
      </c>
      <c r="W1506" s="45" t="str">
        <f>HYPERLINK("http://ictvonline.org/taxonomy/p/taxonomy-history?taxnode_id=201900875","ICTVonline=201900875")</f>
        <v>ICTVonline=201900875</v>
      </c>
      <c r="Y1506" s="1" t="s">
        <v>9594</v>
      </c>
      <c r="Z1506" s="1" t="s">
        <v>9595</v>
      </c>
      <c r="AA1506" s="1">
        <v>201900000</v>
      </c>
      <c r="AB1506" s="1">
        <v>35</v>
      </c>
    </row>
    <row r="1507" spans="1:28" x14ac:dyDescent="0.2">
      <c r="A1507" s="1">
        <v>4125</v>
      </c>
      <c r="B1507" s="1" t="s">
        <v>6850</v>
      </c>
      <c r="D1507" s="1" t="s">
        <v>6851</v>
      </c>
      <c r="F1507" s="1" t="s">
        <v>6914</v>
      </c>
      <c r="H1507" s="1" t="s">
        <v>6915</v>
      </c>
      <c r="J1507" s="1" t="s">
        <v>1324</v>
      </c>
      <c r="L1507" s="1" t="s">
        <v>895</v>
      </c>
      <c r="N1507" s="1" t="s">
        <v>6358</v>
      </c>
      <c r="P1507" s="1" t="s">
        <v>3095</v>
      </c>
      <c r="Q1507" s="3">
        <v>0</v>
      </c>
      <c r="R1507" s="23" t="s">
        <v>6854</v>
      </c>
      <c r="S1507" s="23" t="s">
        <v>6845</v>
      </c>
      <c r="T1507" s="23" t="s">
        <v>4866</v>
      </c>
      <c r="U1507" s="3">
        <v>35</v>
      </c>
      <c r="W1507" s="45" t="str">
        <f>HYPERLINK("http://ictvonline.org/taxonomy/p/taxonomy-history?taxnode_id=201900876","ICTVonline=201900876")</f>
        <v>ICTVonline=201900876</v>
      </c>
      <c r="Y1507" s="1" t="s">
        <v>9596</v>
      </c>
      <c r="AA1507" s="1">
        <v>201900000</v>
      </c>
      <c r="AB1507" s="1">
        <v>35</v>
      </c>
    </row>
    <row r="1508" spans="1:28" x14ac:dyDescent="0.2">
      <c r="A1508" s="1">
        <v>4127</v>
      </c>
      <c r="B1508" s="1" t="s">
        <v>6850</v>
      </c>
      <c r="D1508" s="1" t="s">
        <v>6851</v>
      </c>
      <c r="F1508" s="1" t="s">
        <v>6914</v>
      </c>
      <c r="H1508" s="1" t="s">
        <v>6915</v>
      </c>
      <c r="J1508" s="1" t="s">
        <v>1324</v>
      </c>
      <c r="L1508" s="1" t="s">
        <v>895</v>
      </c>
      <c r="N1508" s="1" t="s">
        <v>6358</v>
      </c>
      <c r="P1508" s="1" t="s">
        <v>4303</v>
      </c>
      <c r="Q1508" s="3">
        <v>0</v>
      </c>
      <c r="R1508" s="23" t="s">
        <v>6854</v>
      </c>
      <c r="S1508" s="23" t="s">
        <v>6845</v>
      </c>
      <c r="T1508" s="23" t="s">
        <v>4866</v>
      </c>
      <c r="U1508" s="3">
        <v>35</v>
      </c>
      <c r="W1508" s="45" t="str">
        <f>HYPERLINK("http://ictvonline.org/taxonomy/p/taxonomy-history?taxnode_id=201900877","ICTVonline=201900877")</f>
        <v>ICTVonline=201900877</v>
      </c>
      <c r="Y1508" s="1" t="s">
        <v>9597</v>
      </c>
      <c r="Z1508" s="1" t="s">
        <v>9598</v>
      </c>
      <c r="AA1508" s="1">
        <v>201900000</v>
      </c>
      <c r="AB1508" s="1">
        <v>35</v>
      </c>
    </row>
    <row r="1509" spans="1:28" x14ac:dyDescent="0.2">
      <c r="A1509" s="1">
        <v>4131</v>
      </c>
      <c r="B1509" s="1" t="s">
        <v>6850</v>
      </c>
      <c r="D1509" s="1" t="s">
        <v>6851</v>
      </c>
      <c r="F1509" s="1" t="s">
        <v>6914</v>
      </c>
      <c r="H1509" s="1" t="s">
        <v>6915</v>
      </c>
      <c r="J1509" s="1" t="s">
        <v>1324</v>
      </c>
      <c r="L1509" s="1" t="s">
        <v>895</v>
      </c>
      <c r="N1509" s="1" t="s">
        <v>6363</v>
      </c>
      <c r="P1509" s="1" t="s">
        <v>3133</v>
      </c>
      <c r="Q1509" s="3">
        <v>1</v>
      </c>
      <c r="R1509" s="23" t="s">
        <v>6854</v>
      </c>
      <c r="S1509" s="23" t="s">
        <v>6845</v>
      </c>
      <c r="T1509" s="23" t="s">
        <v>4866</v>
      </c>
      <c r="U1509" s="3">
        <v>35</v>
      </c>
      <c r="W1509" s="45" t="str">
        <f>HYPERLINK("http://ictvonline.org/taxonomy/p/taxonomy-history?taxnode_id=201900922","ICTVonline=201900922")</f>
        <v>ICTVonline=201900922</v>
      </c>
      <c r="Y1509" s="1" t="s">
        <v>9599</v>
      </c>
      <c r="AA1509" s="1">
        <v>201900000</v>
      </c>
      <c r="AB1509" s="1">
        <v>35</v>
      </c>
    </row>
    <row r="1510" spans="1:28" x14ac:dyDescent="0.2">
      <c r="A1510" s="1">
        <v>4133</v>
      </c>
      <c r="B1510" s="1" t="s">
        <v>6850</v>
      </c>
      <c r="D1510" s="1" t="s">
        <v>6851</v>
      </c>
      <c r="F1510" s="1" t="s">
        <v>6914</v>
      </c>
      <c r="H1510" s="1" t="s">
        <v>6915</v>
      </c>
      <c r="J1510" s="1" t="s">
        <v>1324</v>
      </c>
      <c r="L1510" s="1" t="s">
        <v>895</v>
      </c>
      <c r="N1510" s="1" t="s">
        <v>6363</v>
      </c>
      <c r="P1510" s="1" t="s">
        <v>4959</v>
      </c>
      <c r="Q1510" s="3">
        <v>0</v>
      </c>
      <c r="R1510" s="23" t="s">
        <v>6854</v>
      </c>
      <c r="S1510" s="23" t="s">
        <v>6845</v>
      </c>
      <c r="T1510" s="23" t="s">
        <v>4866</v>
      </c>
      <c r="U1510" s="3">
        <v>35</v>
      </c>
      <c r="W1510" s="45" t="str">
        <f>HYPERLINK("http://ictvonline.org/taxonomy/p/taxonomy-history?taxnode_id=201905506","ICTVonline=201905506")</f>
        <v>ICTVonline=201905506</v>
      </c>
      <c r="AA1510" s="1">
        <v>201900000</v>
      </c>
      <c r="AB1510" s="1">
        <v>35</v>
      </c>
    </row>
    <row r="1511" spans="1:28" x14ac:dyDescent="0.2">
      <c r="A1511" s="1">
        <v>4137</v>
      </c>
      <c r="B1511" s="1" t="s">
        <v>6850</v>
      </c>
      <c r="D1511" s="1" t="s">
        <v>6851</v>
      </c>
      <c r="F1511" s="1" t="s">
        <v>6914</v>
      </c>
      <c r="H1511" s="1" t="s">
        <v>6915</v>
      </c>
      <c r="J1511" s="1" t="s">
        <v>1324</v>
      </c>
      <c r="L1511" s="1" t="s">
        <v>895</v>
      </c>
      <c r="N1511" s="1" t="s">
        <v>6364</v>
      </c>
      <c r="P1511" s="1" t="s">
        <v>3107</v>
      </c>
      <c r="Q1511" s="3">
        <v>0</v>
      </c>
      <c r="R1511" s="23" t="s">
        <v>6854</v>
      </c>
      <c r="S1511" s="23" t="s">
        <v>6845</v>
      </c>
      <c r="T1511" s="23" t="s">
        <v>4866</v>
      </c>
      <c r="U1511" s="3">
        <v>35</v>
      </c>
      <c r="W1511" s="45" t="str">
        <f>HYPERLINK("http://ictvonline.org/taxonomy/p/taxonomy-history?taxnode_id=201900891","ICTVonline=201900891")</f>
        <v>ICTVonline=201900891</v>
      </c>
      <c r="Y1511" s="1" t="s">
        <v>9600</v>
      </c>
      <c r="AA1511" s="1">
        <v>201900000</v>
      </c>
      <c r="AB1511" s="1">
        <v>35</v>
      </c>
    </row>
    <row r="1512" spans="1:28" x14ac:dyDescent="0.2">
      <c r="A1512" s="1">
        <v>4139</v>
      </c>
      <c r="B1512" s="1" t="s">
        <v>6850</v>
      </c>
      <c r="D1512" s="1" t="s">
        <v>6851</v>
      </c>
      <c r="F1512" s="1" t="s">
        <v>6914</v>
      </c>
      <c r="H1512" s="1" t="s">
        <v>6915</v>
      </c>
      <c r="J1512" s="1" t="s">
        <v>1324</v>
      </c>
      <c r="L1512" s="1" t="s">
        <v>895</v>
      </c>
      <c r="N1512" s="1" t="s">
        <v>6364</v>
      </c>
      <c r="P1512" s="1" t="s">
        <v>3108</v>
      </c>
      <c r="Q1512" s="3">
        <v>0</v>
      </c>
      <c r="R1512" s="23" t="s">
        <v>6854</v>
      </c>
      <c r="S1512" s="23" t="s">
        <v>6845</v>
      </c>
      <c r="T1512" s="23" t="s">
        <v>4866</v>
      </c>
      <c r="U1512" s="3">
        <v>35</v>
      </c>
      <c r="W1512" s="45" t="str">
        <f>HYPERLINK("http://ictvonline.org/taxonomy/p/taxonomy-history?taxnode_id=201900892","ICTVonline=201900892")</f>
        <v>ICTVonline=201900892</v>
      </c>
      <c r="Y1512" s="1" t="s">
        <v>9601</v>
      </c>
      <c r="AA1512" s="1">
        <v>201900000</v>
      </c>
      <c r="AB1512" s="1">
        <v>35</v>
      </c>
    </row>
    <row r="1513" spans="1:28" x14ac:dyDescent="0.2">
      <c r="A1513" s="1">
        <v>4141</v>
      </c>
      <c r="B1513" s="1" t="s">
        <v>6850</v>
      </c>
      <c r="D1513" s="1" t="s">
        <v>6851</v>
      </c>
      <c r="F1513" s="1" t="s">
        <v>6914</v>
      </c>
      <c r="H1513" s="1" t="s">
        <v>6915</v>
      </c>
      <c r="J1513" s="1" t="s">
        <v>1324</v>
      </c>
      <c r="L1513" s="1" t="s">
        <v>895</v>
      </c>
      <c r="N1513" s="1" t="s">
        <v>6364</v>
      </c>
      <c r="P1513" s="1" t="s">
        <v>3109</v>
      </c>
      <c r="Q1513" s="3">
        <v>0</v>
      </c>
      <c r="R1513" s="23" t="s">
        <v>6854</v>
      </c>
      <c r="S1513" s="23" t="s">
        <v>6845</v>
      </c>
      <c r="T1513" s="23" t="s">
        <v>4866</v>
      </c>
      <c r="U1513" s="3">
        <v>35</v>
      </c>
      <c r="W1513" s="45" t="str">
        <f>HYPERLINK("http://ictvonline.org/taxonomy/p/taxonomy-history?taxnode_id=201900893","ICTVonline=201900893")</f>
        <v>ICTVonline=201900893</v>
      </c>
      <c r="Y1513" s="1" t="s">
        <v>9602</v>
      </c>
      <c r="AA1513" s="1">
        <v>201900000</v>
      </c>
      <c r="AB1513" s="1">
        <v>35</v>
      </c>
    </row>
    <row r="1514" spans="1:28" x14ac:dyDescent="0.2">
      <c r="A1514" s="1">
        <v>4143</v>
      </c>
      <c r="B1514" s="1" t="s">
        <v>6850</v>
      </c>
      <c r="D1514" s="1" t="s">
        <v>6851</v>
      </c>
      <c r="F1514" s="1" t="s">
        <v>6914</v>
      </c>
      <c r="H1514" s="1" t="s">
        <v>6915</v>
      </c>
      <c r="J1514" s="1" t="s">
        <v>1324</v>
      </c>
      <c r="L1514" s="1" t="s">
        <v>895</v>
      </c>
      <c r="N1514" s="1" t="s">
        <v>6364</v>
      </c>
      <c r="P1514" s="1" t="s">
        <v>3110</v>
      </c>
      <c r="Q1514" s="3">
        <v>1</v>
      </c>
      <c r="R1514" s="23" t="s">
        <v>6854</v>
      </c>
      <c r="S1514" s="23" t="s">
        <v>6845</v>
      </c>
      <c r="T1514" s="23" t="s">
        <v>4866</v>
      </c>
      <c r="U1514" s="3">
        <v>35</v>
      </c>
      <c r="W1514" s="45" t="str">
        <f>HYPERLINK("http://ictvonline.org/taxonomy/p/taxonomy-history?taxnode_id=201900894","ICTVonline=201900894")</f>
        <v>ICTVonline=201900894</v>
      </c>
      <c r="Y1514" s="1" t="s">
        <v>9603</v>
      </c>
      <c r="AA1514" s="1">
        <v>201900000</v>
      </c>
      <c r="AB1514" s="1">
        <v>35</v>
      </c>
    </row>
    <row r="1515" spans="1:28" x14ac:dyDescent="0.2">
      <c r="A1515" s="1">
        <v>4145</v>
      </c>
      <c r="B1515" s="1" t="s">
        <v>6850</v>
      </c>
      <c r="D1515" s="1" t="s">
        <v>6851</v>
      </c>
      <c r="F1515" s="1" t="s">
        <v>6914</v>
      </c>
      <c r="H1515" s="1" t="s">
        <v>6915</v>
      </c>
      <c r="J1515" s="1" t="s">
        <v>1324</v>
      </c>
      <c r="L1515" s="1" t="s">
        <v>895</v>
      </c>
      <c r="N1515" s="1" t="s">
        <v>6364</v>
      </c>
      <c r="P1515" s="1" t="s">
        <v>3111</v>
      </c>
      <c r="Q1515" s="3">
        <v>0</v>
      </c>
      <c r="R1515" s="23" t="s">
        <v>6854</v>
      </c>
      <c r="S1515" s="23" t="s">
        <v>6845</v>
      </c>
      <c r="T1515" s="23" t="s">
        <v>4866</v>
      </c>
      <c r="U1515" s="3">
        <v>35</v>
      </c>
      <c r="W1515" s="45" t="str">
        <f>HYPERLINK("http://ictvonline.org/taxonomy/p/taxonomy-history?taxnode_id=201900895","ICTVonline=201900895")</f>
        <v>ICTVonline=201900895</v>
      </c>
      <c r="Y1515" s="1" t="s">
        <v>9604</v>
      </c>
      <c r="AA1515" s="1">
        <v>201900000</v>
      </c>
      <c r="AB1515" s="1">
        <v>35</v>
      </c>
    </row>
    <row r="1516" spans="1:28" x14ac:dyDescent="0.2">
      <c r="A1516" s="1">
        <v>4147</v>
      </c>
      <c r="B1516" s="1" t="s">
        <v>6850</v>
      </c>
      <c r="D1516" s="1" t="s">
        <v>6851</v>
      </c>
      <c r="F1516" s="1" t="s">
        <v>6914</v>
      </c>
      <c r="H1516" s="1" t="s">
        <v>6915</v>
      </c>
      <c r="J1516" s="1" t="s">
        <v>1324</v>
      </c>
      <c r="L1516" s="1" t="s">
        <v>895</v>
      </c>
      <c r="N1516" s="1" t="s">
        <v>6364</v>
      </c>
      <c r="P1516" s="1" t="s">
        <v>9605</v>
      </c>
      <c r="Q1516" s="3">
        <v>0</v>
      </c>
      <c r="R1516" s="23" t="s">
        <v>6854</v>
      </c>
      <c r="S1516" s="23" t="s">
        <v>6849</v>
      </c>
      <c r="T1516" s="23" t="s">
        <v>4866</v>
      </c>
      <c r="U1516" s="3">
        <v>35</v>
      </c>
      <c r="V1516" s="3" t="s">
        <v>9563</v>
      </c>
      <c r="W1516" s="45" t="str">
        <f>HYPERLINK("http://ictvonline.org/taxonomy/p/taxonomy-history?taxnode_id=201900896","ICTVonline=201900896")</f>
        <v>ICTVonline=201900896</v>
      </c>
      <c r="Y1516" s="1" t="s">
        <v>9606</v>
      </c>
      <c r="AA1516" s="1">
        <v>201900000</v>
      </c>
      <c r="AB1516" s="1">
        <v>35</v>
      </c>
    </row>
    <row r="1517" spans="1:28" x14ac:dyDescent="0.2">
      <c r="A1517" s="1">
        <v>4149</v>
      </c>
      <c r="B1517" s="1" t="s">
        <v>6850</v>
      </c>
      <c r="D1517" s="1" t="s">
        <v>6851</v>
      </c>
      <c r="F1517" s="1" t="s">
        <v>6914</v>
      </c>
      <c r="H1517" s="1" t="s">
        <v>6915</v>
      </c>
      <c r="J1517" s="1" t="s">
        <v>1324</v>
      </c>
      <c r="L1517" s="1" t="s">
        <v>895</v>
      </c>
      <c r="N1517" s="1" t="s">
        <v>6364</v>
      </c>
      <c r="P1517" s="1" t="s">
        <v>3112</v>
      </c>
      <c r="Q1517" s="3">
        <v>0</v>
      </c>
      <c r="R1517" s="23" t="s">
        <v>6854</v>
      </c>
      <c r="S1517" s="23" t="s">
        <v>6845</v>
      </c>
      <c r="T1517" s="23" t="s">
        <v>4866</v>
      </c>
      <c r="U1517" s="3">
        <v>35</v>
      </c>
      <c r="W1517" s="45" t="str">
        <f>HYPERLINK("http://ictvonline.org/taxonomy/p/taxonomy-history?taxnode_id=201900897","ICTVonline=201900897")</f>
        <v>ICTVonline=201900897</v>
      </c>
      <c r="Y1517" s="1" t="s">
        <v>9607</v>
      </c>
      <c r="Z1517" s="1" t="s">
        <v>9608</v>
      </c>
      <c r="AA1517" s="1">
        <v>201900000</v>
      </c>
      <c r="AB1517" s="1">
        <v>35</v>
      </c>
    </row>
    <row r="1518" spans="1:28" x14ac:dyDescent="0.2">
      <c r="A1518" s="1">
        <v>4151</v>
      </c>
      <c r="B1518" s="1" t="s">
        <v>6850</v>
      </c>
      <c r="D1518" s="1" t="s">
        <v>6851</v>
      </c>
      <c r="F1518" s="1" t="s">
        <v>6914</v>
      </c>
      <c r="H1518" s="1" t="s">
        <v>6915</v>
      </c>
      <c r="J1518" s="1" t="s">
        <v>1324</v>
      </c>
      <c r="L1518" s="1" t="s">
        <v>895</v>
      </c>
      <c r="N1518" s="1" t="s">
        <v>6364</v>
      </c>
      <c r="P1518" s="1" t="s">
        <v>3113</v>
      </c>
      <c r="Q1518" s="3">
        <v>0</v>
      </c>
      <c r="R1518" s="23" t="s">
        <v>6854</v>
      </c>
      <c r="S1518" s="23" t="s">
        <v>6845</v>
      </c>
      <c r="T1518" s="23" t="s">
        <v>4866</v>
      </c>
      <c r="U1518" s="3">
        <v>35</v>
      </c>
      <c r="W1518" s="45" t="str">
        <f>HYPERLINK("http://ictvonline.org/taxonomy/p/taxonomy-history?taxnode_id=201900898","ICTVonline=201900898")</f>
        <v>ICTVonline=201900898</v>
      </c>
      <c r="Y1518" s="1" t="s">
        <v>9609</v>
      </c>
      <c r="AA1518" s="1">
        <v>201900000</v>
      </c>
      <c r="AB1518" s="1">
        <v>35</v>
      </c>
    </row>
    <row r="1519" spans="1:28" x14ac:dyDescent="0.2">
      <c r="A1519" s="1">
        <v>4153</v>
      </c>
      <c r="B1519" s="1" t="s">
        <v>6850</v>
      </c>
      <c r="D1519" s="1" t="s">
        <v>6851</v>
      </c>
      <c r="F1519" s="1" t="s">
        <v>6914</v>
      </c>
      <c r="H1519" s="1" t="s">
        <v>6915</v>
      </c>
      <c r="J1519" s="1" t="s">
        <v>1324</v>
      </c>
      <c r="L1519" s="1" t="s">
        <v>895</v>
      </c>
      <c r="N1519" s="1" t="s">
        <v>6364</v>
      </c>
      <c r="P1519" s="1" t="s">
        <v>9610</v>
      </c>
      <c r="Q1519" s="3">
        <v>0</v>
      </c>
      <c r="R1519" s="23" t="s">
        <v>6854</v>
      </c>
      <c r="S1519" s="23" t="s">
        <v>6849</v>
      </c>
      <c r="T1519" s="23" t="s">
        <v>4866</v>
      </c>
      <c r="U1519" s="3">
        <v>35</v>
      </c>
      <c r="V1519" s="3" t="s">
        <v>9563</v>
      </c>
      <c r="W1519" s="45" t="str">
        <f>HYPERLINK("http://ictvonline.org/taxonomy/p/taxonomy-history?taxnode_id=201900899","ICTVonline=201900899")</f>
        <v>ICTVonline=201900899</v>
      </c>
      <c r="Y1519" s="1" t="s">
        <v>9611</v>
      </c>
      <c r="AA1519" s="1">
        <v>201900000</v>
      </c>
      <c r="AB1519" s="1">
        <v>35</v>
      </c>
    </row>
    <row r="1520" spans="1:28" x14ac:dyDescent="0.2">
      <c r="A1520" s="1">
        <v>4155</v>
      </c>
      <c r="B1520" s="1" t="s">
        <v>6850</v>
      </c>
      <c r="D1520" s="1" t="s">
        <v>6851</v>
      </c>
      <c r="F1520" s="1" t="s">
        <v>6914</v>
      </c>
      <c r="H1520" s="1" t="s">
        <v>6915</v>
      </c>
      <c r="J1520" s="1" t="s">
        <v>1324</v>
      </c>
      <c r="L1520" s="1" t="s">
        <v>895</v>
      </c>
      <c r="N1520" s="1" t="s">
        <v>6364</v>
      </c>
      <c r="P1520" s="1" t="s">
        <v>3114</v>
      </c>
      <c r="Q1520" s="3">
        <v>0</v>
      </c>
      <c r="R1520" s="23" t="s">
        <v>6854</v>
      </c>
      <c r="S1520" s="23" t="s">
        <v>6845</v>
      </c>
      <c r="T1520" s="23" t="s">
        <v>4866</v>
      </c>
      <c r="U1520" s="3">
        <v>35</v>
      </c>
      <c r="W1520" s="45" t="str">
        <f>HYPERLINK("http://ictvonline.org/taxonomy/p/taxonomy-history?taxnode_id=201900900","ICTVonline=201900900")</f>
        <v>ICTVonline=201900900</v>
      </c>
      <c r="Y1520" s="1" t="s">
        <v>9612</v>
      </c>
      <c r="AA1520" s="1">
        <v>201900000</v>
      </c>
      <c r="AB1520" s="1">
        <v>35</v>
      </c>
    </row>
    <row r="1521" spans="1:28" x14ac:dyDescent="0.2">
      <c r="A1521" s="1">
        <v>4157</v>
      </c>
      <c r="B1521" s="1" t="s">
        <v>6850</v>
      </c>
      <c r="D1521" s="1" t="s">
        <v>6851</v>
      </c>
      <c r="F1521" s="1" t="s">
        <v>6914</v>
      </c>
      <c r="H1521" s="1" t="s">
        <v>6915</v>
      </c>
      <c r="J1521" s="1" t="s">
        <v>1324</v>
      </c>
      <c r="L1521" s="1" t="s">
        <v>895</v>
      </c>
      <c r="N1521" s="1" t="s">
        <v>6364</v>
      </c>
      <c r="P1521" s="1" t="s">
        <v>3115</v>
      </c>
      <c r="Q1521" s="3">
        <v>0</v>
      </c>
      <c r="R1521" s="23" t="s">
        <v>6854</v>
      </c>
      <c r="S1521" s="23" t="s">
        <v>6845</v>
      </c>
      <c r="T1521" s="23" t="s">
        <v>4866</v>
      </c>
      <c r="U1521" s="3">
        <v>35</v>
      </c>
      <c r="W1521" s="45" t="str">
        <f>HYPERLINK("http://ictvonline.org/taxonomy/p/taxonomy-history?taxnode_id=201900901","ICTVonline=201900901")</f>
        <v>ICTVonline=201900901</v>
      </c>
      <c r="Y1521" s="1" t="s">
        <v>9613</v>
      </c>
      <c r="AA1521" s="1">
        <v>201900000</v>
      </c>
      <c r="AB1521" s="1">
        <v>35</v>
      </c>
    </row>
    <row r="1522" spans="1:28" x14ac:dyDescent="0.2">
      <c r="A1522" s="1">
        <v>4159</v>
      </c>
      <c r="B1522" s="1" t="s">
        <v>6850</v>
      </c>
      <c r="D1522" s="1" t="s">
        <v>6851</v>
      </c>
      <c r="F1522" s="1" t="s">
        <v>6914</v>
      </c>
      <c r="H1522" s="1" t="s">
        <v>6915</v>
      </c>
      <c r="J1522" s="1" t="s">
        <v>1324</v>
      </c>
      <c r="L1522" s="1" t="s">
        <v>895</v>
      </c>
      <c r="N1522" s="1" t="s">
        <v>6364</v>
      </c>
      <c r="P1522" s="1" t="s">
        <v>9614</v>
      </c>
      <c r="Q1522" s="3">
        <v>0</v>
      </c>
      <c r="R1522" s="23" t="s">
        <v>6854</v>
      </c>
      <c r="S1522" s="23" t="s">
        <v>6849</v>
      </c>
      <c r="T1522" s="23" t="s">
        <v>4866</v>
      </c>
      <c r="U1522" s="3">
        <v>35</v>
      </c>
      <c r="V1522" s="3" t="s">
        <v>9563</v>
      </c>
      <c r="W1522" s="45" t="str">
        <f>HYPERLINK("http://ictvonline.org/taxonomy/p/taxonomy-history?taxnode_id=201900902","ICTVonline=201900902")</f>
        <v>ICTVonline=201900902</v>
      </c>
      <c r="Y1522" s="1" t="s">
        <v>9615</v>
      </c>
      <c r="AA1522" s="1">
        <v>201900000</v>
      </c>
      <c r="AB1522" s="1">
        <v>35</v>
      </c>
    </row>
    <row r="1523" spans="1:28" x14ac:dyDescent="0.2">
      <c r="A1523" s="1">
        <v>4161</v>
      </c>
      <c r="B1523" s="1" t="s">
        <v>6850</v>
      </c>
      <c r="D1523" s="1" t="s">
        <v>6851</v>
      </c>
      <c r="F1523" s="1" t="s">
        <v>6914</v>
      </c>
      <c r="H1523" s="1" t="s">
        <v>6915</v>
      </c>
      <c r="J1523" s="1" t="s">
        <v>1324</v>
      </c>
      <c r="L1523" s="1" t="s">
        <v>895</v>
      </c>
      <c r="N1523" s="1" t="s">
        <v>6364</v>
      </c>
      <c r="P1523" s="1" t="s">
        <v>3116</v>
      </c>
      <c r="Q1523" s="3">
        <v>0</v>
      </c>
      <c r="R1523" s="23" t="s">
        <v>6854</v>
      </c>
      <c r="S1523" s="23" t="s">
        <v>6845</v>
      </c>
      <c r="T1523" s="23" t="s">
        <v>4866</v>
      </c>
      <c r="U1523" s="3">
        <v>35</v>
      </c>
      <c r="W1523" s="45" t="str">
        <f>HYPERLINK("http://ictvonline.org/taxonomy/p/taxonomy-history?taxnode_id=201900903","ICTVonline=201900903")</f>
        <v>ICTVonline=201900903</v>
      </c>
      <c r="Y1523" s="1" t="s">
        <v>9616</v>
      </c>
      <c r="AA1523" s="1">
        <v>201900000</v>
      </c>
      <c r="AB1523" s="1">
        <v>35</v>
      </c>
    </row>
    <row r="1524" spans="1:28" x14ac:dyDescent="0.2">
      <c r="A1524" s="1">
        <v>4163</v>
      </c>
      <c r="B1524" s="1" t="s">
        <v>6850</v>
      </c>
      <c r="D1524" s="1" t="s">
        <v>6851</v>
      </c>
      <c r="F1524" s="1" t="s">
        <v>6914</v>
      </c>
      <c r="H1524" s="1" t="s">
        <v>6915</v>
      </c>
      <c r="J1524" s="1" t="s">
        <v>1324</v>
      </c>
      <c r="L1524" s="1" t="s">
        <v>895</v>
      </c>
      <c r="N1524" s="1" t="s">
        <v>6364</v>
      </c>
      <c r="P1524" s="1" t="s">
        <v>3117</v>
      </c>
      <c r="Q1524" s="3">
        <v>0</v>
      </c>
      <c r="R1524" s="23" t="s">
        <v>6854</v>
      </c>
      <c r="S1524" s="23" t="s">
        <v>6845</v>
      </c>
      <c r="T1524" s="23" t="s">
        <v>4866</v>
      </c>
      <c r="U1524" s="3">
        <v>35</v>
      </c>
      <c r="W1524" s="45" t="str">
        <f>HYPERLINK("http://ictvonline.org/taxonomy/p/taxonomy-history?taxnode_id=201900904","ICTVonline=201900904")</f>
        <v>ICTVonline=201900904</v>
      </c>
      <c r="Y1524" s="1" t="s">
        <v>9617</v>
      </c>
      <c r="AA1524" s="1">
        <v>201900000</v>
      </c>
      <c r="AB1524" s="1">
        <v>35</v>
      </c>
    </row>
    <row r="1525" spans="1:28" x14ac:dyDescent="0.2">
      <c r="A1525" s="1">
        <v>4165</v>
      </c>
      <c r="B1525" s="1" t="s">
        <v>6850</v>
      </c>
      <c r="D1525" s="1" t="s">
        <v>6851</v>
      </c>
      <c r="F1525" s="1" t="s">
        <v>6914</v>
      </c>
      <c r="H1525" s="1" t="s">
        <v>6915</v>
      </c>
      <c r="J1525" s="1" t="s">
        <v>1324</v>
      </c>
      <c r="L1525" s="1" t="s">
        <v>895</v>
      </c>
      <c r="N1525" s="1" t="s">
        <v>6364</v>
      </c>
      <c r="P1525" s="1" t="s">
        <v>3118</v>
      </c>
      <c r="Q1525" s="3">
        <v>0</v>
      </c>
      <c r="R1525" s="23" t="s">
        <v>6854</v>
      </c>
      <c r="S1525" s="23" t="s">
        <v>6845</v>
      </c>
      <c r="T1525" s="23" t="s">
        <v>4866</v>
      </c>
      <c r="U1525" s="3">
        <v>35</v>
      </c>
      <c r="W1525" s="45" t="str">
        <f>HYPERLINK("http://ictvonline.org/taxonomy/p/taxonomy-history?taxnode_id=201900905","ICTVonline=201900905")</f>
        <v>ICTVonline=201900905</v>
      </c>
      <c r="Y1525" s="1" t="s">
        <v>9618</v>
      </c>
      <c r="AA1525" s="1">
        <v>201900000</v>
      </c>
      <c r="AB1525" s="1">
        <v>35</v>
      </c>
    </row>
    <row r="1526" spans="1:28" x14ac:dyDescent="0.2">
      <c r="A1526" s="1">
        <v>4167</v>
      </c>
      <c r="B1526" s="1" t="s">
        <v>6850</v>
      </c>
      <c r="D1526" s="1" t="s">
        <v>6851</v>
      </c>
      <c r="F1526" s="1" t="s">
        <v>6914</v>
      </c>
      <c r="H1526" s="1" t="s">
        <v>6915</v>
      </c>
      <c r="J1526" s="1" t="s">
        <v>1324</v>
      </c>
      <c r="L1526" s="1" t="s">
        <v>895</v>
      </c>
      <c r="N1526" s="1" t="s">
        <v>6364</v>
      </c>
      <c r="P1526" s="1" t="s">
        <v>3119</v>
      </c>
      <c r="Q1526" s="3">
        <v>0</v>
      </c>
      <c r="R1526" s="23" t="s">
        <v>6854</v>
      </c>
      <c r="S1526" s="23" t="s">
        <v>6845</v>
      </c>
      <c r="T1526" s="23" t="s">
        <v>4866</v>
      </c>
      <c r="U1526" s="3">
        <v>35</v>
      </c>
      <c r="W1526" s="45" t="str">
        <f>HYPERLINK("http://ictvonline.org/taxonomy/p/taxonomy-history?taxnode_id=201900906","ICTVonline=201900906")</f>
        <v>ICTVonline=201900906</v>
      </c>
      <c r="Y1526" s="1" t="s">
        <v>9619</v>
      </c>
      <c r="AA1526" s="1">
        <v>201900000</v>
      </c>
      <c r="AB1526" s="1">
        <v>35</v>
      </c>
    </row>
    <row r="1527" spans="1:28" x14ac:dyDescent="0.2">
      <c r="A1527" s="1">
        <v>4169</v>
      </c>
      <c r="B1527" s="1" t="s">
        <v>6850</v>
      </c>
      <c r="D1527" s="1" t="s">
        <v>6851</v>
      </c>
      <c r="F1527" s="1" t="s">
        <v>6914</v>
      </c>
      <c r="H1527" s="1" t="s">
        <v>6915</v>
      </c>
      <c r="J1527" s="1" t="s">
        <v>1324</v>
      </c>
      <c r="L1527" s="1" t="s">
        <v>895</v>
      </c>
      <c r="N1527" s="1" t="s">
        <v>6364</v>
      </c>
      <c r="P1527" s="1" t="s">
        <v>3120</v>
      </c>
      <c r="Q1527" s="3">
        <v>0</v>
      </c>
      <c r="R1527" s="23" t="s">
        <v>6854</v>
      </c>
      <c r="S1527" s="23" t="s">
        <v>6845</v>
      </c>
      <c r="T1527" s="23" t="s">
        <v>4866</v>
      </c>
      <c r="U1527" s="3">
        <v>35</v>
      </c>
      <c r="W1527" s="45" t="str">
        <f>HYPERLINK("http://ictvonline.org/taxonomy/p/taxonomy-history?taxnode_id=201900907","ICTVonline=201900907")</f>
        <v>ICTVonline=201900907</v>
      </c>
      <c r="Y1527" s="1" t="s">
        <v>9620</v>
      </c>
      <c r="AA1527" s="1">
        <v>201900000</v>
      </c>
      <c r="AB1527" s="1">
        <v>35</v>
      </c>
    </row>
    <row r="1528" spans="1:28" x14ac:dyDescent="0.2">
      <c r="A1528" s="1">
        <v>4171</v>
      </c>
      <c r="B1528" s="1" t="s">
        <v>6850</v>
      </c>
      <c r="D1528" s="1" t="s">
        <v>6851</v>
      </c>
      <c r="F1528" s="1" t="s">
        <v>6914</v>
      </c>
      <c r="H1528" s="1" t="s">
        <v>6915</v>
      </c>
      <c r="J1528" s="1" t="s">
        <v>1324</v>
      </c>
      <c r="L1528" s="1" t="s">
        <v>895</v>
      </c>
      <c r="N1528" s="1" t="s">
        <v>6364</v>
      </c>
      <c r="P1528" s="1" t="s">
        <v>3121</v>
      </c>
      <c r="Q1528" s="3">
        <v>0</v>
      </c>
      <c r="R1528" s="23" t="s">
        <v>6854</v>
      </c>
      <c r="S1528" s="23" t="s">
        <v>6845</v>
      </c>
      <c r="T1528" s="23" t="s">
        <v>4866</v>
      </c>
      <c r="U1528" s="3">
        <v>35</v>
      </c>
      <c r="W1528" s="45" t="str">
        <f>HYPERLINK("http://ictvonline.org/taxonomy/p/taxonomy-history?taxnode_id=201900908","ICTVonline=201900908")</f>
        <v>ICTVonline=201900908</v>
      </c>
      <c r="Y1528" s="1" t="s">
        <v>9621</v>
      </c>
      <c r="AA1528" s="1">
        <v>201900000</v>
      </c>
      <c r="AB1528" s="1">
        <v>35</v>
      </c>
    </row>
    <row r="1529" spans="1:28" x14ac:dyDescent="0.2">
      <c r="A1529" s="1">
        <v>4173</v>
      </c>
      <c r="B1529" s="1" t="s">
        <v>6850</v>
      </c>
      <c r="D1529" s="1" t="s">
        <v>6851</v>
      </c>
      <c r="F1529" s="1" t="s">
        <v>6914</v>
      </c>
      <c r="H1529" s="1" t="s">
        <v>6915</v>
      </c>
      <c r="J1529" s="1" t="s">
        <v>1324</v>
      </c>
      <c r="L1529" s="1" t="s">
        <v>895</v>
      </c>
      <c r="N1529" s="1" t="s">
        <v>6364</v>
      </c>
      <c r="P1529" s="1" t="s">
        <v>3122</v>
      </c>
      <c r="Q1529" s="3">
        <v>0</v>
      </c>
      <c r="R1529" s="23" t="s">
        <v>6854</v>
      </c>
      <c r="S1529" s="23" t="s">
        <v>6845</v>
      </c>
      <c r="T1529" s="23" t="s">
        <v>4866</v>
      </c>
      <c r="U1529" s="3">
        <v>35</v>
      </c>
      <c r="W1529" s="45" t="str">
        <f>HYPERLINK("http://ictvonline.org/taxonomy/p/taxonomy-history?taxnode_id=201900909","ICTVonline=201900909")</f>
        <v>ICTVonline=201900909</v>
      </c>
      <c r="Y1529" s="1" t="s">
        <v>9622</v>
      </c>
      <c r="AA1529" s="1">
        <v>201900000</v>
      </c>
      <c r="AB1529" s="1">
        <v>35</v>
      </c>
    </row>
    <row r="1530" spans="1:28" x14ac:dyDescent="0.2">
      <c r="A1530" s="1">
        <v>4175</v>
      </c>
      <c r="B1530" s="1" t="s">
        <v>6850</v>
      </c>
      <c r="D1530" s="1" t="s">
        <v>6851</v>
      </c>
      <c r="F1530" s="1" t="s">
        <v>6914</v>
      </c>
      <c r="H1530" s="1" t="s">
        <v>6915</v>
      </c>
      <c r="J1530" s="1" t="s">
        <v>1324</v>
      </c>
      <c r="L1530" s="1" t="s">
        <v>895</v>
      </c>
      <c r="N1530" s="1" t="s">
        <v>6364</v>
      </c>
      <c r="P1530" s="1" t="s">
        <v>9623</v>
      </c>
      <c r="Q1530" s="3">
        <v>0</v>
      </c>
      <c r="R1530" s="23" t="s">
        <v>6854</v>
      </c>
      <c r="S1530" s="23" t="s">
        <v>6849</v>
      </c>
      <c r="T1530" s="23" t="s">
        <v>4866</v>
      </c>
      <c r="U1530" s="3">
        <v>35</v>
      </c>
      <c r="V1530" s="3" t="s">
        <v>9563</v>
      </c>
      <c r="W1530" s="45" t="str">
        <f>HYPERLINK("http://ictvonline.org/taxonomy/p/taxonomy-history?taxnode_id=201900910","ICTVonline=201900910")</f>
        <v>ICTVonline=201900910</v>
      </c>
      <c r="Y1530" s="1" t="s">
        <v>9624</v>
      </c>
      <c r="AA1530" s="1">
        <v>201900000</v>
      </c>
      <c r="AB1530" s="1">
        <v>35</v>
      </c>
    </row>
    <row r="1531" spans="1:28" x14ac:dyDescent="0.2">
      <c r="A1531" s="1">
        <v>4177</v>
      </c>
      <c r="B1531" s="1" t="s">
        <v>6850</v>
      </c>
      <c r="D1531" s="1" t="s">
        <v>6851</v>
      </c>
      <c r="F1531" s="1" t="s">
        <v>6914</v>
      </c>
      <c r="H1531" s="1" t="s">
        <v>6915</v>
      </c>
      <c r="J1531" s="1" t="s">
        <v>1324</v>
      </c>
      <c r="L1531" s="1" t="s">
        <v>895</v>
      </c>
      <c r="N1531" s="1" t="s">
        <v>6364</v>
      </c>
      <c r="P1531" s="1" t="s">
        <v>3123</v>
      </c>
      <c r="Q1531" s="3">
        <v>0</v>
      </c>
      <c r="R1531" s="23" t="s">
        <v>6854</v>
      </c>
      <c r="S1531" s="23" t="s">
        <v>6845</v>
      </c>
      <c r="T1531" s="23" t="s">
        <v>4866</v>
      </c>
      <c r="U1531" s="3">
        <v>35</v>
      </c>
      <c r="W1531" s="45" t="str">
        <f>HYPERLINK("http://ictvonline.org/taxonomy/p/taxonomy-history?taxnode_id=201900911","ICTVonline=201900911")</f>
        <v>ICTVonline=201900911</v>
      </c>
      <c r="Y1531" s="1" t="s">
        <v>9625</v>
      </c>
      <c r="AA1531" s="1">
        <v>201900000</v>
      </c>
      <c r="AB1531" s="1">
        <v>35</v>
      </c>
    </row>
    <row r="1532" spans="1:28" x14ac:dyDescent="0.2">
      <c r="A1532" s="1">
        <v>4179</v>
      </c>
      <c r="B1532" s="1" t="s">
        <v>6850</v>
      </c>
      <c r="D1532" s="1" t="s">
        <v>6851</v>
      </c>
      <c r="F1532" s="1" t="s">
        <v>6914</v>
      </c>
      <c r="H1532" s="1" t="s">
        <v>6915</v>
      </c>
      <c r="J1532" s="1" t="s">
        <v>1324</v>
      </c>
      <c r="L1532" s="1" t="s">
        <v>895</v>
      </c>
      <c r="N1532" s="1" t="s">
        <v>6364</v>
      </c>
      <c r="P1532" s="1" t="s">
        <v>3124</v>
      </c>
      <c r="Q1532" s="3">
        <v>0</v>
      </c>
      <c r="R1532" s="23" t="s">
        <v>6854</v>
      </c>
      <c r="S1532" s="23" t="s">
        <v>6845</v>
      </c>
      <c r="T1532" s="23" t="s">
        <v>4866</v>
      </c>
      <c r="U1532" s="3">
        <v>35</v>
      </c>
      <c r="W1532" s="45" t="str">
        <f>HYPERLINK("http://ictvonline.org/taxonomy/p/taxonomy-history?taxnode_id=201900912","ICTVonline=201900912")</f>
        <v>ICTVonline=201900912</v>
      </c>
      <c r="Y1532" s="1" t="s">
        <v>9626</v>
      </c>
      <c r="AA1532" s="1">
        <v>201900000</v>
      </c>
      <c r="AB1532" s="1">
        <v>35</v>
      </c>
    </row>
    <row r="1533" spans="1:28" x14ac:dyDescent="0.2">
      <c r="A1533" s="1">
        <v>4181</v>
      </c>
      <c r="B1533" s="1" t="s">
        <v>6850</v>
      </c>
      <c r="D1533" s="1" t="s">
        <v>6851</v>
      </c>
      <c r="F1533" s="1" t="s">
        <v>6914</v>
      </c>
      <c r="H1533" s="1" t="s">
        <v>6915</v>
      </c>
      <c r="J1533" s="1" t="s">
        <v>1324</v>
      </c>
      <c r="L1533" s="1" t="s">
        <v>895</v>
      </c>
      <c r="N1533" s="1" t="s">
        <v>6364</v>
      </c>
      <c r="P1533" s="1" t="s">
        <v>3125</v>
      </c>
      <c r="Q1533" s="3">
        <v>0</v>
      </c>
      <c r="R1533" s="23" t="s">
        <v>6854</v>
      </c>
      <c r="S1533" s="23" t="s">
        <v>6845</v>
      </c>
      <c r="T1533" s="23" t="s">
        <v>4866</v>
      </c>
      <c r="U1533" s="3">
        <v>35</v>
      </c>
      <c r="W1533" s="45" t="str">
        <f>HYPERLINK("http://ictvonline.org/taxonomy/p/taxonomy-history?taxnode_id=201900913","ICTVonline=201900913")</f>
        <v>ICTVonline=201900913</v>
      </c>
      <c r="Y1533" s="1" t="s">
        <v>9627</v>
      </c>
      <c r="AA1533" s="1">
        <v>201900000</v>
      </c>
      <c r="AB1533" s="1">
        <v>35</v>
      </c>
    </row>
    <row r="1534" spans="1:28" x14ac:dyDescent="0.2">
      <c r="A1534" s="1">
        <v>4183</v>
      </c>
      <c r="B1534" s="1" t="s">
        <v>6850</v>
      </c>
      <c r="D1534" s="1" t="s">
        <v>6851</v>
      </c>
      <c r="F1534" s="1" t="s">
        <v>6914</v>
      </c>
      <c r="H1534" s="1" t="s">
        <v>6915</v>
      </c>
      <c r="J1534" s="1" t="s">
        <v>1324</v>
      </c>
      <c r="L1534" s="1" t="s">
        <v>895</v>
      </c>
      <c r="N1534" s="1" t="s">
        <v>6364</v>
      </c>
      <c r="P1534" s="1" t="s">
        <v>3126</v>
      </c>
      <c r="Q1534" s="3">
        <v>0</v>
      </c>
      <c r="R1534" s="23" t="s">
        <v>6854</v>
      </c>
      <c r="S1534" s="23" t="s">
        <v>6845</v>
      </c>
      <c r="T1534" s="23" t="s">
        <v>4866</v>
      </c>
      <c r="U1534" s="3">
        <v>35</v>
      </c>
      <c r="W1534" s="45" t="str">
        <f>HYPERLINK("http://ictvonline.org/taxonomy/p/taxonomy-history?taxnode_id=201900914","ICTVonline=201900914")</f>
        <v>ICTVonline=201900914</v>
      </c>
      <c r="Y1534" s="1" t="s">
        <v>9628</v>
      </c>
      <c r="AA1534" s="1">
        <v>201900000</v>
      </c>
      <c r="AB1534" s="1">
        <v>35</v>
      </c>
    </row>
    <row r="1535" spans="1:28" x14ac:dyDescent="0.2">
      <c r="A1535" s="1">
        <v>4185</v>
      </c>
      <c r="B1535" s="1" t="s">
        <v>6850</v>
      </c>
      <c r="D1535" s="1" t="s">
        <v>6851</v>
      </c>
      <c r="F1535" s="1" t="s">
        <v>6914</v>
      </c>
      <c r="H1535" s="1" t="s">
        <v>6915</v>
      </c>
      <c r="J1535" s="1" t="s">
        <v>1324</v>
      </c>
      <c r="L1535" s="1" t="s">
        <v>895</v>
      </c>
      <c r="N1535" s="1" t="s">
        <v>6364</v>
      </c>
      <c r="P1535" s="1" t="s">
        <v>3127</v>
      </c>
      <c r="Q1535" s="3">
        <v>0</v>
      </c>
      <c r="R1535" s="23" t="s">
        <v>6854</v>
      </c>
      <c r="S1535" s="23" t="s">
        <v>6845</v>
      </c>
      <c r="T1535" s="23" t="s">
        <v>4866</v>
      </c>
      <c r="U1535" s="3">
        <v>35</v>
      </c>
      <c r="W1535" s="45" t="str">
        <f>HYPERLINK("http://ictvonline.org/taxonomy/p/taxonomy-history?taxnode_id=201900915","ICTVonline=201900915")</f>
        <v>ICTVonline=201900915</v>
      </c>
      <c r="Y1535" s="1" t="s">
        <v>9629</v>
      </c>
      <c r="AA1535" s="1">
        <v>201900000</v>
      </c>
      <c r="AB1535" s="1">
        <v>35</v>
      </c>
    </row>
    <row r="1536" spans="1:28" x14ac:dyDescent="0.2">
      <c r="A1536" s="1">
        <v>4187</v>
      </c>
      <c r="B1536" s="1" t="s">
        <v>6850</v>
      </c>
      <c r="D1536" s="1" t="s">
        <v>6851</v>
      </c>
      <c r="F1536" s="1" t="s">
        <v>6914</v>
      </c>
      <c r="H1536" s="1" t="s">
        <v>6915</v>
      </c>
      <c r="J1536" s="1" t="s">
        <v>1324</v>
      </c>
      <c r="L1536" s="1" t="s">
        <v>895</v>
      </c>
      <c r="N1536" s="1" t="s">
        <v>6364</v>
      </c>
      <c r="P1536" s="1" t="s">
        <v>3128</v>
      </c>
      <c r="Q1536" s="3">
        <v>0</v>
      </c>
      <c r="R1536" s="23" t="s">
        <v>6854</v>
      </c>
      <c r="S1536" s="23" t="s">
        <v>6845</v>
      </c>
      <c r="T1536" s="23" t="s">
        <v>4866</v>
      </c>
      <c r="U1536" s="3">
        <v>35</v>
      </c>
      <c r="W1536" s="45" t="str">
        <f>HYPERLINK("http://ictvonline.org/taxonomy/p/taxonomy-history?taxnode_id=201900916","ICTVonline=201900916")</f>
        <v>ICTVonline=201900916</v>
      </c>
      <c r="Y1536" s="1" t="s">
        <v>9630</v>
      </c>
      <c r="AA1536" s="1">
        <v>201900000</v>
      </c>
      <c r="AB1536" s="1">
        <v>35</v>
      </c>
    </row>
    <row r="1537" spans="1:28" x14ac:dyDescent="0.2">
      <c r="A1537" s="1">
        <v>4189</v>
      </c>
      <c r="B1537" s="1" t="s">
        <v>6850</v>
      </c>
      <c r="D1537" s="1" t="s">
        <v>6851</v>
      </c>
      <c r="F1537" s="1" t="s">
        <v>6914</v>
      </c>
      <c r="H1537" s="1" t="s">
        <v>6915</v>
      </c>
      <c r="J1537" s="1" t="s">
        <v>1324</v>
      </c>
      <c r="L1537" s="1" t="s">
        <v>895</v>
      </c>
      <c r="N1537" s="1" t="s">
        <v>6364</v>
      </c>
      <c r="P1537" s="1" t="s">
        <v>3129</v>
      </c>
      <c r="Q1537" s="3">
        <v>0</v>
      </c>
      <c r="R1537" s="23" t="s">
        <v>6854</v>
      </c>
      <c r="S1537" s="23" t="s">
        <v>6845</v>
      </c>
      <c r="T1537" s="23" t="s">
        <v>4866</v>
      </c>
      <c r="U1537" s="3">
        <v>35</v>
      </c>
      <c r="W1537" s="45" t="str">
        <f>HYPERLINK("http://ictvonline.org/taxonomy/p/taxonomy-history?taxnode_id=201900917","ICTVonline=201900917")</f>
        <v>ICTVonline=201900917</v>
      </c>
      <c r="Y1537" s="1" t="s">
        <v>9631</v>
      </c>
      <c r="AA1537" s="1">
        <v>201900000</v>
      </c>
      <c r="AB1537" s="1">
        <v>35</v>
      </c>
    </row>
    <row r="1538" spans="1:28" x14ac:dyDescent="0.2">
      <c r="A1538" s="1">
        <v>4191</v>
      </c>
      <c r="B1538" s="1" t="s">
        <v>6850</v>
      </c>
      <c r="D1538" s="1" t="s">
        <v>6851</v>
      </c>
      <c r="F1538" s="1" t="s">
        <v>6914</v>
      </c>
      <c r="H1538" s="1" t="s">
        <v>6915</v>
      </c>
      <c r="J1538" s="1" t="s">
        <v>1324</v>
      </c>
      <c r="L1538" s="1" t="s">
        <v>895</v>
      </c>
      <c r="N1538" s="1" t="s">
        <v>6364</v>
      </c>
      <c r="P1538" s="1" t="s">
        <v>3130</v>
      </c>
      <c r="Q1538" s="3">
        <v>0</v>
      </c>
      <c r="R1538" s="23" t="s">
        <v>6854</v>
      </c>
      <c r="S1538" s="23" t="s">
        <v>6845</v>
      </c>
      <c r="T1538" s="23" t="s">
        <v>4866</v>
      </c>
      <c r="U1538" s="3">
        <v>35</v>
      </c>
      <c r="W1538" s="45" t="str">
        <f>HYPERLINK("http://ictvonline.org/taxonomy/p/taxonomy-history?taxnode_id=201900918","ICTVonline=201900918")</f>
        <v>ICTVonline=201900918</v>
      </c>
      <c r="Y1538" s="1" t="s">
        <v>9632</v>
      </c>
      <c r="AA1538" s="1">
        <v>201900000</v>
      </c>
      <c r="AB1538" s="1">
        <v>35</v>
      </c>
    </row>
    <row r="1539" spans="1:28" x14ac:dyDescent="0.2">
      <c r="A1539" s="1">
        <v>4195</v>
      </c>
      <c r="B1539" s="1" t="s">
        <v>6850</v>
      </c>
      <c r="D1539" s="1" t="s">
        <v>6851</v>
      </c>
      <c r="F1539" s="1" t="s">
        <v>6914</v>
      </c>
      <c r="H1539" s="1" t="s">
        <v>6915</v>
      </c>
      <c r="J1539" s="1" t="s">
        <v>1324</v>
      </c>
      <c r="L1539" s="1" t="s">
        <v>895</v>
      </c>
      <c r="N1539" s="1" t="s">
        <v>3134</v>
      </c>
      <c r="P1539" s="1" t="s">
        <v>3135</v>
      </c>
      <c r="Q1539" s="3">
        <v>1</v>
      </c>
      <c r="R1539" s="23" t="s">
        <v>6854</v>
      </c>
      <c r="S1539" s="23" t="s">
        <v>6845</v>
      </c>
      <c r="T1539" s="23" t="s">
        <v>4866</v>
      </c>
      <c r="U1539" s="3">
        <v>35</v>
      </c>
      <c r="W1539" s="45" t="str">
        <f>HYPERLINK("http://ictvonline.org/taxonomy/p/taxonomy-history?taxnode_id=201900924","ICTVonline=201900924")</f>
        <v>ICTVonline=201900924</v>
      </c>
      <c r="Y1539" s="1" t="s">
        <v>9633</v>
      </c>
      <c r="AA1539" s="1">
        <v>201900000</v>
      </c>
      <c r="AB1539" s="1">
        <v>35</v>
      </c>
    </row>
    <row r="1540" spans="1:28" x14ac:dyDescent="0.2">
      <c r="A1540" s="1">
        <v>4197</v>
      </c>
      <c r="B1540" s="1" t="s">
        <v>6850</v>
      </c>
      <c r="D1540" s="1" t="s">
        <v>6851</v>
      </c>
      <c r="F1540" s="1" t="s">
        <v>6914</v>
      </c>
      <c r="H1540" s="1" t="s">
        <v>6915</v>
      </c>
      <c r="J1540" s="1" t="s">
        <v>1324</v>
      </c>
      <c r="L1540" s="1" t="s">
        <v>895</v>
      </c>
      <c r="N1540" s="1" t="s">
        <v>3134</v>
      </c>
      <c r="P1540" s="1" t="s">
        <v>3136</v>
      </c>
      <c r="Q1540" s="3">
        <v>0</v>
      </c>
      <c r="R1540" s="23" t="s">
        <v>6854</v>
      </c>
      <c r="S1540" s="23" t="s">
        <v>6845</v>
      </c>
      <c r="T1540" s="23" t="s">
        <v>4866</v>
      </c>
      <c r="U1540" s="3">
        <v>35</v>
      </c>
      <c r="W1540" s="45" t="str">
        <f>HYPERLINK("http://ictvonline.org/taxonomy/p/taxonomy-history?taxnode_id=201900925","ICTVonline=201900925")</f>
        <v>ICTVonline=201900925</v>
      </c>
      <c r="Y1540" s="1" t="s">
        <v>9634</v>
      </c>
      <c r="AA1540" s="1">
        <v>201900000</v>
      </c>
      <c r="AB1540" s="1">
        <v>35</v>
      </c>
    </row>
    <row r="1541" spans="1:28" x14ac:dyDescent="0.2">
      <c r="A1541" s="1">
        <v>4199</v>
      </c>
      <c r="B1541" s="1" t="s">
        <v>6850</v>
      </c>
      <c r="D1541" s="1" t="s">
        <v>6851</v>
      </c>
      <c r="F1541" s="1" t="s">
        <v>6914</v>
      </c>
      <c r="H1541" s="1" t="s">
        <v>6915</v>
      </c>
      <c r="J1541" s="1" t="s">
        <v>1324</v>
      </c>
      <c r="L1541" s="1" t="s">
        <v>895</v>
      </c>
      <c r="N1541" s="1" t="s">
        <v>3134</v>
      </c>
      <c r="P1541" s="1" t="s">
        <v>3137</v>
      </c>
      <c r="Q1541" s="3">
        <v>0</v>
      </c>
      <c r="R1541" s="23" t="s">
        <v>6854</v>
      </c>
      <c r="S1541" s="23" t="s">
        <v>6845</v>
      </c>
      <c r="T1541" s="23" t="s">
        <v>4866</v>
      </c>
      <c r="U1541" s="3">
        <v>35</v>
      </c>
      <c r="W1541" s="45" t="str">
        <f>HYPERLINK("http://ictvonline.org/taxonomy/p/taxonomy-history?taxnode_id=201900926","ICTVonline=201900926")</f>
        <v>ICTVonline=201900926</v>
      </c>
      <c r="Y1541" s="1" t="s">
        <v>9635</v>
      </c>
      <c r="AA1541" s="1">
        <v>201900000</v>
      </c>
      <c r="AB1541" s="1">
        <v>35</v>
      </c>
    </row>
    <row r="1542" spans="1:28" x14ac:dyDescent="0.2">
      <c r="A1542" s="1">
        <v>4201</v>
      </c>
      <c r="B1542" s="1" t="s">
        <v>6850</v>
      </c>
      <c r="D1542" s="1" t="s">
        <v>6851</v>
      </c>
      <c r="F1542" s="1" t="s">
        <v>6914</v>
      </c>
      <c r="H1542" s="1" t="s">
        <v>6915</v>
      </c>
      <c r="J1542" s="1" t="s">
        <v>1324</v>
      </c>
      <c r="L1542" s="1" t="s">
        <v>895</v>
      </c>
      <c r="N1542" s="1" t="s">
        <v>3134</v>
      </c>
      <c r="P1542" s="1" t="s">
        <v>3138</v>
      </c>
      <c r="Q1542" s="3">
        <v>0</v>
      </c>
      <c r="R1542" s="23" t="s">
        <v>6854</v>
      </c>
      <c r="S1542" s="23" t="s">
        <v>6845</v>
      </c>
      <c r="T1542" s="23" t="s">
        <v>4866</v>
      </c>
      <c r="U1542" s="3">
        <v>35</v>
      </c>
      <c r="W1542" s="45" t="str">
        <f>HYPERLINK("http://ictvonline.org/taxonomy/p/taxonomy-history?taxnode_id=201900927","ICTVonline=201900927")</f>
        <v>ICTVonline=201900927</v>
      </c>
      <c r="Y1542" s="1" t="s">
        <v>9636</v>
      </c>
      <c r="AA1542" s="1">
        <v>201900000</v>
      </c>
      <c r="AB1542" s="1">
        <v>35</v>
      </c>
    </row>
    <row r="1543" spans="1:28" x14ac:dyDescent="0.2">
      <c r="A1543" s="1">
        <v>4203</v>
      </c>
      <c r="B1543" s="1" t="s">
        <v>6850</v>
      </c>
      <c r="D1543" s="1" t="s">
        <v>6851</v>
      </c>
      <c r="F1543" s="1" t="s">
        <v>6914</v>
      </c>
      <c r="H1543" s="1" t="s">
        <v>6915</v>
      </c>
      <c r="J1543" s="1" t="s">
        <v>1324</v>
      </c>
      <c r="L1543" s="1" t="s">
        <v>895</v>
      </c>
      <c r="N1543" s="1" t="s">
        <v>3134</v>
      </c>
      <c r="P1543" s="1" t="s">
        <v>3139</v>
      </c>
      <c r="Q1543" s="3">
        <v>0</v>
      </c>
      <c r="R1543" s="23" t="s">
        <v>6854</v>
      </c>
      <c r="S1543" s="23" t="s">
        <v>6845</v>
      </c>
      <c r="T1543" s="23" t="s">
        <v>4866</v>
      </c>
      <c r="U1543" s="3">
        <v>35</v>
      </c>
      <c r="W1543" s="45" t="str">
        <f>HYPERLINK("http://ictvonline.org/taxonomy/p/taxonomy-history?taxnode_id=201900928","ICTVonline=201900928")</f>
        <v>ICTVonline=201900928</v>
      </c>
      <c r="Y1543" s="1" t="s">
        <v>9637</v>
      </c>
      <c r="AA1543" s="1">
        <v>201900000</v>
      </c>
      <c r="AB1543" s="1">
        <v>35</v>
      </c>
    </row>
    <row r="1544" spans="1:28" x14ac:dyDescent="0.2">
      <c r="A1544" s="1">
        <v>4207</v>
      </c>
      <c r="B1544" s="1" t="s">
        <v>6850</v>
      </c>
      <c r="D1544" s="1" t="s">
        <v>6851</v>
      </c>
      <c r="F1544" s="1" t="s">
        <v>6914</v>
      </c>
      <c r="H1544" s="1" t="s">
        <v>6915</v>
      </c>
      <c r="J1544" s="1" t="s">
        <v>1324</v>
      </c>
      <c r="L1544" s="1" t="s">
        <v>895</v>
      </c>
      <c r="N1544" s="1" t="s">
        <v>6365</v>
      </c>
      <c r="P1544" s="1" t="s">
        <v>6366</v>
      </c>
      <c r="Q1544" s="3">
        <v>1</v>
      </c>
      <c r="R1544" s="23" t="s">
        <v>6854</v>
      </c>
      <c r="S1544" s="23" t="s">
        <v>6845</v>
      </c>
      <c r="T1544" s="23" t="s">
        <v>4866</v>
      </c>
      <c r="U1544" s="3">
        <v>35</v>
      </c>
      <c r="W1544" s="45" t="str">
        <f>HYPERLINK("http://ictvonline.org/taxonomy/p/taxonomy-history?taxnode_id=201906767","ICTVonline=201906767")</f>
        <v>ICTVonline=201906767</v>
      </c>
      <c r="Y1544" s="1" t="s">
        <v>9638</v>
      </c>
      <c r="Z1544" s="1" t="s">
        <v>9639</v>
      </c>
      <c r="AA1544" s="1">
        <v>201900000</v>
      </c>
      <c r="AB1544" s="1">
        <v>35</v>
      </c>
    </row>
    <row r="1545" spans="1:28" x14ac:dyDescent="0.2">
      <c r="A1545" s="1">
        <v>4211</v>
      </c>
      <c r="B1545" s="1" t="s">
        <v>6850</v>
      </c>
      <c r="D1545" s="1" t="s">
        <v>6851</v>
      </c>
      <c r="F1545" s="1" t="s">
        <v>6914</v>
      </c>
      <c r="H1545" s="1" t="s">
        <v>6915</v>
      </c>
      <c r="J1545" s="1" t="s">
        <v>1324</v>
      </c>
      <c r="L1545" s="1" t="s">
        <v>895</v>
      </c>
      <c r="N1545" s="1" t="s">
        <v>6367</v>
      </c>
      <c r="P1545" s="1" t="s">
        <v>6368</v>
      </c>
      <c r="Q1545" s="3">
        <v>1</v>
      </c>
      <c r="R1545" s="23" t="s">
        <v>6854</v>
      </c>
      <c r="S1545" s="23" t="s">
        <v>6845</v>
      </c>
      <c r="T1545" s="23" t="s">
        <v>4866</v>
      </c>
      <c r="U1545" s="3">
        <v>35</v>
      </c>
      <c r="W1545" s="45" t="str">
        <f>HYPERLINK("http://ictvonline.org/taxonomy/p/taxonomy-history?taxnode_id=201906733","ICTVonline=201906733")</f>
        <v>ICTVonline=201906733</v>
      </c>
      <c r="Y1545" s="1" t="s">
        <v>9640</v>
      </c>
      <c r="Z1545" s="1" t="s">
        <v>9641</v>
      </c>
      <c r="AA1545" s="1">
        <v>201900000</v>
      </c>
      <c r="AB1545" s="1">
        <v>35</v>
      </c>
    </row>
    <row r="1546" spans="1:28" x14ac:dyDescent="0.2">
      <c r="A1546" s="1">
        <v>4215</v>
      </c>
      <c r="B1546" s="1" t="s">
        <v>6850</v>
      </c>
      <c r="D1546" s="1" t="s">
        <v>6851</v>
      </c>
      <c r="F1546" s="1" t="s">
        <v>6914</v>
      </c>
      <c r="H1546" s="1" t="s">
        <v>6915</v>
      </c>
      <c r="J1546" s="1" t="s">
        <v>1324</v>
      </c>
      <c r="L1546" s="1" t="s">
        <v>895</v>
      </c>
      <c r="N1546" s="1" t="s">
        <v>6369</v>
      </c>
      <c r="P1546" s="1" t="s">
        <v>6370</v>
      </c>
      <c r="Q1546" s="3">
        <v>1</v>
      </c>
      <c r="R1546" s="23" t="s">
        <v>6854</v>
      </c>
      <c r="S1546" s="23" t="s">
        <v>6845</v>
      </c>
      <c r="T1546" s="23" t="s">
        <v>4866</v>
      </c>
      <c r="U1546" s="3">
        <v>35</v>
      </c>
      <c r="W1546" s="45" t="str">
        <f>HYPERLINK("http://ictvonline.org/taxonomy/p/taxonomy-history?taxnode_id=201906735","ICTVonline=201906735")</f>
        <v>ICTVonline=201906735</v>
      </c>
      <c r="Y1546" s="1" t="s">
        <v>9642</v>
      </c>
      <c r="Z1546" s="1" t="s">
        <v>9643</v>
      </c>
      <c r="AA1546" s="1">
        <v>201900000</v>
      </c>
      <c r="AB1546" s="1">
        <v>35</v>
      </c>
    </row>
    <row r="1547" spans="1:28" x14ac:dyDescent="0.2">
      <c r="A1547" s="1">
        <v>4219</v>
      </c>
      <c r="B1547" s="1" t="s">
        <v>6850</v>
      </c>
      <c r="D1547" s="1" t="s">
        <v>6851</v>
      </c>
      <c r="F1547" s="1" t="s">
        <v>6914</v>
      </c>
      <c r="H1547" s="1" t="s">
        <v>6915</v>
      </c>
      <c r="J1547" s="1" t="s">
        <v>1324</v>
      </c>
      <c r="L1547" s="1" t="s">
        <v>895</v>
      </c>
      <c r="N1547" s="1" t="s">
        <v>6371</v>
      </c>
      <c r="P1547" s="1" t="s">
        <v>3312</v>
      </c>
      <c r="Q1547" s="3">
        <v>0</v>
      </c>
      <c r="R1547" s="23" t="s">
        <v>6854</v>
      </c>
      <c r="S1547" s="23" t="s">
        <v>6845</v>
      </c>
      <c r="T1547" s="23" t="s">
        <v>4866</v>
      </c>
      <c r="U1547" s="3">
        <v>35</v>
      </c>
      <c r="W1547" s="45" t="str">
        <f>HYPERLINK("http://ictvonline.org/taxonomy/p/taxonomy-history?taxnode_id=201901231","ICTVonline=201901231")</f>
        <v>ICTVonline=201901231</v>
      </c>
      <c r="Y1547" s="1" t="s">
        <v>9644</v>
      </c>
      <c r="AA1547" s="1">
        <v>201900000</v>
      </c>
      <c r="AB1547" s="1">
        <v>35</v>
      </c>
    </row>
    <row r="1548" spans="1:28" x14ac:dyDescent="0.2">
      <c r="A1548" s="1">
        <v>4221</v>
      </c>
      <c r="B1548" s="1" t="s">
        <v>6850</v>
      </c>
      <c r="D1548" s="1" t="s">
        <v>6851</v>
      </c>
      <c r="F1548" s="1" t="s">
        <v>6914</v>
      </c>
      <c r="H1548" s="1" t="s">
        <v>6915</v>
      </c>
      <c r="J1548" s="1" t="s">
        <v>1324</v>
      </c>
      <c r="L1548" s="1" t="s">
        <v>895</v>
      </c>
      <c r="N1548" s="1" t="s">
        <v>6371</v>
      </c>
      <c r="P1548" s="1" t="s">
        <v>3313</v>
      </c>
      <c r="Q1548" s="3">
        <v>1</v>
      </c>
      <c r="R1548" s="23" t="s">
        <v>6854</v>
      </c>
      <c r="S1548" s="23" t="s">
        <v>6845</v>
      </c>
      <c r="T1548" s="23" t="s">
        <v>4866</v>
      </c>
      <c r="U1548" s="3">
        <v>35</v>
      </c>
      <c r="W1548" s="45" t="str">
        <f>HYPERLINK("http://ictvonline.org/taxonomy/p/taxonomy-history?taxnode_id=201901232","ICTVonline=201901232")</f>
        <v>ICTVonline=201901232</v>
      </c>
      <c r="Y1548" s="1" t="s">
        <v>9645</v>
      </c>
      <c r="AA1548" s="1">
        <v>201900000</v>
      </c>
      <c r="AB1548" s="1">
        <v>35</v>
      </c>
    </row>
    <row r="1549" spans="1:28" x14ac:dyDescent="0.2">
      <c r="A1549" s="1">
        <v>4223</v>
      </c>
      <c r="B1549" s="1" t="s">
        <v>6850</v>
      </c>
      <c r="D1549" s="1" t="s">
        <v>6851</v>
      </c>
      <c r="F1549" s="1" t="s">
        <v>6914</v>
      </c>
      <c r="H1549" s="1" t="s">
        <v>6915</v>
      </c>
      <c r="J1549" s="1" t="s">
        <v>1324</v>
      </c>
      <c r="L1549" s="1" t="s">
        <v>895</v>
      </c>
      <c r="N1549" s="1" t="s">
        <v>6371</v>
      </c>
      <c r="P1549" s="1" t="s">
        <v>3314</v>
      </c>
      <c r="Q1549" s="3">
        <v>0</v>
      </c>
      <c r="R1549" s="23" t="s">
        <v>6854</v>
      </c>
      <c r="S1549" s="23" t="s">
        <v>6845</v>
      </c>
      <c r="T1549" s="23" t="s">
        <v>4866</v>
      </c>
      <c r="U1549" s="3">
        <v>35</v>
      </c>
      <c r="W1549" s="45" t="str">
        <f>HYPERLINK("http://ictvonline.org/taxonomy/p/taxonomy-history?taxnode_id=201901233","ICTVonline=201901233")</f>
        <v>ICTVonline=201901233</v>
      </c>
      <c r="Y1549" s="1" t="s">
        <v>9646</v>
      </c>
      <c r="AA1549" s="1">
        <v>201900000</v>
      </c>
      <c r="AB1549" s="1">
        <v>35</v>
      </c>
    </row>
    <row r="1550" spans="1:28" x14ac:dyDescent="0.2">
      <c r="A1550" s="1">
        <v>4227</v>
      </c>
      <c r="B1550" s="1" t="s">
        <v>6850</v>
      </c>
      <c r="D1550" s="1" t="s">
        <v>6851</v>
      </c>
      <c r="F1550" s="1" t="s">
        <v>6914</v>
      </c>
      <c r="H1550" s="1" t="s">
        <v>6915</v>
      </c>
      <c r="J1550" s="1" t="s">
        <v>1324</v>
      </c>
      <c r="L1550" s="1" t="s">
        <v>895</v>
      </c>
      <c r="N1550" s="1" t="s">
        <v>9647</v>
      </c>
      <c r="P1550" s="1" t="s">
        <v>9648</v>
      </c>
      <c r="Q1550" s="3">
        <v>1</v>
      </c>
      <c r="R1550" s="23" t="s">
        <v>6854</v>
      </c>
      <c r="S1550" s="23" t="s">
        <v>6849</v>
      </c>
      <c r="T1550" s="23" t="s">
        <v>4864</v>
      </c>
      <c r="U1550" s="3">
        <v>35</v>
      </c>
      <c r="V1550" s="3" t="s">
        <v>9649</v>
      </c>
      <c r="W1550" s="45" t="str">
        <f>HYPERLINK("http://ictvonline.org/taxonomy/p/taxonomy-history?taxnode_id=201907256","ICTVonline=201907256")</f>
        <v>ICTVonline=201907256</v>
      </c>
      <c r="Y1550" s="1" t="s">
        <v>9650</v>
      </c>
      <c r="AA1550" s="1">
        <v>201900000</v>
      </c>
      <c r="AB1550" s="1">
        <v>35</v>
      </c>
    </row>
    <row r="1551" spans="1:28" x14ac:dyDescent="0.2">
      <c r="A1551" s="1">
        <v>4229</v>
      </c>
      <c r="B1551" s="1" t="s">
        <v>6850</v>
      </c>
      <c r="D1551" s="1" t="s">
        <v>6851</v>
      </c>
      <c r="F1551" s="1" t="s">
        <v>6914</v>
      </c>
      <c r="H1551" s="1" t="s">
        <v>6915</v>
      </c>
      <c r="J1551" s="1" t="s">
        <v>1324</v>
      </c>
      <c r="L1551" s="1" t="s">
        <v>895</v>
      </c>
      <c r="N1551" s="1" t="s">
        <v>9647</v>
      </c>
      <c r="P1551" s="1" t="s">
        <v>9651</v>
      </c>
      <c r="Q1551" s="3">
        <v>0</v>
      </c>
      <c r="R1551" s="23" t="s">
        <v>6854</v>
      </c>
      <c r="S1551" s="23" t="s">
        <v>6849</v>
      </c>
      <c r="T1551" s="23" t="s">
        <v>4864</v>
      </c>
      <c r="U1551" s="3">
        <v>35</v>
      </c>
      <c r="V1551" s="3" t="s">
        <v>9649</v>
      </c>
      <c r="W1551" s="45" t="str">
        <f>HYPERLINK("http://ictvonline.org/taxonomy/p/taxonomy-history?taxnode_id=201907257","ICTVonline=201907257")</f>
        <v>ICTVonline=201907257</v>
      </c>
      <c r="Y1551" s="1" t="s">
        <v>9652</v>
      </c>
      <c r="AA1551" s="1">
        <v>201900000</v>
      </c>
      <c r="AB1551" s="1">
        <v>35</v>
      </c>
    </row>
    <row r="1552" spans="1:28" x14ac:dyDescent="0.2">
      <c r="A1552" s="1">
        <v>4233</v>
      </c>
      <c r="B1552" s="1" t="s">
        <v>6850</v>
      </c>
      <c r="D1552" s="1" t="s">
        <v>6851</v>
      </c>
      <c r="F1552" s="1" t="s">
        <v>6914</v>
      </c>
      <c r="H1552" s="1" t="s">
        <v>6915</v>
      </c>
      <c r="J1552" s="1" t="s">
        <v>1324</v>
      </c>
      <c r="L1552" s="1" t="s">
        <v>895</v>
      </c>
      <c r="N1552" s="1" t="s">
        <v>3149</v>
      </c>
      <c r="P1552" s="1" t="s">
        <v>3150</v>
      </c>
      <c r="Q1552" s="3">
        <v>1</v>
      </c>
      <c r="R1552" s="23" t="s">
        <v>6854</v>
      </c>
      <c r="S1552" s="23" t="s">
        <v>6845</v>
      </c>
      <c r="T1552" s="23" t="s">
        <v>4866</v>
      </c>
      <c r="U1552" s="3">
        <v>35</v>
      </c>
      <c r="W1552" s="45" t="str">
        <f>HYPERLINK("http://ictvonline.org/taxonomy/p/taxonomy-history?taxnode_id=201900940","ICTVonline=201900940")</f>
        <v>ICTVonline=201900940</v>
      </c>
      <c r="Y1552" s="1" t="s">
        <v>9653</v>
      </c>
      <c r="AA1552" s="1">
        <v>201900000</v>
      </c>
      <c r="AB1552" s="1">
        <v>35</v>
      </c>
    </row>
    <row r="1553" spans="1:28" x14ac:dyDescent="0.2">
      <c r="A1553" s="1">
        <v>4235</v>
      </c>
      <c r="B1553" s="1" t="s">
        <v>6850</v>
      </c>
      <c r="D1553" s="1" t="s">
        <v>6851</v>
      </c>
      <c r="F1553" s="1" t="s">
        <v>6914</v>
      </c>
      <c r="H1553" s="1" t="s">
        <v>6915</v>
      </c>
      <c r="J1553" s="1" t="s">
        <v>1324</v>
      </c>
      <c r="L1553" s="1" t="s">
        <v>895</v>
      </c>
      <c r="N1553" s="1" t="s">
        <v>3149</v>
      </c>
      <c r="P1553" s="1" t="s">
        <v>3151</v>
      </c>
      <c r="Q1553" s="3">
        <v>0</v>
      </c>
      <c r="R1553" s="23" t="s">
        <v>6854</v>
      </c>
      <c r="S1553" s="23" t="s">
        <v>6845</v>
      </c>
      <c r="T1553" s="23" t="s">
        <v>4866</v>
      </c>
      <c r="U1553" s="3">
        <v>35</v>
      </c>
      <c r="W1553" s="45" t="str">
        <f>HYPERLINK("http://ictvonline.org/taxonomy/p/taxonomy-history?taxnode_id=201900941","ICTVonline=201900941")</f>
        <v>ICTVonline=201900941</v>
      </c>
      <c r="Y1553" s="1" t="s">
        <v>9654</v>
      </c>
      <c r="AA1553" s="1">
        <v>201900000</v>
      </c>
      <c r="AB1553" s="1">
        <v>35</v>
      </c>
    </row>
    <row r="1554" spans="1:28" x14ac:dyDescent="0.2">
      <c r="A1554" s="1">
        <v>4239</v>
      </c>
      <c r="B1554" s="1" t="s">
        <v>6850</v>
      </c>
      <c r="D1554" s="1" t="s">
        <v>6851</v>
      </c>
      <c r="F1554" s="1" t="s">
        <v>6914</v>
      </c>
      <c r="H1554" s="1" t="s">
        <v>6915</v>
      </c>
      <c r="J1554" s="1" t="s">
        <v>1324</v>
      </c>
      <c r="L1554" s="1" t="s">
        <v>895</v>
      </c>
      <c r="N1554" s="1" t="s">
        <v>4304</v>
      </c>
      <c r="P1554" s="1" t="s">
        <v>4305</v>
      </c>
      <c r="Q1554" s="3">
        <v>1</v>
      </c>
      <c r="R1554" s="23" t="s">
        <v>6854</v>
      </c>
      <c r="S1554" s="23" t="s">
        <v>6845</v>
      </c>
      <c r="T1554" s="23" t="s">
        <v>4866</v>
      </c>
      <c r="U1554" s="3">
        <v>35</v>
      </c>
      <c r="W1554" s="45" t="str">
        <f>HYPERLINK("http://ictvonline.org/taxonomy/p/taxonomy-history?taxnode_id=201900943","ICTVonline=201900943")</f>
        <v>ICTVonline=201900943</v>
      </c>
      <c r="Y1554" s="1" t="s">
        <v>9655</v>
      </c>
      <c r="Z1554" s="1" t="s">
        <v>9656</v>
      </c>
      <c r="AA1554" s="1">
        <v>201900000</v>
      </c>
      <c r="AB1554" s="1">
        <v>35</v>
      </c>
    </row>
    <row r="1555" spans="1:28" x14ac:dyDescent="0.2">
      <c r="A1555" s="1">
        <v>4243</v>
      </c>
      <c r="B1555" s="1" t="s">
        <v>6850</v>
      </c>
      <c r="D1555" s="1" t="s">
        <v>6851</v>
      </c>
      <c r="F1555" s="1" t="s">
        <v>6914</v>
      </c>
      <c r="H1555" s="1" t="s">
        <v>6915</v>
      </c>
      <c r="J1555" s="1" t="s">
        <v>1324</v>
      </c>
      <c r="L1555" s="1" t="s">
        <v>895</v>
      </c>
      <c r="N1555" s="1" t="s">
        <v>9657</v>
      </c>
      <c r="P1555" s="1" t="s">
        <v>9658</v>
      </c>
      <c r="Q1555" s="3">
        <v>1</v>
      </c>
      <c r="R1555" s="23" t="s">
        <v>6854</v>
      </c>
      <c r="S1555" s="23" t="s">
        <v>6849</v>
      </c>
      <c r="T1555" s="23" t="s">
        <v>4864</v>
      </c>
      <c r="U1555" s="3">
        <v>35</v>
      </c>
      <c r="V1555" s="3" t="s">
        <v>9659</v>
      </c>
      <c r="W1555" s="45" t="str">
        <f>HYPERLINK("http://ictvonline.org/taxonomy/p/taxonomy-history?taxnode_id=201907191","ICTVonline=201907191")</f>
        <v>ICTVonline=201907191</v>
      </c>
      <c r="Y1555" s="1" t="s">
        <v>9660</v>
      </c>
      <c r="AA1555" s="1">
        <v>201900000</v>
      </c>
      <c r="AB1555" s="1">
        <v>35</v>
      </c>
    </row>
    <row r="1556" spans="1:28" x14ac:dyDescent="0.2">
      <c r="A1556" s="1">
        <v>4247</v>
      </c>
      <c r="B1556" s="1" t="s">
        <v>6850</v>
      </c>
      <c r="D1556" s="1" t="s">
        <v>6851</v>
      </c>
      <c r="F1556" s="1" t="s">
        <v>6914</v>
      </c>
      <c r="H1556" s="1" t="s">
        <v>6915</v>
      </c>
      <c r="J1556" s="1" t="s">
        <v>1324</v>
      </c>
      <c r="L1556" s="1" t="s">
        <v>895</v>
      </c>
      <c r="N1556" s="1" t="s">
        <v>4306</v>
      </c>
      <c r="P1556" s="1" t="s">
        <v>4307</v>
      </c>
      <c r="Q1556" s="3">
        <v>1</v>
      </c>
      <c r="R1556" s="23" t="s">
        <v>6854</v>
      </c>
      <c r="S1556" s="23" t="s">
        <v>6845</v>
      </c>
      <c r="T1556" s="23" t="s">
        <v>4866</v>
      </c>
      <c r="U1556" s="3">
        <v>35</v>
      </c>
      <c r="W1556" s="45" t="str">
        <f>HYPERLINK("http://ictvonline.org/taxonomy/p/taxonomy-history?taxnode_id=201900957","ICTVonline=201900957")</f>
        <v>ICTVonline=201900957</v>
      </c>
      <c r="Y1556" s="1" t="s">
        <v>9661</v>
      </c>
      <c r="Z1556" s="1" t="s">
        <v>9662</v>
      </c>
      <c r="AA1556" s="1">
        <v>201900000</v>
      </c>
      <c r="AB1556" s="1">
        <v>35</v>
      </c>
    </row>
    <row r="1557" spans="1:28" x14ac:dyDescent="0.2">
      <c r="A1557" s="1">
        <v>4251</v>
      </c>
      <c r="B1557" s="1" t="s">
        <v>6850</v>
      </c>
      <c r="D1557" s="1" t="s">
        <v>6851</v>
      </c>
      <c r="F1557" s="1" t="s">
        <v>6914</v>
      </c>
      <c r="H1557" s="1" t="s">
        <v>6915</v>
      </c>
      <c r="J1557" s="1" t="s">
        <v>1324</v>
      </c>
      <c r="L1557" s="1" t="s">
        <v>895</v>
      </c>
      <c r="N1557" s="1" t="s">
        <v>6372</v>
      </c>
      <c r="P1557" s="1" t="s">
        <v>6373</v>
      </c>
      <c r="Q1557" s="3">
        <v>1</v>
      </c>
      <c r="R1557" s="23" t="s">
        <v>6854</v>
      </c>
      <c r="S1557" s="23" t="s">
        <v>6845</v>
      </c>
      <c r="T1557" s="23" t="s">
        <v>4866</v>
      </c>
      <c r="U1557" s="3">
        <v>35</v>
      </c>
      <c r="W1557" s="45" t="str">
        <f>HYPERLINK("http://ictvonline.org/taxonomy/p/taxonomy-history?taxnode_id=201906932","ICTVonline=201906932")</f>
        <v>ICTVonline=201906932</v>
      </c>
      <c r="Y1557" s="1" t="s">
        <v>9663</v>
      </c>
      <c r="Z1557" s="1" t="s">
        <v>9664</v>
      </c>
      <c r="AA1557" s="1">
        <v>201900000</v>
      </c>
      <c r="AB1557" s="1">
        <v>35</v>
      </c>
    </row>
    <row r="1558" spans="1:28" x14ac:dyDescent="0.2">
      <c r="A1558" s="1">
        <v>4255</v>
      </c>
      <c r="B1558" s="1" t="s">
        <v>6850</v>
      </c>
      <c r="D1558" s="1" t="s">
        <v>6851</v>
      </c>
      <c r="F1558" s="1" t="s">
        <v>6914</v>
      </c>
      <c r="H1558" s="1" t="s">
        <v>6915</v>
      </c>
      <c r="J1558" s="1" t="s">
        <v>1324</v>
      </c>
      <c r="L1558" s="1" t="s">
        <v>895</v>
      </c>
      <c r="N1558" s="1" t="s">
        <v>4308</v>
      </c>
      <c r="P1558" s="1" t="s">
        <v>4309</v>
      </c>
      <c r="Q1558" s="3">
        <v>1</v>
      </c>
      <c r="R1558" s="23" t="s">
        <v>6854</v>
      </c>
      <c r="S1558" s="23" t="s">
        <v>6845</v>
      </c>
      <c r="T1558" s="23" t="s">
        <v>4866</v>
      </c>
      <c r="U1558" s="3">
        <v>35</v>
      </c>
      <c r="W1558" s="45" t="str">
        <f>HYPERLINK("http://ictvonline.org/taxonomy/p/taxonomy-history?taxnode_id=201900959","ICTVonline=201900959")</f>
        <v>ICTVonline=201900959</v>
      </c>
      <c r="Y1558" s="1" t="s">
        <v>9665</v>
      </c>
      <c r="Z1558" s="1" t="s">
        <v>9666</v>
      </c>
      <c r="AA1558" s="1">
        <v>201900000</v>
      </c>
      <c r="AB1558" s="1">
        <v>35</v>
      </c>
    </row>
    <row r="1559" spans="1:28" x14ac:dyDescent="0.2">
      <c r="A1559" s="1">
        <v>4257</v>
      </c>
      <c r="B1559" s="1" t="s">
        <v>6850</v>
      </c>
      <c r="D1559" s="1" t="s">
        <v>6851</v>
      </c>
      <c r="F1559" s="1" t="s">
        <v>6914</v>
      </c>
      <c r="H1559" s="1" t="s">
        <v>6915</v>
      </c>
      <c r="J1559" s="1" t="s">
        <v>1324</v>
      </c>
      <c r="L1559" s="1" t="s">
        <v>895</v>
      </c>
      <c r="N1559" s="1" t="s">
        <v>4308</v>
      </c>
      <c r="P1559" s="1" t="s">
        <v>4310</v>
      </c>
      <c r="Q1559" s="3">
        <v>0</v>
      </c>
      <c r="R1559" s="23" t="s">
        <v>6854</v>
      </c>
      <c r="S1559" s="23" t="s">
        <v>6845</v>
      </c>
      <c r="T1559" s="23" t="s">
        <v>4866</v>
      </c>
      <c r="U1559" s="3">
        <v>35</v>
      </c>
      <c r="W1559" s="45" t="str">
        <f>HYPERLINK("http://ictvonline.org/taxonomy/p/taxonomy-history?taxnode_id=201900960","ICTVonline=201900960")</f>
        <v>ICTVonline=201900960</v>
      </c>
      <c r="Y1559" s="1" t="s">
        <v>9667</v>
      </c>
      <c r="Z1559" s="1" t="s">
        <v>9668</v>
      </c>
      <c r="AA1559" s="1">
        <v>201900000</v>
      </c>
      <c r="AB1559" s="1">
        <v>35</v>
      </c>
    </row>
    <row r="1560" spans="1:28" x14ac:dyDescent="0.2">
      <c r="A1560" s="1">
        <v>4259</v>
      </c>
      <c r="B1560" s="1" t="s">
        <v>6850</v>
      </c>
      <c r="D1560" s="1" t="s">
        <v>6851</v>
      </c>
      <c r="F1560" s="1" t="s">
        <v>6914</v>
      </c>
      <c r="H1560" s="1" t="s">
        <v>6915</v>
      </c>
      <c r="J1560" s="1" t="s">
        <v>1324</v>
      </c>
      <c r="L1560" s="1" t="s">
        <v>895</v>
      </c>
      <c r="N1560" s="1" t="s">
        <v>4308</v>
      </c>
      <c r="P1560" s="1" t="s">
        <v>4311</v>
      </c>
      <c r="Q1560" s="3">
        <v>0</v>
      </c>
      <c r="R1560" s="23" t="s">
        <v>6854</v>
      </c>
      <c r="S1560" s="23" t="s">
        <v>6845</v>
      </c>
      <c r="T1560" s="23" t="s">
        <v>4866</v>
      </c>
      <c r="U1560" s="3">
        <v>35</v>
      </c>
      <c r="W1560" s="45" t="str">
        <f>HYPERLINK("http://ictvonline.org/taxonomy/p/taxonomy-history?taxnode_id=201900961","ICTVonline=201900961")</f>
        <v>ICTVonline=201900961</v>
      </c>
      <c r="Y1560" s="1" t="s">
        <v>9669</v>
      </c>
      <c r="Z1560" s="1" t="s">
        <v>9670</v>
      </c>
      <c r="AA1560" s="1">
        <v>201900000</v>
      </c>
      <c r="AB1560" s="1">
        <v>35</v>
      </c>
    </row>
    <row r="1561" spans="1:28" x14ac:dyDescent="0.2">
      <c r="A1561" s="1">
        <v>4263</v>
      </c>
      <c r="B1561" s="1" t="s">
        <v>6850</v>
      </c>
      <c r="D1561" s="1" t="s">
        <v>6851</v>
      </c>
      <c r="F1561" s="1" t="s">
        <v>6914</v>
      </c>
      <c r="H1561" s="1" t="s">
        <v>6915</v>
      </c>
      <c r="J1561" s="1" t="s">
        <v>1324</v>
      </c>
      <c r="L1561" s="1" t="s">
        <v>895</v>
      </c>
      <c r="N1561" s="1" t="s">
        <v>6374</v>
      </c>
      <c r="P1561" s="1" t="s">
        <v>3160</v>
      </c>
      <c r="Q1561" s="3">
        <v>1</v>
      </c>
      <c r="R1561" s="23" t="s">
        <v>6854</v>
      </c>
      <c r="S1561" s="23" t="s">
        <v>6845</v>
      </c>
      <c r="T1561" s="23" t="s">
        <v>4866</v>
      </c>
      <c r="U1561" s="3">
        <v>35</v>
      </c>
      <c r="W1561" s="45" t="str">
        <f>HYPERLINK("http://ictvonline.org/taxonomy/p/taxonomy-history?taxnode_id=201900954","ICTVonline=201900954")</f>
        <v>ICTVonline=201900954</v>
      </c>
      <c r="Y1561" s="1" t="s">
        <v>9671</v>
      </c>
      <c r="AA1561" s="1">
        <v>201900000</v>
      </c>
      <c r="AB1561" s="1">
        <v>35</v>
      </c>
    </row>
    <row r="1562" spans="1:28" x14ac:dyDescent="0.2">
      <c r="A1562" s="1">
        <v>4265</v>
      </c>
      <c r="B1562" s="1" t="s">
        <v>6850</v>
      </c>
      <c r="D1562" s="1" t="s">
        <v>6851</v>
      </c>
      <c r="F1562" s="1" t="s">
        <v>6914</v>
      </c>
      <c r="H1562" s="1" t="s">
        <v>6915</v>
      </c>
      <c r="J1562" s="1" t="s">
        <v>1324</v>
      </c>
      <c r="L1562" s="1" t="s">
        <v>895</v>
      </c>
      <c r="N1562" s="1" t="s">
        <v>6374</v>
      </c>
      <c r="P1562" s="1" t="s">
        <v>3161</v>
      </c>
      <c r="Q1562" s="3">
        <v>0</v>
      </c>
      <c r="R1562" s="23" t="s">
        <v>6854</v>
      </c>
      <c r="S1562" s="23" t="s">
        <v>6845</v>
      </c>
      <c r="T1562" s="23" t="s">
        <v>4866</v>
      </c>
      <c r="U1562" s="3">
        <v>35</v>
      </c>
      <c r="W1562" s="45" t="str">
        <f>HYPERLINK("http://ictvonline.org/taxonomy/p/taxonomy-history?taxnode_id=201900955","ICTVonline=201900955")</f>
        <v>ICTVonline=201900955</v>
      </c>
      <c r="Y1562" s="1" t="s">
        <v>9672</v>
      </c>
      <c r="AA1562" s="1">
        <v>201900000</v>
      </c>
      <c r="AB1562" s="1">
        <v>35</v>
      </c>
    </row>
    <row r="1563" spans="1:28" x14ac:dyDescent="0.2">
      <c r="A1563" s="1">
        <v>4269</v>
      </c>
      <c r="B1563" s="1" t="s">
        <v>6850</v>
      </c>
      <c r="D1563" s="1" t="s">
        <v>6851</v>
      </c>
      <c r="F1563" s="1" t="s">
        <v>6914</v>
      </c>
      <c r="H1563" s="1" t="s">
        <v>6915</v>
      </c>
      <c r="J1563" s="1" t="s">
        <v>1324</v>
      </c>
      <c r="L1563" s="1" t="s">
        <v>895</v>
      </c>
      <c r="N1563" s="1" t="s">
        <v>6375</v>
      </c>
      <c r="P1563" s="1" t="s">
        <v>4325</v>
      </c>
      <c r="Q1563" s="3">
        <v>0</v>
      </c>
      <c r="R1563" s="23" t="s">
        <v>6854</v>
      </c>
      <c r="S1563" s="23" t="s">
        <v>6845</v>
      </c>
      <c r="T1563" s="23" t="s">
        <v>4866</v>
      </c>
      <c r="U1563" s="3">
        <v>35</v>
      </c>
      <c r="W1563" s="45" t="str">
        <f>HYPERLINK("http://ictvonline.org/taxonomy/p/taxonomy-history?taxnode_id=201900983","ICTVonline=201900983")</f>
        <v>ICTVonline=201900983</v>
      </c>
      <c r="Y1563" s="1" t="s">
        <v>9673</v>
      </c>
      <c r="Z1563" s="1" t="s">
        <v>9674</v>
      </c>
      <c r="AA1563" s="1">
        <v>201900000</v>
      </c>
      <c r="AB1563" s="1">
        <v>35</v>
      </c>
    </row>
    <row r="1564" spans="1:28" x14ac:dyDescent="0.2">
      <c r="A1564" s="1">
        <v>4271</v>
      </c>
      <c r="B1564" s="1" t="s">
        <v>6850</v>
      </c>
      <c r="D1564" s="1" t="s">
        <v>6851</v>
      </c>
      <c r="F1564" s="1" t="s">
        <v>6914</v>
      </c>
      <c r="H1564" s="1" t="s">
        <v>6915</v>
      </c>
      <c r="J1564" s="1" t="s">
        <v>1324</v>
      </c>
      <c r="L1564" s="1" t="s">
        <v>895</v>
      </c>
      <c r="N1564" s="1" t="s">
        <v>6375</v>
      </c>
      <c r="P1564" s="1" t="s">
        <v>3165</v>
      </c>
      <c r="Q1564" s="3">
        <v>1</v>
      </c>
      <c r="R1564" s="23" t="s">
        <v>6854</v>
      </c>
      <c r="S1564" s="23" t="s">
        <v>6845</v>
      </c>
      <c r="T1564" s="23" t="s">
        <v>4866</v>
      </c>
      <c r="U1564" s="3">
        <v>35</v>
      </c>
      <c r="W1564" s="45" t="str">
        <f>HYPERLINK("http://ictvonline.org/taxonomy/p/taxonomy-history?taxnode_id=201900984","ICTVonline=201900984")</f>
        <v>ICTVonline=201900984</v>
      </c>
      <c r="Y1564" s="1" t="s">
        <v>9675</v>
      </c>
      <c r="AA1564" s="1">
        <v>201900000</v>
      </c>
      <c r="AB1564" s="1">
        <v>35</v>
      </c>
    </row>
    <row r="1565" spans="1:28" x14ac:dyDescent="0.2">
      <c r="A1565" s="1">
        <v>4273</v>
      </c>
      <c r="B1565" s="1" t="s">
        <v>6850</v>
      </c>
      <c r="D1565" s="1" t="s">
        <v>6851</v>
      </c>
      <c r="F1565" s="1" t="s">
        <v>6914</v>
      </c>
      <c r="H1565" s="1" t="s">
        <v>6915</v>
      </c>
      <c r="J1565" s="1" t="s">
        <v>1324</v>
      </c>
      <c r="L1565" s="1" t="s">
        <v>895</v>
      </c>
      <c r="N1565" s="1" t="s">
        <v>6375</v>
      </c>
      <c r="P1565" s="1" t="s">
        <v>3166</v>
      </c>
      <c r="Q1565" s="3">
        <v>0</v>
      </c>
      <c r="R1565" s="23" t="s">
        <v>6854</v>
      </c>
      <c r="S1565" s="23" t="s">
        <v>6845</v>
      </c>
      <c r="T1565" s="23" t="s">
        <v>4866</v>
      </c>
      <c r="U1565" s="3">
        <v>35</v>
      </c>
      <c r="W1565" s="45" t="str">
        <f>HYPERLINK("http://ictvonline.org/taxonomy/p/taxonomy-history?taxnode_id=201900985","ICTVonline=201900985")</f>
        <v>ICTVonline=201900985</v>
      </c>
      <c r="Y1565" s="1" t="s">
        <v>9676</v>
      </c>
      <c r="AA1565" s="1">
        <v>201900000</v>
      </c>
      <c r="AB1565" s="1">
        <v>35</v>
      </c>
    </row>
    <row r="1566" spans="1:28" x14ac:dyDescent="0.2">
      <c r="A1566" s="1">
        <v>4275</v>
      </c>
      <c r="B1566" s="1" t="s">
        <v>6850</v>
      </c>
      <c r="D1566" s="1" t="s">
        <v>6851</v>
      </c>
      <c r="F1566" s="1" t="s">
        <v>6914</v>
      </c>
      <c r="H1566" s="1" t="s">
        <v>6915</v>
      </c>
      <c r="J1566" s="1" t="s">
        <v>1324</v>
      </c>
      <c r="L1566" s="1" t="s">
        <v>895</v>
      </c>
      <c r="N1566" s="1" t="s">
        <v>6375</v>
      </c>
      <c r="P1566" s="1" t="s">
        <v>3167</v>
      </c>
      <c r="Q1566" s="3">
        <v>0</v>
      </c>
      <c r="R1566" s="23" t="s">
        <v>6854</v>
      </c>
      <c r="S1566" s="23" t="s">
        <v>6845</v>
      </c>
      <c r="T1566" s="23" t="s">
        <v>4866</v>
      </c>
      <c r="U1566" s="3">
        <v>35</v>
      </c>
      <c r="W1566" s="45" t="str">
        <f>HYPERLINK("http://ictvonline.org/taxonomy/p/taxonomy-history?taxnode_id=201900986","ICTVonline=201900986")</f>
        <v>ICTVonline=201900986</v>
      </c>
      <c r="Y1566" s="1" t="s">
        <v>9677</v>
      </c>
      <c r="AA1566" s="1">
        <v>201900000</v>
      </c>
      <c r="AB1566" s="1">
        <v>35</v>
      </c>
    </row>
    <row r="1567" spans="1:28" x14ac:dyDescent="0.2">
      <c r="A1567" s="1">
        <v>4277</v>
      </c>
      <c r="B1567" s="1" t="s">
        <v>6850</v>
      </c>
      <c r="D1567" s="1" t="s">
        <v>6851</v>
      </c>
      <c r="F1567" s="1" t="s">
        <v>6914</v>
      </c>
      <c r="H1567" s="1" t="s">
        <v>6915</v>
      </c>
      <c r="J1567" s="1" t="s">
        <v>1324</v>
      </c>
      <c r="L1567" s="1" t="s">
        <v>895</v>
      </c>
      <c r="N1567" s="1" t="s">
        <v>6375</v>
      </c>
      <c r="P1567" s="1" t="s">
        <v>4326</v>
      </c>
      <c r="Q1567" s="3">
        <v>0</v>
      </c>
      <c r="R1567" s="23" t="s">
        <v>6854</v>
      </c>
      <c r="S1567" s="23" t="s">
        <v>6845</v>
      </c>
      <c r="T1567" s="23" t="s">
        <v>4866</v>
      </c>
      <c r="U1567" s="3">
        <v>35</v>
      </c>
      <c r="W1567" s="45" t="str">
        <f>HYPERLINK("http://ictvonline.org/taxonomy/p/taxonomy-history?taxnode_id=201900987","ICTVonline=201900987")</f>
        <v>ICTVonline=201900987</v>
      </c>
      <c r="Y1567" s="1" t="s">
        <v>9678</v>
      </c>
      <c r="Z1567" s="1" t="s">
        <v>9679</v>
      </c>
      <c r="AA1567" s="1">
        <v>201900000</v>
      </c>
      <c r="AB1567" s="1">
        <v>35</v>
      </c>
    </row>
    <row r="1568" spans="1:28" x14ac:dyDescent="0.2">
      <c r="A1568" s="1">
        <v>4279</v>
      </c>
      <c r="B1568" s="1" t="s">
        <v>6850</v>
      </c>
      <c r="D1568" s="1" t="s">
        <v>6851</v>
      </c>
      <c r="F1568" s="1" t="s">
        <v>6914</v>
      </c>
      <c r="H1568" s="1" t="s">
        <v>6915</v>
      </c>
      <c r="J1568" s="1" t="s">
        <v>1324</v>
      </c>
      <c r="L1568" s="1" t="s">
        <v>895</v>
      </c>
      <c r="N1568" s="1" t="s">
        <v>6375</v>
      </c>
      <c r="P1568" s="1" t="s">
        <v>3168</v>
      </c>
      <c r="Q1568" s="3">
        <v>0</v>
      </c>
      <c r="R1568" s="23" t="s">
        <v>6854</v>
      </c>
      <c r="S1568" s="23" t="s">
        <v>6845</v>
      </c>
      <c r="T1568" s="23" t="s">
        <v>4866</v>
      </c>
      <c r="U1568" s="3">
        <v>35</v>
      </c>
      <c r="W1568" s="45" t="str">
        <f>HYPERLINK("http://ictvonline.org/taxonomy/p/taxonomy-history?taxnode_id=201900988","ICTVonline=201900988")</f>
        <v>ICTVonline=201900988</v>
      </c>
      <c r="Y1568" s="1" t="s">
        <v>9680</v>
      </c>
      <c r="AA1568" s="1">
        <v>201900000</v>
      </c>
      <c r="AB1568" s="1">
        <v>35</v>
      </c>
    </row>
    <row r="1569" spans="1:28" x14ac:dyDescent="0.2">
      <c r="A1569" s="1">
        <v>4281</v>
      </c>
      <c r="B1569" s="1" t="s">
        <v>6850</v>
      </c>
      <c r="D1569" s="1" t="s">
        <v>6851</v>
      </c>
      <c r="F1569" s="1" t="s">
        <v>6914</v>
      </c>
      <c r="H1569" s="1" t="s">
        <v>6915</v>
      </c>
      <c r="J1569" s="1" t="s">
        <v>1324</v>
      </c>
      <c r="L1569" s="1" t="s">
        <v>895</v>
      </c>
      <c r="N1569" s="1" t="s">
        <v>6375</v>
      </c>
      <c r="P1569" s="1" t="s">
        <v>3169</v>
      </c>
      <c r="Q1569" s="3">
        <v>0</v>
      </c>
      <c r="R1569" s="23" t="s">
        <v>6854</v>
      </c>
      <c r="S1569" s="23" t="s">
        <v>6845</v>
      </c>
      <c r="T1569" s="23" t="s">
        <v>4866</v>
      </c>
      <c r="U1569" s="3">
        <v>35</v>
      </c>
      <c r="W1569" s="45" t="str">
        <f>HYPERLINK("http://ictvonline.org/taxonomy/p/taxonomy-history?taxnode_id=201900989","ICTVonline=201900989")</f>
        <v>ICTVonline=201900989</v>
      </c>
      <c r="Y1569" s="1" t="s">
        <v>9681</v>
      </c>
      <c r="AA1569" s="1">
        <v>201900000</v>
      </c>
      <c r="AB1569" s="1">
        <v>35</v>
      </c>
    </row>
    <row r="1570" spans="1:28" x14ac:dyDescent="0.2">
      <c r="A1570" s="1">
        <v>4285</v>
      </c>
      <c r="B1570" s="1" t="s">
        <v>6850</v>
      </c>
      <c r="D1570" s="1" t="s">
        <v>6851</v>
      </c>
      <c r="F1570" s="1" t="s">
        <v>6914</v>
      </c>
      <c r="H1570" s="1" t="s">
        <v>6915</v>
      </c>
      <c r="J1570" s="1" t="s">
        <v>1324</v>
      </c>
      <c r="L1570" s="1" t="s">
        <v>895</v>
      </c>
      <c r="N1570" s="1" t="s">
        <v>6376</v>
      </c>
      <c r="P1570" s="1" t="s">
        <v>6377</v>
      </c>
      <c r="Q1570" s="3">
        <v>1</v>
      </c>
      <c r="R1570" s="23" t="s">
        <v>6854</v>
      </c>
      <c r="S1570" s="23" t="s">
        <v>6845</v>
      </c>
      <c r="T1570" s="23" t="s">
        <v>4866</v>
      </c>
      <c r="U1570" s="3">
        <v>35</v>
      </c>
      <c r="W1570" s="45" t="str">
        <f>HYPERLINK("http://ictvonline.org/taxonomy/p/taxonomy-history?taxnode_id=201906737","ICTVonline=201906737")</f>
        <v>ICTVonline=201906737</v>
      </c>
      <c r="Y1570" s="1" t="s">
        <v>9682</v>
      </c>
      <c r="Z1570" s="1" t="s">
        <v>9683</v>
      </c>
      <c r="AA1570" s="1">
        <v>201900000</v>
      </c>
      <c r="AB1570" s="1">
        <v>35</v>
      </c>
    </row>
    <row r="1571" spans="1:28" x14ac:dyDescent="0.2">
      <c r="A1571" s="1">
        <v>4289</v>
      </c>
      <c r="B1571" s="1" t="s">
        <v>6850</v>
      </c>
      <c r="D1571" s="1" t="s">
        <v>6851</v>
      </c>
      <c r="F1571" s="1" t="s">
        <v>6914</v>
      </c>
      <c r="H1571" s="1" t="s">
        <v>6915</v>
      </c>
      <c r="J1571" s="1" t="s">
        <v>1324</v>
      </c>
      <c r="L1571" s="1" t="s">
        <v>895</v>
      </c>
      <c r="N1571" s="1" t="s">
        <v>5000</v>
      </c>
      <c r="P1571" s="1" t="s">
        <v>5001</v>
      </c>
      <c r="Q1571" s="3">
        <v>0</v>
      </c>
      <c r="R1571" s="23" t="s">
        <v>6854</v>
      </c>
      <c r="S1571" s="23" t="s">
        <v>6845</v>
      </c>
      <c r="T1571" s="23" t="s">
        <v>4866</v>
      </c>
      <c r="U1571" s="3">
        <v>35</v>
      </c>
      <c r="W1571" s="45" t="str">
        <f>HYPERLINK("http://ictvonline.org/taxonomy/p/taxonomy-history?taxnode_id=201905543","ICTVonline=201905543")</f>
        <v>ICTVonline=201905543</v>
      </c>
      <c r="AA1571" s="1">
        <v>201900000</v>
      </c>
      <c r="AB1571" s="1">
        <v>35</v>
      </c>
    </row>
    <row r="1572" spans="1:28" x14ac:dyDescent="0.2">
      <c r="A1572" s="1">
        <v>4291</v>
      </c>
      <c r="B1572" s="1" t="s">
        <v>6850</v>
      </c>
      <c r="D1572" s="1" t="s">
        <v>6851</v>
      </c>
      <c r="F1572" s="1" t="s">
        <v>6914</v>
      </c>
      <c r="H1572" s="1" t="s">
        <v>6915</v>
      </c>
      <c r="J1572" s="1" t="s">
        <v>1324</v>
      </c>
      <c r="L1572" s="1" t="s">
        <v>895</v>
      </c>
      <c r="N1572" s="1" t="s">
        <v>5000</v>
      </c>
      <c r="P1572" s="1" t="s">
        <v>5002</v>
      </c>
      <c r="Q1572" s="3">
        <v>1</v>
      </c>
      <c r="R1572" s="23" t="s">
        <v>6854</v>
      </c>
      <c r="S1572" s="23" t="s">
        <v>6845</v>
      </c>
      <c r="T1572" s="23" t="s">
        <v>4866</v>
      </c>
      <c r="U1572" s="3">
        <v>35</v>
      </c>
      <c r="W1572" s="45" t="str">
        <f>HYPERLINK("http://ictvonline.org/taxonomy/p/taxonomy-history?taxnode_id=201905544","ICTVonline=201905544")</f>
        <v>ICTVonline=201905544</v>
      </c>
      <c r="AA1572" s="1">
        <v>201900000</v>
      </c>
      <c r="AB1572" s="1">
        <v>35</v>
      </c>
    </row>
    <row r="1573" spans="1:28" x14ac:dyDescent="0.2">
      <c r="A1573" s="1">
        <v>4293</v>
      </c>
      <c r="B1573" s="1" t="s">
        <v>6850</v>
      </c>
      <c r="D1573" s="1" t="s">
        <v>6851</v>
      </c>
      <c r="F1573" s="1" t="s">
        <v>6914</v>
      </c>
      <c r="H1573" s="1" t="s">
        <v>6915</v>
      </c>
      <c r="J1573" s="1" t="s">
        <v>1324</v>
      </c>
      <c r="L1573" s="1" t="s">
        <v>895</v>
      </c>
      <c r="N1573" s="1" t="s">
        <v>5000</v>
      </c>
      <c r="P1573" s="1" t="s">
        <v>5003</v>
      </c>
      <c r="Q1573" s="3">
        <v>0</v>
      </c>
      <c r="R1573" s="23" t="s">
        <v>6854</v>
      </c>
      <c r="S1573" s="23" t="s">
        <v>6845</v>
      </c>
      <c r="T1573" s="23" t="s">
        <v>4866</v>
      </c>
      <c r="U1573" s="3">
        <v>35</v>
      </c>
      <c r="W1573" s="45" t="str">
        <f>HYPERLINK("http://ictvonline.org/taxonomy/p/taxonomy-history?taxnode_id=201905545","ICTVonline=201905545")</f>
        <v>ICTVonline=201905545</v>
      </c>
      <c r="AA1573" s="1">
        <v>201900000</v>
      </c>
      <c r="AB1573" s="1">
        <v>35</v>
      </c>
    </row>
    <row r="1574" spans="1:28" x14ac:dyDescent="0.2">
      <c r="A1574" s="1">
        <v>4295</v>
      </c>
      <c r="B1574" s="1" t="s">
        <v>6850</v>
      </c>
      <c r="D1574" s="1" t="s">
        <v>6851</v>
      </c>
      <c r="F1574" s="1" t="s">
        <v>6914</v>
      </c>
      <c r="H1574" s="1" t="s">
        <v>6915</v>
      </c>
      <c r="J1574" s="1" t="s">
        <v>1324</v>
      </c>
      <c r="L1574" s="1" t="s">
        <v>895</v>
      </c>
      <c r="N1574" s="1" t="s">
        <v>5000</v>
      </c>
      <c r="P1574" s="1" t="s">
        <v>5004</v>
      </c>
      <c r="Q1574" s="3">
        <v>0</v>
      </c>
      <c r="R1574" s="23" t="s">
        <v>6854</v>
      </c>
      <c r="S1574" s="23" t="s">
        <v>6845</v>
      </c>
      <c r="T1574" s="23" t="s">
        <v>4866</v>
      </c>
      <c r="U1574" s="3">
        <v>35</v>
      </c>
      <c r="W1574" s="45" t="str">
        <f>HYPERLINK("http://ictvonline.org/taxonomy/p/taxonomy-history?taxnode_id=201905546","ICTVonline=201905546")</f>
        <v>ICTVonline=201905546</v>
      </c>
      <c r="AA1574" s="1">
        <v>201900000</v>
      </c>
      <c r="AB1574" s="1">
        <v>35</v>
      </c>
    </row>
    <row r="1575" spans="1:28" x14ac:dyDescent="0.2">
      <c r="A1575" s="1">
        <v>4299</v>
      </c>
      <c r="B1575" s="1" t="s">
        <v>6850</v>
      </c>
      <c r="D1575" s="1" t="s">
        <v>6851</v>
      </c>
      <c r="F1575" s="1" t="s">
        <v>6914</v>
      </c>
      <c r="H1575" s="1" t="s">
        <v>6915</v>
      </c>
      <c r="J1575" s="1" t="s">
        <v>1324</v>
      </c>
      <c r="L1575" s="1" t="s">
        <v>895</v>
      </c>
      <c r="N1575" s="1" t="s">
        <v>9684</v>
      </c>
      <c r="P1575" s="1" t="s">
        <v>9685</v>
      </c>
      <c r="Q1575" s="3">
        <v>1</v>
      </c>
      <c r="R1575" s="23" t="s">
        <v>6854</v>
      </c>
      <c r="S1575" s="23" t="s">
        <v>6849</v>
      </c>
      <c r="T1575" s="23" t="s">
        <v>4864</v>
      </c>
      <c r="U1575" s="3">
        <v>35</v>
      </c>
      <c r="V1575" s="3" t="s">
        <v>9686</v>
      </c>
      <c r="W1575" s="45" t="str">
        <f>HYPERLINK("http://ictvonline.org/taxonomy/p/taxonomy-history?taxnode_id=201907839","ICTVonline=201907839")</f>
        <v>ICTVonline=201907839</v>
      </c>
      <c r="Y1575" s="1" t="s">
        <v>9687</v>
      </c>
      <c r="AA1575" s="1">
        <v>201900000</v>
      </c>
      <c r="AB1575" s="1">
        <v>35</v>
      </c>
    </row>
    <row r="1576" spans="1:28" x14ac:dyDescent="0.2">
      <c r="A1576" s="1">
        <v>4303</v>
      </c>
      <c r="B1576" s="1" t="s">
        <v>6850</v>
      </c>
      <c r="D1576" s="1" t="s">
        <v>6851</v>
      </c>
      <c r="F1576" s="1" t="s">
        <v>6914</v>
      </c>
      <c r="H1576" s="1" t="s">
        <v>6915</v>
      </c>
      <c r="J1576" s="1" t="s">
        <v>1324</v>
      </c>
      <c r="L1576" s="1" t="s">
        <v>895</v>
      </c>
      <c r="N1576" s="1" t="s">
        <v>6378</v>
      </c>
      <c r="P1576" s="1" t="s">
        <v>6379</v>
      </c>
      <c r="Q1576" s="3">
        <v>0</v>
      </c>
      <c r="R1576" s="23" t="s">
        <v>6854</v>
      </c>
      <c r="S1576" s="23" t="s">
        <v>6845</v>
      </c>
      <c r="T1576" s="23" t="s">
        <v>4866</v>
      </c>
      <c r="U1576" s="3">
        <v>35</v>
      </c>
      <c r="W1576" s="45" t="str">
        <f>HYPERLINK("http://ictvonline.org/taxonomy/p/taxonomy-history?taxnode_id=201906936","ICTVonline=201906936")</f>
        <v>ICTVonline=201906936</v>
      </c>
      <c r="Y1576" s="1" t="s">
        <v>9688</v>
      </c>
      <c r="Z1576" s="1" t="s">
        <v>9689</v>
      </c>
      <c r="AA1576" s="1">
        <v>201900000</v>
      </c>
      <c r="AB1576" s="1">
        <v>35</v>
      </c>
    </row>
    <row r="1577" spans="1:28" x14ac:dyDescent="0.2">
      <c r="A1577" s="1">
        <v>4305</v>
      </c>
      <c r="B1577" s="1" t="s">
        <v>6850</v>
      </c>
      <c r="D1577" s="1" t="s">
        <v>6851</v>
      </c>
      <c r="F1577" s="1" t="s">
        <v>6914</v>
      </c>
      <c r="H1577" s="1" t="s">
        <v>6915</v>
      </c>
      <c r="J1577" s="1" t="s">
        <v>1324</v>
      </c>
      <c r="L1577" s="1" t="s">
        <v>895</v>
      </c>
      <c r="N1577" s="1" t="s">
        <v>6378</v>
      </c>
      <c r="P1577" s="1" t="s">
        <v>6380</v>
      </c>
      <c r="Q1577" s="3">
        <v>0</v>
      </c>
      <c r="R1577" s="23" t="s">
        <v>6854</v>
      </c>
      <c r="S1577" s="23" t="s">
        <v>6845</v>
      </c>
      <c r="T1577" s="23" t="s">
        <v>4866</v>
      </c>
      <c r="U1577" s="3">
        <v>35</v>
      </c>
      <c r="W1577" s="45" t="str">
        <f>HYPERLINK("http://ictvonline.org/taxonomy/p/taxonomy-history?taxnode_id=201906938","ICTVonline=201906938")</f>
        <v>ICTVonline=201906938</v>
      </c>
      <c r="Y1577" s="1" t="s">
        <v>9690</v>
      </c>
      <c r="Z1577" s="1" t="s">
        <v>9691</v>
      </c>
      <c r="AA1577" s="1">
        <v>201900000</v>
      </c>
      <c r="AB1577" s="1">
        <v>35</v>
      </c>
    </row>
    <row r="1578" spans="1:28" x14ac:dyDescent="0.2">
      <c r="A1578" s="1">
        <v>4307</v>
      </c>
      <c r="B1578" s="1" t="s">
        <v>6850</v>
      </c>
      <c r="D1578" s="1" t="s">
        <v>6851</v>
      </c>
      <c r="F1578" s="1" t="s">
        <v>6914</v>
      </c>
      <c r="H1578" s="1" t="s">
        <v>6915</v>
      </c>
      <c r="J1578" s="1" t="s">
        <v>1324</v>
      </c>
      <c r="L1578" s="1" t="s">
        <v>895</v>
      </c>
      <c r="N1578" s="1" t="s">
        <v>6378</v>
      </c>
      <c r="P1578" s="1" t="s">
        <v>6381</v>
      </c>
      <c r="Q1578" s="3">
        <v>0</v>
      </c>
      <c r="R1578" s="23" t="s">
        <v>6854</v>
      </c>
      <c r="S1578" s="23" t="s">
        <v>6845</v>
      </c>
      <c r="T1578" s="23" t="s">
        <v>4866</v>
      </c>
      <c r="U1578" s="3">
        <v>35</v>
      </c>
      <c r="W1578" s="45" t="str">
        <f>HYPERLINK("http://ictvonline.org/taxonomy/p/taxonomy-history?taxnode_id=201906939","ICTVonline=201906939")</f>
        <v>ICTVonline=201906939</v>
      </c>
      <c r="Y1578" s="1" t="s">
        <v>9692</v>
      </c>
      <c r="Z1578" s="1" t="s">
        <v>9693</v>
      </c>
      <c r="AA1578" s="1">
        <v>201900000</v>
      </c>
      <c r="AB1578" s="1">
        <v>35</v>
      </c>
    </row>
    <row r="1579" spans="1:28" x14ac:dyDescent="0.2">
      <c r="A1579" s="1">
        <v>4309</v>
      </c>
      <c r="B1579" s="1" t="s">
        <v>6850</v>
      </c>
      <c r="D1579" s="1" t="s">
        <v>6851</v>
      </c>
      <c r="F1579" s="1" t="s">
        <v>6914</v>
      </c>
      <c r="H1579" s="1" t="s">
        <v>6915</v>
      </c>
      <c r="J1579" s="1" t="s">
        <v>1324</v>
      </c>
      <c r="L1579" s="1" t="s">
        <v>895</v>
      </c>
      <c r="N1579" s="1" t="s">
        <v>6378</v>
      </c>
      <c r="P1579" s="1" t="s">
        <v>6382</v>
      </c>
      <c r="Q1579" s="3">
        <v>0</v>
      </c>
      <c r="R1579" s="23" t="s">
        <v>6854</v>
      </c>
      <c r="S1579" s="23" t="s">
        <v>6845</v>
      </c>
      <c r="T1579" s="23" t="s">
        <v>4866</v>
      </c>
      <c r="U1579" s="3">
        <v>35</v>
      </c>
      <c r="W1579" s="45" t="str">
        <f>HYPERLINK("http://ictvonline.org/taxonomy/p/taxonomy-history?taxnode_id=201906935","ICTVonline=201906935")</f>
        <v>ICTVonline=201906935</v>
      </c>
      <c r="Y1579" s="1" t="s">
        <v>9694</v>
      </c>
      <c r="Z1579" s="1" t="s">
        <v>9695</v>
      </c>
      <c r="AA1579" s="1">
        <v>201900000</v>
      </c>
      <c r="AB1579" s="1">
        <v>35</v>
      </c>
    </row>
    <row r="1580" spans="1:28" x14ac:dyDescent="0.2">
      <c r="A1580" s="1">
        <v>4311</v>
      </c>
      <c r="B1580" s="1" t="s">
        <v>6850</v>
      </c>
      <c r="D1580" s="1" t="s">
        <v>6851</v>
      </c>
      <c r="F1580" s="1" t="s">
        <v>6914</v>
      </c>
      <c r="H1580" s="1" t="s">
        <v>6915</v>
      </c>
      <c r="J1580" s="1" t="s">
        <v>1324</v>
      </c>
      <c r="L1580" s="1" t="s">
        <v>895</v>
      </c>
      <c r="N1580" s="1" t="s">
        <v>6378</v>
      </c>
      <c r="P1580" s="1" t="s">
        <v>6383</v>
      </c>
      <c r="Q1580" s="3">
        <v>0</v>
      </c>
      <c r="R1580" s="23" t="s">
        <v>6854</v>
      </c>
      <c r="S1580" s="23" t="s">
        <v>6845</v>
      </c>
      <c r="T1580" s="23" t="s">
        <v>4866</v>
      </c>
      <c r="U1580" s="3">
        <v>35</v>
      </c>
      <c r="W1580" s="45" t="str">
        <f>HYPERLINK("http://ictvonline.org/taxonomy/p/taxonomy-history?taxnode_id=201906940","ICTVonline=201906940")</f>
        <v>ICTVonline=201906940</v>
      </c>
      <c r="Y1580" s="1" t="s">
        <v>9696</v>
      </c>
      <c r="Z1580" s="1" t="s">
        <v>9697</v>
      </c>
      <c r="AA1580" s="1">
        <v>201900000</v>
      </c>
      <c r="AB1580" s="1">
        <v>35</v>
      </c>
    </row>
    <row r="1581" spans="1:28" x14ac:dyDescent="0.2">
      <c r="A1581" s="1">
        <v>4313</v>
      </c>
      <c r="B1581" s="1" t="s">
        <v>6850</v>
      </c>
      <c r="D1581" s="1" t="s">
        <v>6851</v>
      </c>
      <c r="F1581" s="1" t="s">
        <v>6914</v>
      </c>
      <c r="H1581" s="1" t="s">
        <v>6915</v>
      </c>
      <c r="J1581" s="1" t="s">
        <v>1324</v>
      </c>
      <c r="L1581" s="1" t="s">
        <v>895</v>
      </c>
      <c r="N1581" s="1" t="s">
        <v>6378</v>
      </c>
      <c r="P1581" s="1" t="s">
        <v>6384</v>
      </c>
      <c r="Q1581" s="3">
        <v>1</v>
      </c>
      <c r="R1581" s="23" t="s">
        <v>6854</v>
      </c>
      <c r="S1581" s="23" t="s">
        <v>6845</v>
      </c>
      <c r="T1581" s="23" t="s">
        <v>4866</v>
      </c>
      <c r="U1581" s="3">
        <v>35</v>
      </c>
      <c r="W1581" s="45" t="str">
        <f>HYPERLINK("http://ictvonline.org/taxonomy/p/taxonomy-history?taxnode_id=201906934","ICTVonline=201906934")</f>
        <v>ICTVonline=201906934</v>
      </c>
      <c r="Y1581" s="1" t="s">
        <v>9698</v>
      </c>
      <c r="Z1581" s="1" t="s">
        <v>9699</v>
      </c>
      <c r="AA1581" s="1">
        <v>201900000</v>
      </c>
      <c r="AB1581" s="1">
        <v>35</v>
      </c>
    </row>
    <row r="1582" spans="1:28" x14ac:dyDescent="0.2">
      <c r="A1582" s="1">
        <v>4315</v>
      </c>
      <c r="B1582" s="1" t="s">
        <v>6850</v>
      </c>
      <c r="D1582" s="1" t="s">
        <v>6851</v>
      </c>
      <c r="F1582" s="1" t="s">
        <v>6914</v>
      </c>
      <c r="H1582" s="1" t="s">
        <v>6915</v>
      </c>
      <c r="J1582" s="1" t="s">
        <v>1324</v>
      </c>
      <c r="L1582" s="1" t="s">
        <v>895</v>
      </c>
      <c r="N1582" s="1" t="s">
        <v>6378</v>
      </c>
      <c r="P1582" s="1" t="s">
        <v>6385</v>
      </c>
      <c r="Q1582" s="3">
        <v>0</v>
      </c>
      <c r="R1582" s="23" t="s">
        <v>6854</v>
      </c>
      <c r="S1582" s="23" t="s">
        <v>6845</v>
      </c>
      <c r="T1582" s="23" t="s">
        <v>4866</v>
      </c>
      <c r="U1582" s="3">
        <v>35</v>
      </c>
      <c r="W1582" s="45" t="str">
        <f>HYPERLINK("http://ictvonline.org/taxonomy/p/taxonomy-history?taxnode_id=201906946","ICTVonline=201906946")</f>
        <v>ICTVonline=201906946</v>
      </c>
      <c r="Y1582" s="1" t="s">
        <v>9700</v>
      </c>
      <c r="Z1582" s="1" t="s">
        <v>9701</v>
      </c>
      <c r="AA1582" s="1">
        <v>201900000</v>
      </c>
      <c r="AB1582" s="1">
        <v>35</v>
      </c>
    </row>
    <row r="1583" spans="1:28" x14ac:dyDescent="0.2">
      <c r="A1583" s="1">
        <v>4317</v>
      </c>
      <c r="B1583" s="1" t="s">
        <v>6850</v>
      </c>
      <c r="D1583" s="1" t="s">
        <v>6851</v>
      </c>
      <c r="F1583" s="1" t="s">
        <v>6914</v>
      </c>
      <c r="H1583" s="1" t="s">
        <v>6915</v>
      </c>
      <c r="J1583" s="1" t="s">
        <v>1324</v>
      </c>
      <c r="L1583" s="1" t="s">
        <v>895</v>
      </c>
      <c r="N1583" s="1" t="s">
        <v>6378</v>
      </c>
      <c r="P1583" s="1" t="s">
        <v>6386</v>
      </c>
      <c r="Q1583" s="3">
        <v>0</v>
      </c>
      <c r="R1583" s="23" t="s">
        <v>6854</v>
      </c>
      <c r="S1583" s="23" t="s">
        <v>6845</v>
      </c>
      <c r="T1583" s="23" t="s">
        <v>4866</v>
      </c>
      <c r="U1583" s="3">
        <v>35</v>
      </c>
      <c r="W1583" s="45" t="str">
        <f>HYPERLINK("http://ictvonline.org/taxonomy/p/taxonomy-history?taxnode_id=201906947","ICTVonline=201906947")</f>
        <v>ICTVonline=201906947</v>
      </c>
      <c r="Y1583" s="1" t="s">
        <v>9702</v>
      </c>
      <c r="Z1583" s="1" t="s">
        <v>9703</v>
      </c>
      <c r="AA1583" s="1">
        <v>201900000</v>
      </c>
      <c r="AB1583" s="1">
        <v>35</v>
      </c>
    </row>
    <row r="1584" spans="1:28" x14ac:dyDescent="0.2">
      <c r="A1584" s="1">
        <v>4319</v>
      </c>
      <c r="B1584" s="1" t="s">
        <v>6850</v>
      </c>
      <c r="D1584" s="1" t="s">
        <v>6851</v>
      </c>
      <c r="F1584" s="1" t="s">
        <v>6914</v>
      </c>
      <c r="H1584" s="1" t="s">
        <v>6915</v>
      </c>
      <c r="J1584" s="1" t="s">
        <v>1324</v>
      </c>
      <c r="L1584" s="1" t="s">
        <v>895</v>
      </c>
      <c r="N1584" s="1" t="s">
        <v>6378</v>
      </c>
      <c r="P1584" s="1" t="s">
        <v>6387</v>
      </c>
      <c r="Q1584" s="3">
        <v>0</v>
      </c>
      <c r="R1584" s="23" t="s">
        <v>6854</v>
      </c>
      <c r="S1584" s="23" t="s">
        <v>6845</v>
      </c>
      <c r="T1584" s="23" t="s">
        <v>4866</v>
      </c>
      <c r="U1584" s="3">
        <v>35</v>
      </c>
      <c r="W1584" s="45" t="str">
        <f>HYPERLINK("http://ictvonline.org/taxonomy/p/taxonomy-history?taxnode_id=201906937","ICTVonline=201906937")</f>
        <v>ICTVonline=201906937</v>
      </c>
      <c r="Y1584" s="1" t="s">
        <v>9704</v>
      </c>
      <c r="Z1584" s="1" t="s">
        <v>9705</v>
      </c>
      <c r="AA1584" s="1">
        <v>201900000</v>
      </c>
      <c r="AB1584" s="1">
        <v>35</v>
      </c>
    </row>
    <row r="1585" spans="1:28" x14ac:dyDescent="0.2">
      <c r="A1585" s="1">
        <v>4321</v>
      </c>
      <c r="B1585" s="1" t="s">
        <v>6850</v>
      </c>
      <c r="D1585" s="1" t="s">
        <v>6851</v>
      </c>
      <c r="F1585" s="1" t="s">
        <v>6914</v>
      </c>
      <c r="H1585" s="1" t="s">
        <v>6915</v>
      </c>
      <c r="J1585" s="1" t="s">
        <v>1324</v>
      </c>
      <c r="L1585" s="1" t="s">
        <v>895</v>
      </c>
      <c r="N1585" s="1" t="s">
        <v>6378</v>
      </c>
      <c r="P1585" s="1" t="s">
        <v>6388</v>
      </c>
      <c r="Q1585" s="3">
        <v>0</v>
      </c>
      <c r="R1585" s="23" t="s">
        <v>6854</v>
      </c>
      <c r="S1585" s="23" t="s">
        <v>6845</v>
      </c>
      <c r="T1585" s="23" t="s">
        <v>4866</v>
      </c>
      <c r="U1585" s="3">
        <v>35</v>
      </c>
      <c r="W1585" s="45" t="str">
        <f>HYPERLINK("http://ictvonline.org/taxonomy/p/taxonomy-history?taxnode_id=201906944","ICTVonline=201906944")</f>
        <v>ICTVonline=201906944</v>
      </c>
      <c r="Y1585" s="1" t="s">
        <v>9706</v>
      </c>
      <c r="Z1585" s="1" t="s">
        <v>9707</v>
      </c>
      <c r="AA1585" s="1">
        <v>201900000</v>
      </c>
      <c r="AB1585" s="1">
        <v>35</v>
      </c>
    </row>
    <row r="1586" spans="1:28" x14ac:dyDescent="0.2">
      <c r="A1586" s="1">
        <v>4323</v>
      </c>
      <c r="B1586" s="1" t="s">
        <v>6850</v>
      </c>
      <c r="D1586" s="1" t="s">
        <v>6851</v>
      </c>
      <c r="F1586" s="1" t="s">
        <v>6914</v>
      </c>
      <c r="H1586" s="1" t="s">
        <v>6915</v>
      </c>
      <c r="J1586" s="1" t="s">
        <v>1324</v>
      </c>
      <c r="L1586" s="1" t="s">
        <v>895</v>
      </c>
      <c r="N1586" s="1" t="s">
        <v>6378</v>
      </c>
      <c r="P1586" s="1" t="s">
        <v>6389</v>
      </c>
      <c r="Q1586" s="3">
        <v>0</v>
      </c>
      <c r="R1586" s="23" t="s">
        <v>6854</v>
      </c>
      <c r="S1586" s="23" t="s">
        <v>6845</v>
      </c>
      <c r="T1586" s="23" t="s">
        <v>4866</v>
      </c>
      <c r="U1586" s="3">
        <v>35</v>
      </c>
      <c r="W1586" s="45" t="str">
        <f>HYPERLINK("http://ictvonline.org/taxonomy/p/taxonomy-history?taxnode_id=201906942","ICTVonline=201906942")</f>
        <v>ICTVonline=201906942</v>
      </c>
      <c r="Y1586" s="1" t="s">
        <v>9708</v>
      </c>
      <c r="Z1586" s="1" t="s">
        <v>9709</v>
      </c>
      <c r="AA1586" s="1">
        <v>201900000</v>
      </c>
      <c r="AB1586" s="1">
        <v>35</v>
      </c>
    </row>
    <row r="1587" spans="1:28" x14ac:dyDescent="0.2">
      <c r="A1587" s="1">
        <v>4325</v>
      </c>
      <c r="B1587" s="1" t="s">
        <v>6850</v>
      </c>
      <c r="D1587" s="1" t="s">
        <v>6851</v>
      </c>
      <c r="F1587" s="1" t="s">
        <v>6914</v>
      </c>
      <c r="H1587" s="1" t="s">
        <v>6915</v>
      </c>
      <c r="J1587" s="1" t="s">
        <v>1324</v>
      </c>
      <c r="L1587" s="1" t="s">
        <v>895</v>
      </c>
      <c r="N1587" s="1" t="s">
        <v>6378</v>
      </c>
      <c r="P1587" s="1" t="s">
        <v>6390</v>
      </c>
      <c r="Q1587" s="3">
        <v>0</v>
      </c>
      <c r="R1587" s="23" t="s">
        <v>6854</v>
      </c>
      <c r="S1587" s="23" t="s">
        <v>6845</v>
      </c>
      <c r="T1587" s="23" t="s">
        <v>4866</v>
      </c>
      <c r="U1587" s="3">
        <v>35</v>
      </c>
      <c r="W1587" s="45" t="str">
        <f>HYPERLINK("http://ictvonline.org/taxonomy/p/taxonomy-history?taxnode_id=201906941","ICTVonline=201906941")</f>
        <v>ICTVonline=201906941</v>
      </c>
      <c r="Y1587" s="1" t="s">
        <v>9710</v>
      </c>
      <c r="Z1587" s="1" t="s">
        <v>9711</v>
      </c>
      <c r="AA1587" s="1">
        <v>201900000</v>
      </c>
      <c r="AB1587" s="1">
        <v>35</v>
      </c>
    </row>
    <row r="1588" spans="1:28" x14ac:dyDescent="0.2">
      <c r="A1588" s="1">
        <v>4327</v>
      </c>
      <c r="B1588" s="1" t="s">
        <v>6850</v>
      </c>
      <c r="D1588" s="1" t="s">
        <v>6851</v>
      </c>
      <c r="F1588" s="1" t="s">
        <v>6914</v>
      </c>
      <c r="H1588" s="1" t="s">
        <v>6915</v>
      </c>
      <c r="J1588" s="1" t="s">
        <v>1324</v>
      </c>
      <c r="L1588" s="1" t="s">
        <v>895</v>
      </c>
      <c r="N1588" s="1" t="s">
        <v>6378</v>
      </c>
      <c r="P1588" s="1" t="s">
        <v>6391</v>
      </c>
      <c r="Q1588" s="3">
        <v>0</v>
      </c>
      <c r="R1588" s="23" t="s">
        <v>6854</v>
      </c>
      <c r="S1588" s="23" t="s">
        <v>6845</v>
      </c>
      <c r="T1588" s="23" t="s">
        <v>4866</v>
      </c>
      <c r="U1588" s="3">
        <v>35</v>
      </c>
      <c r="W1588" s="45" t="str">
        <f>HYPERLINK("http://ictvonline.org/taxonomy/p/taxonomy-history?taxnode_id=201906945","ICTVonline=201906945")</f>
        <v>ICTVonline=201906945</v>
      </c>
      <c r="Y1588" s="1" t="s">
        <v>9712</v>
      </c>
      <c r="Z1588" s="1" t="s">
        <v>9713</v>
      </c>
      <c r="AA1588" s="1">
        <v>201900000</v>
      </c>
      <c r="AB1588" s="1">
        <v>35</v>
      </c>
    </row>
    <row r="1589" spans="1:28" x14ac:dyDescent="0.2">
      <c r="A1589" s="1">
        <v>4329</v>
      </c>
      <c r="B1589" s="1" t="s">
        <v>6850</v>
      </c>
      <c r="D1589" s="1" t="s">
        <v>6851</v>
      </c>
      <c r="F1589" s="1" t="s">
        <v>6914</v>
      </c>
      <c r="H1589" s="1" t="s">
        <v>6915</v>
      </c>
      <c r="J1589" s="1" t="s">
        <v>1324</v>
      </c>
      <c r="L1589" s="1" t="s">
        <v>895</v>
      </c>
      <c r="N1589" s="1" t="s">
        <v>6378</v>
      </c>
      <c r="P1589" s="1" t="s">
        <v>6392</v>
      </c>
      <c r="Q1589" s="3">
        <v>0</v>
      </c>
      <c r="R1589" s="23" t="s">
        <v>6854</v>
      </c>
      <c r="S1589" s="23" t="s">
        <v>6845</v>
      </c>
      <c r="T1589" s="23" t="s">
        <v>4866</v>
      </c>
      <c r="U1589" s="3">
        <v>35</v>
      </c>
      <c r="W1589" s="45" t="str">
        <f>HYPERLINK("http://ictvonline.org/taxonomy/p/taxonomy-history?taxnode_id=201906943","ICTVonline=201906943")</f>
        <v>ICTVonline=201906943</v>
      </c>
      <c r="Y1589" s="1" t="s">
        <v>9714</v>
      </c>
      <c r="Z1589" s="1" t="s">
        <v>9715</v>
      </c>
      <c r="AA1589" s="1">
        <v>201900000</v>
      </c>
      <c r="AB1589" s="1">
        <v>35</v>
      </c>
    </row>
    <row r="1590" spans="1:28" x14ac:dyDescent="0.2">
      <c r="A1590" s="1">
        <v>4333</v>
      </c>
      <c r="B1590" s="1" t="s">
        <v>6850</v>
      </c>
      <c r="D1590" s="1" t="s">
        <v>6851</v>
      </c>
      <c r="F1590" s="1" t="s">
        <v>6914</v>
      </c>
      <c r="H1590" s="1" t="s">
        <v>6915</v>
      </c>
      <c r="J1590" s="1" t="s">
        <v>1324</v>
      </c>
      <c r="L1590" s="1" t="s">
        <v>895</v>
      </c>
      <c r="N1590" s="1" t="s">
        <v>4312</v>
      </c>
      <c r="P1590" s="1" t="s">
        <v>4313</v>
      </c>
      <c r="Q1590" s="3">
        <v>1</v>
      </c>
      <c r="R1590" s="23" t="s">
        <v>6854</v>
      </c>
      <c r="S1590" s="23" t="s">
        <v>6845</v>
      </c>
      <c r="T1590" s="23" t="s">
        <v>4866</v>
      </c>
      <c r="U1590" s="3">
        <v>35</v>
      </c>
      <c r="W1590" s="45" t="str">
        <f>HYPERLINK("http://ictvonline.org/taxonomy/p/taxonomy-history?taxnode_id=201900967","ICTVonline=201900967")</f>
        <v>ICTVonline=201900967</v>
      </c>
      <c r="Y1590" s="1" t="s">
        <v>9716</v>
      </c>
      <c r="Z1590" s="1" t="s">
        <v>9717</v>
      </c>
      <c r="AA1590" s="1">
        <v>201900000</v>
      </c>
      <c r="AB1590" s="1">
        <v>35</v>
      </c>
    </row>
    <row r="1591" spans="1:28" x14ac:dyDescent="0.2">
      <c r="A1591" s="1">
        <v>4337</v>
      </c>
      <c r="B1591" s="1" t="s">
        <v>6850</v>
      </c>
      <c r="D1591" s="1" t="s">
        <v>6851</v>
      </c>
      <c r="F1591" s="1" t="s">
        <v>6914</v>
      </c>
      <c r="H1591" s="1" t="s">
        <v>6915</v>
      </c>
      <c r="J1591" s="1" t="s">
        <v>1324</v>
      </c>
      <c r="L1591" s="1" t="s">
        <v>895</v>
      </c>
      <c r="N1591" s="1" t="s">
        <v>6393</v>
      </c>
      <c r="P1591" s="1" t="s">
        <v>6394</v>
      </c>
      <c r="Q1591" s="3">
        <v>1</v>
      </c>
      <c r="R1591" s="23" t="s">
        <v>6854</v>
      </c>
      <c r="S1591" s="23" t="s">
        <v>6845</v>
      </c>
      <c r="T1591" s="23" t="s">
        <v>4866</v>
      </c>
      <c r="U1591" s="3">
        <v>35</v>
      </c>
      <c r="W1591" s="45" t="str">
        <f>HYPERLINK("http://ictvonline.org/taxonomy/p/taxonomy-history?taxnode_id=201901379","ICTVonline=201901379")</f>
        <v>ICTVonline=201901379</v>
      </c>
      <c r="Y1591" s="1" t="s">
        <v>9718</v>
      </c>
      <c r="AA1591" s="1">
        <v>201900000</v>
      </c>
      <c r="AB1591" s="1">
        <v>35</v>
      </c>
    </row>
    <row r="1592" spans="1:28" x14ac:dyDescent="0.2">
      <c r="A1592" s="1">
        <v>4341</v>
      </c>
      <c r="B1592" s="1" t="s">
        <v>6850</v>
      </c>
      <c r="D1592" s="1" t="s">
        <v>6851</v>
      </c>
      <c r="F1592" s="1" t="s">
        <v>6914</v>
      </c>
      <c r="H1592" s="1" t="s">
        <v>6915</v>
      </c>
      <c r="J1592" s="1" t="s">
        <v>1324</v>
      </c>
      <c r="L1592" s="1" t="s">
        <v>895</v>
      </c>
      <c r="N1592" s="1" t="s">
        <v>6396</v>
      </c>
      <c r="P1592" s="1" t="s">
        <v>6397</v>
      </c>
      <c r="Q1592" s="3">
        <v>1</v>
      </c>
      <c r="R1592" s="23" t="s">
        <v>6854</v>
      </c>
      <c r="S1592" s="23" t="s">
        <v>6845</v>
      </c>
      <c r="T1592" s="23" t="s">
        <v>4866</v>
      </c>
      <c r="U1592" s="3">
        <v>35</v>
      </c>
      <c r="W1592" s="45" t="str">
        <f>HYPERLINK("http://ictvonline.org/taxonomy/p/taxonomy-history?taxnode_id=201906739","ICTVonline=201906739")</f>
        <v>ICTVonline=201906739</v>
      </c>
      <c r="Y1592" s="1" t="s">
        <v>9719</v>
      </c>
      <c r="Z1592" s="1" t="s">
        <v>9720</v>
      </c>
      <c r="AA1592" s="1">
        <v>201900000</v>
      </c>
      <c r="AB1592" s="1">
        <v>35</v>
      </c>
    </row>
    <row r="1593" spans="1:28" x14ac:dyDescent="0.2">
      <c r="A1593" s="1">
        <v>4345</v>
      </c>
      <c r="B1593" s="1" t="s">
        <v>6850</v>
      </c>
      <c r="D1593" s="1" t="s">
        <v>6851</v>
      </c>
      <c r="F1593" s="1" t="s">
        <v>6914</v>
      </c>
      <c r="H1593" s="1" t="s">
        <v>6915</v>
      </c>
      <c r="J1593" s="1" t="s">
        <v>1324</v>
      </c>
      <c r="L1593" s="1" t="s">
        <v>895</v>
      </c>
      <c r="N1593" s="1" t="s">
        <v>6398</v>
      </c>
      <c r="P1593" s="1" t="s">
        <v>6399</v>
      </c>
      <c r="Q1593" s="3">
        <v>0</v>
      </c>
      <c r="R1593" s="23" t="s">
        <v>6854</v>
      </c>
      <c r="S1593" s="23" t="s">
        <v>6845</v>
      </c>
      <c r="T1593" s="23" t="s">
        <v>4866</v>
      </c>
      <c r="U1593" s="3">
        <v>35</v>
      </c>
      <c r="W1593" s="45" t="str">
        <f>HYPERLINK("http://ictvonline.org/taxonomy/p/taxonomy-history?taxnode_id=201906821","ICTVonline=201906821")</f>
        <v>ICTVonline=201906821</v>
      </c>
      <c r="Y1593" s="1" t="s">
        <v>9721</v>
      </c>
      <c r="Z1593" s="1" t="s">
        <v>9722</v>
      </c>
      <c r="AA1593" s="1">
        <v>201900000</v>
      </c>
      <c r="AB1593" s="1">
        <v>35</v>
      </c>
    </row>
    <row r="1594" spans="1:28" x14ac:dyDescent="0.2">
      <c r="A1594" s="1">
        <v>4347</v>
      </c>
      <c r="B1594" s="1" t="s">
        <v>6850</v>
      </c>
      <c r="D1594" s="1" t="s">
        <v>6851</v>
      </c>
      <c r="F1594" s="1" t="s">
        <v>6914</v>
      </c>
      <c r="H1594" s="1" t="s">
        <v>6915</v>
      </c>
      <c r="J1594" s="1" t="s">
        <v>1324</v>
      </c>
      <c r="L1594" s="1" t="s">
        <v>895</v>
      </c>
      <c r="N1594" s="1" t="s">
        <v>6398</v>
      </c>
      <c r="P1594" s="1" t="s">
        <v>6400</v>
      </c>
      <c r="Q1594" s="3">
        <v>1</v>
      </c>
      <c r="R1594" s="23" t="s">
        <v>6854</v>
      </c>
      <c r="S1594" s="23" t="s">
        <v>6845</v>
      </c>
      <c r="T1594" s="23" t="s">
        <v>4866</v>
      </c>
      <c r="U1594" s="3">
        <v>35</v>
      </c>
      <c r="W1594" s="45" t="str">
        <f>HYPERLINK("http://ictvonline.org/taxonomy/p/taxonomy-history?taxnode_id=201906818","ICTVonline=201906818")</f>
        <v>ICTVonline=201906818</v>
      </c>
      <c r="Y1594" s="1" t="s">
        <v>9723</v>
      </c>
      <c r="Z1594" s="1" t="s">
        <v>9724</v>
      </c>
      <c r="AA1594" s="1">
        <v>201900000</v>
      </c>
      <c r="AB1594" s="1">
        <v>35</v>
      </c>
    </row>
    <row r="1595" spans="1:28" x14ac:dyDescent="0.2">
      <c r="A1595" s="1">
        <v>4349</v>
      </c>
      <c r="B1595" s="1" t="s">
        <v>6850</v>
      </c>
      <c r="D1595" s="1" t="s">
        <v>6851</v>
      </c>
      <c r="F1595" s="1" t="s">
        <v>6914</v>
      </c>
      <c r="H1595" s="1" t="s">
        <v>6915</v>
      </c>
      <c r="J1595" s="1" t="s">
        <v>1324</v>
      </c>
      <c r="L1595" s="1" t="s">
        <v>895</v>
      </c>
      <c r="N1595" s="1" t="s">
        <v>6398</v>
      </c>
      <c r="P1595" s="1" t="s">
        <v>6401</v>
      </c>
      <c r="Q1595" s="3">
        <v>0</v>
      </c>
      <c r="R1595" s="23" t="s">
        <v>6854</v>
      </c>
      <c r="S1595" s="23" t="s">
        <v>6845</v>
      </c>
      <c r="T1595" s="23" t="s">
        <v>4866</v>
      </c>
      <c r="U1595" s="3">
        <v>35</v>
      </c>
      <c r="W1595" s="45" t="str">
        <f>HYPERLINK("http://ictvonline.org/taxonomy/p/taxonomy-history?taxnode_id=201906819","ICTVonline=201906819")</f>
        <v>ICTVonline=201906819</v>
      </c>
      <c r="Y1595" s="1" t="s">
        <v>9725</v>
      </c>
      <c r="Z1595" s="1" t="s">
        <v>9726</v>
      </c>
      <c r="AA1595" s="1">
        <v>201900000</v>
      </c>
      <c r="AB1595" s="1">
        <v>35</v>
      </c>
    </row>
    <row r="1596" spans="1:28" x14ac:dyDescent="0.2">
      <c r="A1596" s="1">
        <v>4351</v>
      </c>
      <c r="B1596" s="1" t="s">
        <v>6850</v>
      </c>
      <c r="D1596" s="1" t="s">
        <v>6851</v>
      </c>
      <c r="F1596" s="1" t="s">
        <v>6914</v>
      </c>
      <c r="H1596" s="1" t="s">
        <v>6915</v>
      </c>
      <c r="J1596" s="1" t="s">
        <v>1324</v>
      </c>
      <c r="L1596" s="1" t="s">
        <v>895</v>
      </c>
      <c r="N1596" s="1" t="s">
        <v>6398</v>
      </c>
      <c r="P1596" s="1" t="s">
        <v>6402</v>
      </c>
      <c r="Q1596" s="3">
        <v>0</v>
      </c>
      <c r="R1596" s="23" t="s">
        <v>6854</v>
      </c>
      <c r="S1596" s="23" t="s">
        <v>6845</v>
      </c>
      <c r="T1596" s="23" t="s">
        <v>4866</v>
      </c>
      <c r="U1596" s="3">
        <v>35</v>
      </c>
      <c r="W1596" s="45" t="str">
        <f>HYPERLINK("http://ictvonline.org/taxonomy/p/taxonomy-history?taxnode_id=201906820","ICTVonline=201906820")</f>
        <v>ICTVonline=201906820</v>
      </c>
      <c r="Y1596" s="1" t="s">
        <v>9727</v>
      </c>
      <c r="Z1596" s="1" t="s">
        <v>9728</v>
      </c>
      <c r="AA1596" s="1">
        <v>201900000</v>
      </c>
      <c r="AB1596" s="1">
        <v>35</v>
      </c>
    </row>
    <row r="1597" spans="1:28" x14ac:dyDescent="0.2">
      <c r="A1597" s="1">
        <v>4355</v>
      </c>
      <c r="B1597" s="1" t="s">
        <v>6850</v>
      </c>
      <c r="D1597" s="1" t="s">
        <v>6851</v>
      </c>
      <c r="F1597" s="1" t="s">
        <v>6914</v>
      </c>
      <c r="H1597" s="1" t="s">
        <v>6915</v>
      </c>
      <c r="J1597" s="1" t="s">
        <v>1324</v>
      </c>
      <c r="L1597" s="1" t="s">
        <v>895</v>
      </c>
      <c r="N1597" s="1" t="s">
        <v>6403</v>
      </c>
      <c r="P1597" s="1" t="s">
        <v>6404</v>
      </c>
      <c r="Q1597" s="3">
        <v>1</v>
      </c>
      <c r="R1597" s="23" t="s">
        <v>6854</v>
      </c>
      <c r="S1597" s="23" t="s">
        <v>6845</v>
      </c>
      <c r="T1597" s="23" t="s">
        <v>4866</v>
      </c>
      <c r="U1597" s="3">
        <v>35</v>
      </c>
      <c r="W1597" s="45" t="str">
        <f>HYPERLINK("http://ictvonline.org/taxonomy/p/taxonomy-history?taxnode_id=201906424","ICTVonline=201906424")</f>
        <v>ICTVonline=201906424</v>
      </c>
      <c r="Y1597" s="1" t="s">
        <v>9729</v>
      </c>
      <c r="Z1597" s="1" t="s">
        <v>9730</v>
      </c>
      <c r="AA1597" s="1">
        <v>201900000</v>
      </c>
      <c r="AB1597" s="1">
        <v>35</v>
      </c>
    </row>
    <row r="1598" spans="1:28" x14ac:dyDescent="0.2">
      <c r="A1598" s="1">
        <v>4359</v>
      </c>
      <c r="B1598" s="1" t="s">
        <v>6850</v>
      </c>
      <c r="D1598" s="1" t="s">
        <v>6851</v>
      </c>
      <c r="F1598" s="1" t="s">
        <v>6914</v>
      </c>
      <c r="H1598" s="1" t="s">
        <v>6915</v>
      </c>
      <c r="J1598" s="1" t="s">
        <v>1324</v>
      </c>
      <c r="L1598" s="1" t="s">
        <v>895</v>
      </c>
      <c r="N1598" s="1" t="s">
        <v>9731</v>
      </c>
      <c r="P1598" s="1" t="s">
        <v>9732</v>
      </c>
      <c r="Q1598" s="3">
        <v>1</v>
      </c>
      <c r="R1598" s="23" t="s">
        <v>6854</v>
      </c>
      <c r="S1598" s="23" t="s">
        <v>6849</v>
      </c>
      <c r="T1598" s="23" t="s">
        <v>4864</v>
      </c>
      <c r="U1598" s="3">
        <v>35</v>
      </c>
      <c r="V1598" s="3" t="s">
        <v>9733</v>
      </c>
      <c r="W1598" s="45" t="str">
        <f>HYPERLINK("http://ictvonline.org/taxonomy/p/taxonomy-history?taxnode_id=201907273","ICTVonline=201907273")</f>
        <v>ICTVonline=201907273</v>
      </c>
      <c r="Y1598" s="1" t="s">
        <v>9734</v>
      </c>
      <c r="AA1598" s="1">
        <v>201900000</v>
      </c>
      <c r="AB1598" s="1">
        <v>35</v>
      </c>
    </row>
    <row r="1599" spans="1:28" x14ac:dyDescent="0.2">
      <c r="A1599" s="1">
        <v>4363</v>
      </c>
      <c r="B1599" s="1" t="s">
        <v>6850</v>
      </c>
      <c r="D1599" s="1" t="s">
        <v>6851</v>
      </c>
      <c r="F1599" s="1" t="s">
        <v>6914</v>
      </c>
      <c r="H1599" s="1" t="s">
        <v>6915</v>
      </c>
      <c r="J1599" s="1" t="s">
        <v>1324</v>
      </c>
      <c r="L1599" s="1" t="s">
        <v>895</v>
      </c>
      <c r="N1599" s="1" t="s">
        <v>6405</v>
      </c>
      <c r="P1599" s="1" t="s">
        <v>6406</v>
      </c>
      <c r="Q1599" s="3">
        <v>1</v>
      </c>
      <c r="R1599" s="23" t="s">
        <v>6854</v>
      </c>
      <c r="S1599" s="23" t="s">
        <v>6845</v>
      </c>
      <c r="T1599" s="23" t="s">
        <v>4866</v>
      </c>
      <c r="U1599" s="3">
        <v>35</v>
      </c>
      <c r="W1599" s="45" t="str">
        <f>HYPERLINK("http://ictvonline.org/taxonomy/p/taxonomy-history?taxnode_id=201906560","ICTVonline=201906560")</f>
        <v>ICTVonline=201906560</v>
      </c>
      <c r="Y1599" s="1" t="s">
        <v>9735</v>
      </c>
      <c r="Z1599" s="1" t="s">
        <v>9736</v>
      </c>
      <c r="AA1599" s="1">
        <v>201900000</v>
      </c>
      <c r="AB1599" s="1">
        <v>35</v>
      </c>
    </row>
    <row r="1600" spans="1:28" x14ac:dyDescent="0.2">
      <c r="A1600" s="1">
        <v>4367</v>
      </c>
      <c r="B1600" s="1" t="s">
        <v>6850</v>
      </c>
      <c r="D1600" s="1" t="s">
        <v>6851</v>
      </c>
      <c r="F1600" s="1" t="s">
        <v>6914</v>
      </c>
      <c r="H1600" s="1" t="s">
        <v>6915</v>
      </c>
      <c r="J1600" s="1" t="s">
        <v>1324</v>
      </c>
      <c r="L1600" s="1" t="s">
        <v>895</v>
      </c>
      <c r="N1600" s="1" t="s">
        <v>9737</v>
      </c>
      <c r="P1600" s="1" t="s">
        <v>9738</v>
      </c>
      <c r="Q1600" s="3">
        <v>0</v>
      </c>
      <c r="R1600" s="23" t="s">
        <v>6854</v>
      </c>
      <c r="S1600" s="23" t="s">
        <v>6849</v>
      </c>
      <c r="T1600" s="23" t="s">
        <v>4864</v>
      </c>
      <c r="U1600" s="3">
        <v>35</v>
      </c>
      <c r="V1600" s="3" t="s">
        <v>9739</v>
      </c>
      <c r="W1600" s="45" t="str">
        <f>HYPERLINK("http://ictvonline.org/taxonomy/p/taxonomy-history?taxnode_id=201907842","ICTVonline=201907842")</f>
        <v>ICTVonline=201907842</v>
      </c>
      <c r="Y1600" s="1" t="s">
        <v>9740</v>
      </c>
      <c r="AA1600" s="1">
        <v>201900000</v>
      </c>
      <c r="AB1600" s="1">
        <v>35</v>
      </c>
    </row>
    <row r="1601" spans="1:28" x14ac:dyDescent="0.2">
      <c r="A1601" s="1">
        <v>4369</v>
      </c>
      <c r="B1601" s="1" t="s">
        <v>6850</v>
      </c>
      <c r="D1601" s="1" t="s">
        <v>6851</v>
      </c>
      <c r="F1601" s="1" t="s">
        <v>6914</v>
      </c>
      <c r="H1601" s="1" t="s">
        <v>6915</v>
      </c>
      <c r="J1601" s="1" t="s">
        <v>1324</v>
      </c>
      <c r="L1601" s="1" t="s">
        <v>895</v>
      </c>
      <c r="N1601" s="1" t="s">
        <v>9737</v>
      </c>
      <c r="P1601" s="1" t="s">
        <v>9741</v>
      </c>
      <c r="Q1601" s="3">
        <v>1</v>
      </c>
      <c r="R1601" s="23" t="s">
        <v>6854</v>
      </c>
      <c r="S1601" s="23" t="s">
        <v>6849</v>
      </c>
      <c r="T1601" s="23" t="s">
        <v>4864</v>
      </c>
      <c r="U1601" s="3">
        <v>35</v>
      </c>
      <c r="V1601" s="3" t="s">
        <v>9739</v>
      </c>
      <c r="W1601" s="45" t="str">
        <f>HYPERLINK("http://ictvonline.org/taxonomy/p/taxonomy-history?taxnode_id=201907841","ICTVonline=201907841")</f>
        <v>ICTVonline=201907841</v>
      </c>
      <c r="Y1601" s="1" t="s">
        <v>9742</v>
      </c>
      <c r="AA1601" s="1">
        <v>201900000</v>
      </c>
      <c r="AB1601" s="1">
        <v>35</v>
      </c>
    </row>
    <row r="1602" spans="1:28" x14ac:dyDescent="0.2">
      <c r="A1602" s="1">
        <v>4373</v>
      </c>
      <c r="B1602" s="1" t="s">
        <v>6850</v>
      </c>
      <c r="D1602" s="1" t="s">
        <v>6851</v>
      </c>
      <c r="F1602" s="1" t="s">
        <v>6914</v>
      </c>
      <c r="H1602" s="1" t="s">
        <v>6915</v>
      </c>
      <c r="J1602" s="1" t="s">
        <v>1324</v>
      </c>
      <c r="L1602" s="1" t="s">
        <v>895</v>
      </c>
      <c r="N1602" s="1" t="s">
        <v>9743</v>
      </c>
      <c r="P1602" s="1" t="s">
        <v>9744</v>
      </c>
      <c r="Q1602" s="3">
        <v>0</v>
      </c>
      <c r="R1602" s="23" t="s">
        <v>6854</v>
      </c>
      <c r="S1602" s="23" t="s">
        <v>6849</v>
      </c>
      <c r="T1602" s="23" t="s">
        <v>4864</v>
      </c>
      <c r="U1602" s="3">
        <v>35</v>
      </c>
      <c r="V1602" s="3" t="s">
        <v>9745</v>
      </c>
      <c r="W1602" s="45" t="str">
        <f>HYPERLINK("http://ictvonline.org/taxonomy/p/taxonomy-history?taxnode_id=201907845","ICTVonline=201907845")</f>
        <v>ICTVonline=201907845</v>
      </c>
      <c r="Y1602" s="1" t="s">
        <v>9746</v>
      </c>
      <c r="AA1602" s="1">
        <v>201900000</v>
      </c>
      <c r="AB1602" s="1">
        <v>35</v>
      </c>
    </row>
    <row r="1603" spans="1:28" x14ac:dyDescent="0.2">
      <c r="A1603" s="1">
        <v>4375</v>
      </c>
      <c r="B1603" s="1" t="s">
        <v>6850</v>
      </c>
      <c r="D1603" s="1" t="s">
        <v>6851</v>
      </c>
      <c r="F1603" s="1" t="s">
        <v>6914</v>
      </c>
      <c r="H1603" s="1" t="s">
        <v>6915</v>
      </c>
      <c r="J1603" s="1" t="s">
        <v>1324</v>
      </c>
      <c r="L1603" s="1" t="s">
        <v>895</v>
      </c>
      <c r="N1603" s="1" t="s">
        <v>9743</v>
      </c>
      <c r="P1603" s="1" t="s">
        <v>9747</v>
      </c>
      <c r="Q1603" s="3">
        <v>1</v>
      </c>
      <c r="R1603" s="23" t="s">
        <v>6854</v>
      </c>
      <c r="S1603" s="23" t="s">
        <v>6849</v>
      </c>
      <c r="T1603" s="23" t="s">
        <v>4864</v>
      </c>
      <c r="U1603" s="3">
        <v>35</v>
      </c>
      <c r="V1603" s="3" t="s">
        <v>9745</v>
      </c>
      <c r="W1603" s="45" t="str">
        <f>HYPERLINK("http://ictvonline.org/taxonomy/p/taxonomy-history?taxnode_id=201907844","ICTVonline=201907844")</f>
        <v>ICTVonline=201907844</v>
      </c>
      <c r="Y1603" s="1" t="s">
        <v>9748</v>
      </c>
      <c r="AA1603" s="1">
        <v>201900000</v>
      </c>
      <c r="AB1603" s="1">
        <v>35</v>
      </c>
    </row>
    <row r="1604" spans="1:28" x14ac:dyDescent="0.2">
      <c r="A1604" s="1">
        <v>4379</v>
      </c>
      <c r="B1604" s="1" t="s">
        <v>6850</v>
      </c>
      <c r="D1604" s="1" t="s">
        <v>6851</v>
      </c>
      <c r="F1604" s="1" t="s">
        <v>6914</v>
      </c>
      <c r="H1604" s="1" t="s">
        <v>6915</v>
      </c>
      <c r="J1604" s="1" t="s">
        <v>1324</v>
      </c>
      <c r="L1604" s="1" t="s">
        <v>895</v>
      </c>
      <c r="N1604" s="1" t="s">
        <v>9749</v>
      </c>
      <c r="P1604" s="1" t="s">
        <v>9750</v>
      </c>
      <c r="Q1604" s="3">
        <v>1</v>
      </c>
      <c r="R1604" s="23" t="s">
        <v>6854</v>
      </c>
      <c r="S1604" s="23" t="s">
        <v>6849</v>
      </c>
      <c r="T1604" s="23" t="s">
        <v>4864</v>
      </c>
      <c r="U1604" s="3">
        <v>35</v>
      </c>
      <c r="V1604" s="3" t="s">
        <v>9751</v>
      </c>
      <c r="W1604" s="45" t="str">
        <f>HYPERLINK("http://ictvonline.org/taxonomy/p/taxonomy-history?taxnode_id=201907850","ICTVonline=201907850")</f>
        <v>ICTVonline=201907850</v>
      </c>
      <c r="Y1604" s="1" t="s">
        <v>9752</v>
      </c>
      <c r="AA1604" s="1">
        <v>201900000</v>
      </c>
      <c r="AB1604" s="1">
        <v>35</v>
      </c>
    </row>
    <row r="1605" spans="1:28" x14ac:dyDescent="0.2">
      <c r="A1605" s="1">
        <v>4383</v>
      </c>
      <c r="B1605" s="1" t="s">
        <v>6850</v>
      </c>
      <c r="D1605" s="1" t="s">
        <v>6851</v>
      </c>
      <c r="F1605" s="1" t="s">
        <v>6914</v>
      </c>
      <c r="H1605" s="1" t="s">
        <v>6915</v>
      </c>
      <c r="J1605" s="1" t="s">
        <v>1324</v>
      </c>
      <c r="L1605" s="1" t="s">
        <v>895</v>
      </c>
      <c r="N1605" s="1" t="s">
        <v>6407</v>
      </c>
      <c r="P1605" s="1" t="s">
        <v>3170</v>
      </c>
      <c r="Q1605" s="3">
        <v>0</v>
      </c>
      <c r="R1605" s="23" t="s">
        <v>6854</v>
      </c>
      <c r="S1605" s="23" t="s">
        <v>6845</v>
      </c>
      <c r="T1605" s="23" t="s">
        <v>4866</v>
      </c>
      <c r="U1605" s="3">
        <v>35</v>
      </c>
      <c r="W1605" s="45" t="str">
        <f>HYPERLINK("http://ictvonline.org/taxonomy/p/taxonomy-history?taxnode_id=201901009","ICTVonline=201901009")</f>
        <v>ICTVonline=201901009</v>
      </c>
      <c r="Y1605" s="1" t="s">
        <v>9753</v>
      </c>
      <c r="AA1605" s="1">
        <v>201900000</v>
      </c>
      <c r="AB1605" s="1">
        <v>35</v>
      </c>
    </row>
    <row r="1606" spans="1:28" x14ac:dyDescent="0.2">
      <c r="A1606" s="1">
        <v>4385</v>
      </c>
      <c r="B1606" s="1" t="s">
        <v>6850</v>
      </c>
      <c r="D1606" s="1" t="s">
        <v>6851</v>
      </c>
      <c r="F1606" s="1" t="s">
        <v>6914</v>
      </c>
      <c r="H1606" s="1" t="s">
        <v>6915</v>
      </c>
      <c r="J1606" s="1" t="s">
        <v>1324</v>
      </c>
      <c r="L1606" s="1" t="s">
        <v>895</v>
      </c>
      <c r="N1606" s="1" t="s">
        <v>6407</v>
      </c>
      <c r="P1606" s="1" t="s">
        <v>3171</v>
      </c>
      <c r="Q1606" s="3">
        <v>0</v>
      </c>
      <c r="R1606" s="23" t="s">
        <v>6854</v>
      </c>
      <c r="S1606" s="23" t="s">
        <v>6845</v>
      </c>
      <c r="T1606" s="23" t="s">
        <v>4866</v>
      </c>
      <c r="U1606" s="3">
        <v>35</v>
      </c>
      <c r="W1606" s="45" t="str">
        <f>HYPERLINK("http://ictvonline.org/taxonomy/p/taxonomy-history?taxnode_id=201901010","ICTVonline=201901010")</f>
        <v>ICTVonline=201901010</v>
      </c>
      <c r="Y1606" s="1" t="s">
        <v>9754</v>
      </c>
      <c r="AA1606" s="1">
        <v>201900000</v>
      </c>
      <c r="AB1606" s="1">
        <v>35</v>
      </c>
    </row>
    <row r="1607" spans="1:28" x14ac:dyDescent="0.2">
      <c r="A1607" s="1">
        <v>4387</v>
      </c>
      <c r="B1607" s="1" t="s">
        <v>6850</v>
      </c>
      <c r="D1607" s="1" t="s">
        <v>6851</v>
      </c>
      <c r="F1607" s="1" t="s">
        <v>6914</v>
      </c>
      <c r="H1607" s="1" t="s">
        <v>6915</v>
      </c>
      <c r="J1607" s="1" t="s">
        <v>1324</v>
      </c>
      <c r="L1607" s="1" t="s">
        <v>895</v>
      </c>
      <c r="N1607" s="1" t="s">
        <v>6407</v>
      </c>
      <c r="P1607" s="1" t="s">
        <v>3172</v>
      </c>
      <c r="Q1607" s="3">
        <v>0</v>
      </c>
      <c r="R1607" s="23" t="s">
        <v>6854</v>
      </c>
      <c r="S1607" s="23" t="s">
        <v>6845</v>
      </c>
      <c r="T1607" s="23" t="s">
        <v>4866</v>
      </c>
      <c r="U1607" s="3">
        <v>35</v>
      </c>
      <c r="W1607" s="45" t="str">
        <f>HYPERLINK("http://ictvonline.org/taxonomy/p/taxonomy-history?taxnode_id=201901011","ICTVonline=201901011")</f>
        <v>ICTVonline=201901011</v>
      </c>
      <c r="Y1607" s="1" t="s">
        <v>9755</v>
      </c>
      <c r="AA1607" s="1">
        <v>201900000</v>
      </c>
      <c r="AB1607" s="1">
        <v>35</v>
      </c>
    </row>
    <row r="1608" spans="1:28" x14ac:dyDescent="0.2">
      <c r="A1608" s="1">
        <v>4389</v>
      </c>
      <c r="B1608" s="1" t="s">
        <v>6850</v>
      </c>
      <c r="D1608" s="1" t="s">
        <v>6851</v>
      </c>
      <c r="F1608" s="1" t="s">
        <v>6914</v>
      </c>
      <c r="H1608" s="1" t="s">
        <v>6915</v>
      </c>
      <c r="J1608" s="1" t="s">
        <v>1324</v>
      </c>
      <c r="L1608" s="1" t="s">
        <v>895</v>
      </c>
      <c r="N1608" s="1" t="s">
        <v>6407</v>
      </c>
      <c r="P1608" s="1" t="s">
        <v>3173</v>
      </c>
      <c r="Q1608" s="3">
        <v>0</v>
      </c>
      <c r="R1608" s="23" t="s">
        <v>6854</v>
      </c>
      <c r="S1608" s="23" t="s">
        <v>6845</v>
      </c>
      <c r="T1608" s="23" t="s">
        <v>4866</v>
      </c>
      <c r="U1608" s="3">
        <v>35</v>
      </c>
      <c r="W1608" s="45" t="str">
        <f>HYPERLINK("http://ictvonline.org/taxonomy/p/taxonomy-history?taxnode_id=201901012","ICTVonline=201901012")</f>
        <v>ICTVonline=201901012</v>
      </c>
      <c r="Y1608" s="1" t="s">
        <v>9756</v>
      </c>
      <c r="AA1608" s="1">
        <v>201900000</v>
      </c>
      <c r="AB1608" s="1">
        <v>35</v>
      </c>
    </row>
    <row r="1609" spans="1:28" x14ac:dyDescent="0.2">
      <c r="A1609" s="1">
        <v>4391</v>
      </c>
      <c r="B1609" s="1" t="s">
        <v>6850</v>
      </c>
      <c r="D1609" s="1" t="s">
        <v>6851</v>
      </c>
      <c r="F1609" s="1" t="s">
        <v>6914</v>
      </c>
      <c r="H1609" s="1" t="s">
        <v>6915</v>
      </c>
      <c r="J1609" s="1" t="s">
        <v>1324</v>
      </c>
      <c r="L1609" s="1" t="s">
        <v>895</v>
      </c>
      <c r="N1609" s="1" t="s">
        <v>6407</v>
      </c>
      <c r="P1609" s="1" t="s">
        <v>3174</v>
      </c>
      <c r="Q1609" s="3">
        <v>0</v>
      </c>
      <c r="R1609" s="23" t="s">
        <v>6854</v>
      </c>
      <c r="S1609" s="23" t="s">
        <v>6845</v>
      </c>
      <c r="T1609" s="23" t="s">
        <v>4866</v>
      </c>
      <c r="U1609" s="3">
        <v>35</v>
      </c>
      <c r="W1609" s="45" t="str">
        <f>HYPERLINK("http://ictvonline.org/taxonomy/p/taxonomy-history?taxnode_id=201901014","ICTVonline=201901014")</f>
        <v>ICTVonline=201901014</v>
      </c>
      <c r="Y1609" s="1" t="s">
        <v>9757</v>
      </c>
      <c r="AA1609" s="1">
        <v>201900000</v>
      </c>
      <c r="AB1609" s="1">
        <v>35</v>
      </c>
    </row>
    <row r="1610" spans="1:28" x14ac:dyDescent="0.2">
      <c r="A1610" s="1">
        <v>4393</v>
      </c>
      <c r="B1610" s="1" t="s">
        <v>6850</v>
      </c>
      <c r="D1610" s="1" t="s">
        <v>6851</v>
      </c>
      <c r="F1610" s="1" t="s">
        <v>6914</v>
      </c>
      <c r="H1610" s="1" t="s">
        <v>6915</v>
      </c>
      <c r="J1610" s="1" t="s">
        <v>1324</v>
      </c>
      <c r="L1610" s="1" t="s">
        <v>895</v>
      </c>
      <c r="N1610" s="1" t="s">
        <v>6407</v>
      </c>
      <c r="P1610" s="1" t="s">
        <v>3175</v>
      </c>
      <c r="Q1610" s="3">
        <v>0</v>
      </c>
      <c r="R1610" s="23" t="s">
        <v>6854</v>
      </c>
      <c r="S1610" s="23" t="s">
        <v>6845</v>
      </c>
      <c r="T1610" s="23" t="s">
        <v>4866</v>
      </c>
      <c r="U1610" s="3">
        <v>35</v>
      </c>
      <c r="W1610" s="45" t="str">
        <f>HYPERLINK("http://ictvonline.org/taxonomy/p/taxonomy-history?taxnode_id=201901015","ICTVonline=201901015")</f>
        <v>ICTVonline=201901015</v>
      </c>
      <c r="Y1610" s="1" t="s">
        <v>9758</v>
      </c>
      <c r="AA1610" s="1">
        <v>201900000</v>
      </c>
      <c r="AB1610" s="1">
        <v>35</v>
      </c>
    </row>
    <row r="1611" spans="1:28" x14ac:dyDescent="0.2">
      <c r="A1611" s="1">
        <v>4395</v>
      </c>
      <c r="B1611" s="1" t="s">
        <v>6850</v>
      </c>
      <c r="D1611" s="1" t="s">
        <v>6851</v>
      </c>
      <c r="F1611" s="1" t="s">
        <v>6914</v>
      </c>
      <c r="H1611" s="1" t="s">
        <v>6915</v>
      </c>
      <c r="J1611" s="1" t="s">
        <v>1324</v>
      </c>
      <c r="L1611" s="1" t="s">
        <v>895</v>
      </c>
      <c r="N1611" s="1" t="s">
        <v>6407</v>
      </c>
      <c r="P1611" s="1" t="s">
        <v>3176</v>
      </c>
      <c r="Q1611" s="3">
        <v>0</v>
      </c>
      <c r="R1611" s="23" t="s">
        <v>6854</v>
      </c>
      <c r="S1611" s="23" t="s">
        <v>6845</v>
      </c>
      <c r="T1611" s="23" t="s">
        <v>4866</v>
      </c>
      <c r="U1611" s="3">
        <v>35</v>
      </c>
      <c r="W1611" s="45" t="str">
        <f>HYPERLINK("http://ictvonline.org/taxonomy/p/taxonomy-history?taxnode_id=201901016","ICTVonline=201901016")</f>
        <v>ICTVonline=201901016</v>
      </c>
      <c r="Y1611" s="1" t="s">
        <v>9759</v>
      </c>
      <c r="AA1611" s="1">
        <v>201900000</v>
      </c>
      <c r="AB1611" s="1">
        <v>35</v>
      </c>
    </row>
    <row r="1612" spans="1:28" x14ac:dyDescent="0.2">
      <c r="A1612" s="1">
        <v>4397</v>
      </c>
      <c r="B1612" s="1" t="s">
        <v>6850</v>
      </c>
      <c r="D1612" s="1" t="s">
        <v>6851</v>
      </c>
      <c r="F1612" s="1" t="s">
        <v>6914</v>
      </c>
      <c r="H1612" s="1" t="s">
        <v>6915</v>
      </c>
      <c r="J1612" s="1" t="s">
        <v>1324</v>
      </c>
      <c r="L1612" s="1" t="s">
        <v>895</v>
      </c>
      <c r="N1612" s="1" t="s">
        <v>6407</v>
      </c>
      <c r="P1612" s="1" t="s">
        <v>6408</v>
      </c>
      <c r="Q1612" s="3">
        <v>0</v>
      </c>
      <c r="R1612" s="23" t="s">
        <v>6854</v>
      </c>
      <c r="S1612" s="23" t="s">
        <v>6845</v>
      </c>
      <c r="T1612" s="23" t="s">
        <v>4866</v>
      </c>
      <c r="U1612" s="3">
        <v>35</v>
      </c>
      <c r="W1612" s="45" t="str">
        <f>HYPERLINK("http://ictvonline.org/taxonomy/p/taxonomy-history?taxnode_id=201901013","ICTVonline=201901013")</f>
        <v>ICTVonline=201901013</v>
      </c>
      <c r="Y1612" s="1" t="s">
        <v>9760</v>
      </c>
      <c r="Z1612" s="1" t="s">
        <v>9761</v>
      </c>
      <c r="AA1612" s="1">
        <v>201900000</v>
      </c>
      <c r="AB1612" s="1">
        <v>35</v>
      </c>
    </row>
    <row r="1613" spans="1:28" x14ac:dyDescent="0.2">
      <c r="A1613" s="1">
        <v>4399</v>
      </c>
      <c r="B1613" s="1" t="s">
        <v>6850</v>
      </c>
      <c r="D1613" s="1" t="s">
        <v>6851</v>
      </c>
      <c r="F1613" s="1" t="s">
        <v>6914</v>
      </c>
      <c r="H1613" s="1" t="s">
        <v>6915</v>
      </c>
      <c r="J1613" s="1" t="s">
        <v>1324</v>
      </c>
      <c r="L1613" s="1" t="s">
        <v>895</v>
      </c>
      <c r="N1613" s="1" t="s">
        <v>6407</v>
      </c>
      <c r="P1613" s="1" t="s">
        <v>3177</v>
      </c>
      <c r="Q1613" s="3">
        <v>0</v>
      </c>
      <c r="R1613" s="23" t="s">
        <v>6854</v>
      </c>
      <c r="S1613" s="23" t="s">
        <v>6845</v>
      </c>
      <c r="T1613" s="23" t="s">
        <v>4866</v>
      </c>
      <c r="U1613" s="3">
        <v>35</v>
      </c>
      <c r="W1613" s="45" t="str">
        <f>HYPERLINK("http://ictvonline.org/taxonomy/p/taxonomy-history?taxnode_id=201901017","ICTVonline=201901017")</f>
        <v>ICTVonline=201901017</v>
      </c>
      <c r="Y1613" s="1" t="s">
        <v>9762</v>
      </c>
      <c r="AA1613" s="1">
        <v>201900000</v>
      </c>
      <c r="AB1613" s="1">
        <v>35</v>
      </c>
    </row>
    <row r="1614" spans="1:28" x14ac:dyDescent="0.2">
      <c r="A1614" s="1">
        <v>4401</v>
      </c>
      <c r="B1614" s="1" t="s">
        <v>6850</v>
      </c>
      <c r="D1614" s="1" t="s">
        <v>6851</v>
      </c>
      <c r="F1614" s="1" t="s">
        <v>6914</v>
      </c>
      <c r="H1614" s="1" t="s">
        <v>6915</v>
      </c>
      <c r="J1614" s="1" t="s">
        <v>1324</v>
      </c>
      <c r="L1614" s="1" t="s">
        <v>895</v>
      </c>
      <c r="N1614" s="1" t="s">
        <v>6407</v>
      </c>
      <c r="P1614" s="1" t="s">
        <v>3178</v>
      </c>
      <c r="Q1614" s="3">
        <v>0</v>
      </c>
      <c r="R1614" s="23" t="s">
        <v>6854</v>
      </c>
      <c r="S1614" s="23" t="s">
        <v>6845</v>
      </c>
      <c r="T1614" s="23" t="s">
        <v>4866</v>
      </c>
      <c r="U1614" s="3">
        <v>35</v>
      </c>
      <c r="W1614" s="45" t="str">
        <f>HYPERLINK("http://ictvonline.org/taxonomy/p/taxonomy-history?taxnode_id=201901018","ICTVonline=201901018")</f>
        <v>ICTVonline=201901018</v>
      </c>
      <c r="Y1614" s="1" t="s">
        <v>9763</v>
      </c>
      <c r="AA1614" s="1">
        <v>201900000</v>
      </c>
      <c r="AB1614" s="1">
        <v>35</v>
      </c>
    </row>
    <row r="1615" spans="1:28" x14ac:dyDescent="0.2">
      <c r="A1615" s="1">
        <v>4403</v>
      </c>
      <c r="B1615" s="1" t="s">
        <v>6850</v>
      </c>
      <c r="D1615" s="1" t="s">
        <v>6851</v>
      </c>
      <c r="F1615" s="1" t="s">
        <v>6914</v>
      </c>
      <c r="H1615" s="1" t="s">
        <v>6915</v>
      </c>
      <c r="J1615" s="1" t="s">
        <v>1324</v>
      </c>
      <c r="L1615" s="1" t="s">
        <v>895</v>
      </c>
      <c r="N1615" s="1" t="s">
        <v>6407</v>
      </c>
      <c r="P1615" s="1" t="s">
        <v>3179</v>
      </c>
      <c r="Q1615" s="3">
        <v>0</v>
      </c>
      <c r="R1615" s="23" t="s">
        <v>6854</v>
      </c>
      <c r="S1615" s="23" t="s">
        <v>6845</v>
      </c>
      <c r="T1615" s="23" t="s">
        <v>4866</v>
      </c>
      <c r="U1615" s="3">
        <v>35</v>
      </c>
      <c r="W1615" s="45" t="str">
        <f>HYPERLINK("http://ictvonline.org/taxonomy/p/taxonomy-history?taxnode_id=201901019","ICTVonline=201901019")</f>
        <v>ICTVonline=201901019</v>
      </c>
      <c r="Y1615" s="1" t="s">
        <v>9764</v>
      </c>
      <c r="AA1615" s="1">
        <v>201900000</v>
      </c>
      <c r="AB1615" s="1">
        <v>35</v>
      </c>
    </row>
    <row r="1616" spans="1:28" x14ac:dyDescent="0.2">
      <c r="A1616" s="1">
        <v>4405</v>
      </c>
      <c r="B1616" s="1" t="s">
        <v>6850</v>
      </c>
      <c r="D1616" s="1" t="s">
        <v>6851</v>
      </c>
      <c r="F1616" s="1" t="s">
        <v>6914</v>
      </c>
      <c r="H1616" s="1" t="s">
        <v>6915</v>
      </c>
      <c r="J1616" s="1" t="s">
        <v>1324</v>
      </c>
      <c r="L1616" s="1" t="s">
        <v>895</v>
      </c>
      <c r="N1616" s="1" t="s">
        <v>6407</v>
      </c>
      <c r="P1616" s="1" t="s">
        <v>3180</v>
      </c>
      <c r="Q1616" s="3">
        <v>0</v>
      </c>
      <c r="R1616" s="23" t="s">
        <v>6854</v>
      </c>
      <c r="S1616" s="23" t="s">
        <v>6845</v>
      </c>
      <c r="T1616" s="23" t="s">
        <v>4866</v>
      </c>
      <c r="U1616" s="3">
        <v>35</v>
      </c>
      <c r="W1616" s="45" t="str">
        <f>HYPERLINK("http://ictvonline.org/taxonomy/p/taxonomy-history?taxnode_id=201901020","ICTVonline=201901020")</f>
        <v>ICTVonline=201901020</v>
      </c>
      <c r="Y1616" s="1" t="s">
        <v>9765</v>
      </c>
      <c r="AA1616" s="1">
        <v>201900000</v>
      </c>
      <c r="AB1616" s="1">
        <v>35</v>
      </c>
    </row>
    <row r="1617" spans="1:28" x14ac:dyDescent="0.2">
      <c r="A1617" s="1">
        <v>4407</v>
      </c>
      <c r="B1617" s="1" t="s">
        <v>6850</v>
      </c>
      <c r="D1617" s="1" t="s">
        <v>6851</v>
      </c>
      <c r="F1617" s="1" t="s">
        <v>6914</v>
      </c>
      <c r="H1617" s="1" t="s">
        <v>6915</v>
      </c>
      <c r="J1617" s="1" t="s">
        <v>1324</v>
      </c>
      <c r="L1617" s="1" t="s">
        <v>895</v>
      </c>
      <c r="N1617" s="1" t="s">
        <v>6407</v>
      </c>
      <c r="P1617" s="1" t="s">
        <v>3181</v>
      </c>
      <c r="Q1617" s="3">
        <v>0</v>
      </c>
      <c r="R1617" s="23" t="s">
        <v>6854</v>
      </c>
      <c r="S1617" s="23" t="s">
        <v>6845</v>
      </c>
      <c r="T1617" s="23" t="s">
        <v>4866</v>
      </c>
      <c r="U1617" s="3">
        <v>35</v>
      </c>
      <c r="W1617" s="45" t="str">
        <f>HYPERLINK("http://ictvonline.org/taxonomy/p/taxonomy-history?taxnode_id=201901021","ICTVonline=201901021")</f>
        <v>ICTVonline=201901021</v>
      </c>
      <c r="Y1617" s="1" t="s">
        <v>9766</v>
      </c>
      <c r="AA1617" s="1">
        <v>201900000</v>
      </c>
      <c r="AB1617" s="1">
        <v>35</v>
      </c>
    </row>
    <row r="1618" spans="1:28" x14ac:dyDescent="0.2">
      <c r="A1618" s="1">
        <v>4409</v>
      </c>
      <c r="B1618" s="1" t="s">
        <v>6850</v>
      </c>
      <c r="D1618" s="1" t="s">
        <v>6851</v>
      </c>
      <c r="F1618" s="1" t="s">
        <v>6914</v>
      </c>
      <c r="H1618" s="1" t="s">
        <v>6915</v>
      </c>
      <c r="J1618" s="1" t="s">
        <v>1324</v>
      </c>
      <c r="L1618" s="1" t="s">
        <v>895</v>
      </c>
      <c r="N1618" s="1" t="s">
        <v>6407</v>
      </c>
      <c r="P1618" s="1" t="s">
        <v>3182</v>
      </c>
      <c r="Q1618" s="3">
        <v>0</v>
      </c>
      <c r="R1618" s="23" t="s">
        <v>6854</v>
      </c>
      <c r="S1618" s="23" t="s">
        <v>6845</v>
      </c>
      <c r="T1618" s="23" t="s">
        <v>4866</v>
      </c>
      <c r="U1618" s="3">
        <v>35</v>
      </c>
      <c r="W1618" s="45" t="str">
        <f>HYPERLINK("http://ictvonline.org/taxonomy/p/taxonomy-history?taxnode_id=201901022","ICTVonline=201901022")</f>
        <v>ICTVonline=201901022</v>
      </c>
      <c r="AA1618" s="1">
        <v>201900000</v>
      </c>
      <c r="AB1618" s="1">
        <v>35</v>
      </c>
    </row>
    <row r="1619" spans="1:28" x14ac:dyDescent="0.2">
      <c r="A1619" s="1">
        <v>4411</v>
      </c>
      <c r="B1619" s="1" t="s">
        <v>6850</v>
      </c>
      <c r="D1619" s="1" t="s">
        <v>6851</v>
      </c>
      <c r="F1619" s="1" t="s">
        <v>6914</v>
      </c>
      <c r="H1619" s="1" t="s">
        <v>6915</v>
      </c>
      <c r="J1619" s="1" t="s">
        <v>1324</v>
      </c>
      <c r="L1619" s="1" t="s">
        <v>895</v>
      </c>
      <c r="N1619" s="1" t="s">
        <v>6407</v>
      </c>
      <c r="P1619" s="1" t="s">
        <v>3183</v>
      </c>
      <c r="Q1619" s="3">
        <v>0</v>
      </c>
      <c r="R1619" s="23" t="s">
        <v>6854</v>
      </c>
      <c r="S1619" s="23" t="s">
        <v>6845</v>
      </c>
      <c r="T1619" s="23" t="s">
        <v>4866</v>
      </c>
      <c r="U1619" s="3">
        <v>35</v>
      </c>
      <c r="W1619" s="45" t="str">
        <f>HYPERLINK("http://ictvonline.org/taxonomy/p/taxonomy-history?taxnode_id=201901023","ICTVonline=201901023")</f>
        <v>ICTVonline=201901023</v>
      </c>
      <c r="Y1619" s="1" t="s">
        <v>9767</v>
      </c>
      <c r="AA1619" s="1">
        <v>201900000</v>
      </c>
      <c r="AB1619" s="1">
        <v>35</v>
      </c>
    </row>
    <row r="1620" spans="1:28" x14ac:dyDescent="0.2">
      <c r="A1620" s="1">
        <v>4413</v>
      </c>
      <c r="B1620" s="1" t="s">
        <v>6850</v>
      </c>
      <c r="D1620" s="1" t="s">
        <v>6851</v>
      </c>
      <c r="F1620" s="1" t="s">
        <v>6914</v>
      </c>
      <c r="H1620" s="1" t="s">
        <v>6915</v>
      </c>
      <c r="J1620" s="1" t="s">
        <v>1324</v>
      </c>
      <c r="L1620" s="1" t="s">
        <v>895</v>
      </c>
      <c r="N1620" s="1" t="s">
        <v>6407</v>
      </c>
      <c r="P1620" s="1" t="s">
        <v>3184</v>
      </c>
      <c r="Q1620" s="3">
        <v>0</v>
      </c>
      <c r="R1620" s="23" t="s">
        <v>6854</v>
      </c>
      <c r="S1620" s="23" t="s">
        <v>6845</v>
      </c>
      <c r="T1620" s="23" t="s">
        <v>4866</v>
      </c>
      <c r="U1620" s="3">
        <v>35</v>
      </c>
      <c r="W1620" s="45" t="str">
        <f>HYPERLINK("http://ictvonline.org/taxonomy/p/taxonomy-history?taxnode_id=201901024","ICTVonline=201901024")</f>
        <v>ICTVonline=201901024</v>
      </c>
      <c r="Y1620" s="1" t="s">
        <v>9768</v>
      </c>
      <c r="AA1620" s="1">
        <v>201900000</v>
      </c>
      <c r="AB1620" s="1">
        <v>35</v>
      </c>
    </row>
    <row r="1621" spans="1:28" x14ac:dyDescent="0.2">
      <c r="A1621" s="1">
        <v>4415</v>
      </c>
      <c r="B1621" s="1" t="s">
        <v>6850</v>
      </c>
      <c r="D1621" s="1" t="s">
        <v>6851</v>
      </c>
      <c r="F1621" s="1" t="s">
        <v>6914</v>
      </c>
      <c r="H1621" s="1" t="s">
        <v>6915</v>
      </c>
      <c r="J1621" s="1" t="s">
        <v>1324</v>
      </c>
      <c r="L1621" s="1" t="s">
        <v>895</v>
      </c>
      <c r="N1621" s="1" t="s">
        <v>6407</v>
      </c>
      <c r="P1621" s="1" t="s">
        <v>3185</v>
      </c>
      <c r="Q1621" s="3">
        <v>0</v>
      </c>
      <c r="R1621" s="23" t="s">
        <v>6854</v>
      </c>
      <c r="S1621" s="23" t="s">
        <v>6845</v>
      </c>
      <c r="T1621" s="23" t="s">
        <v>4866</v>
      </c>
      <c r="U1621" s="3">
        <v>35</v>
      </c>
      <c r="W1621" s="45" t="str">
        <f>HYPERLINK("http://ictvonline.org/taxonomy/p/taxonomy-history?taxnode_id=201901025","ICTVonline=201901025")</f>
        <v>ICTVonline=201901025</v>
      </c>
      <c r="Y1621" s="1" t="s">
        <v>9769</v>
      </c>
      <c r="AA1621" s="1">
        <v>201900000</v>
      </c>
      <c r="AB1621" s="1">
        <v>35</v>
      </c>
    </row>
    <row r="1622" spans="1:28" x14ac:dyDescent="0.2">
      <c r="A1622" s="1">
        <v>4417</v>
      </c>
      <c r="B1622" s="1" t="s">
        <v>6850</v>
      </c>
      <c r="D1622" s="1" t="s">
        <v>6851</v>
      </c>
      <c r="F1622" s="1" t="s">
        <v>6914</v>
      </c>
      <c r="H1622" s="1" t="s">
        <v>6915</v>
      </c>
      <c r="J1622" s="1" t="s">
        <v>1324</v>
      </c>
      <c r="L1622" s="1" t="s">
        <v>895</v>
      </c>
      <c r="N1622" s="1" t="s">
        <v>6407</v>
      </c>
      <c r="P1622" s="1" t="s">
        <v>3186</v>
      </c>
      <c r="Q1622" s="3">
        <v>0</v>
      </c>
      <c r="R1622" s="23" t="s">
        <v>6854</v>
      </c>
      <c r="S1622" s="23" t="s">
        <v>6845</v>
      </c>
      <c r="T1622" s="23" t="s">
        <v>4866</v>
      </c>
      <c r="U1622" s="3">
        <v>35</v>
      </c>
      <c r="W1622" s="45" t="str">
        <f>HYPERLINK("http://ictvonline.org/taxonomy/p/taxonomy-history?taxnode_id=201901026","ICTVonline=201901026")</f>
        <v>ICTVonline=201901026</v>
      </c>
      <c r="Y1622" s="1" t="s">
        <v>9770</v>
      </c>
      <c r="AA1622" s="1">
        <v>201900000</v>
      </c>
      <c r="AB1622" s="1">
        <v>35</v>
      </c>
    </row>
    <row r="1623" spans="1:28" x14ac:dyDescent="0.2">
      <c r="A1623" s="1">
        <v>4419</v>
      </c>
      <c r="B1623" s="1" t="s">
        <v>6850</v>
      </c>
      <c r="D1623" s="1" t="s">
        <v>6851</v>
      </c>
      <c r="F1623" s="1" t="s">
        <v>6914</v>
      </c>
      <c r="H1623" s="1" t="s">
        <v>6915</v>
      </c>
      <c r="J1623" s="1" t="s">
        <v>1324</v>
      </c>
      <c r="L1623" s="1" t="s">
        <v>895</v>
      </c>
      <c r="N1623" s="1" t="s">
        <v>6407</v>
      </c>
      <c r="P1623" s="1" t="s">
        <v>3187</v>
      </c>
      <c r="Q1623" s="3">
        <v>0</v>
      </c>
      <c r="R1623" s="23" t="s">
        <v>6854</v>
      </c>
      <c r="S1623" s="23" t="s">
        <v>6845</v>
      </c>
      <c r="T1623" s="23" t="s">
        <v>4866</v>
      </c>
      <c r="U1623" s="3">
        <v>35</v>
      </c>
      <c r="W1623" s="45" t="str">
        <f>HYPERLINK("http://ictvonline.org/taxonomy/p/taxonomy-history?taxnode_id=201901027","ICTVonline=201901027")</f>
        <v>ICTVonline=201901027</v>
      </c>
      <c r="Y1623" s="1" t="s">
        <v>9771</v>
      </c>
      <c r="AA1623" s="1">
        <v>201900000</v>
      </c>
      <c r="AB1623" s="1">
        <v>35</v>
      </c>
    </row>
    <row r="1624" spans="1:28" x14ac:dyDescent="0.2">
      <c r="A1624" s="1">
        <v>4421</v>
      </c>
      <c r="B1624" s="1" t="s">
        <v>6850</v>
      </c>
      <c r="D1624" s="1" t="s">
        <v>6851</v>
      </c>
      <c r="F1624" s="1" t="s">
        <v>6914</v>
      </c>
      <c r="H1624" s="1" t="s">
        <v>6915</v>
      </c>
      <c r="J1624" s="1" t="s">
        <v>1324</v>
      </c>
      <c r="L1624" s="1" t="s">
        <v>895</v>
      </c>
      <c r="N1624" s="1" t="s">
        <v>6407</v>
      </c>
      <c r="P1624" s="1" t="s">
        <v>3188</v>
      </c>
      <c r="Q1624" s="3">
        <v>0</v>
      </c>
      <c r="R1624" s="23" t="s">
        <v>6854</v>
      </c>
      <c r="S1624" s="23" t="s">
        <v>6845</v>
      </c>
      <c r="T1624" s="23" t="s">
        <v>4866</v>
      </c>
      <c r="U1624" s="3">
        <v>35</v>
      </c>
      <c r="W1624" s="45" t="str">
        <f>HYPERLINK("http://ictvonline.org/taxonomy/p/taxonomy-history?taxnode_id=201901028","ICTVonline=201901028")</f>
        <v>ICTVonline=201901028</v>
      </c>
      <c r="Y1624" s="1" t="s">
        <v>9772</v>
      </c>
      <c r="AA1624" s="1">
        <v>201900000</v>
      </c>
      <c r="AB1624" s="1">
        <v>35</v>
      </c>
    </row>
    <row r="1625" spans="1:28" x14ac:dyDescent="0.2">
      <c r="A1625" s="1">
        <v>4423</v>
      </c>
      <c r="B1625" s="1" t="s">
        <v>6850</v>
      </c>
      <c r="D1625" s="1" t="s">
        <v>6851</v>
      </c>
      <c r="F1625" s="1" t="s">
        <v>6914</v>
      </c>
      <c r="H1625" s="1" t="s">
        <v>6915</v>
      </c>
      <c r="J1625" s="1" t="s">
        <v>1324</v>
      </c>
      <c r="L1625" s="1" t="s">
        <v>895</v>
      </c>
      <c r="N1625" s="1" t="s">
        <v>6407</v>
      </c>
      <c r="P1625" s="1" t="s">
        <v>3189</v>
      </c>
      <c r="Q1625" s="3">
        <v>0</v>
      </c>
      <c r="R1625" s="23" t="s">
        <v>6854</v>
      </c>
      <c r="S1625" s="23" t="s">
        <v>6845</v>
      </c>
      <c r="T1625" s="23" t="s">
        <v>4866</v>
      </c>
      <c r="U1625" s="3">
        <v>35</v>
      </c>
      <c r="W1625" s="45" t="str">
        <f>HYPERLINK("http://ictvonline.org/taxonomy/p/taxonomy-history?taxnode_id=201901029","ICTVonline=201901029")</f>
        <v>ICTVonline=201901029</v>
      </c>
      <c r="Y1625" s="1" t="s">
        <v>9773</v>
      </c>
      <c r="AA1625" s="1">
        <v>201900000</v>
      </c>
      <c r="AB1625" s="1">
        <v>35</v>
      </c>
    </row>
    <row r="1626" spans="1:28" x14ac:dyDescent="0.2">
      <c r="A1626" s="1">
        <v>4425</v>
      </c>
      <c r="B1626" s="1" t="s">
        <v>6850</v>
      </c>
      <c r="D1626" s="1" t="s">
        <v>6851</v>
      </c>
      <c r="F1626" s="1" t="s">
        <v>6914</v>
      </c>
      <c r="H1626" s="1" t="s">
        <v>6915</v>
      </c>
      <c r="J1626" s="1" t="s">
        <v>1324</v>
      </c>
      <c r="L1626" s="1" t="s">
        <v>895</v>
      </c>
      <c r="N1626" s="1" t="s">
        <v>6407</v>
      </c>
      <c r="P1626" s="1" t="s">
        <v>3190</v>
      </c>
      <c r="Q1626" s="3">
        <v>0</v>
      </c>
      <c r="R1626" s="23" t="s">
        <v>6854</v>
      </c>
      <c r="S1626" s="23" t="s">
        <v>6845</v>
      </c>
      <c r="T1626" s="23" t="s">
        <v>4866</v>
      </c>
      <c r="U1626" s="3">
        <v>35</v>
      </c>
      <c r="W1626" s="45" t="str">
        <f>HYPERLINK("http://ictvonline.org/taxonomy/p/taxonomy-history?taxnode_id=201901030","ICTVonline=201901030")</f>
        <v>ICTVonline=201901030</v>
      </c>
      <c r="Y1626" s="1" t="s">
        <v>9774</v>
      </c>
      <c r="AA1626" s="1">
        <v>201900000</v>
      </c>
      <c r="AB1626" s="1">
        <v>35</v>
      </c>
    </row>
    <row r="1627" spans="1:28" x14ac:dyDescent="0.2">
      <c r="A1627" s="1">
        <v>4427</v>
      </c>
      <c r="B1627" s="1" t="s">
        <v>6850</v>
      </c>
      <c r="D1627" s="1" t="s">
        <v>6851</v>
      </c>
      <c r="F1627" s="1" t="s">
        <v>6914</v>
      </c>
      <c r="H1627" s="1" t="s">
        <v>6915</v>
      </c>
      <c r="J1627" s="1" t="s">
        <v>1324</v>
      </c>
      <c r="L1627" s="1" t="s">
        <v>895</v>
      </c>
      <c r="N1627" s="1" t="s">
        <v>6407</v>
      </c>
      <c r="P1627" s="1" t="s">
        <v>3191</v>
      </c>
      <c r="Q1627" s="3">
        <v>0</v>
      </c>
      <c r="R1627" s="23" t="s">
        <v>6854</v>
      </c>
      <c r="S1627" s="23" t="s">
        <v>6845</v>
      </c>
      <c r="T1627" s="23" t="s">
        <v>4866</v>
      </c>
      <c r="U1627" s="3">
        <v>35</v>
      </c>
      <c r="W1627" s="45" t="str">
        <f>HYPERLINK("http://ictvonline.org/taxonomy/p/taxonomy-history?taxnode_id=201901031","ICTVonline=201901031")</f>
        <v>ICTVonline=201901031</v>
      </c>
      <c r="Y1627" s="1" t="s">
        <v>9775</v>
      </c>
      <c r="AA1627" s="1">
        <v>201900000</v>
      </c>
      <c r="AB1627" s="1">
        <v>35</v>
      </c>
    </row>
    <row r="1628" spans="1:28" x14ac:dyDescent="0.2">
      <c r="A1628" s="1">
        <v>4429</v>
      </c>
      <c r="B1628" s="1" t="s">
        <v>6850</v>
      </c>
      <c r="D1628" s="1" t="s">
        <v>6851</v>
      </c>
      <c r="F1628" s="1" t="s">
        <v>6914</v>
      </c>
      <c r="H1628" s="1" t="s">
        <v>6915</v>
      </c>
      <c r="J1628" s="1" t="s">
        <v>1324</v>
      </c>
      <c r="L1628" s="1" t="s">
        <v>895</v>
      </c>
      <c r="N1628" s="1" t="s">
        <v>6407</v>
      </c>
      <c r="P1628" s="1" t="s">
        <v>3192</v>
      </c>
      <c r="Q1628" s="3">
        <v>0</v>
      </c>
      <c r="R1628" s="23" t="s">
        <v>6854</v>
      </c>
      <c r="S1628" s="23" t="s">
        <v>6845</v>
      </c>
      <c r="T1628" s="23" t="s">
        <v>4866</v>
      </c>
      <c r="U1628" s="3">
        <v>35</v>
      </c>
      <c r="W1628" s="45" t="str">
        <f>HYPERLINK("http://ictvonline.org/taxonomy/p/taxonomy-history?taxnode_id=201901032","ICTVonline=201901032")</f>
        <v>ICTVonline=201901032</v>
      </c>
      <c r="Y1628" s="1" t="s">
        <v>9776</v>
      </c>
      <c r="AA1628" s="1">
        <v>201900000</v>
      </c>
      <c r="AB1628" s="1">
        <v>35</v>
      </c>
    </row>
    <row r="1629" spans="1:28" x14ac:dyDescent="0.2">
      <c r="A1629" s="1">
        <v>4431</v>
      </c>
      <c r="B1629" s="1" t="s">
        <v>6850</v>
      </c>
      <c r="D1629" s="1" t="s">
        <v>6851</v>
      </c>
      <c r="F1629" s="1" t="s">
        <v>6914</v>
      </c>
      <c r="H1629" s="1" t="s">
        <v>6915</v>
      </c>
      <c r="J1629" s="1" t="s">
        <v>1324</v>
      </c>
      <c r="L1629" s="1" t="s">
        <v>895</v>
      </c>
      <c r="N1629" s="1" t="s">
        <v>6407</v>
      </c>
      <c r="P1629" s="1" t="s">
        <v>3193</v>
      </c>
      <c r="Q1629" s="3">
        <v>0</v>
      </c>
      <c r="R1629" s="23" t="s">
        <v>6854</v>
      </c>
      <c r="S1629" s="23" t="s">
        <v>6845</v>
      </c>
      <c r="T1629" s="23" t="s">
        <v>4866</v>
      </c>
      <c r="U1629" s="3">
        <v>35</v>
      </c>
      <c r="W1629" s="45" t="str">
        <f>HYPERLINK("http://ictvonline.org/taxonomy/p/taxonomy-history?taxnode_id=201901033","ICTVonline=201901033")</f>
        <v>ICTVonline=201901033</v>
      </c>
      <c r="Y1629" s="1" t="s">
        <v>9777</v>
      </c>
      <c r="AA1629" s="1">
        <v>201900000</v>
      </c>
      <c r="AB1629" s="1">
        <v>35</v>
      </c>
    </row>
    <row r="1630" spans="1:28" x14ac:dyDescent="0.2">
      <c r="A1630" s="1">
        <v>4433</v>
      </c>
      <c r="B1630" s="1" t="s">
        <v>6850</v>
      </c>
      <c r="D1630" s="1" t="s">
        <v>6851</v>
      </c>
      <c r="F1630" s="1" t="s">
        <v>6914</v>
      </c>
      <c r="H1630" s="1" t="s">
        <v>6915</v>
      </c>
      <c r="J1630" s="1" t="s">
        <v>1324</v>
      </c>
      <c r="L1630" s="1" t="s">
        <v>895</v>
      </c>
      <c r="N1630" s="1" t="s">
        <v>6407</v>
      </c>
      <c r="P1630" s="1" t="s">
        <v>3194</v>
      </c>
      <c r="Q1630" s="3">
        <v>0</v>
      </c>
      <c r="R1630" s="23" t="s">
        <v>6854</v>
      </c>
      <c r="S1630" s="23" t="s">
        <v>6845</v>
      </c>
      <c r="T1630" s="23" t="s">
        <v>4866</v>
      </c>
      <c r="U1630" s="3">
        <v>35</v>
      </c>
      <c r="W1630" s="45" t="str">
        <f>HYPERLINK("http://ictvonline.org/taxonomy/p/taxonomy-history?taxnode_id=201901034","ICTVonline=201901034")</f>
        <v>ICTVonline=201901034</v>
      </c>
      <c r="Y1630" s="1" t="s">
        <v>9778</v>
      </c>
      <c r="AA1630" s="1">
        <v>201900000</v>
      </c>
      <c r="AB1630" s="1">
        <v>35</v>
      </c>
    </row>
    <row r="1631" spans="1:28" x14ac:dyDescent="0.2">
      <c r="A1631" s="1">
        <v>4435</v>
      </c>
      <c r="B1631" s="1" t="s">
        <v>6850</v>
      </c>
      <c r="D1631" s="1" t="s">
        <v>6851</v>
      </c>
      <c r="F1631" s="1" t="s">
        <v>6914</v>
      </c>
      <c r="H1631" s="1" t="s">
        <v>6915</v>
      </c>
      <c r="J1631" s="1" t="s">
        <v>1324</v>
      </c>
      <c r="L1631" s="1" t="s">
        <v>895</v>
      </c>
      <c r="N1631" s="1" t="s">
        <v>6407</v>
      </c>
      <c r="P1631" s="1" t="s">
        <v>3195</v>
      </c>
      <c r="Q1631" s="3">
        <v>0</v>
      </c>
      <c r="R1631" s="23" t="s">
        <v>6854</v>
      </c>
      <c r="S1631" s="23" t="s">
        <v>6845</v>
      </c>
      <c r="T1631" s="23" t="s">
        <v>4866</v>
      </c>
      <c r="U1631" s="3">
        <v>35</v>
      </c>
      <c r="W1631" s="45" t="str">
        <f>HYPERLINK("http://ictvonline.org/taxonomy/p/taxonomy-history?taxnode_id=201901035","ICTVonline=201901035")</f>
        <v>ICTVonline=201901035</v>
      </c>
      <c r="Y1631" s="1" t="s">
        <v>9779</v>
      </c>
      <c r="AA1631" s="1">
        <v>201900000</v>
      </c>
      <c r="AB1631" s="1">
        <v>35</v>
      </c>
    </row>
    <row r="1632" spans="1:28" x14ac:dyDescent="0.2">
      <c r="A1632" s="1">
        <v>4437</v>
      </c>
      <c r="B1632" s="1" t="s">
        <v>6850</v>
      </c>
      <c r="D1632" s="1" t="s">
        <v>6851</v>
      </c>
      <c r="F1632" s="1" t="s">
        <v>6914</v>
      </c>
      <c r="H1632" s="1" t="s">
        <v>6915</v>
      </c>
      <c r="J1632" s="1" t="s">
        <v>1324</v>
      </c>
      <c r="L1632" s="1" t="s">
        <v>895</v>
      </c>
      <c r="N1632" s="1" t="s">
        <v>6407</v>
      </c>
      <c r="P1632" s="1" t="s">
        <v>3196</v>
      </c>
      <c r="Q1632" s="3">
        <v>0</v>
      </c>
      <c r="R1632" s="23" t="s">
        <v>6854</v>
      </c>
      <c r="S1632" s="23" t="s">
        <v>6845</v>
      </c>
      <c r="T1632" s="23" t="s">
        <v>4866</v>
      </c>
      <c r="U1632" s="3">
        <v>35</v>
      </c>
      <c r="W1632" s="45" t="str">
        <f>HYPERLINK("http://ictvonline.org/taxonomy/p/taxonomy-history?taxnode_id=201901036","ICTVonline=201901036")</f>
        <v>ICTVonline=201901036</v>
      </c>
      <c r="Y1632" s="1" t="s">
        <v>9780</v>
      </c>
      <c r="Z1632" s="1" t="s">
        <v>9781</v>
      </c>
      <c r="AA1632" s="1">
        <v>201900000</v>
      </c>
      <c r="AB1632" s="1">
        <v>35</v>
      </c>
    </row>
    <row r="1633" spans="1:28" x14ac:dyDescent="0.2">
      <c r="A1633" s="1">
        <v>4439</v>
      </c>
      <c r="B1633" s="1" t="s">
        <v>6850</v>
      </c>
      <c r="D1633" s="1" t="s">
        <v>6851</v>
      </c>
      <c r="F1633" s="1" t="s">
        <v>6914</v>
      </c>
      <c r="H1633" s="1" t="s">
        <v>6915</v>
      </c>
      <c r="J1633" s="1" t="s">
        <v>1324</v>
      </c>
      <c r="L1633" s="1" t="s">
        <v>895</v>
      </c>
      <c r="N1633" s="1" t="s">
        <v>6407</v>
      </c>
      <c r="P1633" s="1" t="s">
        <v>3197</v>
      </c>
      <c r="Q1633" s="3">
        <v>0</v>
      </c>
      <c r="R1633" s="23" t="s">
        <v>6854</v>
      </c>
      <c r="S1633" s="23" t="s">
        <v>6845</v>
      </c>
      <c r="T1633" s="23" t="s">
        <v>4866</v>
      </c>
      <c r="U1633" s="3">
        <v>35</v>
      </c>
      <c r="W1633" s="45" t="str">
        <f>HYPERLINK("http://ictvonline.org/taxonomy/p/taxonomy-history?taxnode_id=201901037","ICTVonline=201901037")</f>
        <v>ICTVonline=201901037</v>
      </c>
      <c r="Y1633" s="1" t="s">
        <v>9782</v>
      </c>
      <c r="AA1633" s="1">
        <v>201900000</v>
      </c>
      <c r="AB1633" s="1">
        <v>35</v>
      </c>
    </row>
    <row r="1634" spans="1:28" x14ac:dyDescent="0.2">
      <c r="A1634" s="1">
        <v>4441</v>
      </c>
      <c r="B1634" s="1" t="s">
        <v>6850</v>
      </c>
      <c r="D1634" s="1" t="s">
        <v>6851</v>
      </c>
      <c r="F1634" s="1" t="s">
        <v>6914</v>
      </c>
      <c r="H1634" s="1" t="s">
        <v>6915</v>
      </c>
      <c r="J1634" s="1" t="s">
        <v>1324</v>
      </c>
      <c r="L1634" s="1" t="s">
        <v>895</v>
      </c>
      <c r="N1634" s="1" t="s">
        <v>6407</v>
      </c>
      <c r="P1634" s="1" t="s">
        <v>3198</v>
      </c>
      <c r="Q1634" s="3">
        <v>1</v>
      </c>
      <c r="R1634" s="23" t="s">
        <v>6854</v>
      </c>
      <c r="S1634" s="23" t="s">
        <v>6845</v>
      </c>
      <c r="T1634" s="23" t="s">
        <v>4866</v>
      </c>
      <c r="U1634" s="3">
        <v>35</v>
      </c>
      <c r="W1634" s="45" t="str">
        <f>HYPERLINK("http://ictvonline.org/taxonomy/p/taxonomy-history?taxnode_id=201901038","ICTVonline=201901038")</f>
        <v>ICTVonline=201901038</v>
      </c>
      <c r="AA1634" s="1">
        <v>201900000</v>
      </c>
      <c r="AB1634" s="1">
        <v>35</v>
      </c>
    </row>
    <row r="1635" spans="1:28" x14ac:dyDescent="0.2">
      <c r="A1635" s="1">
        <v>4443</v>
      </c>
      <c r="B1635" s="1" t="s">
        <v>6850</v>
      </c>
      <c r="D1635" s="1" t="s">
        <v>6851</v>
      </c>
      <c r="F1635" s="1" t="s">
        <v>6914</v>
      </c>
      <c r="H1635" s="1" t="s">
        <v>6915</v>
      </c>
      <c r="J1635" s="1" t="s">
        <v>1324</v>
      </c>
      <c r="L1635" s="1" t="s">
        <v>895</v>
      </c>
      <c r="N1635" s="1" t="s">
        <v>6407</v>
      </c>
      <c r="P1635" s="1" t="s">
        <v>3199</v>
      </c>
      <c r="Q1635" s="3">
        <v>0</v>
      </c>
      <c r="R1635" s="23" t="s">
        <v>6854</v>
      </c>
      <c r="S1635" s="23" t="s">
        <v>6845</v>
      </c>
      <c r="T1635" s="23" t="s">
        <v>4866</v>
      </c>
      <c r="U1635" s="3">
        <v>35</v>
      </c>
      <c r="W1635" s="45" t="str">
        <f>HYPERLINK("http://ictvonline.org/taxonomy/p/taxonomy-history?taxnode_id=201901039","ICTVonline=201901039")</f>
        <v>ICTVonline=201901039</v>
      </c>
      <c r="Y1635" s="1" t="s">
        <v>9783</v>
      </c>
      <c r="AA1635" s="1">
        <v>201900000</v>
      </c>
      <c r="AB1635" s="1">
        <v>35</v>
      </c>
    </row>
    <row r="1636" spans="1:28" x14ac:dyDescent="0.2">
      <c r="A1636" s="1">
        <v>4445</v>
      </c>
      <c r="B1636" s="1" t="s">
        <v>6850</v>
      </c>
      <c r="D1636" s="1" t="s">
        <v>6851</v>
      </c>
      <c r="F1636" s="1" t="s">
        <v>6914</v>
      </c>
      <c r="H1636" s="1" t="s">
        <v>6915</v>
      </c>
      <c r="J1636" s="1" t="s">
        <v>1324</v>
      </c>
      <c r="L1636" s="1" t="s">
        <v>895</v>
      </c>
      <c r="N1636" s="1" t="s">
        <v>6407</v>
      </c>
      <c r="P1636" s="1" t="s">
        <v>3200</v>
      </c>
      <c r="Q1636" s="3">
        <v>0</v>
      </c>
      <c r="R1636" s="23" t="s">
        <v>6854</v>
      </c>
      <c r="S1636" s="23" t="s">
        <v>6845</v>
      </c>
      <c r="T1636" s="23" t="s">
        <v>4866</v>
      </c>
      <c r="U1636" s="3">
        <v>35</v>
      </c>
      <c r="W1636" s="45" t="str">
        <f>HYPERLINK("http://ictvonline.org/taxonomy/p/taxonomy-history?taxnode_id=201901040","ICTVonline=201901040")</f>
        <v>ICTVonline=201901040</v>
      </c>
      <c r="Y1636" s="1" t="s">
        <v>9784</v>
      </c>
      <c r="AA1636" s="1">
        <v>201900000</v>
      </c>
      <c r="AB1636" s="1">
        <v>35</v>
      </c>
    </row>
    <row r="1637" spans="1:28" x14ac:dyDescent="0.2">
      <c r="A1637" s="1">
        <v>4447</v>
      </c>
      <c r="B1637" s="1" t="s">
        <v>6850</v>
      </c>
      <c r="D1637" s="1" t="s">
        <v>6851</v>
      </c>
      <c r="F1637" s="1" t="s">
        <v>6914</v>
      </c>
      <c r="H1637" s="1" t="s">
        <v>6915</v>
      </c>
      <c r="J1637" s="1" t="s">
        <v>1324</v>
      </c>
      <c r="L1637" s="1" t="s">
        <v>895</v>
      </c>
      <c r="N1637" s="1" t="s">
        <v>6407</v>
      </c>
      <c r="P1637" s="1" t="s">
        <v>3201</v>
      </c>
      <c r="Q1637" s="3">
        <v>0</v>
      </c>
      <c r="R1637" s="23" t="s">
        <v>6854</v>
      </c>
      <c r="S1637" s="23" t="s">
        <v>6845</v>
      </c>
      <c r="T1637" s="23" t="s">
        <v>4866</v>
      </c>
      <c r="U1637" s="3">
        <v>35</v>
      </c>
      <c r="W1637" s="45" t="str">
        <f>HYPERLINK("http://ictvonline.org/taxonomy/p/taxonomy-history?taxnode_id=201901041","ICTVonline=201901041")</f>
        <v>ICTVonline=201901041</v>
      </c>
      <c r="Y1637" s="1" t="s">
        <v>9785</v>
      </c>
      <c r="AA1637" s="1">
        <v>201900000</v>
      </c>
      <c r="AB1637" s="1">
        <v>35</v>
      </c>
    </row>
    <row r="1638" spans="1:28" x14ac:dyDescent="0.2">
      <c r="A1638" s="1">
        <v>4449</v>
      </c>
      <c r="B1638" s="1" t="s">
        <v>6850</v>
      </c>
      <c r="D1638" s="1" t="s">
        <v>6851</v>
      </c>
      <c r="F1638" s="1" t="s">
        <v>6914</v>
      </c>
      <c r="H1638" s="1" t="s">
        <v>6915</v>
      </c>
      <c r="J1638" s="1" t="s">
        <v>1324</v>
      </c>
      <c r="L1638" s="1" t="s">
        <v>895</v>
      </c>
      <c r="N1638" s="1" t="s">
        <v>6407</v>
      </c>
      <c r="P1638" s="1" t="s">
        <v>3202</v>
      </c>
      <c r="Q1638" s="3">
        <v>0</v>
      </c>
      <c r="R1638" s="23" t="s">
        <v>6854</v>
      </c>
      <c r="S1638" s="23" t="s">
        <v>6845</v>
      </c>
      <c r="T1638" s="23" t="s">
        <v>4866</v>
      </c>
      <c r="U1638" s="3">
        <v>35</v>
      </c>
      <c r="W1638" s="45" t="str">
        <f>HYPERLINK("http://ictvonline.org/taxonomy/p/taxonomy-history?taxnode_id=201901042","ICTVonline=201901042")</f>
        <v>ICTVonline=201901042</v>
      </c>
      <c r="Y1638" s="1" t="s">
        <v>9786</v>
      </c>
      <c r="AA1638" s="1">
        <v>201900000</v>
      </c>
      <c r="AB1638" s="1">
        <v>35</v>
      </c>
    </row>
    <row r="1639" spans="1:28" x14ac:dyDescent="0.2">
      <c r="A1639" s="1">
        <v>4451</v>
      </c>
      <c r="B1639" s="1" t="s">
        <v>6850</v>
      </c>
      <c r="D1639" s="1" t="s">
        <v>6851</v>
      </c>
      <c r="F1639" s="1" t="s">
        <v>6914</v>
      </c>
      <c r="H1639" s="1" t="s">
        <v>6915</v>
      </c>
      <c r="J1639" s="1" t="s">
        <v>1324</v>
      </c>
      <c r="L1639" s="1" t="s">
        <v>895</v>
      </c>
      <c r="N1639" s="1" t="s">
        <v>6407</v>
      </c>
      <c r="P1639" s="1" t="s">
        <v>3203</v>
      </c>
      <c r="Q1639" s="3">
        <v>0</v>
      </c>
      <c r="R1639" s="23" t="s">
        <v>6854</v>
      </c>
      <c r="S1639" s="23" t="s">
        <v>6845</v>
      </c>
      <c r="T1639" s="23" t="s">
        <v>4866</v>
      </c>
      <c r="U1639" s="3">
        <v>35</v>
      </c>
      <c r="W1639" s="45" t="str">
        <f>HYPERLINK("http://ictvonline.org/taxonomy/p/taxonomy-history?taxnode_id=201901043","ICTVonline=201901043")</f>
        <v>ICTVonline=201901043</v>
      </c>
      <c r="Y1639" s="1" t="s">
        <v>9787</v>
      </c>
      <c r="AA1639" s="1">
        <v>201900000</v>
      </c>
      <c r="AB1639" s="1">
        <v>35</v>
      </c>
    </row>
    <row r="1640" spans="1:28" x14ac:dyDescent="0.2">
      <c r="A1640" s="1">
        <v>4453</v>
      </c>
      <c r="B1640" s="1" t="s">
        <v>6850</v>
      </c>
      <c r="D1640" s="1" t="s">
        <v>6851</v>
      </c>
      <c r="F1640" s="1" t="s">
        <v>6914</v>
      </c>
      <c r="H1640" s="1" t="s">
        <v>6915</v>
      </c>
      <c r="J1640" s="1" t="s">
        <v>1324</v>
      </c>
      <c r="L1640" s="1" t="s">
        <v>895</v>
      </c>
      <c r="N1640" s="1" t="s">
        <v>6407</v>
      </c>
      <c r="P1640" s="1" t="s">
        <v>3204</v>
      </c>
      <c r="Q1640" s="3">
        <v>0</v>
      </c>
      <c r="R1640" s="23" t="s">
        <v>6854</v>
      </c>
      <c r="S1640" s="23" t="s">
        <v>6845</v>
      </c>
      <c r="T1640" s="23" t="s">
        <v>4866</v>
      </c>
      <c r="U1640" s="3">
        <v>35</v>
      </c>
      <c r="W1640" s="45" t="str">
        <f>HYPERLINK("http://ictvonline.org/taxonomy/p/taxonomy-history?taxnode_id=201901044","ICTVonline=201901044")</f>
        <v>ICTVonline=201901044</v>
      </c>
      <c r="Y1640" s="1" t="s">
        <v>9788</v>
      </c>
      <c r="AA1640" s="1">
        <v>201900000</v>
      </c>
      <c r="AB1640" s="1">
        <v>35</v>
      </c>
    </row>
    <row r="1641" spans="1:28" x14ac:dyDescent="0.2">
      <c r="A1641" s="1">
        <v>4455</v>
      </c>
      <c r="B1641" s="1" t="s">
        <v>6850</v>
      </c>
      <c r="D1641" s="1" t="s">
        <v>6851</v>
      </c>
      <c r="F1641" s="1" t="s">
        <v>6914</v>
      </c>
      <c r="H1641" s="1" t="s">
        <v>6915</v>
      </c>
      <c r="J1641" s="1" t="s">
        <v>1324</v>
      </c>
      <c r="L1641" s="1" t="s">
        <v>895</v>
      </c>
      <c r="N1641" s="1" t="s">
        <v>6407</v>
      </c>
      <c r="P1641" s="1" t="s">
        <v>3205</v>
      </c>
      <c r="Q1641" s="3">
        <v>0</v>
      </c>
      <c r="R1641" s="23" t="s">
        <v>6854</v>
      </c>
      <c r="S1641" s="23" t="s">
        <v>6845</v>
      </c>
      <c r="T1641" s="23" t="s">
        <v>4866</v>
      </c>
      <c r="U1641" s="3">
        <v>35</v>
      </c>
      <c r="W1641" s="45" t="str">
        <f>HYPERLINK("http://ictvonline.org/taxonomy/p/taxonomy-history?taxnode_id=201901045","ICTVonline=201901045")</f>
        <v>ICTVonline=201901045</v>
      </c>
      <c r="Y1641" s="1" t="s">
        <v>9789</v>
      </c>
      <c r="AA1641" s="1">
        <v>201900000</v>
      </c>
      <c r="AB1641" s="1">
        <v>35</v>
      </c>
    </row>
    <row r="1642" spans="1:28" x14ac:dyDescent="0.2">
      <c r="A1642" s="1">
        <v>4457</v>
      </c>
      <c r="B1642" s="1" t="s">
        <v>6850</v>
      </c>
      <c r="D1642" s="1" t="s">
        <v>6851</v>
      </c>
      <c r="F1642" s="1" t="s">
        <v>6914</v>
      </c>
      <c r="H1642" s="1" t="s">
        <v>6915</v>
      </c>
      <c r="J1642" s="1" t="s">
        <v>1324</v>
      </c>
      <c r="L1642" s="1" t="s">
        <v>895</v>
      </c>
      <c r="N1642" s="1" t="s">
        <v>6407</v>
      </c>
      <c r="P1642" s="1" t="s">
        <v>3206</v>
      </c>
      <c r="Q1642" s="3">
        <v>0</v>
      </c>
      <c r="R1642" s="23" t="s">
        <v>6854</v>
      </c>
      <c r="S1642" s="23" t="s">
        <v>6845</v>
      </c>
      <c r="T1642" s="23" t="s">
        <v>4866</v>
      </c>
      <c r="U1642" s="3">
        <v>35</v>
      </c>
      <c r="W1642" s="45" t="str">
        <f>HYPERLINK("http://ictvonline.org/taxonomy/p/taxonomy-history?taxnode_id=201901046","ICTVonline=201901046")</f>
        <v>ICTVonline=201901046</v>
      </c>
      <c r="Y1642" s="1" t="s">
        <v>9790</v>
      </c>
      <c r="AA1642" s="1">
        <v>201900000</v>
      </c>
      <c r="AB1642" s="1">
        <v>35</v>
      </c>
    </row>
    <row r="1643" spans="1:28" x14ac:dyDescent="0.2">
      <c r="A1643" s="1">
        <v>4459</v>
      </c>
      <c r="B1643" s="1" t="s">
        <v>6850</v>
      </c>
      <c r="D1643" s="1" t="s">
        <v>6851</v>
      </c>
      <c r="F1643" s="1" t="s">
        <v>6914</v>
      </c>
      <c r="H1643" s="1" t="s">
        <v>6915</v>
      </c>
      <c r="J1643" s="1" t="s">
        <v>1324</v>
      </c>
      <c r="L1643" s="1" t="s">
        <v>895</v>
      </c>
      <c r="N1643" s="1" t="s">
        <v>6407</v>
      </c>
      <c r="P1643" s="1" t="s">
        <v>3207</v>
      </c>
      <c r="Q1643" s="3">
        <v>0</v>
      </c>
      <c r="R1643" s="23" t="s">
        <v>6854</v>
      </c>
      <c r="S1643" s="23" t="s">
        <v>6845</v>
      </c>
      <c r="T1643" s="23" t="s">
        <v>4866</v>
      </c>
      <c r="U1643" s="3">
        <v>35</v>
      </c>
      <c r="W1643" s="45" t="str">
        <f>HYPERLINK("http://ictvonline.org/taxonomy/p/taxonomy-history?taxnode_id=201901047","ICTVonline=201901047")</f>
        <v>ICTVonline=201901047</v>
      </c>
      <c r="Y1643" s="1" t="s">
        <v>9791</v>
      </c>
      <c r="AA1643" s="1">
        <v>201900000</v>
      </c>
      <c r="AB1643" s="1">
        <v>35</v>
      </c>
    </row>
    <row r="1644" spans="1:28" x14ac:dyDescent="0.2">
      <c r="A1644" s="1">
        <v>4461</v>
      </c>
      <c r="B1644" s="1" t="s">
        <v>6850</v>
      </c>
      <c r="D1644" s="1" t="s">
        <v>6851</v>
      </c>
      <c r="F1644" s="1" t="s">
        <v>6914</v>
      </c>
      <c r="H1644" s="1" t="s">
        <v>6915</v>
      </c>
      <c r="J1644" s="1" t="s">
        <v>1324</v>
      </c>
      <c r="L1644" s="1" t="s">
        <v>895</v>
      </c>
      <c r="N1644" s="1" t="s">
        <v>6407</v>
      </c>
      <c r="P1644" s="1" t="s">
        <v>3208</v>
      </c>
      <c r="Q1644" s="3">
        <v>0</v>
      </c>
      <c r="R1644" s="23" t="s">
        <v>6854</v>
      </c>
      <c r="S1644" s="23" t="s">
        <v>6845</v>
      </c>
      <c r="T1644" s="23" t="s">
        <v>4866</v>
      </c>
      <c r="U1644" s="3">
        <v>35</v>
      </c>
      <c r="W1644" s="45" t="str">
        <f>HYPERLINK("http://ictvonline.org/taxonomy/p/taxonomy-history?taxnode_id=201901048","ICTVonline=201901048")</f>
        <v>ICTVonline=201901048</v>
      </c>
      <c r="Y1644" s="1" t="s">
        <v>9792</v>
      </c>
      <c r="AA1644" s="1">
        <v>201900000</v>
      </c>
      <c r="AB1644" s="1">
        <v>35</v>
      </c>
    </row>
    <row r="1645" spans="1:28" x14ac:dyDescent="0.2">
      <c r="A1645" s="1">
        <v>4463</v>
      </c>
      <c r="B1645" s="1" t="s">
        <v>6850</v>
      </c>
      <c r="D1645" s="1" t="s">
        <v>6851</v>
      </c>
      <c r="F1645" s="1" t="s">
        <v>6914</v>
      </c>
      <c r="H1645" s="1" t="s">
        <v>6915</v>
      </c>
      <c r="J1645" s="1" t="s">
        <v>1324</v>
      </c>
      <c r="L1645" s="1" t="s">
        <v>895</v>
      </c>
      <c r="N1645" s="1" t="s">
        <v>6407</v>
      </c>
      <c r="P1645" s="1" t="s">
        <v>3209</v>
      </c>
      <c r="Q1645" s="3">
        <v>0</v>
      </c>
      <c r="R1645" s="23" t="s">
        <v>6854</v>
      </c>
      <c r="S1645" s="23" t="s">
        <v>6845</v>
      </c>
      <c r="T1645" s="23" t="s">
        <v>4866</v>
      </c>
      <c r="U1645" s="3">
        <v>35</v>
      </c>
      <c r="W1645" s="45" t="str">
        <f>HYPERLINK("http://ictvonline.org/taxonomy/p/taxonomy-history?taxnode_id=201901049","ICTVonline=201901049")</f>
        <v>ICTVonline=201901049</v>
      </c>
      <c r="Y1645" s="1" t="s">
        <v>9793</v>
      </c>
      <c r="AA1645" s="1">
        <v>201900000</v>
      </c>
      <c r="AB1645" s="1">
        <v>35</v>
      </c>
    </row>
    <row r="1646" spans="1:28" x14ac:dyDescent="0.2">
      <c r="A1646" s="1">
        <v>4465</v>
      </c>
      <c r="B1646" s="1" t="s">
        <v>6850</v>
      </c>
      <c r="D1646" s="1" t="s">
        <v>6851</v>
      </c>
      <c r="F1646" s="1" t="s">
        <v>6914</v>
      </c>
      <c r="H1646" s="1" t="s">
        <v>6915</v>
      </c>
      <c r="J1646" s="1" t="s">
        <v>1324</v>
      </c>
      <c r="L1646" s="1" t="s">
        <v>895</v>
      </c>
      <c r="N1646" s="1" t="s">
        <v>6407</v>
      </c>
      <c r="P1646" s="1" t="s">
        <v>3210</v>
      </c>
      <c r="Q1646" s="3">
        <v>0</v>
      </c>
      <c r="R1646" s="23" t="s">
        <v>6854</v>
      </c>
      <c r="S1646" s="23" t="s">
        <v>6845</v>
      </c>
      <c r="T1646" s="23" t="s">
        <v>4866</v>
      </c>
      <c r="U1646" s="3">
        <v>35</v>
      </c>
      <c r="W1646" s="45" t="str">
        <f>HYPERLINK("http://ictvonline.org/taxonomy/p/taxonomy-history?taxnode_id=201901050","ICTVonline=201901050")</f>
        <v>ICTVonline=201901050</v>
      </c>
      <c r="Y1646" s="1" t="s">
        <v>9794</v>
      </c>
      <c r="AA1646" s="1">
        <v>201900000</v>
      </c>
      <c r="AB1646" s="1">
        <v>35</v>
      </c>
    </row>
    <row r="1647" spans="1:28" x14ac:dyDescent="0.2">
      <c r="A1647" s="1">
        <v>4467</v>
      </c>
      <c r="B1647" s="1" t="s">
        <v>6850</v>
      </c>
      <c r="D1647" s="1" t="s">
        <v>6851</v>
      </c>
      <c r="F1647" s="1" t="s">
        <v>6914</v>
      </c>
      <c r="H1647" s="1" t="s">
        <v>6915</v>
      </c>
      <c r="J1647" s="1" t="s">
        <v>1324</v>
      </c>
      <c r="L1647" s="1" t="s">
        <v>895</v>
      </c>
      <c r="N1647" s="1" t="s">
        <v>6407</v>
      </c>
      <c r="P1647" s="1" t="s">
        <v>3211</v>
      </c>
      <c r="Q1647" s="3">
        <v>0</v>
      </c>
      <c r="R1647" s="23" t="s">
        <v>6854</v>
      </c>
      <c r="S1647" s="23" t="s">
        <v>6845</v>
      </c>
      <c r="T1647" s="23" t="s">
        <v>4866</v>
      </c>
      <c r="U1647" s="3">
        <v>35</v>
      </c>
      <c r="W1647" s="45" t="str">
        <f>HYPERLINK("http://ictvonline.org/taxonomy/p/taxonomy-history?taxnode_id=201901051","ICTVonline=201901051")</f>
        <v>ICTVonline=201901051</v>
      </c>
      <c r="Y1647" s="1" t="s">
        <v>9795</v>
      </c>
      <c r="AA1647" s="1">
        <v>201900000</v>
      </c>
      <c r="AB1647" s="1">
        <v>35</v>
      </c>
    </row>
    <row r="1648" spans="1:28" x14ac:dyDescent="0.2">
      <c r="A1648" s="1">
        <v>4469</v>
      </c>
      <c r="B1648" s="1" t="s">
        <v>6850</v>
      </c>
      <c r="D1648" s="1" t="s">
        <v>6851</v>
      </c>
      <c r="F1648" s="1" t="s">
        <v>6914</v>
      </c>
      <c r="H1648" s="1" t="s">
        <v>6915</v>
      </c>
      <c r="J1648" s="1" t="s">
        <v>1324</v>
      </c>
      <c r="L1648" s="1" t="s">
        <v>895</v>
      </c>
      <c r="N1648" s="1" t="s">
        <v>6407</v>
      </c>
      <c r="P1648" s="1" t="s">
        <v>3212</v>
      </c>
      <c r="Q1648" s="3">
        <v>0</v>
      </c>
      <c r="R1648" s="23" t="s">
        <v>6854</v>
      </c>
      <c r="S1648" s="23" t="s">
        <v>6845</v>
      </c>
      <c r="T1648" s="23" t="s">
        <v>4866</v>
      </c>
      <c r="U1648" s="3">
        <v>35</v>
      </c>
      <c r="W1648" s="45" t="str">
        <f>HYPERLINK("http://ictvonline.org/taxonomy/p/taxonomy-history?taxnode_id=201901052","ICTVonline=201901052")</f>
        <v>ICTVonline=201901052</v>
      </c>
      <c r="Y1648" s="1" t="s">
        <v>9796</v>
      </c>
      <c r="AA1648" s="1">
        <v>201900000</v>
      </c>
      <c r="AB1648" s="1">
        <v>35</v>
      </c>
    </row>
    <row r="1649" spans="1:28" x14ac:dyDescent="0.2">
      <c r="A1649" s="1">
        <v>4471</v>
      </c>
      <c r="B1649" s="1" t="s">
        <v>6850</v>
      </c>
      <c r="D1649" s="1" t="s">
        <v>6851</v>
      </c>
      <c r="F1649" s="1" t="s">
        <v>6914</v>
      </c>
      <c r="H1649" s="1" t="s">
        <v>6915</v>
      </c>
      <c r="J1649" s="1" t="s">
        <v>1324</v>
      </c>
      <c r="L1649" s="1" t="s">
        <v>895</v>
      </c>
      <c r="N1649" s="1" t="s">
        <v>6407</v>
      </c>
      <c r="P1649" s="1" t="s">
        <v>3213</v>
      </c>
      <c r="Q1649" s="3">
        <v>0</v>
      </c>
      <c r="R1649" s="23" t="s">
        <v>6854</v>
      </c>
      <c r="S1649" s="23" t="s">
        <v>6845</v>
      </c>
      <c r="T1649" s="23" t="s">
        <v>4866</v>
      </c>
      <c r="U1649" s="3">
        <v>35</v>
      </c>
      <c r="W1649" s="45" t="str">
        <f>HYPERLINK("http://ictvonline.org/taxonomy/p/taxonomy-history?taxnode_id=201901053","ICTVonline=201901053")</f>
        <v>ICTVonline=201901053</v>
      </c>
      <c r="Y1649" s="1" t="s">
        <v>9797</v>
      </c>
      <c r="AA1649" s="1">
        <v>201900000</v>
      </c>
      <c r="AB1649" s="1">
        <v>35</v>
      </c>
    </row>
    <row r="1650" spans="1:28" x14ac:dyDescent="0.2">
      <c r="A1650" s="1">
        <v>4473</v>
      </c>
      <c r="B1650" s="1" t="s">
        <v>6850</v>
      </c>
      <c r="D1650" s="1" t="s">
        <v>6851</v>
      </c>
      <c r="F1650" s="1" t="s">
        <v>6914</v>
      </c>
      <c r="H1650" s="1" t="s">
        <v>6915</v>
      </c>
      <c r="J1650" s="1" t="s">
        <v>1324</v>
      </c>
      <c r="L1650" s="1" t="s">
        <v>895</v>
      </c>
      <c r="N1650" s="1" t="s">
        <v>6407</v>
      </c>
      <c r="P1650" s="1" t="s">
        <v>3214</v>
      </c>
      <c r="Q1650" s="3">
        <v>0</v>
      </c>
      <c r="R1650" s="23" t="s">
        <v>6854</v>
      </c>
      <c r="S1650" s="23" t="s">
        <v>6845</v>
      </c>
      <c r="T1650" s="23" t="s">
        <v>4866</v>
      </c>
      <c r="U1650" s="3">
        <v>35</v>
      </c>
      <c r="W1650" s="45" t="str">
        <f>HYPERLINK("http://ictvonline.org/taxonomy/p/taxonomy-history?taxnode_id=201901054","ICTVonline=201901054")</f>
        <v>ICTVonline=201901054</v>
      </c>
      <c r="Y1650" s="1" t="s">
        <v>9798</v>
      </c>
      <c r="AA1650" s="1">
        <v>201900000</v>
      </c>
      <c r="AB1650" s="1">
        <v>35</v>
      </c>
    </row>
    <row r="1651" spans="1:28" x14ac:dyDescent="0.2">
      <c r="A1651" s="1">
        <v>4475</v>
      </c>
      <c r="B1651" s="1" t="s">
        <v>6850</v>
      </c>
      <c r="D1651" s="1" t="s">
        <v>6851</v>
      </c>
      <c r="F1651" s="1" t="s">
        <v>6914</v>
      </c>
      <c r="H1651" s="1" t="s">
        <v>6915</v>
      </c>
      <c r="J1651" s="1" t="s">
        <v>1324</v>
      </c>
      <c r="L1651" s="1" t="s">
        <v>895</v>
      </c>
      <c r="N1651" s="1" t="s">
        <v>6407</v>
      </c>
      <c r="P1651" s="1" t="s">
        <v>3215</v>
      </c>
      <c r="Q1651" s="3">
        <v>0</v>
      </c>
      <c r="R1651" s="23" t="s">
        <v>6854</v>
      </c>
      <c r="S1651" s="23" t="s">
        <v>6845</v>
      </c>
      <c r="T1651" s="23" t="s">
        <v>4866</v>
      </c>
      <c r="U1651" s="3">
        <v>35</v>
      </c>
      <c r="W1651" s="45" t="str">
        <f>HYPERLINK("http://ictvonline.org/taxonomy/p/taxonomy-history?taxnode_id=201901055","ICTVonline=201901055")</f>
        <v>ICTVonline=201901055</v>
      </c>
      <c r="Y1651" s="1" t="s">
        <v>9799</v>
      </c>
      <c r="AA1651" s="1">
        <v>201900000</v>
      </c>
      <c r="AB1651" s="1">
        <v>35</v>
      </c>
    </row>
    <row r="1652" spans="1:28" x14ac:dyDescent="0.2">
      <c r="A1652" s="1">
        <v>4477</v>
      </c>
      <c r="B1652" s="1" t="s">
        <v>6850</v>
      </c>
      <c r="D1652" s="1" t="s">
        <v>6851</v>
      </c>
      <c r="F1652" s="1" t="s">
        <v>6914</v>
      </c>
      <c r="H1652" s="1" t="s">
        <v>6915</v>
      </c>
      <c r="J1652" s="1" t="s">
        <v>1324</v>
      </c>
      <c r="L1652" s="1" t="s">
        <v>895</v>
      </c>
      <c r="N1652" s="1" t="s">
        <v>6407</v>
      </c>
      <c r="P1652" s="1" t="s">
        <v>3216</v>
      </c>
      <c r="Q1652" s="3">
        <v>0</v>
      </c>
      <c r="R1652" s="23" t="s">
        <v>6854</v>
      </c>
      <c r="S1652" s="23" t="s">
        <v>6845</v>
      </c>
      <c r="T1652" s="23" t="s">
        <v>4866</v>
      </c>
      <c r="U1652" s="3">
        <v>35</v>
      </c>
      <c r="W1652" s="45" t="str">
        <f>HYPERLINK("http://ictvonline.org/taxonomy/p/taxonomy-history?taxnode_id=201901056","ICTVonline=201901056")</f>
        <v>ICTVonline=201901056</v>
      </c>
      <c r="Y1652" s="1" t="s">
        <v>9800</v>
      </c>
      <c r="AA1652" s="1">
        <v>201900000</v>
      </c>
      <c r="AB1652" s="1">
        <v>35</v>
      </c>
    </row>
    <row r="1653" spans="1:28" x14ac:dyDescent="0.2">
      <c r="A1653" s="1">
        <v>4479</v>
      </c>
      <c r="B1653" s="1" t="s">
        <v>6850</v>
      </c>
      <c r="D1653" s="1" t="s">
        <v>6851</v>
      </c>
      <c r="F1653" s="1" t="s">
        <v>6914</v>
      </c>
      <c r="H1653" s="1" t="s">
        <v>6915</v>
      </c>
      <c r="J1653" s="1" t="s">
        <v>1324</v>
      </c>
      <c r="L1653" s="1" t="s">
        <v>895</v>
      </c>
      <c r="N1653" s="1" t="s">
        <v>6407</v>
      </c>
      <c r="P1653" s="1" t="s">
        <v>3217</v>
      </c>
      <c r="Q1653" s="3">
        <v>0</v>
      </c>
      <c r="R1653" s="23" t="s">
        <v>6854</v>
      </c>
      <c r="S1653" s="23" t="s">
        <v>6845</v>
      </c>
      <c r="T1653" s="23" t="s">
        <v>4866</v>
      </c>
      <c r="U1653" s="3">
        <v>35</v>
      </c>
      <c r="W1653" s="45" t="str">
        <f>HYPERLINK("http://ictvonline.org/taxonomy/p/taxonomy-history?taxnode_id=201901057","ICTVonline=201901057")</f>
        <v>ICTVonline=201901057</v>
      </c>
      <c r="Y1653" s="1" t="s">
        <v>9801</v>
      </c>
      <c r="AA1653" s="1">
        <v>201900000</v>
      </c>
      <c r="AB1653" s="1">
        <v>35</v>
      </c>
    </row>
    <row r="1654" spans="1:28" x14ac:dyDescent="0.2">
      <c r="A1654" s="1">
        <v>4481</v>
      </c>
      <c r="B1654" s="1" t="s">
        <v>6850</v>
      </c>
      <c r="D1654" s="1" t="s">
        <v>6851</v>
      </c>
      <c r="F1654" s="1" t="s">
        <v>6914</v>
      </c>
      <c r="H1654" s="1" t="s">
        <v>6915</v>
      </c>
      <c r="J1654" s="1" t="s">
        <v>1324</v>
      </c>
      <c r="L1654" s="1" t="s">
        <v>895</v>
      </c>
      <c r="N1654" s="1" t="s">
        <v>6407</v>
      </c>
      <c r="P1654" s="1" t="s">
        <v>3218</v>
      </c>
      <c r="Q1654" s="3">
        <v>0</v>
      </c>
      <c r="R1654" s="23" t="s">
        <v>6854</v>
      </c>
      <c r="S1654" s="23" t="s">
        <v>6845</v>
      </c>
      <c r="T1654" s="23" t="s">
        <v>4866</v>
      </c>
      <c r="U1654" s="3">
        <v>35</v>
      </c>
      <c r="W1654" s="45" t="str">
        <f>HYPERLINK("http://ictvonline.org/taxonomy/p/taxonomy-history?taxnode_id=201901058","ICTVonline=201901058")</f>
        <v>ICTVonline=201901058</v>
      </c>
      <c r="Y1654" s="1" t="s">
        <v>9802</v>
      </c>
      <c r="AA1654" s="1">
        <v>201900000</v>
      </c>
      <c r="AB1654" s="1">
        <v>35</v>
      </c>
    </row>
    <row r="1655" spans="1:28" x14ac:dyDescent="0.2">
      <c r="A1655" s="1">
        <v>4483</v>
      </c>
      <c r="B1655" s="1" t="s">
        <v>6850</v>
      </c>
      <c r="D1655" s="1" t="s">
        <v>6851</v>
      </c>
      <c r="F1655" s="1" t="s">
        <v>6914</v>
      </c>
      <c r="H1655" s="1" t="s">
        <v>6915</v>
      </c>
      <c r="J1655" s="1" t="s">
        <v>1324</v>
      </c>
      <c r="L1655" s="1" t="s">
        <v>895</v>
      </c>
      <c r="N1655" s="1" t="s">
        <v>6407</v>
      </c>
      <c r="P1655" s="1" t="s">
        <v>3219</v>
      </c>
      <c r="Q1655" s="3">
        <v>0</v>
      </c>
      <c r="R1655" s="23" t="s">
        <v>6854</v>
      </c>
      <c r="S1655" s="23" t="s">
        <v>6845</v>
      </c>
      <c r="T1655" s="23" t="s">
        <v>4866</v>
      </c>
      <c r="U1655" s="3">
        <v>35</v>
      </c>
      <c r="W1655" s="45" t="str">
        <f>HYPERLINK("http://ictvonline.org/taxonomy/p/taxonomy-history?taxnode_id=201901059","ICTVonline=201901059")</f>
        <v>ICTVonline=201901059</v>
      </c>
      <c r="Y1655" s="1" t="s">
        <v>9803</v>
      </c>
      <c r="AA1655" s="1">
        <v>201900000</v>
      </c>
      <c r="AB1655" s="1">
        <v>35</v>
      </c>
    </row>
    <row r="1656" spans="1:28" x14ac:dyDescent="0.2">
      <c r="A1656" s="1">
        <v>4485</v>
      </c>
      <c r="B1656" s="1" t="s">
        <v>6850</v>
      </c>
      <c r="D1656" s="1" t="s">
        <v>6851</v>
      </c>
      <c r="F1656" s="1" t="s">
        <v>6914</v>
      </c>
      <c r="H1656" s="1" t="s">
        <v>6915</v>
      </c>
      <c r="J1656" s="1" t="s">
        <v>1324</v>
      </c>
      <c r="L1656" s="1" t="s">
        <v>895</v>
      </c>
      <c r="N1656" s="1" t="s">
        <v>6407</v>
      </c>
      <c r="P1656" s="1" t="s">
        <v>3220</v>
      </c>
      <c r="Q1656" s="3">
        <v>0</v>
      </c>
      <c r="R1656" s="23" t="s">
        <v>6854</v>
      </c>
      <c r="S1656" s="23" t="s">
        <v>6845</v>
      </c>
      <c r="T1656" s="23" t="s">
        <v>4866</v>
      </c>
      <c r="U1656" s="3">
        <v>35</v>
      </c>
      <c r="W1656" s="45" t="str">
        <f>HYPERLINK("http://ictvonline.org/taxonomy/p/taxonomy-history?taxnode_id=201901061","ICTVonline=201901061")</f>
        <v>ICTVonline=201901061</v>
      </c>
      <c r="Y1656" s="1" t="s">
        <v>9804</v>
      </c>
      <c r="AA1656" s="1">
        <v>201900000</v>
      </c>
      <c r="AB1656" s="1">
        <v>35</v>
      </c>
    </row>
    <row r="1657" spans="1:28" x14ac:dyDescent="0.2">
      <c r="A1657" s="1">
        <v>4487</v>
      </c>
      <c r="B1657" s="1" t="s">
        <v>6850</v>
      </c>
      <c r="D1657" s="1" t="s">
        <v>6851</v>
      </c>
      <c r="F1657" s="1" t="s">
        <v>6914</v>
      </c>
      <c r="H1657" s="1" t="s">
        <v>6915</v>
      </c>
      <c r="J1657" s="1" t="s">
        <v>1324</v>
      </c>
      <c r="L1657" s="1" t="s">
        <v>895</v>
      </c>
      <c r="N1657" s="1" t="s">
        <v>6407</v>
      </c>
      <c r="P1657" s="1" t="s">
        <v>3221</v>
      </c>
      <c r="Q1657" s="3">
        <v>0</v>
      </c>
      <c r="R1657" s="23" t="s">
        <v>6854</v>
      </c>
      <c r="S1657" s="23" t="s">
        <v>6845</v>
      </c>
      <c r="T1657" s="23" t="s">
        <v>4866</v>
      </c>
      <c r="U1657" s="3">
        <v>35</v>
      </c>
      <c r="W1657" s="45" t="str">
        <f>HYPERLINK("http://ictvonline.org/taxonomy/p/taxonomy-history?taxnode_id=201901062","ICTVonline=201901062")</f>
        <v>ICTVonline=201901062</v>
      </c>
      <c r="Y1657" s="1" t="s">
        <v>9805</v>
      </c>
      <c r="AA1657" s="1">
        <v>201900000</v>
      </c>
      <c r="AB1657" s="1">
        <v>35</v>
      </c>
    </row>
    <row r="1658" spans="1:28" x14ac:dyDescent="0.2">
      <c r="A1658" s="1">
        <v>4489</v>
      </c>
      <c r="B1658" s="1" t="s">
        <v>6850</v>
      </c>
      <c r="D1658" s="1" t="s">
        <v>6851</v>
      </c>
      <c r="F1658" s="1" t="s">
        <v>6914</v>
      </c>
      <c r="H1658" s="1" t="s">
        <v>6915</v>
      </c>
      <c r="J1658" s="1" t="s">
        <v>1324</v>
      </c>
      <c r="L1658" s="1" t="s">
        <v>895</v>
      </c>
      <c r="N1658" s="1" t="s">
        <v>6407</v>
      </c>
      <c r="P1658" s="1" t="s">
        <v>3222</v>
      </c>
      <c r="Q1658" s="3">
        <v>0</v>
      </c>
      <c r="R1658" s="23" t="s">
        <v>6854</v>
      </c>
      <c r="S1658" s="23" t="s">
        <v>6845</v>
      </c>
      <c r="T1658" s="23" t="s">
        <v>4866</v>
      </c>
      <c r="U1658" s="3">
        <v>35</v>
      </c>
      <c r="W1658" s="45" t="str">
        <f>HYPERLINK("http://ictvonline.org/taxonomy/p/taxonomy-history?taxnode_id=201901063","ICTVonline=201901063")</f>
        <v>ICTVonline=201901063</v>
      </c>
      <c r="Y1658" s="1" t="s">
        <v>9806</v>
      </c>
      <c r="AA1658" s="1">
        <v>201900000</v>
      </c>
      <c r="AB1658" s="1">
        <v>35</v>
      </c>
    </row>
    <row r="1659" spans="1:28" x14ac:dyDescent="0.2">
      <c r="A1659" s="1">
        <v>4491</v>
      </c>
      <c r="B1659" s="1" t="s">
        <v>6850</v>
      </c>
      <c r="D1659" s="1" t="s">
        <v>6851</v>
      </c>
      <c r="F1659" s="1" t="s">
        <v>6914</v>
      </c>
      <c r="H1659" s="1" t="s">
        <v>6915</v>
      </c>
      <c r="J1659" s="1" t="s">
        <v>1324</v>
      </c>
      <c r="L1659" s="1" t="s">
        <v>895</v>
      </c>
      <c r="N1659" s="1" t="s">
        <v>6407</v>
      </c>
      <c r="P1659" s="1" t="s">
        <v>3223</v>
      </c>
      <c r="Q1659" s="3">
        <v>0</v>
      </c>
      <c r="R1659" s="23" t="s">
        <v>6854</v>
      </c>
      <c r="S1659" s="23" t="s">
        <v>6845</v>
      </c>
      <c r="T1659" s="23" t="s">
        <v>4866</v>
      </c>
      <c r="U1659" s="3">
        <v>35</v>
      </c>
      <c r="W1659" s="45" t="str">
        <f>HYPERLINK("http://ictvonline.org/taxonomy/p/taxonomy-history?taxnode_id=201901064","ICTVonline=201901064")</f>
        <v>ICTVonline=201901064</v>
      </c>
      <c r="Y1659" s="1" t="s">
        <v>9807</v>
      </c>
      <c r="AA1659" s="1">
        <v>201900000</v>
      </c>
      <c r="AB1659" s="1">
        <v>35</v>
      </c>
    </row>
    <row r="1660" spans="1:28" x14ac:dyDescent="0.2">
      <c r="A1660" s="1">
        <v>4493</v>
      </c>
      <c r="B1660" s="1" t="s">
        <v>6850</v>
      </c>
      <c r="D1660" s="1" t="s">
        <v>6851</v>
      </c>
      <c r="F1660" s="1" t="s">
        <v>6914</v>
      </c>
      <c r="H1660" s="1" t="s">
        <v>6915</v>
      </c>
      <c r="J1660" s="1" t="s">
        <v>1324</v>
      </c>
      <c r="L1660" s="1" t="s">
        <v>895</v>
      </c>
      <c r="N1660" s="1" t="s">
        <v>6407</v>
      </c>
      <c r="P1660" s="1" t="s">
        <v>3224</v>
      </c>
      <c r="Q1660" s="3">
        <v>0</v>
      </c>
      <c r="R1660" s="23" t="s">
        <v>6854</v>
      </c>
      <c r="S1660" s="23" t="s">
        <v>6845</v>
      </c>
      <c r="T1660" s="23" t="s">
        <v>4866</v>
      </c>
      <c r="U1660" s="3">
        <v>35</v>
      </c>
      <c r="W1660" s="45" t="str">
        <f>HYPERLINK("http://ictvonline.org/taxonomy/p/taxonomy-history?taxnode_id=201901065","ICTVonline=201901065")</f>
        <v>ICTVonline=201901065</v>
      </c>
      <c r="Y1660" s="1" t="s">
        <v>9808</v>
      </c>
      <c r="AA1660" s="1">
        <v>201900000</v>
      </c>
      <c r="AB1660" s="1">
        <v>35</v>
      </c>
    </row>
    <row r="1661" spans="1:28" x14ac:dyDescent="0.2">
      <c r="A1661" s="1">
        <v>4495</v>
      </c>
      <c r="B1661" s="1" t="s">
        <v>6850</v>
      </c>
      <c r="D1661" s="1" t="s">
        <v>6851</v>
      </c>
      <c r="F1661" s="1" t="s">
        <v>6914</v>
      </c>
      <c r="H1661" s="1" t="s">
        <v>6915</v>
      </c>
      <c r="J1661" s="1" t="s">
        <v>1324</v>
      </c>
      <c r="L1661" s="1" t="s">
        <v>895</v>
      </c>
      <c r="N1661" s="1" t="s">
        <v>6407</v>
      </c>
      <c r="P1661" s="1" t="s">
        <v>3225</v>
      </c>
      <c r="Q1661" s="3">
        <v>0</v>
      </c>
      <c r="R1661" s="23" t="s">
        <v>6854</v>
      </c>
      <c r="S1661" s="23" t="s">
        <v>6845</v>
      </c>
      <c r="T1661" s="23" t="s">
        <v>4866</v>
      </c>
      <c r="U1661" s="3">
        <v>35</v>
      </c>
      <c r="W1661" s="45" t="str">
        <f>HYPERLINK("http://ictvonline.org/taxonomy/p/taxonomy-history?taxnode_id=201901066","ICTVonline=201901066")</f>
        <v>ICTVonline=201901066</v>
      </c>
      <c r="Y1661" s="1" t="s">
        <v>9809</v>
      </c>
      <c r="AA1661" s="1">
        <v>201900000</v>
      </c>
      <c r="AB1661" s="1">
        <v>35</v>
      </c>
    </row>
    <row r="1662" spans="1:28" x14ac:dyDescent="0.2">
      <c r="A1662" s="1">
        <v>4497</v>
      </c>
      <c r="B1662" s="1" t="s">
        <v>6850</v>
      </c>
      <c r="D1662" s="1" t="s">
        <v>6851</v>
      </c>
      <c r="F1662" s="1" t="s">
        <v>6914</v>
      </c>
      <c r="H1662" s="1" t="s">
        <v>6915</v>
      </c>
      <c r="J1662" s="1" t="s">
        <v>1324</v>
      </c>
      <c r="L1662" s="1" t="s">
        <v>895</v>
      </c>
      <c r="N1662" s="1" t="s">
        <v>6407</v>
      </c>
      <c r="P1662" s="1" t="s">
        <v>3226</v>
      </c>
      <c r="Q1662" s="3">
        <v>0</v>
      </c>
      <c r="R1662" s="23" t="s">
        <v>6854</v>
      </c>
      <c r="S1662" s="23" t="s">
        <v>6845</v>
      </c>
      <c r="T1662" s="23" t="s">
        <v>4866</v>
      </c>
      <c r="U1662" s="3">
        <v>35</v>
      </c>
      <c r="W1662" s="45" t="str">
        <f>HYPERLINK("http://ictvonline.org/taxonomy/p/taxonomy-history?taxnode_id=201901067","ICTVonline=201901067")</f>
        <v>ICTVonline=201901067</v>
      </c>
      <c r="Y1662" s="1" t="s">
        <v>9810</v>
      </c>
      <c r="AA1662" s="1">
        <v>201900000</v>
      </c>
      <c r="AB1662" s="1">
        <v>35</v>
      </c>
    </row>
    <row r="1663" spans="1:28" x14ac:dyDescent="0.2">
      <c r="A1663" s="1">
        <v>4499</v>
      </c>
      <c r="B1663" s="1" t="s">
        <v>6850</v>
      </c>
      <c r="D1663" s="1" t="s">
        <v>6851</v>
      </c>
      <c r="F1663" s="1" t="s">
        <v>6914</v>
      </c>
      <c r="H1663" s="1" t="s">
        <v>6915</v>
      </c>
      <c r="J1663" s="1" t="s">
        <v>1324</v>
      </c>
      <c r="L1663" s="1" t="s">
        <v>895</v>
      </c>
      <c r="N1663" s="1" t="s">
        <v>6407</v>
      </c>
      <c r="P1663" s="1" t="s">
        <v>3227</v>
      </c>
      <c r="Q1663" s="3">
        <v>0</v>
      </c>
      <c r="R1663" s="23" t="s">
        <v>6854</v>
      </c>
      <c r="S1663" s="23" t="s">
        <v>6845</v>
      </c>
      <c r="T1663" s="23" t="s">
        <v>4866</v>
      </c>
      <c r="U1663" s="3">
        <v>35</v>
      </c>
      <c r="W1663" s="45" t="str">
        <f>HYPERLINK("http://ictvonline.org/taxonomy/p/taxonomy-history?taxnode_id=201901068","ICTVonline=201901068")</f>
        <v>ICTVonline=201901068</v>
      </c>
      <c r="Y1663" s="1" t="s">
        <v>9811</v>
      </c>
      <c r="AA1663" s="1">
        <v>201900000</v>
      </c>
      <c r="AB1663" s="1">
        <v>35</v>
      </c>
    </row>
    <row r="1664" spans="1:28" x14ac:dyDescent="0.2">
      <c r="A1664" s="1">
        <v>4503</v>
      </c>
      <c r="B1664" s="1" t="s">
        <v>6850</v>
      </c>
      <c r="D1664" s="1" t="s">
        <v>6851</v>
      </c>
      <c r="F1664" s="1" t="s">
        <v>6914</v>
      </c>
      <c r="H1664" s="1" t="s">
        <v>6915</v>
      </c>
      <c r="J1664" s="1" t="s">
        <v>1324</v>
      </c>
      <c r="L1664" s="1" t="s">
        <v>895</v>
      </c>
      <c r="N1664" s="1" t="s">
        <v>4314</v>
      </c>
      <c r="P1664" s="1" t="s">
        <v>4315</v>
      </c>
      <c r="Q1664" s="3">
        <v>1</v>
      </c>
      <c r="R1664" s="23" t="s">
        <v>6854</v>
      </c>
      <c r="S1664" s="23" t="s">
        <v>6845</v>
      </c>
      <c r="T1664" s="23" t="s">
        <v>4866</v>
      </c>
      <c r="U1664" s="3">
        <v>35</v>
      </c>
      <c r="W1664" s="45" t="str">
        <f>HYPERLINK("http://ictvonline.org/taxonomy/p/taxonomy-history?taxnode_id=201900972","ICTVonline=201900972")</f>
        <v>ICTVonline=201900972</v>
      </c>
      <c r="Y1664" s="1" t="s">
        <v>9812</v>
      </c>
      <c r="Z1664" s="1" t="s">
        <v>4315</v>
      </c>
      <c r="AA1664" s="1">
        <v>201900000</v>
      </c>
      <c r="AB1664" s="1">
        <v>35</v>
      </c>
    </row>
    <row r="1665" spans="1:28" x14ac:dyDescent="0.2">
      <c r="A1665" s="1">
        <v>4507</v>
      </c>
      <c r="B1665" s="1" t="s">
        <v>6850</v>
      </c>
      <c r="D1665" s="1" t="s">
        <v>6851</v>
      </c>
      <c r="F1665" s="1" t="s">
        <v>6914</v>
      </c>
      <c r="H1665" s="1" t="s">
        <v>6915</v>
      </c>
      <c r="J1665" s="1" t="s">
        <v>1324</v>
      </c>
      <c r="L1665" s="1" t="s">
        <v>895</v>
      </c>
      <c r="N1665" s="1" t="s">
        <v>6409</v>
      </c>
      <c r="P1665" s="1" t="s">
        <v>6410</v>
      </c>
      <c r="Q1665" s="3">
        <v>0</v>
      </c>
      <c r="R1665" s="23" t="s">
        <v>6854</v>
      </c>
      <c r="S1665" s="23" t="s">
        <v>6845</v>
      </c>
      <c r="T1665" s="23" t="s">
        <v>4866</v>
      </c>
      <c r="U1665" s="3">
        <v>35</v>
      </c>
      <c r="W1665" s="45" t="str">
        <f>HYPERLINK("http://ictvonline.org/taxonomy/p/taxonomy-history?taxnode_id=201906628","ICTVonline=201906628")</f>
        <v>ICTVonline=201906628</v>
      </c>
      <c r="Y1665" s="1" t="s">
        <v>9813</v>
      </c>
      <c r="Z1665" s="1" t="s">
        <v>9814</v>
      </c>
      <c r="AA1665" s="1">
        <v>201900000</v>
      </c>
      <c r="AB1665" s="1">
        <v>35</v>
      </c>
    </row>
    <row r="1666" spans="1:28" x14ac:dyDescent="0.2">
      <c r="A1666" s="1">
        <v>4509</v>
      </c>
      <c r="B1666" s="1" t="s">
        <v>6850</v>
      </c>
      <c r="D1666" s="1" t="s">
        <v>6851</v>
      </c>
      <c r="F1666" s="1" t="s">
        <v>6914</v>
      </c>
      <c r="H1666" s="1" t="s">
        <v>6915</v>
      </c>
      <c r="J1666" s="1" t="s">
        <v>1324</v>
      </c>
      <c r="L1666" s="1" t="s">
        <v>895</v>
      </c>
      <c r="N1666" s="1" t="s">
        <v>6409</v>
      </c>
      <c r="P1666" s="1" t="s">
        <v>6411</v>
      </c>
      <c r="Q1666" s="3">
        <v>1</v>
      </c>
      <c r="R1666" s="23" t="s">
        <v>6854</v>
      </c>
      <c r="S1666" s="23" t="s">
        <v>6845</v>
      </c>
      <c r="T1666" s="23" t="s">
        <v>4866</v>
      </c>
      <c r="U1666" s="3">
        <v>35</v>
      </c>
      <c r="W1666" s="45" t="str">
        <f>HYPERLINK("http://ictvonline.org/taxonomy/p/taxonomy-history?taxnode_id=201906627","ICTVonline=201906627")</f>
        <v>ICTVonline=201906627</v>
      </c>
      <c r="Y1666" s="1" t="s">
        <v>9815</v>
      </c>
      <c r="Z1666" s="1" t="s">
        <v>9816</v>
      </c>
      <c r="AA1666" s="1">
        <v>201900000</v>
      </c>
      <c r="AB1666" s="1">
        <v>35</v>
      </c>
    </row>
    <row r="1667" spans="1:28" x14ac:dyDescent="0.2">
      <c r="A1667" s="1">
        <v>4513</v>
      </c>
      <c r="B1667" s="1" t="s">
        <v>6850</v>
      </c>
      <c r="D1667" s="1" t="s">
        <v>6851</v>
      </c>
      <c r="F1667" s="1" t="s">
        <v>6914</v>
      </c>
      <c r="H1667" s="1" t="s">
        <v>6915</v>
      </c>
      <c r="J1667" s="1" t="s">
        <v>1324</v>
      </c>
      <c r="L1667" s="1" t="s">
        <v>895</v>
      </c>
      <c r="N1667" s="1" t="s">
        <v>6412</v>
      </c>
      <c r="P1667" s="1" t="s">
        <v>6413</v>
      </c>
      <c r="Q1667" s="3">
        <v>1</v>
      </c>
      <c r="R1667" s="23" t="s">
        <v>6854</v>
      </c>
      <c r="S1667" s="23" t="s">
        <v>6845</v>
      </c>
      <c r="T1667" s="23" t="s">
        <v>4866</v>
      </c>
      <c r="U1667" s="3">
        <v>35</v>
      </c>
      <c r="W1667" s="45" t="str">
        <f>HYPERLINK("http://ictvonline.org/taxonomy/p/taxonomy-history?taxnode_id=201906444","ICTVonline=201906444")</f>
        <v>ICTVonline=201906444</v>
      </c>
      <c r="Y1667" s="1" t="s">
        <v>9817</v>
      </c>
      <c r="Z1667" s="1" t="s">
        <v>9818</v>
      </c>
      <c r="AA1667" s="1">
        <v>201900000</v>
      </c>
      <c r="AB1667" s="1">
        <v>35</v>
      </c>
    </row>
    <row r="1668" spans="1:28" x14ac:dyDescent="0.2">
      <c r="A1668" s="1">
        <v>4517</v>
      </c>
      <c r="B1668" s="1" t="s">
        <v>6850</v>
      </c>
      <c r="D1668" s="1" t="s">
        <v>6851</v>
      </c>
      <c r="F1668" s="1" t="s">
        <v>6914</v>
      </c>
      <c r="H1668" s="1" t="s">
        <v>6915</v>
      </c>
      <c r="J1668" s="1" t="s">
        <v>1324</v>
      </c>
      <c r="L1668" s="1" t="s">
        <v>895</v>
      </c>
      <c r="N1668" s="1" t="s">
        <v>6414</v>
      </c>
      <c r="P1668" s="1" t="s">
        <v>6415</v>
      </c>
      <c r="Q1668" s="3">
        <v>1</v>
      </c>
      <c r="R1668" s="23" t="s">
        <v>6854</v>
      </c>
      <c r="S1668" s="23" t="s">
        <v>6845</v>
      </c>
      <c r="T1668" s="23" t="s">
        <v>4866</v>
      </c>
      <c r="U1668" s="3">
        <v>35</v>
      </c>
      <c r="W1668" s="45" t="str">
        <f>HYPERLINK("http://ictvonline.org/taxonomy/p/taxonomy-history?taxnode_id=201906480","ICTVonline=201906480")</f>
        <v>ICTVonline=201906480</v>
      </c>
      <c r="Y1668" s="1" t="s">
        <v>9819</v>
      </c>
      <c r="Z1668" s="1" t="s">
        <v>9820</v>
      </c>
      <c r="AA1668" s="1">
        <v>201900000</v>
      </c>
      <c r="AB1668" s="1">
        <v>35</v>
      </c>
    </row>
    <row r="1669" spans="1:28" x14ac:dyDescent="0.2">
      <c r="A1669" s="1">
        <v>4521</v>
      </c>
      <c r="B1669" s="1" t="s">
        <v>6850</v>
      </c>
      <c r="D1669" s="1" t="s">
        <v>6851</v>
      </c>
      <c r="F1669" s="1" t="s">
        <v>6914</v>
      </c>
      <c r="H1669" s="1" t="s">
        <v>6915</v>
      </c>
      <c r="J1669" s="1" t="s">
        <v>1324</v>
      </c>
      <c r="L1669" s="1" t="s">
        <v>895</v>
      </c>
      <c r="N1669" s="1" t="s">
        <v>6416</v>
      </c>
      <c r="P1669" s="1" t="s">
        <v>6417</v>
      </c>
      <c r="Q1669" s="3">
        <v>1</v>
      </c>
      <c r="R1669" s="23" t="s">
        <v>6854</v>
      </c>
      <c r="S1669" s="23" t="s">
        <v>6845</v>
      </c>
      <c r="T1669" s="23" t="s">
        <v>4866</v>
      </c>
      <c r="U1669" s="3">
        <v>35</v>
      </c>
      <c r="W1669" s="45" t="str">
        <f>HYPERLINK("http://ictvonline.org/taxonomy/p/taxonomy-history?taxnode_id=201906632","ICTVonline=201906632")</f>
        <v>ICTVonline=201906632</v>
      </c>
      <c r="Y1669" s="1" t="s">
        <v>9821</v>
      </c>
      <c r="Z1669" s="1" t="s">
        <v>9822</v>
      </c>
      <c r="AA1669" s="1">
        <v>201900000</v>
      </c>
      <c r="AB1669" s="1">
        <v>35</v>
      </c>
    </row>
    <row r="1670" spans="1:28" x14ac:dyDescent="0.2">
      <c r="A1670" s="1">
        <v>4525</v>
      </c>
      <c r="B1670" s="1" t="s">
        <v>6850</v>
      </c>
      <c r="D1670" s="1" t="s">
        <v>6851</v>
      </c>
      <c r="F1670" s="1" t="s">
        <v>6914</v>
      </c>
      <c r="H1670" s="1" t="s">
        <v>6915</v>
      </c>
      <c r="J1670" s="1" t="s">
        <v>1324</v>
      </c>
      <c r="L1670" s="1" t="s">
        <v>895</v>
      </c>
      <c r="N1670" s="1" t="s">
        <v>6418</v>
      </c>
      <c r="P1670" s="1" t="s">
        <v>6419</v>
      </c>
      <c r="Q1670" s="3">
        <v>0</v>
      </c>
      <c r="R1670" s="23" t="s">
        <v>6854</v>
      </c>
      <c r="S1670" s="23" t="s">
        <v>6845</v>
      </c>
      <c r="T1670" s="23" t="s">
        <v>4866</v>
      </c>
      <c r="U1670" s="3">
        <v>35</v>
      </c>
      <c r="W1670" s="45" t="str">
        <f>HYPERLINK("http://ictvonline.org/taxonomy/p/taxonomy-history?taxnode_id=201906827","ICTVonline=201906827")</f>
        <v>ICTVonline=201906827</v>
      </c>
      <c r="Y1670" s="1" t="s">
        <v>9823</v>
      </c>
      <c r="Z1670" s="1" t="s">
        <v>9824</v>
      </c>
      <c r="AA1670" s="1">
        <v>201900000</v>
      </c>
      <c r="AB1670" s="1">
        <v>35</v>
      </c>
    </row>
    <row r="1671" spans="1:28" x14ac:dyDescent="0.2">
      <c r="A1671" s="1">
        <v>4527</v>
      </c>
      <c r="B1671" s="1" t="s">
        <v>6850</v>
      </c>
      <c r="D1671" s="1" t="s">
        <v>6851</v>
      </c>
      <c r="F1671" s="1" t="s">
        <v>6914</v>
      </c>
      <c r="H1671" s="1" t="s">
        <v>6915</v>
      </c>
      <c r="J1671" s="1" t="s">
        <v>1324</v>
      </c>
      <c r="L1671" s="1" t="s">
        <v>895</v>
      </c>
      <c r="N1671" s="1" t="s">
        <v>6418</v>
      </c>
      <c r="P1671" s="1" t="s">
        <v>6420</v>
      </c>
      <c r="Q1671" s="3">
        <v>1</v>
      </c>
      <c r="R1671" s="23" t="s">
        <v>6854</v>
      </c>
      <c r="S1671" s="23" t="s">
        <v>6845</v>
      </c>
      <c r="T1671" s="23" t="s">
        <v>4866</v>
      </c>
      <c r="U1671" s="3">
        <v>35</v>
      </c>
      <c r="W1671" s="45" t="str">
        <f>HYPERLINK("http://ictvonline.org/taxonomy/p/taxonomy-history?taxnode_id=201906826","ICTVonline=201906826")</f>
        <v>ICTVonline=201906826</v>
      </c>
      <c r="Y1671" s="1" t="s">
        <v>9825</v>
      </c>
      <c r="Z1671" s="1" t="s">
        <v>9826</v>
      </c>
      <c r="AA1671" s="1">
        <v>201900000</v>
      </c>
      <c r="AB1671" s="1">
        <v>35</v>
      </c>
    </row>
    <row r="1672" spans="1:28" x14ac:dyDescent="0.2">
      <c r="A1672" s="1">
        <v>4531</v>
      </c>
      <c r="B1672" s="1" t="s">
        <v>6850</v>
      </c>
      <c r="D1672" s="1" t="s">
        <v>6851</v>
      </c>
      <c r="F1672" s="1" t="s">
        <v>6914</v>
      </c>
      <c r="H1672" s="1" t="s">
        <v>6915</v>
      </c>
      <c r="J1672" s="1" t="s">
        <v>1324</v>
      </c>
      <c r="L1672" s="1" t="s">
        <v>895</v>
      </c>
      <c r="N1672" s="1" t="s">
        <v>6421</v>
      </c>
      <c r="P1672" s="1" t="s">
        <v>6422</v>
      </c>
      <c r="Q1672" s="3">
        <v>1</v>
      </c>
      <c r="R1672" s="23" t="s">
        <v>6854</v>
      </c>
      <c r="S1672" s="23" t="s">
        <v>6845</v>
      </c>
      <c r="T1672" s="23" t="s">
        <v>4866</v>
      </c>
      <c r="U1672" s="3">
        <v>35</v>
      </c>
      <c r="W1672" s="45" t="str">
        <f>HYPERLINK("http://ictvonline.org/taxonomy/p/taxonomy-history?taxnode_id=201906635","ICTVonline=201906635")</f>
        <v>ICTVonline=201906635</v>
      </c>
      <c r="Y1672" s="1" t="s">
        <v>9827</v>
      </c>
      <c r="Z1672" s="1" t="s">
        <v>9828</v>
      </c>
      <c r="AA1672" s="1">
        <v>201900000</v>
      </c>
      <c r="AB1672" s="1">
        <v>35</v>
      </c>
    </row>
    <row r="1673" spans="1:28" x14ac:dyDescent="0.2">
      <c r="A1673" s="1">
        <v>4535</v>
      </c>
      <c r="B1673" s="1" t="s">
        <v>6850</v>
      </c>
      <c r="D1673" s="1" t="s">
        <v>6851</v>
      </c>
      <c r="F1673" s="1" t="s">
        <v>6914</v>
      </c>
      <c r="H1673" s="1" t="s">
        <v>6915</v>
      </c>
      <c r="J1673" s="1" t="s">
        <v>1324</v>
      </c>
      <c r="L1673" s="1" t="s">
        <v>895</v>
      </c>
      <c r="N1673" s="1" t="s">
        <v>4316</v>
      </c>
      <c r="P1673" s="1" t="s">
        <v>4317</v>
      </c>
      <c r="Q1673" s="3">
        <v>1</v>
      </c>
      <c r="R1673" s="23" t="s">
        <v>6854</v>
      </c>
      <c r="S1673" s="23" t="s">
        <v>6845</v>
      </c>
      <c r="T1673" s="23" t="s">
        <v>4866</v>
      </c>
      <c r="U1673" s="3">
        <v>35</v>
      </c>
      <c r="W1673" s="45" t="str">
        <f>HYPERLINK("http://ictvonline.org/taxonomy/p/taxonomy-history?taxnode_id=201900974","ICTVonline=201900974")</f>
        <v>ICTVonline=201900974</v>
      </c>
      <c r="Y1673" s="1" t="s">
        <v>9829</v>
      </c>
      <c r="Z1673" s="1" t="s">
        <v>4317</v>
      </c>
      <c r="AA1673" s="1">
        <v>201900000</v>
      </c>
      <c r="AB1673" s="1">
        <v>35</v>
      </c>
    </row>
    <row r="1674" spans="1:28" x14ac:dyDescent="0.2">
      <c r="A1674" s="1">
        <v>4539</v>
      </c>
      <c r="B1674" s="1" t="s">
        <v>6850</v>
      </c>
      <c r="D1674" s="1" t="s">
        <v>6851</v>
      </c>
      <c r="F1674" s="1" t="s">
        <v>6914</v>
      </c>
      <c r="H1674" s="1" t="s">
        <v>6915</v>
      </c>
      <c r="J1674" s="1" t="s">
        <v>1324</v>
      </c>
      <c r="L1674" s="1" t="s">
        <v>895</v>
      </c>
      <c r="N1674" s="1" t="s">
        <v>9830</v>
      </c>
      <c r="P1674" s="1" t="s">
        <v>9831</v>
      </c>
      <c r="Q1674" s="3">
        <v>1</v>
      </c>
      <c r="R1674" s="23" t="s">
        <v>6854</v>
      </c>
      <c r="S1674" s="23" t="s">
        <v>6849</v>
      </c>
      <c r="T1674" s="23" t="s">
        <v>4864</v>
      </c>
      <c r="U1674" s="3">
        <v>35</v>
      </c>
      <c r="V1674" s="3" t="s">
        <v>9832</v>
      </c>
      <c r="W1674" s="45" t="str">
        <f>HYPERLINK("http://ictvonline.org/taxonomy/p/taxonomy-history?taxnode_id=201907308","ICTVonline=201907308")</f>
        <v>ICTVonline=201907308</v>
      </c>
      <c r="Y1674" s="1" t="s">
        <v>9833</v>
      </c>
      <c r="AA1674" s="1">
        <v>201900000</v>
      </c>
      <c r="AB1674" s="1">
        <v>35</v>
      </c>
    </row>
    <row r="1675" spans="1:28" x14ac:dyDescent="0.2">
      <c r="A1675" s="1">
        <v>4543</v>
      </c>
      <c r="B1675" s="1" t="s">
        <v>6850</v>
      </c>
      <c r="D1675" s="1" t="s">
        <v>6851</v>
      </c>
      <c r="F1675" s="1" t="s">
        <v>6914</v>
      </c>
      <c r="H1675" s="1" t="s">
        <v>6915</v>
      </c>
      <c r="J1675" s="1" t="s">
        <v>1324</v>
      </c>
      <c r="L1675" s="1" t="s">
        <v>895</v>
      </c>
      <c r="N1675" s="1" t="s">
        <v>9834</v>
      </c>
      <c r="P1675" s="1" t="s">
        <v>9835</v>
      </c>
      <c r="Q1675" s="3">
        <v>1</v>
      </c>
      <c r="R1675" s="23" t="s">
        <v>6854</v>
      </c>
      <c r="S1675" s="23" t="s">
        <v>6849</v>
      </c>
      <c r="T1675" s="23" t="s">
        <v>4864</v>
      </c>
      <c r="U1675" s="3">
        <v>35</v>
      </c>
      <c r="V1675" s="3" t="s">
        <v>9836</v>
      </c>
      <c r="W1675" s="45" t="str">
        <f>HYPERLINK("http://ictvonline.org/taxonomy/p/taxonomy-history?taxnode_id=201907287","ICTVonline=201907287")</f>
        <v>ICTVonline=201907287</v>
      </c>
      <c r="Y1675" s="1" t="s">
        <v>9837</v>
      </c>
      <c r="AA1675" s="1">
        <v>201900000</v>
      </c>
      <c r="AB1675" s="1">
        <v>35</v>
      </c>
    </row>
    <row r="1676" spans="1:28" x14ac:dyDescent="0.2">
      <c r="A1676" s="1">
        <v>4547</v>
      </c>
      <c r="B1676" s="1" t="s">
        <v>6850</v>
      </c>
      <c r="D1676" s="1" t="s">
        <v>6851</v>
      </c>
      <c r="F1676" s="1" t="s">
        <v>6914</v>
      </c>
      <c r="H1676" s="1" t="s">
        <v>6915</v>
      </c>
      <c r="J1676" s="1" t="s">
        <v>1324</v>
      </c>
      <c r="L1676" s="1" t="s">
        <v>895</v>
      </c>
      <c r="N1676" s="1" t="s">
        <v>9838</v>
      </c>
      <c r="P1676" s="1" t="s">
        <v>9839</v>
      </c>
      <c r="Q1676" s="3">
        <v>1</v>
      </c>
      <c r="R1676" s="23" t="s">
        <v>6854</v>
      </c>
      <c r="S1676" s="23" t="s">
        <v>6849</v>
      </c>
      <c r="T1676" s="23" t="s">
        <v>4864</v>
      </c>
      <c r="U1676" s="3">
        <v>35</v>
      </c>
      <c r="V1676" s="3" t="s">
        <v>9840</v>
      </c>
      <c r="W1676" s="45" t="str">
        <f>HYPERLINK("http://ictvonline.org/taxonomy/p/taxonomy-history?taxnode_id=201907361","ICTVonline=201907361")</f>
        <v>ICTVonline=201907361</v>
      </c>
      <c r="Y1676" s="1" t="s">
        <v>9841</v>
      </c>
      <c r="AA1676" s="1">
        <v>201900000</v>
      </c>
      <c r="AB1676" s="1">
        <v>35</v>
      </c>
    </row>
    <row r="1677" spans="1:28" x14ac:dyDescent="0.2">
      <c r="A1677" s="1">
        <v>4551</v>
      </c>
      <c r="B1677" s="1" t="s">
        <v>6850</v>
      </c>
      <c r="D1677" s="1" t="s">
        <v>6851</v>
      </c>
      <c r="F1677" s="1" t="s">
        <v>6914</v>
      </c>
      <c r="H1677" s="1" t="s">
        <v>6915</v>
      </c>
      <c r="J1677" s="1" t="s">
        <v>1324</v>
      </c>
      <c r="L1677" s="1" t="s">
        <v>895</v>
      </c>
      <c r="N1677" s="1" t="s">
        <v>4318</v>
      </c>
      <c r="P1677" s="1" t="s">
        <v>4319</v>
      </c>
      <c r="Q1677" s="3">
        <v>0</v>
      </c>
      <c r="R1677" s="23" t="s">
        <v>6854</v>
      </c>
      <c r="S1677" s="23" t="s">
        <v>6845</v>
      </c>
      <c r="T1677" s="23" t="s">
        <v>4866</v>
      </c>
      <c r="U1677" s="3">
        <v>35</v>
      </c>
      <c r="W1677" s="45" t="str">
        <f>HYPERLINK("http://ictvonline.org/taxonomy/p/taxonomy-history?taxnode_id=201900976","ICTVonline=201900976")</f>
        <v>ICTVonline=201900976</v>
      </c>
      <c r="Y1677" s="1" t="s">
        <v>9842</v>
      </c>
      <c r="Z1677" s="1" t="s">
        <v>9843</v>
      </c>
      <c r="AA1677" s="1">
        <v>201900000</v>
      </c>
      <c r="AB1677" s="1">
        <v>35</v>
      </c>
    </row>
    <row r="1678" spans="1:28" x14ac:dyDescent="0.2">
      <c r="A1678" s="1">
        <v>4553</v>
      </c>
      <c r="B1678" s="1" t="s">
        <v>6850</v>
      </c>
      <c r="D1678" s="1" t="s">
        <v>6851</v>
      </c>
      <c r="F1678" s="1" t="s">
        <v>6914</v>
      </c>
      <c r="H1678" s="1" t="s">
        <v>6915</v>
      </c>
      <c r="J1678" s="1" t="s">
        <v>1324</v>
      </c>
      <c r="L1678" s="1" t="s">
        <v>895</v>
      </c>
      <c r="N1678" s="1" t="s">
        <v>4318</v>
      </c>
      <c r="P1678" s="1" t="s">
        <v>4320</v>
      </c>
      <c r="Q1678" s="3">
        <v>1</v>
      </c>
      <c r="R1678" s="23" t="s">
        <v>6854</v>
      </c>
      <c r="S1678" s="23" t="s">
        <v>6845</v>
      </c>
      <c r="T1678" s="23" t="s">
        <v>4866</v>
      </c>
      <c r="U1678" s="3">
        <v>35</v>
      </c>
      <c r="W1678" s="45" t="str">
        <f>HYPERLINK("http://ictvonline.org/taxonomy/p/taxonomy-history?taxnode_id=201900977","ICTVonline=201900977")</f>
        <v>ICTVonline=201900977</v>
      </c>
      <c r="Y1678" s="1" t="s">
        <v>9844</v>
      </c>
      <c r="Z1678" s="1" t="s">
        <v>9845</v>
      </c>
      <c r="AA1678" s="1">
        <v>201900000</v>
      </c>
      <c r="AB1678" s="1">
        <v>35</v>
      </c>
    </row>
    <row r="1679" spans="1:28" x14ac:dyDescent="0.2">
      <c r="A1679" s="1">
        <v>4557</v>
      </c>
      <c r="B1679" s="1" t="s">
        <v>6850</v>
      </c>
      <c r="D1679" s="1" t="s">
        <v>6851</v>
      </c>
      <c r="F1679" s="1" t="s">
        <v>6914</v>
      </c>
      <c r="H1679" s="1" t="s">
        <v>6915</v>
      </c>
      <c r="J1679" s="1" t="s">
        <v>1324</v>
      </c>
      <c r="L1679" s="1" t="s">
        <v>895</v>
      </c>
      <c r="N1679" s="1" t="s">
        <v>4321</v>
      </c>
      <c r="P1679" s="1" t="s">
        <v>4322</v>
      </c>
      <c r="Q1679" s="3">
        <v>1</v>
      </c>
      <c r="R1679" s="23" t="s">
        <v>6854</v>
      </c>
      <c r="S1679" s="23" t="s">
        <v>6845</v>
      </c>
      <c r="T1679" s="23" t="s">
        <v>4866</v>
      </c>
      <c r="U1679" s="3">
        <v>35</v>
      </c>
      <c r="W1679" s="45" t="str">
        <f>HYPERLINK("http://ictvonline.org/taxonomy/p/taxonomy-history?taxnode_id=201900979","ICTVonline=201900979")</f>
        <v>ICTVonline=201900979</v>
      </c>
      <c r="Y1679" s="1" t="s">
        <v>9846</v>
      </c>
      <c r="Z1679" s="1" t="s">
        <v>9847</v>
      </c>
      <c r="AA1679" s="1">
        <v>201900000</v>
      </c>
      <c r="AB1679" s="1">
        <v>35</v>
      </c>
    </row>
    <row r="1680" spans="1:28" x14ac:dyDescent="0.2">
      <c r="A1680" s="1">
        <v>4561</v>
      </c>
      <c r="B1680" s="1" t="s">
        <v>6850</v>
      </c>
      <c r="D1680" s="1" t="s">
        <v>6851</v>
      </c>
      <c r="F1680" s="1" t="s">
        <v>6914</v>
      </c>
      <c r="H1680" s="1" t="s">
        <v>6915</v>
      </c>
      <c r="J1680" s="1" t="s">
        <v>1324</v>
      </c>
      <c r="L1680" s="1" t="s">
        <v>895</v>
      </c>
      <c r="N1680" s="1" t="s">
        <v>6423</v>
      </c>
      <c r="P1680" s="1" t="s">
        <v>6424</v>
      </c>
      <c r="Q1680" s="3">
        <v>1</v>
      </c>
      <c r="R1680" s="23" t="s">
        <v>6854</v>
      </c>
      <c r="S1680" s="23" t="s">
        <v>6845</v>
      </c>
      <c r="T1680" s="23" t="s">
        <v>4866</v>
      </c>
      <c r="U1680" s="3">
        <v>35</v>
      </c>
      <c r="W1680" s="45" t="str">
        <f>HYPERLINK("http://ictvonline.org/taxonomy/p/taxonomy-history?taxnode_id=201906985","ICTVonline=201906985")</f>
        <v>ICTVonline=201906985</v>
      </c>
      <c r="Y1680" s="1" t="s">
        <v>9848</v>
      </c>
      <c r="Z1680" s="1" t="s">
        <v>9849</v>
      </c>
      <c r="AA1680" s="1">
        <v>201900000</v>
      </c>
      <c r="AB1680" s="1">
        <v>35</v>
      </c>
    </row>
    <row r="1681" spans="1:28" x14ac:dyDescent="0.2">
      <c r="A1681" s="1">
        <v>4565</v>
      </c>
      <c r="B1681" s="1" t="s">
        <v>6850</v>
      </c>
      <c r="D1681" s="1" t="s">
        <v>6851</v>
      </c>
      <c r="F1681" s="1" t="s">
        <v>6914</v>
      </c>
      <c r="H1681" s="1" t="s">
        <v>6915</v>
      </c>
      <c r="J1681" s="1" t="s">
        <v>1324</v>
      </c>
      <c r="L1681" s="1" t="s">
        <v>895</v>
      </c>
      <c r="N1681" s="1" t="s">
        <v>6425</v>
      </c>
      <c r="P1681" s="1" t="s">
        <v>6426</v>
      </c>
      <c r="Q1681" s="3">
        <v>1</v>
      </c>
      <c r="R1681" s="23" t="s">
        <v>6854</v>
      </c>
      <c r="S1681" s="23" t="s">
        <v>6845</v>
      </c>
      <c r="T1681" s="23" t="s">
        <v>4866</v>
      </c>
      <c r="U1681" s="3">
        <v>35</v>
      </c>
      <c r="W1681" s="45" t="str">
        <f>HYPERLINK("http://ictvonline.org/taxonomy/p/taxonomy-history?taxnode_id=201906485","ICTVonline=201906485")</f>
        <v>ICTVonline=201906485</v>
      </c>
      <c r="Y1681" s="1" t="s">
        <v>9850</v>
      </c>
      <c r="Z1681" s="1" t="s">
        <v>9851</v>
      </c>
      <c r="AA1681" s="1">
        <v>201900000</v>
      </c>
      <c r="AB1681" s="1">
        <v>35</v>
      </c>
    </row>
    <row r="1682" spans="1:28" x14ac:dyDescent="0.2">
      <c r="A1682" s="1">
        <v>4569</v>
      </c>
      <c r="B1682" s="1" t="s">
        <v>6850</v>
      </c>
      <c r="D1682" s="1" t="s">
        <v>6851</v>
      </c>
      <c r="F1682" s="1" t="s">
        <v>6914</v>
      </c>
      <c r="H1682" s="1" t="s">
        <v>6915</v>
      </c>
      <c r="J1682" s="1" t="s">
        <v>1324</v>
      </c>
      <c r="L1682" s="1" t="s">
        <v>895</v>
      </c>
      <c r="N1682" s="1" t="s">
        <v>6427</v>
      </c>
      <c r="P1682" s="1" t="s">
        <v>6428</v>
      </c>
      <c r="Q1682" s="3">
        <v>1</v>
      </c>
      <c r="R1682" s="23" t="s">
        <v>6854</v>
      </c>
      <c r="S1682" s="23" t="s">
        <v>6845</v>
      </c>
      <c r="T1682" s="23" t="s">
        <v>4866</v>
      </c>
      <c r="U1682" s="3">
        <v>35</v>
      </c>
      <c r="W1682" s="45" t="str">
        <f>HYPERLINK("http://ictvonline.org/taxonomy/p/taxonomy-history?taxnode_id=201906638","ICTVonline=201906638")</f>
        <v>ICTVonline=201906638</v>
      </c>
      <c r="Y1682" s="1" t="s">
        <v>9852</v>
      </c>
      <c r="Z1682" s="1" t="s">
        <v>9853</v>
      </c>
      <c r="AA1682" s="1">
        <v>201900000</v>
      </c>
      <c r="AB1682" s="1">
        <v>35</v>
      </c>
    </row>
    <row r="1683" spans="1:28" x14ac:dyDescent="0.2">
      <c r="A1683" s="1">
        <v>4571</v>
      </c>
      <c r="B1683" s="1" t="s">
        <v>6850</v>
      </c>
      <c r="D1683" s="1" t="s">
        <v>6851</v>
      </c>
      <c r="F1683" s="1" t="s">
        <v>6914</v>
      </c>
      <c r="H1683" s="1" t="s">
        <v>6915</v>
      </c>
      <c r="J1683" s="1" t="s">
        <v>1324</v>
      </c>
      <c r="L1683" s="1" t="s">
        <v>895</v>
      </c>
      <c r="N1683" s="1" t="s">
        <v>6427</v>
      </c>
      <c r="P1683" s="1" t="s">
        <v>6429</v>
      </c>
      <c r="Q1683" s="3">
        <v>0</v>
      </c>
      <c r="R1683" s="23" t="s">
        <v>6854</v>
      </c>
      <c r="S1683" s="23" t="s">
        <v>6845</v>
      </c>
      <c r="T1683" s="23" t="s">
        <v>4866</v>
      </c>
      <c r="U1683" s="3">
        <v>35</v>
      </c>
      <c r="W1683" s="45" t="str">
        <f>HYPERLINK("http://ictvonline.org/taxonomy/p/taxonomy-history?taxnode_id=201906639","ICTVonline=201906639")</f>
        <v>ICTVonline=201906639</v>
      </c>
      <c r="Y1683" s="1" t="s">
        <v>9854</v>
      </c>
      <c r="Z1683" s="1" t="s">
        <v>9855</v>
      </c>
      <c r="AA1683" s="1">
        <v>201900000</v>
      </c>
      <c r="AB1683" s="1">
        <v>35</v>
      </c>
    </row>
    <row r="1684" spans="1:28" x14ac:dyDescent="0.2">
      <c r="A1684" s="1">
        <v>4575</v>
      </c>
      <c r="B1684" s="1" t="s">
        <v>6850</v>
      </c>
      <c r="D1684" s="1" t="s">
        <v>6851</v>
      </c>
      <c r="F1684" s="1" t="s">
        <v>6914</v>
      </c>
      <c r="H1684" s="1" t="s">
        <v>6915</v>
      </c>
      <c r="J1684" s="1" t="s">
        <v>1324</v>
      </c>
      <c r="L1684" s="1" t="s">
        <v>895</v>
      </c>
      <c r="N1684" s="1" t="s">
        <v>4323</v>
      </c>
      <c r="P1684" s="1" t="s">
        <v>4324</v>
      </c>
      <c r="Q1684" s="3">
        <v>1</v>
      </c>
      <c r="R1684" s="23" t="s">
        <v>6854</v>
      </c>
      <c r="S1684" s="23" t="s">
        <v>6845</v>
      </c>
      <c r="T1684" s="23" t="s">
        <v>4866</v>
      </c>
      <c r="U1684" s="3">
        <v>35</v>
      </c>
      <c r="W1684" s="45" t="str">
        <f>HYPERLINK("http://ictvonline.org/taxonomy/p/taxonomy-history?taxnode_id=201900981","ICTVonline=201900981")</f>
        <v>ICTVonline=201900981</v>
      </c>
      <c r="Y1684" s="1" t="s">
        <v>9856</v>
      </c>
      <c r="Z1684" s="1" t="s">
        <v>9857</v>
      </c>
      <c r="AA1684" s="1">
        <v>201900000</v>
      </c>
      <c r="AB1684" s="1">
        <v>35</v>
      </c>
    </row>
    <row r="1685" spans="1:28" x14ac:dyDescent="0.2">
      <c r="A1685" s="1">
        <v>4579</v>
      </c>
      <c r="B1685" s="1" t="s">
        <v>6850</v>
      </c>
      <c r="D1685" s="1" t="s">
        <v>6851</v>
      </c>
      <c r="F1685" s="1" t="s">
        <v>6914</v>
      </c>
      <c r="H1685" s="1" t="s">
        <v>6915</v>
      </c>
      <c r="J1685" s="1" t="s">
        <v>1324</v>
      </c>
      <c r="L1685" s="1" t="s">
        <v>895</v>
      </c>
      <c r="N1685" s="1" t="s">
        <v>6430</v>
      </c>
      <c r="P1685" s="1" t="s">
        <v>6431</v>
      </c>
      <c r="Q1685" s="3">
        <v>1</v>
      </c>
      <c r="R1685" s="23" t="s">
        <v>6854</v>
      </c>
      <c r="S1685" s="23" t="s">
        <v>6845</v>
      </c>
      <c r="T1685" s="23" t="s">
        <v>4866</v>
      </c>
      <c r="U1685" s="3">
        <v>35</v>
      </c>
      <c r="W1685" s="45" t="str">
        <f>HYPERLINK("http://ictvonline.org/taxonomy/p/taxonomy-history?taxnode_id=201906684","ICTVonline=201906684")</f>
        <v>ICTVonline=201906684</v>
      </c>
      <c r="Y1685" s="1" t="s">
        <v>9858</v>
      </c>
      <c r="Z1685" s="1" t="s">
        <v>9859</v>
      </c>
      <c r="AA1685" s="1">
        <v>201900000</v>
      </c>
      <c r="AB1685" s="1">
        <v>35</v>
      </c>
    </row>
    <row r="1686" spans="1:28" x14ac:dyDescent="0.2">
      <c r="A1686" s="1">
        <v>4583</v>
      </c>
      <c r="B1686" s="1" t="s">
        <v>6850</v>
      </c>
      <c r="D1686" s="1" t="s">
        <v>6851</v>
      </c>
      <c r="F1686" s="1" t="s">
        <v>6914</v>
      </c>
      <c r="H1686" s="1" t="s">
        <v>6915</v>
      </c>
      <c r="J1686" s="1" t="s">
        <v>1324</v>
      </c>
      <c r="L1686" s="1" t="s">
        <v>895</v>
      </c>
      <c r="N1686" s="1" t="s">
        <v>6432</v>
      </c>
      <c r="P1686" s="1" t="s">
        <v>3096</v>
      </c>
      <c r="Q1686" s="3">
        <v>0</v>
      </c>
      <c r="R1686" s="23" t="s">
        <v>6854</v>
      </c>
      <c r="S1686" s="23" t="s">
        <v>6845</v>
      </c>
      <c r="T1686" s="23" t="s">
        <v>4866</v>
      </c>
      <c r="U1686" s="3">
        <v>35</v>
      </c>
      <c r="W1686" s="45" t="str">
        <f>HYPERLINK("http://ictvonline.org/taxonomy/p/taxonomy-history?taxnode_id=201900879","ICTVonline=201900879")</f>
        <v>ICTVonline=201900879</v>
      </c>
      <c r="Y1686" s="1" t="s">
        <v>9860</v>
      </c>
      <c r="Z1686" s="1" t="s">
        <v>9861</v>
      </c>
      <c r="AA1686" s="1">
        <v>201900000</v>
      </c>
      <c r="AB1686" s="1">
        <v>35</v>
      </c>
    </row>
    <row r="1687" spans="1:28" x14ac:dyDescent="0.2">
      <c r="A1687" s="1">
        <v>4585</v>
      </c>
      <c r="B1687" s="1" t="s">
        <v>6850</v>
      </c>
      <c r="D1687" s="1" t="s">
        <v>6851</v>
      </c>
      <c r="F1687" s="1" t="s">
        <v>6914</v>
      </c>
      <c r="H1687" s="1" t="s">
        <v>6915</v>
      </c>
      <c r="J1687" s="1" t="s">
        <v>1324</v>
      </c>
      <c r="L1687" s="1" t="s">
        <v>895</v>
      </c>
      <c r="N1687" s="1" t="s">
        <v>6432</v>
      </c>
      <c r="P1687" s="1" t="s">
        <v>3097</v>
      </c>
      <c r="Q1687" s="3">
        <v>0</v>
      </c>
      <c r="R1687" s="23" t="s">
        <v>6854</v>
      </c>
      <c r="S1687" s="23" t="s">
        <v>6845</v>
      </c>
      <c r="T1687" s="23" t="s">
        <v>4866</v>
      </c>
      <c r="U1687" s="3">
        <v>35</v>
      </c>
      <c r="W1687" s="45" t="str">
        <f>HYPERLINK("http://ictvonline.org/taxonomy/p/taxonomy-history?taxnode_id=201900880","ICTVonline=201900880")</f>
        <v>ICTVonline=201900880</v>
      </c>
      <c r="Y1687" s="1" t="s">
        <v>9862</v>
      </c>
      <c r="Z1687" s="1" t="s">
        <v>9863</v>
      </c>
      <c r="AA1687" s="1">
        <v>201900000</v>
      </c>
      <c r="AB1687" s="1">
        <v>35</v>
      </c>
    </row>
    <row r="1688" spans="1:28" x14ac:dyDescent="0.2">
      <c r="A1688" s="1">
        <v>4587</v>
      </c>
      <c r="B1688" s="1" t="s">
        <v>6850</v>
      </c>
      <c r="D1688" s="1" t="s">
        <v>6851</v>
      </c>
      <c r="F1688" s="1" t="s">
        <v>6914</v>
      </c>
      <c r="H1688" s="1" t="s">
        <v>6915</v>
      </c>
      <c r="J1688" s="1" t="s">
        <v>1324</v>
      </c>
      <c r="L1688" s="1" t="s">
        <v>895</v>
      </c>
      <c r="N1688" s="1" t="s">
        <v>6432</v>
      </c>
      <c r="P1688" s="1" t="s">
        <v>3098</v>
      </c>
      <c r="Q1688" s="3">
        <v>1</v>
      </c>
      <c r="R1688" s="23" t="s">
        <v>6854</v>
      </c>
      <c r="S1688" s="23" t="s">
        <v>6845</v>
      </c>
      <c r="T1688" s="23" t="s">
        <v>4866</v>
      </c>
      <c r="U1688" s="3">
        <v>35</v>
      </c>
      <c r="W1688" s="45" t="str">
        <f>HYPERLINK("http://ictvonline.org/taxonomy/p/taxonomy-history?taxnode_id=201900881","ICTVonline=201900881")</f>
        <v>ICTVonline=201900881</v>
      </c>
      <c r="Y1688" s="1" t="s">
        <v>9864</v>
      </c>
      <c r="Z1688" s="1" t="s">
        <v>9865</v>
      </c>
      <c r="AA1688" s="1">
        <v>201900000</v>
      </c>
      <c r="AB1688" s="1">
        <v>35</v>
      </c>
    </row>
    <row r="1689" spans="1:28" x14ac:dyDescent="0.2">
      <c r="A1689" s="1">
        <v>4591</v>
      </c>
      <c r="B1689" s="1" t="s">
        <v>6850</v>
      </c>
      <c r="D1689" s="1" t="s">
        <v>6851</v>
      </c>
      <c r="F1689" s="1" t="s">
        <v>6914</v>
      </c>
      <c r="H1689" s="1" t="s">
        <v>6915</v>
      </c>
      <c r="J1689" s="1" t="s">
        <v>1324</v>
      </c>
      <c r="L1689" s="1" t="s">
        <v>895</v>
      </c>
      <c r="N1689" s="1" t="s">
        <v>6433</v>
      </c>
      <c r="P1689" s="1" t="s">
        <v>3231</v>
      </c>
      <c r="Q1689" s="3">
        <v>0</v>
      </c>
      <c r="R1689" s="23" t="s">
        <v>6854</v>
      </c>
      <c r="S1689" s="23" t="s">
        <v>6845</v>
      </c>
      <c r="T1689" s="23" t="s">
        <v>4866</v>
      </c>
      <c r="U1689" s="3">
        <v>35</v>
      </c>
      <c r="W1689" s="45" t="str">
        <f>HYPERLINK("http://ictvonline.org/taxonomy/p/taxonomy-history?taxnode_id=201901070","ICTVonline=201901070")</f>
        <v>ICTVonline=201901070</v>
      </c>
      <c r="AA1689" s="1">
        <v>201900000</v>
      </c>
      <c r="AB1689" s="1">
        <v>35</v>
      </c>
    </row>
    <row r="1690" spans="1:28" x14ac:dyDescent="0.2">
      <c r="A1690" s="1">
        <v>4593</v>
      </c>
      <c r="B1690" s="1" t="s">
        <v>6850</v>
      </c>
      <c r="D1690" s="1" t="s">
        <v>6851</v>
      </c>
      <c r="F1690" s="1" t="s">
        <v>6914</v>
      </c>
      <c r="H1690" s="1" t="s">
        <v>6915</v>
      </c>
      <c r="J1690" s="1" t="s">
        <v>1324</v>
      </c>
      <c r="L1690" s="1" t="s">
        <v>895</v>
      </c>
      <c r="N1690" s="1" t="s">
        <v>6433</v>
      </c>
      <c r="P1690" s="1" t="s">
        <v>5005</v>
      </c>
      <c r="Q1690" s="3">
        <v>0</v>
      </c>
      <c r="R1690" s="23" t="s">
        <v>6854</v>
      </c>
      <c r="S1690" s="23" t="s">
        <v>6845</v>
      </c>
      <c r="T1690" s="23" t="s">
        <v>4866</v>
      </c>
      <c r="U1690" s="3">
        <v>35</v>
      </c>
      <c r="W1690" s="45" t="str">
        <f>HYPERLINK("http://ictvonline.org/taxonomy/p/taxonomy-history?taxnode_id=201905553","ICTVonline=201905553")</f>
        <v>ICTVonline=201905553</v>
      </c>
      <c r="AA1690" s="1">
        <v>201900000</v>
      </c>
      <c r="AB1690" s="1">
        <v>35</v>
      </c>
    </row>
    <row r="1691" spans="1:28" x14ac:dyDescent="0.2">
      <c r="A1691" s="1">
        <v>4595</v>
      </c>
      <c r="B1691" s="1" t="s">
        <v>6850</v>
      </c>
      <c r="D1691" s="1" t="s">
        <v>6851</v>
      </c>
      <c r="F1691" s="1" t="s">
        <v>6914</v>
      </c>
      <c r="H1691" s="1" t="s">
        <v>6915</v>
      </c>
      <c r="J1691" s="1" t="s">
        <v>1324</v>
      </c>
      <c r="L1691" s="1" t="s">
        <v>895</v>
      </c>
      <c r="N1691" s="1" t="s">
        <v>6433</v>
      </c>
      <c r="P1691" s="1" t="s">
        <v>3232</v>
      </c>
      <c r="Q1691" s="3">
        <v>1</v>
      </c>
      <c r="R1691" s="23" t="s">
        <v>6854</v>
      </c>
      <c r="S1691" s="23" t="s">
        <v>6845</v>
      </c>
      <c r="T1691" s="23" t="s">
        <v>4866</v>
      </c>
      <c r="U1691" s="3">
        <v>35</v>
      </c>
      <c r="W1691" s="45" t="str">
        <f>HYPERLINK("http://ictvonline.org/taxonomy/p/taxonomy-history?taxnode_id=201901071","ICTVonline=201901071")</f>
        <v>ICTVonline=201901071</v>
      </c>
      <c r="AA1691" s="1">
        <v>201900000</v>
      </c>
      <c r="AB1691" s="1">
        <v>35</v>
      </c>
    </row>
    <row r="1692" spans="1:28" x14ac:dyDescent="0.2">
      <c r="A1692" s="1">
        <v>4597</v>
      </c>
      <c r="B1692" s="1" t="s">
        <v>6850</v>
      </c>
      <c r="D1692" s="1" t="s">
        <v>6851</v>
      </c>
      <c r="F1692" s="1" t="s">
        <v>6914</v>
      </c>
      <c r="H1692" s="1" t="s">
        <v>6915</v>
      </c>
      <c r="J1692" s="1" t="s">
        <v>1324</v>
      </c>
      <c r="L1692" s="1" t="s">
        <v>895</v>
      </c>
      <c r="N1692" s="1" t="s">
        <v>6433</v>
      </c>
      <c r="P1692" s="1" t="s">
        <v>5006</v>
      </c>
      <c r="Q1692" s="3">
        <v>0</v>
      </c>
      <c r="R1692" s="23" t="s">
        <v>6854</v>
      </c>
      <c r="S1692" s="23" t="s">
        <v>6845</v>
      </c>
      <c r="T1692" s="23" t="s">
        <v>4866</v>
      </c>
      <c r="U1692" s="3">
        <v>35</v>
      </c>
      <c r="W1692" s="45" t="str">
        <f>HYPERLINK("http://ictvonline.org/taxonomy/p/taxonomy-history?taxnode_id=201905548","ICTVonline=201905548")</f>
        <v>ICTVonline=201905548</v>
      </c>
      <c r="AA1692" s="1">
        <v>201900000</v>
      </c>
      <c r="AB1692" s="1">
        <v>35</v>
      </c>
    </row>
    <row r="1693" spans="1:28" x14ac:dyDescent="0.2">
      <c r="A1693" s="1">
        <v>4599</v>
      </c>
      <c r="B1693" s="1" t="s">
        <v>6850</v>
      </c>
      <c r="D1693" s="1" t="s">
        <v>6851</v>
      </c>
      <c r="F1693" s="1" t="s">
        <v>6914</v>
      </c>
      <c r="H1693" s="1" t="s">
        <v>6915</v>
      </c>
      <c r="J1693" s="1" t="s">
        <v>1324</v>
      </c>
      <c r="L1693" s="1" t="s">
        <v>895</v>
      </c>
      <c r="N1693" s="1" t="s">
        <v>6433</v>
      </c>
      <c r="P1693" s="1" t="s">
        <v>5007</v>
      </c>
      <c r="Q1693" s="3">
        <v>0</v>
      </c>
      <c r="R1693" s="23" t="s">
        <v>6854</v>
      </c>
      <c r="S1693" s="23" t="s">
        <v>6845</v>
      </c>
      <c r="T1693" s="23" t="s">
        <v>4866</v>
      </c>
      <c r="U1693" s="3">
        <v>35</v>
      </c>
      <c r="W1693" s="45" t="str">
        <f>HYPERLINK("http://ictvonline.org/taxonomy/p/taxonomy-history?taxnode_id=201905549","ICTVonline=201905549")</f>
        <v>ICTVonline=201905549</v>
      </c>
      <c r="AA1693" s="1">
        <v>201900000</v>
      </c>
      <c r="AB1693" s="1">
        <v>35</v>
      </c>
    </row>
    <row r="1694" spans="1:28" x14ac:dyDescent="0.2">
      <c r="A1694" s="1">
        <v>4601</v>
      </c>
      <c r="B1694" s="1" t="s">
        <v>6850</v>
      </c>
      <c r="D1694" s="1" t="s">
        <v>6851</v>
      </c>
      <c r="F1694" s="1" t="s">
        <v>6914</v>
      </c>
      <c r="H1694" s="1" t="s">
        <v>6915</v>
      </c>
      <c r="J1694" s="1" t="s">
        <v>1324</v>
      </c>
      <c r="L1694" s="1" t="s">
        <v>895</v>
      </c>
      <c r="N1694" s="1" t="s">
        <v>6433</v>
      </c>
      <c r="P1694" s="1" t="s">
        <v>5008</v>
      </c>
      <c r="Q1694" s="3">
        <v>0</v>
      </c>
      <c r="R1694" s="23" t="s">
        <v>6854</v>
      </c>
      <c r="S1694" s="23" t="s">
        <v>6845</v>
      </c>
      <c r="T1694" s="23" t="s">
        <v>4866</v>
      </c>
      <c r="U1694" s="3">
        <v>35</v>
      </c>
      <c r="W1694" s="45" t="str">
        <f>HYPERLINK("http://ictvonline.org/taxonomy/p/taxonomy-history?taxnode_id=201905550","ICTVonline=201905550")</f>
        <v>ICTVonline=201905550</v>
      </c>
      <c r="AA1694" s="1">
        <v>201900000</v>
      </c>
      <c r="AB1694" s="1">
        <v>35</v>
      </c>
    </row>
    <row r="1695" spans="1:28" x14ac:dyDescent="0.2">
      <c r="A1695" s="1">
        <v>4603</v>
      </c>
      <c r="B1695" s="1" t="s">
        <v>6850</v>
      </c>
      <c r="D1695" s="1" t="s">
        <v>6851</v>
      </c>
      <c r="F1695" s="1" t="s">
        <v>6914</v>
      </c>
      <c r="H1695" s="1" t="s">
        <v>6915</v>
      </c>
      <c r="J1695" s="1" t="s">
        <v>1324</v>
      </c>
      <c r="L1695" s="1" t="s">
        <v>895</v>
      </c>
      <c r="N1695" s="1" t="s">
        <v>6433</v>
      </c>
      <c r="P1695" s="1" t="s">
        <v>5009</v>
      </c>
      <c r="Q1695" s="3">
        <v>0</v>
      </c>
      <c r="R1695" s="23" t="s">
        <v>6854</v>
      </c>
      <c r="S1695" s="23" t="s">
        <v>6845</v>
      </c>
      <c r="T1695" s="23" t="s">
        <v>4866</v>
      </c>
      <c r="U1695" s="3">
        <v>35</v>
      </c>
      <c r="W1695" s="45" t="str">
        <f>HYPERLINK("http://ictvonline.org/taxonomy/p/taxonomy-history?taxnode_id=201905551","ICTVonline=201905551")</f>
        <v>ICTVonline=201905551</v>
      </c>
      <c r="AA1695" s="1">
        <v>201900000</v>
      </c>
      <c r="AB1695" s="1">
        <v>35</v>
      </c>
    </row>
    <row r="1696" spans="1:28" x14ac:dyDescent="0.2">
      <c r="A1696" s="1">
        <v>4605</v>
      </c>
      <c r="B1696" s="1" t="s">
        <v>6850</v>
      </c>
      <c r="D1696" s="1" t="s">
        <v>6851</v>
      </c>
      <c r="F1696" s="1" t="s">
        <v>6914</v>
      </c>
      <c r="H1696" s="1" t="s">
        <v>6915</v>
      </c>
      <c r="J1696" s="1" t="s">
        <v>1324</v>
      </c>
      <c r="L1696" s="1" t="s">
        <v>895</v>
      </c>
      <c r="N1696" s="1" t="s">
        <v>6433</v>
      </c>
      <c r="P1696" s="1" t="s">
        <v>5010</v>
      </c>
      <c r="Q1696" s="3">
        <v>0</v>
      </c>
      <c r="R1696" s="23" t="s">
        <v>6854</v>
      </c>
      <c r="S1696" s="23" t="s">
        <v>6845</v>
      </c>
      <c r="T1696" s="23" t="s">
        <v>4866</v>
      </c>
      <c r="U1696" s="3">
        <v>35</v>
      </c>
      <c r="W1696" s="45" t="str">
        <f>HYPERLINK("http://ictvonline.org/taxonomy/p/taxonomy-history?taxnode_id=201905552","ICTVonline=201905552")</f>
        <v>ICTVonline=201905552</v>
      </c>
      <c r="AA1696" s="1">
        <v>201900000</v>
      </c>
      <c r="AB1696" s="1">
        <v>35</v>
      </c>
    </row>
    <row r="1697" spans="1:28" x14ac:dyDescent="0.2">
      <c r="A1697" s="1">
        <v>4607</v>
      </c>
      <c r="B1697" s="1" t="s">
        <v>6850</v>
      </c>
      <c r="D1697" s="1" t="s">
        <v>6851</v>
      </c>
      <c r="F1697" s="1" t="s">
        <v>6914</v>
      </c>
      <c r="H1697" s="1" t="s">
        <v>6915</v>
      </c>
      <c r="J1697" s="1" t="s">
        <v>1324</v>
      </c>
      <c r="L1697" s="1" t="s">
        <v>895</v>
      </c>
      <c r="N1697" s="1" t="s">
        <v>6433</v>
      </c>
      <c r="P1697" s="1" t="s">
        <v>5011</v>
      </c>
      <c r="Q1697" s="3">
        <v>0</v>
      </c>
      <c r="R1697" s="23" t="s">
        <v>6854</v>
      </c>
      <c r="S1697" s="23" t="s">
        <v>6845</v>
      </c>
      <c r="T1697" s="23" t="s">
        <v>4866</v>
      </c>
      <c r="U1697" s="3">
        <v>35</v>
      </c>
      <c r="W1697" s="45" t="str">
        <f>HYPERLINK("http://ictvonline.org/taxonomy/p/taxonomy-history?taxnode_id=201905554","ICTVonline=201905554")</f>
        <v>ICTVonline=201905554</v>
      </c>
      <c r="AA1697" s="1">
        <v>201900000</v>
      </c>
      <c r="AB1697" s="1">
        <v>35</v>
      </c>
    </row>
    <row r="1698" spans="1:28" x14ac:dyDescent="0.2">
      <c r="A1698" s="1">
        <v>4609</v>
      </c>
      <c r="B1698" s="1" t="s">
        <v>6850</v>
      </c>
      <c r="D1698" s="1" t="s">
        <v>6851</v>
      </c>
      <c r="F1698" s="1" t="s">
        <v>6914</v>
      </c>
      <c r="H1698" s="1" t="s">
        <v>6915</v>
      </c>
      <c r="J1698" s="1" t="s">
        <v>1324</v>
      </c>
      <c r="L1698" s="1" t="s">
        <v>895</v>
      </c>
      <c r="N1698" s="1" t="s">
        <v>6433</v>
      </c>
      <c r="P1698" s="1" t="s">
        <v>5012</v>
      </c>
      <c r="Q1698" s="3">
        <v>0</v>
      </c>
      <c r="R1698" s="23" t="s">
        <v>6854</v>
      </c>
      <c r="S1698" s="23" t="s">
        <v>6845</v>
      </c>
      <c r="T1698" s="23" t="s">
        <v>4866</v>
      </c>
      <c r="U1698" s="3">
        <v>35</v>
      </c>
      <c r="W1698" s="45" t="str">
        <f>HYPERLINK("http://ictvonline.org/taxonomy/p/taxonomy-history?taxnode_id=201905555","ICTVonline=201905555")</f>
        <v>ICTVonline=201905555</v>
      </c>
      <c r="AA1698" s="1">
        <v>201900000</v>
      </c>
      <c r="AB1698" s="1">
        <v>35</v>
      </c>
    </row>
    <row r="1699" spans="1:28" x14ac:dyDescent="0.2">
      <c r="A1699" s="1">
        <v>4611</v>
      </c>
      <c r="B1699" s="1" t="s">
        <v>6850</v>
      </c>
      <c r="D1699" s="1" t="s">
        <v>6851</v>
      </c>
      <c r="F1699" s="1" t="s">
        <v>6914</v>
      </c>
      <c r="H1699" s="1" t="s">
        <v>6915</v>
      </c>
      <c r="J1699" s="1" t="s">
        <v>1324</v>
      </c>
      <c r="L1699" s="1" t="s">
        <v>895</v>
      </c>
      <c r="N1699" s="1" t="s">
        <v>6433</v>
      </c>
      <c r="P1699" s="1" t="s">
        <v>5013</v>
      </c>
      <c r="Q1699" s="3">
        <v>0</v>
      </c>
      <c r="R1699" s="23" t="s">
        <v>6854</v>
      </c>
      <c r="S1699" s="23" t="s">
        <v>6845</v>
      </c>
      <c r="T1699" s="23" t="s">
        <v>4866</v>
      </c>
      <c r="U1699" s="3">
        <v>35</v>
      </c>
      <c r="W1699" s="45" t="str">
        <f>HYPERLINK("http://ictvonline.org/taxonomy/p/taxonomy-history?taxnode_id=201905556","ICTVonline=201905556")</f>
        <v>ICTVonline=201905556</v>
      </c>
      <c r="AA1699" s="1">
        <v>201900000</v>
      </c>
      <c r="AB1699" s="1">
        <v>35</v>
      </c>
    </row>
    <row r="1700" spans="1:28" x14ac:dyDescent="0.2">
      <c r="A1700" s="1">
        <v>4615</v>
      </c>
      <c r="B1700" s="1" t="s">
        <v>6850</v>
      </c>
      <c r="D1700" s="1" t="s">
        <v>6851</v>
      </c>
      <c r="F1700" s="1" t="s">
        <v>6914</v>
      </c>
      <c r="H1700" s="1" t="s">
        <v>6915</v>
      </c>
      <c r="J1700" s="1" t="s">
        <v>1324</v>
      </c>
      <c r="L1700" s="1" t="s">
        <v>895</v>
      </c>
      <c r="N1700" s="1" t="s">
        <v>9866</v>
      </c>
      <c r="P1700" s="1" t="s">
        <v>9867</v>
      </c>
      <c r="Q1700" s="3">
        <v>1</v>
      </c>
      <c r="R1700" s="23" t="s">
        <v>6854</v>
      </c>
      <c r="S1700" s="23" t="s">
        <v>6849</v>
      </c>
      <c r="T1700" s="23" t="s">
        <v>4864</v>
      </c>
      <c r="U1700" s="3">
        <v>35</v>
      </c>
      <c r="V1700" s="3" t="s">
        <v>9868</v>
      </c>
      <c r="W1700" s="45" t="str">
        <f>HYPERLINK("http://ictvonline.org/taxonomy/p/taxonomy-history?taxnode_id=201907853","ICTVonline=201907853")</f>
        <v>ICTVonline=201907853</v>
      </c>
      <c r="Y1700" s="1" t="s">
        <v>9869</v>
      </c>
      <c r="AA1700" s="1">
        <v>201900000</v>
      </c>
      <c r="AB1700" s="1">
        <v>35</v>
      </c>
    </row>
    <row r="1701" spans="1:28" x14ac:dyDescent="0.2">
      <c r="A1701" s="1">
        <v>4619</v>
      </c>
      <c r="B1701" s="1" t="s">
        <v>6850</v>
      </c>
      <c r="D1701" s="1" t="s">
        <v>6851</v>
      </c>
      <c r="F1701" s="1" t="s">
        <v>6914</v>
      </c>
      <c r="H1701" s="1" t="s">
        <v>6915</v>
      </c>
      <c r="J1701" s="1" t="s">
        <v>1324</v>
      </c>
      <c r="L1701" s="1" t="s">
        <v>895</v>
      </c>
      <c r="N1701" s="1" t="s">
        <v>6434</v>
      </c>
      <c r="P1701" s="1" t="s">
        <v>6435</v>
      </c>
      <c r="Q1701" s="3">
        <v>0</v>
      </c>
      <c r="R1701" s="23" t="s">
        <v>6854</v>
      </c>
      <c r="S1701" s="23" t="s">
        <v>6845</v>
      </c>
      <c r="T1701" s="23" t="s">
        <v>4866</v>
      </c>
      <c r="U1701" s="3">
        <v>35</v>
      </c>
      <c r="W1701" s="45" t="str">
        <f>HYPERLINK("http://ictvonline.org/taxonomy/p/taxonomy-history?taxnode_id=201906830","ICTVonline=201906830")</f>
        <v>ICTVonline=201906830</v>
      </c>
      <c r="Y1701" s="1" t="s">
        <v>9870</v>
      </c>
      <c r="Z1701" s="1" t="s">
        <v>9871</v>
      </c>
      <c r="AA1701" s="1">
        <v>201900000</v>
      </c>
      <c r="AB1701" s="1">
        <v>35</v>
      </c>
    </row>
    <row r="1702" spans="1:28" x14ac:dyDescent="0.2">
      <c r="A1702" s="1">
        <v>4621</v>
      </c>
      <c r="B1702" s="1" t="s">
        <v>6850</v>
      </c>
      <c r="D1702" s="1" t="s">
        <v>6851</v>
      </c>
      <c r="F1702" s="1" t="s">
        <v>6914</v>
      </c>
      <c r="H1702" s="1" t="s">
        <v>6915</v>
      </c>
      <c r="J1702" s="1" t="s">
        <v>1324</v>
      </c>
      <c r="L1702" s="1" t="s">
        <v>895</v>
      </c>
      <c r="N1702" s="1" t="s">
        <v>6434</v>
      </c>
      <c r="P1702" s="1" t="s">
        <v>6436</v>
      </c>
      <c r="Q1702" s="3">
        <v>1</v>
      </c>
      <c r="R1702" s="23" t="s">
        <v>6854</v>
      </c>
      <c r="S1702" s="23" t="s">
        <v>6845</v>
      </c>
      <c r="T1702" s="23" t="s">
        <v>4866</v>
      </c>
      <c r="U1702" s="3">
        <v>35</v>
      </c>
      <c r="W1702" s="45" t="str">
        <f>HYPERLINK("http://ictvonline.org/taxonomy/p/taxonomy-history?taxnode_id=201906829","ICTVonline=201906829")</f>
        <v>ICTVonline=201906829</v>
      </c>
      <c r="Y1702" s="1" t="s">
        <v>9872</v>
      </c>
      <c r="Z1702" s="1" t="s">
        <v>9873</v>
      </c>
      <c r="AA1702" s="1">
        <v>201900000</v>
      </c>
      <c r="AB1702" s="1">
        <v>35</v>
      </c>
    </row>
    <row r="1703" spans="1:28" x14ac:dyDescent="0.2">
      <c r="A1703" s="1">
        <v>4625</v>
      </c>
      <c r="B1703" s="1" t="s">
        <v>6850</v>
      </c>
      <c r="D1703" s="1" t="s">
        <v>6851</v>
      </c>
      <c r="F1703" s="1" t="s">
        <v>6914</v>
      </c>
      <c r="H1703" s="1" t="s">
        <v>6915</v>
      </c>
      <c r="J1703" s="1" t="s">
        <v>1324</v>
      </c>
      <c r="L1703" s="1" t="s">
        <v>895</v>
      </c>
      <c r="N1703" s="1" t="s">
        <v>6437</v>
      </c>
      <c r="P1703" s="1" t="s">
        <v>3252</v>
      </c>
      <c r="Q1703" s="3">
        <v>0</v>
      </c>
      <c r="R1703" s="23" t="s">
        <v>6854</v>
      </c>
      <c r="S1703" s="23" t="s">
        <v>6845</v>
      </c>
      <c r="T1703" s="23" t="s">
        <v>4866</v>
      </c>
      <c r="U1703" s="3">
        <v>35</v>
      </c>
      <c r="W1703" s="45" t="str">
        <f>HYPERLINK("http://ictvonline.org/taxonomy/p/taxonomy-history?taxnode_id=201901111","ICTVonline=201901111")</f>
        <v>ICTVonline=201901111</v>
      </c>
      <c r="Y1703" s="1" t="s">
        <v>9874</v>
      </c>
      <c r="Z1703" s="1" t="s">
        <v>9875</v>
      </c>
      <c r="AA1703" s="1">
        <v>201900000</v>
      </c>
      <c r="AB1703" s="1">
        <v>35</v>
      </c>
    </row>
    <row r="1704" spans="1:28" x14ac:dyDescent="0.2">
      <c r="A1704" s="1">
        <v>4627</v>
      </c>
      <c r="B1704" s="1" t="s">
        <v>6850</v>
      </c>
      <c r="D1704" s="1" t="s">
        <v>6851</v>
      </c>
      <c r="F1704" s="1" t="s">
        <v>6914</v>
      </c>
      <c r="H1704" s="1" t="s">
        <v>6915</v>
      </c>
      <c r="J1704" s="1" t="s">
        <v>1324</v>
      </c>
      <c r="L1704" s="1" t="s">
        <v>895</v>
      </c>
      <c r="N1704" s="1" t="s">
        <v>6437</v>
      </c>
      <c r="P1704" s="1" t="s">
        <v>3253</v>
      </c>
      <c r="Q1704" s="3">
        <v>0</v>
      </c>
      <c r="R1704" s="23" t="s">
        <v>6854</v>
      </c>
      <c r="S1704" s="23" t="s">
        <v>6845</v>
      </c>
      <c r="T1704" s="23" t="s">
        <v>4866</v>
      </c>
      <c r="U1704" s="3">
        <v>35</v>
      </c>
      <c r="W1704" s="45" t="str">
        <f>HYPERLINK("http://ictvonline.org/taxonomy/p/taxonomy-history?taxnode_id=201901112","ICTVonline=201901112")</f>
        <v>ICTVonline=201901112</v>
      </c>
      <c r="Y1704" s="1" t="s">
        <v>9876</v>
      </c>
      <c r="Z1704" s="1" t="s">
        <v>9877</v>
      </c>
      <c r="AA1704" s="1">
        <v>201900000</v>
      </c>
      <c r="AB1704" s="1">
        <v>35</v>
      </c>
    </row>
    <row r="1705" spans="1:28" x14ac:dyDescent="0.2">
      <c r="A1705" s="1">
        <v>4629</v>
      </c>
      <c r="B1705" s="1" t="s">
        <v>6850</v>
      </c>
      <c r="D1705" s="1" t="s">
        <v>6851</v>
      </c>
      <c r="F1705" s="1" t="s">
        <v>6914</v>
      </c>
      <c r="H1705" s="1" t="s">
        <v>6915</v>
      </c>
      <c r="J1705" s="1" t="s">
        <v>1324</v>
      </c>
      <c r="L1705" s="1" t="s">
        <v>895</v>
      </c>
      <c r="N1705" s="1" t="s">
        <v>6437</v>
      </c>
      <c r="P1705" s="1" t="s">
        <v>3254</v>
      </c>
      <c r="Q1705" s="3">
        <v>0</v>
      </c>
      <c r="R1705" s="23" t="s">
        <v>6854</v>
      </c>
      <c r="S1705" s="23" t="s">
        <v>6845</v>
      </c>
      <c r="T1705" s="23" t="s">
        <v>4866</v>
      </c>
      <c r="U1705" s="3">
        <v>35</v>
      </c>
      <c r="W1705" s="45" t="str">
        <f>HYPERLINK("http://ictvonline.org/taxonomy/p/taxonomy-history?taxnode_id=201901113","ICTVonline=201901113")</f>
        <v>ICTVonline=201901113</v>
      </c>
      <c r="Y1705" s="1" t="s">
        <v>9878</v>
      </c>
      <c r="Z1705" s="1" t="s">
        <v>9879</v>
      </c>
      <c r="AA1705" s="1">
        <v>201900000</v>
      </c>
      <c r="AB1705" s="1">
        <v>35</v>
      </c>
    </row>
    <row r="1706" spans="1:28" x14ac:dyDescent="0.2">
      <c r="A1706" s="1">
        <v>4631</v>
      </c>
      <c r="B1706" s="1" t="s">
        <v>6850</v>
      </c>
      <c r="D1706" s="1" t="s">
        <v>6851</v>
      </c>
      <c r="F1706" s="1" t="s">
        <v>6914</v>
      </c>
      <c r="H1706" s="1" t="s">
        <v>6915</v>
      </c>
      <c r="J1706" s="1" t="s">
        <v>1324</v>
      </c>
      <c r="L1706" s="1" t="s">
        <v>895</v>
      </c>
      <c r="N1706" s="1" t="s">
        <v>6437</v>
      </c>
      <c r="P1706" s="1" t="s">
        <v>3255</v>
      </c>
      <c r="Q1706" s="3">
        <v>0</v>
      </c>
      <c r="R1706" s="23" t="s">
        <v>6854</v>
      </c>
      <c r="S1706" s="23" t="s">
        <v>6845</v>
      </c>
      <c r="T1706" s="23" t="s">
        <v>4866</v>
      </c>
      <c r="U1706" s="3">
        <v>35</v>
      </c>
      <c r="W1706" s="45" t="str">
        <f>HYPERLINK("http://ictvonline.org/taxonomy/p/taxonomy-history?taxnode_id=201901114","ICTVonline=201901114")</f>
        <v>ICTVonline=201901114</v>
      </c>
      <c r="Y1706" s="1" t="s">
        <v>9880</v>
      </c>
      <c r="Z1706" s="1" t="s">
        <v>9881</v>
      </c>
      <c r="AA1706" s="1">
        <v>201900000</v>
      </c>
      <c r="AB1706" s="1">
        <v>35</v>
      </c>
    </row>
    <row r="1707" spans="1:28" x14ac:dyDescent="0.2">
      <c r="A1707" s="1">
        <v>4633</v>
      </c>
      <c r="B1707" s="1" t="s">
        <v>6850</v>
      </c>
      <c r="D1707" s="1" t="s">
        <v>6851</v>
      </c>
      <c r="F1707" s="1" t="s">
        <v>6914</v>
      </c>
      <c r="H1707" s="1" t="s">
        <v>6915</v>
      </c>
      <c r="J1707" s="1" t="s">
        <v>1324</v>
      </c>
      <c r="L1707" s="1" t="s">
        <v>895</v>
      </c>
      <c r="N1707" s="1" t="s">
        <v>6437</v>
      </c>
      <c r="P1707" s="4" t="s">
        <v>3256</v>
      </c>
      <c r="Q1707" s="3">
        <v>1</v>
      </c>
      <c r="R1707" s="24" t="s">
        <v>6854</v>
      </c>
      <c r="S1707" s="24" t="s">
        <v>6845</v>
      </c>
      <c r="T1707" s="24" t="s">
        <v>4866</v>
      </c>
      <c r="U1707" s="3">
        <v>35</v>
      </c>
      <c r="W1707" s="45" t="str">
        <f>HYPERLINK("http://ictvonline.org/taxonomy/p/taxonomy-history?taxnode_id=201901115","ICTVonline=201901115")</f>
        <v>ICTVonline=201901115</v>
      </c>
      <c r="Y1707" s="1" t="s">
        <v>9882</v>
      </c>
      <c r="Z1707" s="1" t="s">
        <v>9883</v>
      </c>
      <c r="AA1707" s="1">
        <v>201900000</v>
      </c>
      <c r="AB1707" s="1">
        <v>35</v>
      </c>
    </row>
    <row r="1708" spans="1:28" x14ac:dyDescent="0.2">
      <c r="A1708" s="1">
        <v>4637</v>
      </c>
      <c r="B1708" s="1" t="s">
        <v>6850</v>
      </c>
      <c r="D1708" s="1" t="s">
        <v>6851</v>
      </c>
      <c r="F1708" s="1" t="s">
        <v>6914</v>
      </c>
      <c r="H1708" s="1" t="s">
        <v>6915</v>
      </c>
      <c r="J1708" s="1" t="s">
        <v>1324</v>
      </c>
      <c r="L1708" s="1" t="s">
        <v>895</v>
      </c>
      <c r="N1708" s="1" t="s">
        <v>6438</v>
      </c>
      <c r="P1708" s="1" t="s">
        <v>6439</v>
      </c>
      <c r="Q1708" s="3">
        <v>1</v>
      </c>
      <c r="R1708" s="23" t="s">
        <v>6854</v>
      </c>
      <c r="S1708" s="23" t="s">
        <v>6845</v>
      </c>
      <c r="T1708" s="23" t="s">
        <v>4866</v>
      </c>
      <c r="U1708" s="3">
        <v>35</v>
      </c>
      <c r="W1708" s="45" t="str">
        <f>HYPERLINK("http://ictvonline.org/taxonomy/p/taxonomy-history?taxnode_id=201906771","ICTVonline=201906771")</f>
        <v>ICTVonline=201906771</v>
      </c>
      <c r="Y1708" s="1" t="s">
        <v>9884</v>
      </c>
      <c r="Z1708" s="1" t="s">
        <v>9885</v>
      </c>
      <c r="AA1708" s="1">
        <v>201900000</v>
      </c>
      <c r="AB1708" s="1">
        <v>35</v>
      </c>
    </row>
    <row r="1709" spans="1:28" x14ac:dyDescent="0.2">
      <c r="A1709" s="1">
        <v>4639</v>
      </c>
      <c r="B1709" s="1" t="s">
        <v>6850</v>
      </c>
      <c r="D1709" s="1" t="s">
        <v>6851</v>
      </c>
      <c r="F1709" s="1" t="s">
        <v>6914</v>
      </c>
      <c r="H1709" s="1" t="s">
        <v>6915</v>
      </c>
      <c r="J1709" s="1" t="s">
        <v>1324</v>
      </c>
      <c r="L1709" s="1" t="s">
        <v>895</v>
      </c>
      <c r="N1709" s="1" t="s">
        <v>6438</v>
      </c>
      <c r="P1709" s="1" t="s">
        <v>6440</v>
      </c>
      <c r="Q1709" s="3">
        <v>0</v>
      </c>
      <c r="R1709" s="23" t="s">
        <v>6854</v>
      </c>
      <c r="S1709" s="23" t="s">
        <v>6845</v>
      </c>
      <c r="T1709" s="23" t="s">
        <v>4866</v>
      </c>
      <c r="U1709" s="3">
        <v>35</v>
      </c>
      <c r="W1709" s="45" t="str">
        <f>HYPERLINK("http://ictvonline.org/taxonomy/p/taxonomy-history?taxnode_id=201906772","ICTVonline=201906772")</f>
        <v>ICTVonline=201906772</v>
      </c>
      <c r="Y1709" s="1" t="s">
        <v>9886</v>
      </c>
      <c r="Z1709" s="1" t="s">
        <v>9887</v>
      </c>
      <c r="AA1709" s="1">
        <v>201900000</v>
      </c>
      <c r="AB1709" s="1">
        <v>35</v>
      </c>
    </row>
    <row r="1710" spans="1:28" x14ac:dyDescent="0.2">
      <c r="A1710" s="1">
        <v>4643</v>
      </c>
      <c r="B1710" s="1" t="s">
        <v>6850</v>
      </c>
      <c r="D1710" s="1" t="s">
        <v>6851</v>
      </c>
      <c r="F1710" s="1" t="s">
        <v>6914</v>
      </c>
      <c r="H1710" s="1" t="s">
        <v>6915</v>
      </c>
      <c r="J1710" s="1" t="s">
        <v>1324</v>
      </c>
      <c r="L1710" s="1" t="s">
        <v>895</v>
      </c>
      <c r="N1710" s="1" t="s">
        <v>6441</v>
      </c>
      <c r="P1710" s="1" t="s">
        <v>6442</v>
      </c>
      <c r="Q1710" s="3">
        <v>0</v>
      </c>
      <c r="R1710" s="23" t="s">
        <v>6854</v>
      </c>
      <c r="S1710" s="23" t="s">
        <v>6845</v>
      </c>
      <c r="T1710" s="23" t="s">
        <v>4866</v>
      </c>
      <c r="U1710" s="3">
        <v>35</v>
      </c>
      <c r="W1710" s="45" t="str">
        <f>HYPERLINK("http://ictvonline.org/taxonomy/p/taxonomy-history?taxnode_id=201906742","ICTVonline=201906742")</f>
        <v>ICTVonline=201906742</v>
      </c>
      <c r="Y1710" s="1" t="s">
        <v>9888</v>
      </c>
      <c r="Z1710" s="1" t="s">
        <v>9889</v>
      </c>
      <c r="AA1710" s="1">
        <v>201900000</v>
      </c>
      <c r="AB1710" s="1">
        <v>35</v>
      </c>
    </row>
    <row r="1711" spans="1:28" x14ac:dyDescent="0.2">
      <c r="A1711" s="1">
        <v>4645</v>
      </c>
      <c r="B1711" s="1" t="s">
        <v>6850</v>
      </c>
      <c r="D1711" s="1" t="s">
        <v>6851</v>
      </c>
      <c r="F1711" s="1" t="s">
        <v>6914</v>
      </c>
      <c r="H1711" s="1" t="s">
        <v>6915</v>
      </c>
      <c r="J1711" s="1" t="s">
        <v>1324</v>
      </c>
      <c r="L1711" s="1" t="s">
        <v>895</v>
      </c>
      <c r="N1711" s="1" t="s">
        <v>6441</v>
      </c>
      <c r="P1711" s="1" t="s">
        <v>6443</v>
      </c>
      <c r="Q1711" s="3">
        <v>1</v>
      </c>
      <c r="R1711" s="23" t="s">
        <v>6854</v>
      </c>
      <c r="S1711" s="23" t="s">
        <v>6845</v>
      </c>
      <c r="T1711" s="23" t="s">
        <v>4866</v>
      </c>
      <c r="U1711" s="3">
        <v>35</v>
      </c>
      <c r="W1711" s="45" t="str">
        <f>HYPERLINK("http://ictvonline.org/taxonomy/p/taxonomy-history?taxnode_id=201906741","ICTVonline=201906741")</f>
        <v>ICTVonline=201906741</v>
      </c>
      <c r="Y1711" s="1" t="s">
        <v>9890</v>
      </c>
      <c r="Z1711" s="1" t="s">
        <v>9891</v>
      </c>
      <c r="AA1711" s="1">
        <v>201900000</v>
      </c>
      <c r="AB1711" s="1">
        <v>35</v>
      </c>
    </row>
    <row r="1712" spans="1:28" x14ac:dyDescent="0.2">
      <c r="A1712" s="1">
        <v>4649</v>
      </c>
      <c r="B1712" s="1" t="s">
        <v>6850</v>
      </c>
      <c r="D1712" s="1" t="s">
        <v>6851</v>
      </c>
      <c r="F1712" s="1" t="s">
        <v>6914</v>
      </c>
      <c r="H1712" s="1" t="s">
        <v>6915</v>
      </c>
      <c r="J1712" s="1" t="s">
        <v>1324</v>
      </c>
      <c r="L1712" s="1" t="s">
        <v>895</v>
      </c>
      <c r="N1712" s="1" t="s">
        <v>6444</v>
      </c>
      <c r="P1712" s="1" t="s">
        <v>4354</v>
      </c>
      <c r="Q1712" s="3">
        <v>1</v>
      </c>
      <c r="R1712" s="23" t="s">
        <v>6854</v>
      </c>
      <c r="S1712" s="23" t="s">
        <v>6845</v>
      </c>
      <c r="T1712" s="23" t="s">
        <v>4866</v>
      </c>
      <c r="U1712" s="3">
        <v>35</v>
      </c>
      <c r="W1712" s="45" t="str">
        <f>HYPERLINK("http://ictvonline.org/taxonomy/p/taxonomy-history?taxnode_id=201901102","ICTVonline=201901102")</f>
        <v>ICTVonline=201901102</v>
      </c>
      <c r="Y1712" s="1" t="s">
        <v>9892</v>
      </c>
      <c r="Z1712" s="1" t="s">
        <v>9893</v>
      </c>
      <c r="AA1712" s="1">
        <v>201900000</v>
      </c>
      <c r="AB1712" s="1">
        <v>35</v>
      </c>
    </row>
    <row r="1713" spans="1:28" x14ac:dyDescent="0.2">
      <c r="A1713" s="1">
        <v>4651</v>
      </c>
      <c r="B1713" s="1" t="s">
        <v>6850</v>
      </c>
      <c r="D1713" s="1" t="s">
        <v>6851</v>
      </c>
      <c r="F1713" s="1" t="s">
        <v>6914</v>
      </c>
      <c r="H1713" s="1" t="s">
        <v>6915</v>
      </c>
      <c r="J1713" s="1" t="s">
        <v>1324</v>
      </c>
      <c r="L1713" s="1" t="s">
        <v>895</v>
      </c>
      <c r="N1713" s="1" t="s">
        <v>6444</v>
      </c>
      <c r="P1713" s="1" t="s">
        <v>4355</v>
      </c>
      <c r="Q1713" s="3">
        <v>0</v>
      </c>
      <c r="R1713" s="23" t="s">
        <v>6854</v>
      </c>
      <c r="S1713" s="23" t="s">
        <v>6845</v>
      </c>
      <c r="T1713" s="23" t="s">
        <v>4866</v>
      </c>
      <c r="U1713" s="3">
        <v>35</v>
      </c>
      <c r="W1713" s="45" t="str">
        <f>HYPERLINK("http://ictvonline.org/taxonomy/p/taxonomy-history?taxnode_id=201901103","ICTVonline=201901103")</f>
        <v>ICTVonline=201901103</v>
      </c>
      <c r="Y1713" s="1" t="s">
        <v>9894</v>
      </c>
      <c r="Z1713" s="1" t="s">
        <v>9895</v>
      </c>
      <c r="AA1713" s="1">
        <v>201900000</v>
      </c>
      <c r="AB1713" s="1">
        <v>35</v>
      </c>
    </row>
    <row r="1714" spans="1:28" x14ac:dyDescent="0.2">
      <c r="A1714" s="1">
        <v>4655</v>
      </c>
      <c r="B1714" s="1" t="s">
        <v>6850</v>
      </c>
      <c r="D1714" s="1" t="s">
        <v>6851</v>
      </c>
      <c r="F1714" s="1" t="s">
        <v>6914</v>
      </c>
      <c r="H1714" s="1" t="s">
        <v>6915</v>
      </c>
      <c r="J1714" s="1" t="s">
        <v>1324</v>
      </c>
      <c r="L1714" s="1" t="s">
        <v>895</v>
      </c>
      <c r="N1714" s="1" t="s">
        <v>6445</v>
      </c>
      <c r="P1714" s="1" t="s">
        <v>4356</v>
      </c>
      <c r="Q1714" s="3">
        <v>0</v>
      </c>
      <c r="R1714" s="23" t="s">
        <v>6854</v>
      </c>
      <c r="S1714" s="23" t="s">
        <v>6845</v>
      </c>
      <c r="T1714" s="23" t="s">
        <v>4866</v>
      </c>
      <c r="U1714" s="3">
        <v>35</v>
      </c>
      <c r="W1714" s="45" t="str">
        <f>HYPERLINK("http://ictvonline.org/taxonomy/p/taxonomy-history?taxnode_id=201901105","ICTVonline=201901105")</f>
        <v>ICTVonline=201901105</v>
      </c>
      <c r="Y1714" s="1" t="s">
        <v>9896</v>
      </c>
      <c r="Z1714" s="1" t="s">
        <v>9897</v>
      </c>
      <c r="AA1714" s="1">
        <v>201900000</v>
      </c>
      <c r="AB1714" s="1">
        <v>35</v>
      </c>
    </row>
    <row r="1715" spans="1:28" x14ac:dyDescent="0.2">
      <c r="A1715" s="1">
        <v>4657</v>
      </c>
      <c r="B1715" s="1" t="s">
        <v>6850</v>
      </c>
      <c r="D1715" s="1" t="s">
        <v>6851</v>
      </c>
      <c r="F1715" s="1" t="s">
        <v>6914</v>
      </c>
      <c r="H1715" s="1" t="s">
        <v>6915</v>
      </c>
      <c r="J1715" s="1" t="s">
        <v>1324</v>
      </c>
      <c r="L1715" s="1" t="s">
        <v>895</v>
      </c>
      <c r="N1715" s="1" t="s">
        <v>6445</v>
      </c>
      <c r="P1715" s="1" t="s">
        <v>4357</v>
      </c>
      <c r="Q1715" s="3">
        <v>1</v>
      </c>
      <c r="R1715" s="23" t="s">
        <v>6854</v>
      </c>
      <c r="S1715" s="23" t="s">
        <v>6845</v>
      </c>
      <c r="T1715" s="23" t="s">
        <v>4866</v>
      </c>
      <c r="U1715" s="3">
        <v>35</v>
      </c>
      <c r="W1715" s="45" t="str">
        <f>HYPERLINK("http://ictvonline.org/taxonomy/p/taxonomy-history?taxnode_id=201901106","ICTVonline=201901106")</f>
        <v>ICTVonline=201901106</v>
      </c>
      <c r="Y1715" s="1" t="s">
        <v>9898</v>
      </c>
      <c r="Z1715" s="1" t="s">
        <v>9897</v>
      </c>
      <c r="AA1715" s="1">
        <v>201900000</v>
      </c>
      <c r="AB1715" s="1">
        <v>35</v>
      </c>
    </row>
    <row r="1716" spans="1:28" x14ac:dyDescent="0.2">
      <c r="A1716" s="1">
        <v>4661</v>
      </c>
      <c r="B1716" s="1" t="s">
        <v>6850</v>
      </c>
      <c r="D1716" s="1" t="s">
        <v>6851</v>
      </c>
      <c r="F1716" s="1" t="s">
        <v>6914</v>
      </c>
      <c r="H1716" s="1" t="s">
        <v>6915</v>
      </c>
      <c r="J1716" s="1" t="s">
        <v>1324</v>
      </c>
      <c r="L1716" s="1" t="s">
        <v>895</v>
      </c>
      <c r="N1716" s="1" t="s">
        <v>9899</v>
      </c>
      <c r="P1716" s="1" t="s">
        <v>9900</v>
      </c>
      <c r="Q1716" s="3">
        <v>1</v>
      </c>
      <c r="R1716" s="23" t="s">
        <v>6854</v>
      </c>
      <c r="S1716" s="23" t="s">
        <v>6849</v>
      </c>
      <c r="T1716" s="23" t="s">
        <v>4864</v>
      </c>
      <c r="U1716" s="3">
        <v>35</v>
      </c>
      <c r="V1716" s="3" t="s">
        <v>9901</v>
      </c>
      <c r="W1716" s="45" t="str">
        <f>HYPERLINK("http://ictvonline.org/taxonomy/p/taxonomy-history?taxnode_id=201907414","ICTVonline=201907414")</f>
        <v>ICTVonline=201907414</v>
      </c>
      <c r="Y1716" s="1" t="s">
        <v>9902</v>
      </c>
      <c r="AA1716" s="1">
        <v>201900000</v>
      </c>
      <c r="AB1716" s="1">
        <v>35</v>
      </c>
    </row>
    <row r="1717" spans="1:28" x14ac:dyDescent="0.2">
      <c r="A1717" s="1">
        <v>4665</v>
      </c>
      <c r="B1717" s="1" t="s">
        <v>6850</v>
      </c>
      <c r="D1717" s="1" t="s">
        <v>6851</v>
      </c>
      <c r="F1717" s="1" t="s">
        <v>6914</v>
      </c>
      <c r="H1717" s="1" t="s">
        <v>6915</v>
      </c>
      <c r="J1717" s="1" t="s">
        <v>1324</v>
      </c>
      <c r="L1717" s="1" t="s">
        <v>895</v>
      </c>
      <c r="N1717" s="1" t="s">
        <v>4327</v>
      </c>
      <c r="P1717" s="1" t="s">
        <v>4328</v>
      </c>
      <c r="Q1717" s="3">
        <v>1</v>
      </c>
      <c r="R1717" s="23" t="s">
        <v>6854</v>
      </c>
      <c r="S1717" s="23" t="s">
        <v>6845</v>
      </c>
      <c r="T1717" s="23" t="s">
        <v>4866</v>
      </c>
      <c r="U1717" s="3">
        <v>35</v>
      </c>
      <c r="W1717" s="45" t="str">
        <f>HYPERLINK("http://ictvonline.org/taxonomy/p/taxonomy-history?taxnode_id=201900991","ICTVonline=201900991")</f>
        <v>ICTVonline=201900991</v>
      </c>
      <c r="Y1717" s="1" t="s">
        <v>9903</v>
      </c>
      <c r="Z1717" s="1" t="s">
        <v>9904</v>
      </c>
      <c r="AA1717" s="1">
        <v>201900000</v>
      </c>
      <c r="AB1717" s="1">
        <v>35</v>
      </c>
    </row>
    <row r="1718" spans="1:28" x14ac:dyDescent="0.2">
      <c r="A1718" s="1">
        <v>4669</v>
      </c>
      <c r="B1718" s="1" t="s">
        <v>6850</v>
      </c>
      <c r="D1718" s="1" t="s">
        <v>6851</v>
      </c>
      <c r="F1718" s="1" t="s">
        <v>6914</v>
      </c>
      <c r="H1718" s="1" t="s">
        <v>6915</v>
      </c>
      <c r="J1718" s="1" t="s">
        <v>1324</v>
      </c>
      <c r="L1718" s="1" t="s">
        <v>895</v>
      </c>
      <c r="N1718" s="1" t="s">
        <v>9905</v>
      </c>
      <c r="P1718" s="1" t="s">
        <v>9906</v>
      </c>
      <c r="Q1718" s="3">
        <v>1</v>
      </c>
      <c r="R1718" s="23" t="s">
        <v>6854</v>
      </c>
      <c r="S1718" s="23" t="s">
        <v>6849</v>
      </c>
      <c r="T1718" s="23" t="s">
        <v>4864</v>
      </c>
      <c r="U1718" s="26">
        <v>35</v>
      </c>
      <c r="V1718" s="26" t="s">
        <v>9907</v>
      </c>
      <c r="W1718" s="45" t="str">
        <f>HYPERLINK("http://ictvonline.org/taxonomy/p/taxonomy-history?taxnode_id=201907421","ICTVonline=201907421")</f>
        <v>ICTVonline=201907421</v>
      </c>
      <c r="Y1718" s="1" t="s">
        <v>9908</v>
      </c>
      <c r="AA1718" s="1">
        <v>201900000</v>
      </c>
      <c r="AB1718" s="1">
        <v>35</v>
      </c>
    </row>
    <row r="1719" spans="1:28" x14ac:dyDescent="0.2">
      <c r="A1719" s="1">
        <v>4673</v>
      </c>
      <c r="B1719" s="1" t="s">
        <v>6850</v>
      </c>
      <c r="D1719" s="1" t="s">
        <v>6851</v>
      </c>
      <c r="F1719" s="1" t="s">
        <v>6914</v>
      </c>
      <c r="H1719" s="1" t="s">
        <v>6915</v>
      </c>
      <c r="J1719" s="1" t="s">
        <v>1324</v>
      </c>
      <c r="L1719" s="1" t="s">
        <v>895</v>
      </c>
      <c r="N1719" s="1" t="s">
        <v>6449</v>
      </c>
      <c r="P1719" s="1" t="s">
        <v>6450</v>
      </c>
      <c r="Q1719" s="3">
        <v>1</v>
      </c>
      <c r="R1719" s="23" t="s">
        <v>6854</v>
      </c>
      <c r="S1719" s="23" t="s">
        <v>6845</v>
      </c>
      <c r="T1719" s="23" t="s">
        <v>4866</v>
      </c>
      <c r="U1719" s="3">
        <v>35</v>
      </c>
      <c r="W1719" s="45" t="str">
        <f>HYPERLINK("http://ictvonline.org/taxonomy/p/taxonomy-history?taxnode_id=201906840","ICTVonline=201906840")</f>
        <v>ICTVonline=201906840</v>
      </c>
      <c r="Y1719" s="1" t="s">
        <v>9909</v>
      </c>
      <c r="Z1719" s="1" t="s">
        <v>9910</v>
      </c>
      <c r="AA1719" s="1">
        <v>201900000</v>
      </c>
      <c r="AB1719" s="1">
        <v>35</v>
      </c>
    </row>
    <row r="1720" spans="1:28" x14ac:dyDescent="0.2">
      <c r="A1720" s="1">
        <v>4675</v>
      </c>
      <c r="B1720" s="1" t="s">
        <v>6850</v>
      </c>
      <c r="D1720" s="1" t="s">
        <v>6851</v>
      </c>
      <c r="F1720" s="1" t="s">
        <v>6914</v>
      </c>
      <c r="H1720" s="1" t="s">
        <v>6915</v>
      </c>
      <c r="J1720" s="1" t="s">
        <v>1324</v>
      </c>
      <c r="L1720" s="1" t="s">
        <v>895</v>
      </c>
      <c r="N1720" s="1" t="s">
        <v>6449</v>
      </c>
      <c r="P1720" s="1" t="s">
        <v>6451</v>
      </c>
      <c r="Q1720" s="3">
        <v>0</v>
      </c>
      <c r="R1720" s="23" t="s">
        <v>6854</v>
      </c>
      <c r="S1720" s="23" t="s">
        <v>6845</v>
      </c>
      <c r="T1720" s="23" t="s">
        <v>4866</v>
      </c>
      <c r="U1720" s="3">
        <v>35</v>
      </c>
      <c r="W1720" s="45" t="str">
        <f>HYPERLINK("http://ictvonline.org/taxonomy/p/taxonomy-history?taxnode_id=201906841","ICTVonline=201906841")</f>
        <v>ICTVonline=201906841</v>
      </c>
      <c r="Y1720" s="1" t="s">
        <v>9911</v>
      </c>
      <c r="Z1720" s="1" t="s">
        <v>9912</v>
      </c>
      <c r="AA1720" s="1">
        <v>201900000</v>
      </c>
      <c r="AB1720" s="1">
        <v>35</v>
      </c>
    </row>
    <row r="1721" spans="1:28" x14ac:dyDescent="0.2">
      <c r="A1721" s="1">
        <v>4679</v>
      </c>
      <c r="B1721" s="1" t="s">
        <v>6850</v>
      </c>
      <c r="D1721" s="1" t="s">
        <v>6851</v>
      </c>
      <c r="F1721" s="1" t="s">
        <v>6914</v>
      </c>
      <c r="H1721" s="1" t="s">
        <v>6915</v>
      </c>
      <c r="J1721" s="1" t="s">
        <v>1324</v>
      </c>
      <c r="L1721" s="1" t="s">
        <v>895</v>
      </c>
      <c r="N1721" s="1" t="s">
        <v>4331</v>
      </c>
      <c r="P1721" s="1" t="s">
        <v>4332</v>
      </c>
      <c r="Q1721" s="3">
        <v>1</v>
      </c>
      <c r="R1721" s="23" t="s">
        <v>6854</v>
      </c>
      <c r="S1721" s="23" t="s">
        <v>6845</v>
      </c>
      <c r="T1721" s="23" t="s">
        <v>4866</v>
      </c>
      <c r="U1721" s="3">
        <v>35</v>
      </c>
      <c r="W1721" s="45" t="str">
        <f>HYPERLINK("http://ictvonline.org/taxonomy/p/taxonomy-history?taxnode_id=201900996","ICTVonline=201900996")</f>
        <v>ICTVonline=201900996</v>
      </c>
      <c r="Y1721" s="1" t="s">
        <v>9913</v>
      </c>
      <c r="Z1721" s="1" t="s">
        <v>9914</v>
      </c>
      <c r="AA1721" s="1">
        <v>201900000</v>
      </c>
      <c r="AB1721" s="1">
        <v>35</v>
      </c>
    </row>
    <row r="1722" spans="1:28" x14ac:dyDescent="0.2">
      <c r="A1722" s="1">
        <v>4681</v>
      </c>
      <c r="B1722" s="1" t="s">
        <v>6850</v>
      </c>
      <c r="D1722" s="1" t="s">
        <v>6851</v>
      </c>
      <c r="F1722" s="1" t="s">
        <v>6914</v>
      </c>
      <c r="H1722" s="1" t="s">
        <v>6915</v>
      </c>
      <c r="J1722" s="1" t="s">
        <v>1324</v>
      </c>
      <c r="L1722" s="1" t="s">
        <v>895</v>
      </c>
      <c r="N1722" s="1" t="s">
        <v>4331</v>
      </c>
      <c r="P1722" s="1" t="s">
        <v>4333</v>
      </c>
      <c r="Q1722" s="3">
        <v>0</v>
      </c>
      <c r="R1722" s="23" t="s">
        <v>6854</v>
      </c>
      <c r="S1722" s="23" t="s">
        <v>6845</v>
      </c>
      <c r="T1722" s="23" t="s">
        <v>4866</v>
      </c>
      <c r="U1722" s="3">
        <v>35</v>
      </c>
      <c r="W1722" s="45" t="str">
        <f>HYPERLINK("http://ictvonline.org/taxonomy/p/taxonomy-history?taxnode_id=201900997","ICTVonline=201900997")</f>
        <v>ICTVonline=201900997</v>
      </c>
      <c r="Y1722" s="1" t="s">
        <v>9915</v>
      </c>
      <c r="Z1722" s="1" t="s">
        <v>9916</v>
      </c>
      <c r="AA1722" s="1">
        <v>201900000</v>
      </c>
      <c r="AB1722" s="1">
        <v>35</v>
      </c>
    </row>
    <row r="1723" spans="1:28" x14ac:dyDescent="0.2">
      <c r="A1723" s="1">
        <v>4685</v>
      </c>
      <c r="B1723" s="1" t="s">
        <v>6850</v>
      </c>
      <c r="D1723" s="1" t="s">
        <v>6851</v>
      </c>
      <c r="F1723" s="1" t="s">
        <v>6914</v>
      </c>
      <c r="H1723" s="1" t="s">
        <v>6915</v>
      </c>
      <c r="J1723" s="1" t="s">
        <v>1324</v>
      </c>
      <c r="L1723" s="1" t="s">
        <v>895</v>
      </c>
      <c r="N1723" s="1" t="s">
        <v>9917</v>
      </c>
      <c r="P1723" s="1" t="s">
        <v>3327</v>
      </c>
      <c r="Q1723" s="3">
        <v>1</v>
      </c>
      <c r="R1723" s="23" t="s">
        <v>6854</v>
      </c>
      <c r="S1723" s="23" t="s">
        <v>6845</v>
      </c>
      <c r="T1723" s="23" t="s">
        <v>6395</v>
      </c>
      <c r="U1723" s="3">
        <v>35</v>
      </c>
      <c r="V1723" s="3" t="s">
        <v>9918</v>
      </c>
      <c r="W1723" s="45" t="str">
        <f>HYPERLINK("http://ictvonline.org/taxonomy/p/taxonomy-history?taxnode_id=201901256","ICTVonline=201901256")</f>
        <v>ICTVonline=201901256</v>
      </c>
      <c r="Y1723" s="1" t="s">
        <v>9919</v>
      </c>
      <c r="AA1723" s="1">
        <v>201900000</v>
      </c>
      <c r="AB1723" s="1">
        <v>35</v>
      </c>
    </row>
    <row r="1724" spans="1:28" x14ac:dyDescent="0.2">
      <c r="A1724" s="1">
        <v>4689</v>
      </c>
      <c r="B1724" s="1" t="s">
        <v>6850</v>
      </c>
      <c r="D1724" s="1" t="s">
        <v>6851</v>
      </c>
      <c r="F1724" s="1" t="s">
        <v>6914</v>
      </c>
      <c r="H1724" s="1" t="s">
        <v>6915</v>
      </c>
      <c r="J1724" s="1" t="s">
        <v>1324</v>
      </c>
      <c r="L1724" s="1" t="s">
        <v>895</v>
      </c>
      <c r="N1724" s="1" t="s">
        <v>6452</v>
      </c>
      <c r="P1724" s="1" t="s">
        <v>3405</v>
      </c>
      <c r="Q1724" s="3">
        <v>1</v>
      </c>
      <c r="R1724" s="23" t="s">
        <v>6854</v>
      </c>
      <c r="S1724" s="23" t="s">
        <v>6845</v>
      </c>
      <c r="T1724" s="23" t="s">
        <v>4866</v>
      </c>
      <c r="U1724" s="3">
        <v>35</v>
      </c>
      <c r="W1724" s="45" t="str">
        <f>HYPERLINK("http://ictvonline.org/taxonomy/p/taxonomy-history?taxnode_id=201901377","ICTVonline=201901377")</f>
        <v>ICTVonline=201901377</v>
      </c>
      <c r="Y1724" s="1" t="s">
        <v>9920</v>
      </c>
      <c r="AA1724" s="1">
        <v>201900000</v>
      </c>
      <c r="AB1724" s="1">
        <v>35</v>
      </c>
    </row>
    <row r="1725" spans="1:28" x14ac:dyDescent="0.2">
      <c r="A1725" s="1">
        <v>4693</v>
      </c>
      <c r="B1725" s="1" t="s">
        <v>6850</v>
      </c>
      <c r="D1725" s="1" t="s">
        <v>6851</v>
      </c>
      <c r="F1725" s="1" t="s">
        <v>6914</v>
      </c>
      <c r="H1725" s="1" t="s">
        <v>6915</v>
      </c>
      <c r="J1725" s="1" t="s">
        <v>1324</v>
      </c>
      <c r="L1725" s="1" t="s">
        <v>895</v>
      </c>
      <c r="N1725" s="1" t="s">
        <v>6453</v>
      </c>
      <c r="P1725" s="1" t="s">
        <v>6454</v>
      </c>
      <c r="Q1725" s="3">
        <v>0</v>
      </c>
      <c r="R1725" s="23" t="s">
        <v>6854</v>
      </c>
      <c r="S1725" s="23" t="s">
        <v>6845</v>
      </c>
      <c r="T1725" s="23" t="s">
        <v>4866</v>
      </c>
      <c r="U1725" s="3">
        <v>35</v>
      </c>
      <c r="W1725" s="45" t="str">
        <f>HYPERLINK("http://ictvonline.org/taxonomy/p/taxonomy-history?taxnode_id=201906745","ICTVonline=201906745")</f>
        <v>ICTVonline=201906745</v>
      </c>
      <c r="Y1725" s="1" t="s">
        <v>9921</v>
      </c>
      <c r="Z1725" s="1" t="s">
        <v>9922</v>
      </c>
      <c r="AA1725" s="1">
        <v>201900000</v>
      </c>
      <c r="AB1725" s="1">
        <v>35</v>
      </c>
    </row>
    <row r="1726" spans="1:28" x14ac:dyDescent="0.2">
      <c r="A1726" s="1">
        <v>4695</v>
      </c>
      <c r="B1726" s="1" t="s">
        <v>6850</v>
      </c>
      <c r="D1726" s="1" t="s">
        <v>6851</v>
      </c>
      <c r="F1726" s="1" t="s">
        <v>6914</v>
      </c>
      <c r="H1726" s="1" t="s">
        <v>6915</v>
      </c>
      <c r="J1726" s="1" t="s">
        <v>1324</v>
      </c>
      <c r="L1726" s="1" t="s">
        <v>895</v>
      </c>
      <c r="N1726" s="1" t="s">
        <v>6453</v>
      </c>
      <c r="P1726" s="1" t="s">
        <v>6455</v>
      </c>
      <c r="Q1726" s="3">
        <v>1</v>
      </c>
      <c r="R1726" s="23" t="s">
        <v>6854</v>
      </c>
      <c r="S1726" s="23" t="s">
        <v>6845</v>
      </c>
      <c r="T1726" s="23" t="s">
        <v>4866</v>
      </c>
      <c r="U1726" s="3">
        <v>35</v>
      </c>
      <c r="W1726" s="45" t="str">
        <f>HYPERLINK("http://ictvonline.org/taxonomy/p/taxonomy-history?taxnode_id=201906744","ICTVonline=201906744")</f>
        <v>ICTVonline=201906744</v>
      </c>
      <c r="Y1726" s="1" t="s">
        <v>9923</v>
      </c>
      <c r="Z1726" s="1" t="s">
        <v>9924</v>
      </c>
      <c r="AA1726" s="1">
        <v>201900000</v>
      </c>
      <c r="AB1726" s="1">
        <v>35</v>
      </c>
    </row>
    <row r="1727" spans="1:28" x14ac:dyDescent="0.2">
      <c r="A1727" s="1">
        <v>4699</v>
      </c>
      <c r="B1727" s="1" t="s">
        <v>6850</v>
      </c>
      <c r="D1727" s="1" t="s">
        <v>6851</v>
      </c>
      <c r="F1727" s="1" t="s">
        <v>6914</v>
      </c>
      <c r="H1727" s="1" t="s">
        <v>6915</v>
      </c>
      <c r="J1727" s="1" t="s">
        <v>1324</v>
      </c>
      <c r="L1727" s="1" t="s">
        <v>895</v>
      </c>
      <c r="N1727" s="1" t="s">
        <v>4334</v>
      </c>
      <c r="P1727" s="1" t="s">
        <v>4335</v>
      </c>
      <c r="Q1727" s="3">
        <v>0</v>
      </c>
      <c r="R1727" s="23" t="s">
        <v>6854</v>
      </c>
      <c r="S1727" s="23" t="s">
        <v>6845</v>
      </c>
      <c r="T1727" s="23" t="s">
        <v>4866</v>
      </c>
      <c r="U1727" s="3">
        <v>35</v>
      </c>
      <c r="W1727" s="45" t="str">
        <f>HYPERLINK("http://ictvonline.org/taxonomy/p/taxonomy-history?taxnode_id=201900999","ICTVonline=201900999")</f>
        <v>ICTVonline=201900999</v>
      </c>
      <c r="Y1727" s="1" t="s">
        <v>9925</v>
      </c>
      <c r="Z1727" s="1" t="s">
        <v>9926</v>
      </c>
      <c r="AA1727" s="1">
        <v>201900000</v>
      </c>
      <c r="AB1727" s="1">
        <v>35</v>
      </c>
    </row>
    <row r="1728" spans="1:28" x14ac:dyDescent="0.2">
      <c r="A1728" s="1">
        <v>4701</v>
      </c>
      <c r="B1728" s="1" t="s">
        <v>6850</v>
      </c>
      <c r="D1728" s="1" t="s">
        <v>6851</v>
      </c>
      <c r="F1728" s="1" t="s">
        <v>6914</v>
      </c>
      <c r="H1728" s="1" t="s">
        <v>6915</v>
      </c>
      <c r="J1728" s="1" t="s">
        <v>1324</v>
      </c>
      <c r="L1728" s="1" t="s">
        <v>895</v>
      </c>
      <c r="N1728" s="1" t="s">
        <v>4334</v>
      </c>
      <c r="P1728" s="1" t="s">
        <v>4336</v>
      </c>
      <c r="Q1728" s="3">
        <v>0</v>
      </c>
      <c r="R1728" s="23" t="s">
        <v>6854</v>
      </c>
      <c r="S1728" s="23" t="s">
        <v>6845</v>
      </c>
      <c r="T1728" s="23" t="s">
        <v>4866</v>
      </c>
      <c r="U1728" s="3">
        <v>35</v>
      </c>
      <c r="W1728" s="45" t="str">
        <f>HYPERLINK("http://ictvonline.org/taxonomy/p/taxonomy-history?taxnode_id=201901000","ICTVonline=201901000")</f>
        <v>ICTVonline=201901000</v>
      </c>
      <c r="Y1728" s="1" t="s">
        <v>9927</v>
      </c>
      <c r="Z1728" s="1" t="s">
        <v>9928</v>
      </c>
      <c r="AA1728" s="1">
        <v>201900000</v>
      </c>
      <c r="AB1728" s="1">
        <v>35</v>
      </c>
    </row>
    <row r="1729" spans="1:28" x14ac:dyDescent="0.2">
      <c r="A1729" s="1">
        <v>4703</v>
      </c>
      <c r="B1729" s="1" t="s">
        <v>6850</v>
      </c>
      <c r="D1729" s="1" t="s">
        <v>6851</v>
      </c>
      <c r="F1729" s="1" t="s">
        <v>6914</v>
      </c>
      <c r="H1729" s="1" t="s">
        <v>6915</v>
      </c>
      <c r="J1729" s="1" t="s">
        <v>1324</v>
      </c>
      <c r="L1729" s="1" t="s">
        <v>895</v>
      </c>
      <c r="N1729" s="1" t="s">
        <v>4334</v>
      </c>
      <c r="P1729" s="1" t="s">
        <v>4337</v>
      </c>
      <c r="Q1729" s="3">
        <v>0</v>
      </c>
      <c r="R1729" s="23" t="s">
        <v>6854</v>
      </c>
      <c r="S1729" s="23" t="s">
        <v>6845</v>
      </c>
      <c r="T1729" s="23" t="s">
        <v>4866</v>
      </c>
      <c r="U1729" s="3">
        <v>35</v>
      </c>
      <c r="W1729" s="45" t="str">
        <f>HYPERLINK("http://ictvonline.org/taxonomy/p/taxonomy-history?taxnode_id=201901001","ICTVonline=201901001")</f>
        <v>ICTVonline=201901001</v>
      </c>
      <c r="Y1729" s="1" t="s">
        <v>9929</v>
      </c>
      <c r="Z1729" s="1" t="s">
        <v>9930</v>
      </c>
      <c r="AA1729" s="1">
        <v>201900000</v>
      </c>
      <c r="AB1729" s="1">
        <v>35</v>
      </c>
    </row>
    <row r="1730" spans="1:28" x14ac:dyDescent="0.2">
      <c r="A1730" s="1">
        <v>4705</v>
      </c>
      <c r="B1730" s="1" t="s">
        <v>6850</v>
      </c>
      <c r="D1730" s="1" t="s">
        <v>6851</v>
      </c>
      <c r="F1730" s="1" t="s">
        <v>6914</v>
      </c>
      <c r="H1730" s="1" t="s">
        <v>6915</v>
      </c>
      <c r="J1730" s="1" t="s">
        <v>1324</v>
      </c>
      <c r="L1730" s="1" t="s">
        <v>895</v>
      </c>
      <c r="N1730" s="1" t="s">
        <v>4334</v>
      </c>
      <c r="P1730" s="1" t="s">
        <v>4338</v>
      </c>
      <c r="Q1730" s="3">
        <v>0</v>
      </c>
      <c r="R1730" s="23" t="s">
        <v>6854</v>
      </c>
      <c r="S1730" s="23" t="s">
        <v>6845</v>
      </c>
      <c r="T1730" s="23" t="s">
        <v>4866</v>
      </c>
      <c r="U1730" s="3">
        <v>35</v>
      </c>
      <c r="W1730" s="45" t="str">
        <f>HYPERLINK("http://ictvonline.org/taxonomy/p/taxonomy-history?taxnode_id=201901002","ICTVonline=201901002")</f>
        <v>ICTVonline=201901002</v>
      </c>
      <c r="Y1730" s="1" t="s">
        <v>9931</v>
      </c>
      <c r="Z1730" s="1" t="s">
        <v>9932</v>
      </c>
      <c r="AA1730" s="1">
        <v>201900000</v>
      </c>
      <c r="AB1730" s="1">
        <v>35</v>
      </c>
    </row>
    <row r="1731" spans="1:28" x14ac:dyDescent="0.2">
      <c r="A1731" s="1">
        <v>4707</v>
      </c>
      <c r="B1731" s="1" t="s">
        <v>6850</v>
      </c>
      <c r="D1731" s="1" t="s">
        <v>6851</v>
      </c>
      <c r="F1731" s="1" t="s">
        <v>6914</v>
      </c>
      <c r="H1731" s="1" t="s">
        <v>6915</v>
      </c>
      <c r="J1731" s="1" t="s">
        <v>1324</v>
      </c>
      <c r="L1731" s="1" t="s">
        <v>895</v>
      </c>
      <c r="N1731" s="1" t="s">
        <v>4334</v>
      </c>
      <c r="P1731" s="1" t="s">
        <v>4339</v>
      </c>
      <c r="Q1731" s="3">
        <v>0</v>
      </c>
      <c r="R1731" s="23" t="s">
        <v>6854</v>
      </c>
      <c r="S1731" s="23" t="s">
        <v>6845</v>
      </c>
      <c r="T1731" s="23" t="s">
        <v>4866</v>
      </c>
      <c r="U1731" s="3">
        <v>35</v>
      </c>
      <c r="W1731" s="45" t="str">
        <f>HYPERLINK("http://ictvonline.org/taxonomy/p/taxonomy-history?taxnode_id=201901003","ICTVonline=201901003")</f>
        <v>ICTVonline=201901003</v>
      </c>
      <c r="Y1731" s="1" t="s">
        <v>9933</v>
      </c>
      <c r="Z1731" s="1" t="s">
        <v>9934</v>
      </c>
      <c r="AA1731" s="1">
        <v>201900000</v>
      </c>
      <c r="AB1731" s="1">
        <v>35</v>
      </c>
    </row>
    <row r="1732" spans="1:28" x14ac:dyDescent="0.2">
      <c r="A1732" s="1">
        <v>4709</v>
      </c>
      <c r="B1732" s="1" t="s">
        <v>6850</v>
      </c>
      <c r="D1732" s="1" t="s">
        <v>6851</v>
      </c>
      <c r="F1732" s="1" t="s">
        <v>6914</v>
      </c>
      <c r="H1732" s="1" t="s">
        <v>6915</v>
      </c>
      <c r="J1732" s="1" t="s">
        <v>1324</v>
      </c>
      <c r="L1732" s="1" t="s">
        <v>895</v>
      </c>
      <c r="N1732" s="1" t="s">
        <v>4334</v>
      </c>
      <c r="P1732" s="1" t="s">
        <v>4340</v>
      </c>
      <c r="Q1732" s="3">
        <v>1</v>
      </c>
      <c r="R1732" s="23" t="s">
        <v>6854</v>
      </c>
      <c r="S1732" s="23" t="s">
        <v>6845</v>
      </c>
      <c r="T1732" s="23" t="s">
        <v>4866</v>
      </c>
      <c r="U1732" s="3">
        <v>35</v>
      </c>
      <c r="W1732" s="45" t="str">
        <f>HYPERLINK("http://ictvonline.org/taxonomy/p/taxonomy-history?taxnode_id=201901004","ICTVonline=201901004")</f>
        <v>ICTVonline=201901004</v>
      </c>
      <c r="Y1732" s="1" t="s">
        <v>9935</v>
      </c>
      <c r="Z1732" s="1" t="s">
        <v>9936</v>
      </c>
      <c r="AA1732" s="1">
        <v>201900000</v>
      </c>
      <c r="AB1732" s="1">
        <v>35</v>
      </c>
    </row>
    <row r="1733" spans="1:28" x14ac:dyDescent="0.2">
      <c r="A1733" s="1">
        <v>4711</v>
      </c>
      <c r="B1733" s="1" t="s">
        <v>6850</v>
      </c>
      <c r="D1733" s="1" t="s">
        <v>6851</v>
      </c>
      <c r="F1733" s="1" t="s">
        <v>6914</v>
      </c>
      <c r="H1733" s="1" t="s">
        <v>6915</v>
      </c>
      <c r="J1733" s="1" t="s">
        <v>1324</v>
      </c>
      <c r="L1733" s="1" t="s">
        <v>895</v>
      </c>
      <c r="N1733" s="1" t="s">
        <v>4334</v>
      </c>
      <c r="P1733" s="1" t="s">
        <v>4341</v>
      </c>
      <c r="Q1733" s="3">
        <v>0</v>
      </c>
      <c r="R1733" s="23" t="s">
        <v>6854</v>
      </c>
      <c r="S1733" s="23" t="s">
        <v>6845</v>
      </c>
      <c r="T1733" s="23" t="s">
        <v>4866</v>
      </c>
      <c r="U1733" s="3">
        <v>35</v>
      </c>
      <c r="W1733" s="45" t="str">
        <f>HYPERLINK("http://ictvonline.org/taxonomy/p/taxonomy-history?taxnode_id=201901005","ICTVonline=201901005")</f>
        <v>ICTVonline=201901005</v>
      </c>
      <c r="Y1733" s="1" t="s">
        <v>9937</v>
      </c>
      <c r="Z1733" s="1" t="s">
        <v>9938</v>
      </c>
      <c r="AA1733" s="1">
        <v>201900000</v>
      </c>
      <c r="AB1733" s="1">
        <v>35</v>
      </c>
    </row>
    <row r="1734" spans="1:28" x14ac:dyDescent="0.2">
      <c r="A1734" s="1">
        <v>4713</v>
      </c>
      <c r="B1734" s="1" t="s">
        <v>6850</v>
      </c>
      <c r="D1734" s="1" t="s">
        <v>6851</v>
      </c>
      <c r="F1734" s="1" t="s">
        <v>6914</v>
      </c>
      <c r="H1734" s="1" t="s">
        <v>6915</v>
      </c>
      <c r="J1734" s="1" t="s">
        <v>1324</v>
      </c>
      <c r="L1734" s="1" t="s">
        <v>895</v>
      </c>
      <c r="N1734" s="1" t="s">
        <v>4334</v>
      </c>
      <c r="P1734" s="1" t="s">
        <v>4342</v>
      </c>
      <c r="Q1734" s="3">
        <v>0</v>
      </c>
      <c r="R1734" s="23" t="s">
        <v>6854</v>
      </c>
      <c r="S1734" s="23" t="s">
        <v>6845</v>
      </c>
      <c r="T1734" s="23" t="s">
        <v>4866</v>
      </c>
      <c r="U1734" s="3">
        <v>35</v>
      </c>
      <c r="W1734" s="45" t="str">
        <f>HYPERLINK("http://ictvonline.org/taxonomy/p/taxonomy-history?taxnode_id=201901006","ICTVonline=201901006")</f>
        <v>ICTVonline=201901006</v>
      </c>
      <c r="Y1734" s="1" t="s">
        <v>9939</v>
      </c>
      <c r="Z1734" s="1" t="s">
        <v>9940</v>
      </c>
      <c r="AA1734" s="1">
        <v>201900000</v>
      </c>
      <c r="AB1734" s="1">
        <v>35</v>
      </c>
    </row>
    <row r="1735" spans="1:28" x14ac:dyDescent="0.2">
      <c r="A1735" s="1">
        <v>4715</v>
      </c>
      <c r="B1735" s="1" t="s">
        <v>6850</v>
      </c>
      <c r="D1735" s="1" t="s">
        <v>6851</v>
      </c>
      <c r="F1735" s="1" t="s">
        <v>6914</v>
      </c>
      <c r="H1735" s="1" t="s">
        <v>6915</v>
      </c>
      <c r="J1735" s="1" t="s">
        <v>1324</v>
      </c>
      <c r="L1735" s="1" t="s">
        <v>895</v>
      </c>
      <c r="N1735" s="1" t="s">
        <v>4334</v>
      </c>
      <c r="P1735" s="1" t="s">
        <v>4343</v>
      </c>
      <c r="Q1735" s="3">
        <v>0</v>
      </c>
      <c r="R1735" s="23" t="s">
        <v>6854</v>
      </c>
      <c r="S1735" s="23" t="s">
        <v>6845</v>
      </c>
      <c r="T1735" s="23" t="s">
        <v>4866</v>
      </c>
      <c r="U1735" s="3">
        <v>35</v>
      </c>
      <c r="W1735" s="45" t="str">
        <f>HYPERLINK("http://ictvonline.org/taxonomy/p/taxonomy-history?taxnode_id=201901007","ICTVonline=201901007")</f>
        <v>ICTVonline=201901007</v>
      </c>
      <c r="Y1735" s="1" t="s">
        <v>9941</v>
      </c>
      <c r="Z1735" s="1" t="s">
        <v>9942</v>
      </c>
      <c r="AA1735" s="1">
        <v>201900000</v>
      </c>
      <c r="AB1735" s="1">
        <v>35</v>
      </c>
    </row>
    <row r="1736" spans="1:28" x14ac:dyDescent="0.2">
      <c r="A1736" s="1">
        <v>4719</v>
      </c>
      <c r="B1736" s="1" t="s">
        <v>6850</v>
      </c>
      <c r="D1736" s="1" t="s">
        <v>6851</v>
      </c>
      <c r="F1736" s="1" t="s">
        <v>6914</v>
      </c>
      <c r="H1736" s="1" t="s">
        <v>6915</v>
      </c>
      <c r="J1736" s="1" t="s">
        <v>1324</v>
      </c>
      <c r="L1736" s="1" t="s">
        <v>895</v>
      </c>
      <c r="N1736" s="1" t="s">
        <v>6456</v>
      </c>
      <c r="P1736" s="1" t="s">
        <v>3140</v>
      </c>
      <c r="Q1736" s="3">
        <v>0</v>
      </c>
      <c r="R1736" s="23" t="s">
        <v>6854</v>
      </c>
      <c r="S1736" s="23" t="s">
        <v>6845</v>
      </c>
      <c r="T1736" s="23" t="s">
        <v>4866</v>
      </c>
      <c r="U1736" s="3">
        <v>35</v>
      </c>
      <c r="W1736" s="45" t="str">
        <f>HYPERLINK("http://ictvonline.org/taxonomy/p/taxonomy-history?taxnode_id=201900930","ICTVonline=201900930")</f>
        <v>ICTVonline=201900930</v>
      </c>
      <c r="Y1736" s="1" t="s">
        <v>9943</v>
      </c>
      <c r="AA1736" s="1">
        <v>201900000</v>
      </c>
      <c r="AB1736" s="1">
        <v>35</v>
      </c>
    </row>
    <row r="1737" spans="1:28" x14ac:dyDescent="0.2">
      <c r="A1737" s="1">
        <v>4721</v>
      </c>
      <c r="B1737" s="1" t="s">
        <v>6850</v>
      </c>
      <c r="D1737" s="1" t="s">
        <v>6851</v>
      </c>
      <c r="F1737" s="1" t="s">
        <v>6914</v>
      </c>
      <c r="H1737" s="1" t="s">
        <v>6915</v>
      </c>
      <c r="J1737" s="1" t="s">
        <v>1324</v>
      </c>
      <c r="L1737" s="1" t="s">
        <v>895</v>
      </c>
      <c r="N1737" s="1" t="s">
        <v>6456</v>
      </c>
      <c r="P1737" s="1" t="s">
        <v>3141</v>
      </c>
      <c r="Q1737" s="3">
        <v>0</v>
      </c>
      <c r="R1737" s="23" t="s">
        <v>6854</v>
      </c>
      <c r="S1737" s="23" t="s">
        <v>6845</v>
      </c>
      <c r="T1737" s="23" t="s">
        <v>4866</v>
      </c>
      <c r="U1737" s="3">
        <v>35</v>
      </c>
      <c r="W1737" s="45" t="str">
        <f>HYPERLINK("http://ictvonline.org/taxonomy/p/taxonomy-history?taxnode_id=201900931","ICTVonline=201900931")</f>
        <v>ICTVonline=201900931</v>
      </c>
      <c r="Y1737" s="1" t="s">
        <v>9944</v>
      </c>
      <c r="AA1737" s="1">
        <v>201900000</v>
      </c>
      <c r="AB1737" s="1">
        <v>35</v>
      </c>
    </row>
    <row r="1738" spans="1:28" x14ac:dyDescent="0.2">
      <c r="A1738" s="1">
        <v>4723</v>
      </c>
      <c r="B1738" s="1" t="s">
        <v>6850</v>
      </c>
      <c r="D1738" s="1" t="s">
        <v>6851</v>
      </c>
      <c r="F1738" s="1" t="s">
        <v>6914</v>
      </c>
      <c r="H1738" s="1" t="s">
        <v>6915</v>
      </c>
      <c r="J1738" s="1" t="s">
        <v>1324</v>
      </c>
      <c r="L1738" s="1" t="s">
        <v>895</v>
      </c>
      <c r="N1738" s="1" t="s">
        <v>6456</v>
      </c>
      <c r="P1738" s="1" t="s">
        <v>3142</v>
      </c>
      <c r="Q1738" s="3">
        <v>1</v>
      </c>
      <c r="R1738" s="23" t="s">
        <v>6854</v>
      </c>
      <c r="S1738" s="23" t="s">
        <v>6845</v>
      </c>
      <c r="T1738" s="23" t="s">
        <v>4866</v>
      </c>
      <c r="U1738" s="3">
        <v>35</v>
      </c>
      <c r="W1738" s="45" t="str">
        <f>HYPERLINK("http://ictvonline.org/taxonomy/p/taxonomy-history?taxnode_id=201900932","ICTVonline=201900932")</f>
        <v>ICTVonline=201900932</v>
      </c>
      <c r="Y1738" s="1" t="s">
        <v>9945</v>
      </c>
      <c r="Z1738" s="1" t="s">
        <v>9946</v>
      </c>
      <c r="AA1738" s="1">
        <v>201900000</v>
      </c>
      <c r="AB1738" s="1">
        <v>35</v>
      </c>
    </row>
    <row r="1739" spans="1:28" x14ac:dyDescent="0.2">
      <c r="A1739" s="1">
        <v>4725</v>
      </c>
      <c r="B1739" s="1" t="s">
        <v>6850</v>
      </c>
      <c r="D1739" s="1" t="s">
        <v>6851</v>
      </c>
      <c r="F1739" s="1" t="s">
        <v>6914</v>
      </c>
      <c r="H1739" s="1" t="s">
        <v>6915</v>
      </c>
      <c r="J1739" s="1" t="s">
        <v>1324</v>
      </c>
      <c r="L1739" s="1" t="s">
        <v>895</v>
      </c>
      <c r="N1739" s="1" t="s">
        <v>6456</v>
      </c>
      <c r="P1739" s="1" t="s">
        <v>3143</v>
      </c>
      <c r="Q1739" s="3">
        <v>0</v>
      </c>
      <c r="R1739" s="23" t="s">
        <v>6854</v>
      </c>
      <c r="S1739" s="23" t="s">
        <v>6845</v>
      </c>
      <c r="T1739" s="23" t="s">
        <v>4866</v>
      </c>
      <c r="U1739" s="3">
        <v>35</v>
      </c>
      <c r="W1739" s="45" t="str">
        <f>HYPERLINK("http://ictvonline.org/taxonomy/p/taxonomy-history?taxnode_id=201900933","ICTVonline=201900933")</f>
        <v>ICTVonline=201900933</v>
      </c>
      <c r="Y1739" s="1" t="s">
        <v>9947</v>
      </c>
      <c r="AA1739" s="1">
        <v>201900000</v>
      </c>
      <c r="AB1739" s="1">
        <v>35</v>
      </c>
    </row>
    <row r="1740" spans="1:28" x14ac:dyDescent="0.2">
      <c r="A1740" s="1">
        <v>4727</v>
      </c>
      <c r="B1740" s="1" t="s">
        <v>6850</v>
      </c>
      <c r="D1740" s="1" t="s">
        <v>6851</v>
      </c>
      <c r="F1740" s="1" t="s">
        <v>6914</v>
      </c>
      <c r="H1740" s="1" t="s">
        <v>6915</v>
      </c>
      <c r="J1740" s="1" t="s">
        <v>1324</v>
      </c>
      <c r="L1740" s="1" t="s">
        <v>895</v>
      </c>
      <c r="N1740" s="1" t="s">
        <v>6456</v>
      </c>
      <c r="P1740" s="1" t="s">
        <v>3144</v>
      </c>
      <c r="Q1740" s="3">
        <v>0</v>
      </c>
      <c r="R1740" s="23" t="s">
        <v>6854</v>
      </c>
      <c r="S1740" s="23" t="s">
        <v>6845</v>
      </c>
      <c r="T1740" s="23" t="s">
        <v>4866</v>
      </c>
      <c r="U1740" s="3">
        <v>35</v>
      </c>
      <c r="W1740" s="45" t="str">
        <f>HYPERLINK("http://ictvonline.org/taxonomy/p/taxonomy-history?taxnode_id=201900934","ICTVonline=201900934")</f>
        <v>ICTVonline=201900934</v>
      </c>
      <c r="Y1740" s="1" t="s">
        <v>9948</v>
      </c>
      <c r="AA1740" s="1">
        <v>201900000</v>
      </c>
      <c r="AB1740" s="1">
        <v>35</v>
      </c>
    </row>
    <row r="1741" spans="1:28" x14ac:dyDescent="0.2">
      <c r="A1741" s="1">
        <v>4729</v>
      </c>
      <c r="B1741" s="1" t="s">
        <v>6850</v>
      </c>
      <c r="D1741" s="1" t="s">
        <v>6851</v>
      </c>
      <c r="F1741" s="1" t="s">
        <v>6914</v>
      </c>
      <c r="H1741" s="1" t="s">
        <v>6915</v>
      </c>
      <c r="J1741" s="1" t="s">
        <v>1324</v>
      </c>
      <c r="L1741" s="1" t="s">
        <v>895</v>
      </c>
      <c r="N1741" s="1" t="s">
        <v>6456</v>
      </c>
      <c r="P1741" s="1" t="s">
        <v>3145</v>
      </c>
      <c r="Q1741" s="3">
        <v>0</v>
      </c>
      <c r="R1741" s="23" t="s">
        <v>6854</v>
      </c>
      <c r="S1741" s="23" t="s">
        <v>6845</v>
      </c>
      <c r="T1741" s="23" t="s">
        <v>4866</v>
      </c>
      <c r="U1741" s="3">
        <v>35</v>
      </c>
      <c r="W1741" s="45" t="str">
        <f>HYPERLINK("http://ictvonline.org/taxonomy/p/taxonomy-history?taxnode_id=201900935","ICTVonline=201900935")</f>
        <v>ICTVonline=201900935</v>
      </c>
      <c r="Y1741" s="1" t="s">
        <v>9949</v>
      </c>
      <c r="AA1741" s="1">
        <v>201900000</v>
      </c>
      <c r="AB1741" s="1">
        <v>35</v>
      </c>
    </row>
    <row r="1742" spans="1:28" x14ac:dyDescent="0.2">
      <c r="A1742" s="1">
        <v>4731</v>
      </c>
      <c r="B1742" s="1" t="s">
        <v>6850</v>
      </c>
      <c r="D1742" s="1" t="s">
        <v>6851</v>
      </c>
      <c r="F1742" s="1" t="s">
        <v>6914</v>
      </c>
      <c r="H1742" s="1" t="s">
        <v>6915</v>
      </c>
      <c r="J1742" s="1" t="s">
        <v>1324</v>
      </c>
      <c r="L1742" s="1" t="s">
        <v>895</v>
      </c>
      <c r="N1742" s="1" t="s">
        <v>6456</v>
      </c>
      <c r="P1742" s="1" t="s">
        <v>3146</v>
      </c>
      <c r="Q1742" s="3">
        <v>0</v>
      </c>
      <c r="R1742" s="23" t="s">
        <v>6854</v>
      </c>
      <c r="S1742" s="23" t="s">
        <v>6845</v>
      </c>
      <c r="T1742" s="23" t="s">
        <v>4866</v>
      </c>
      <c r="U1742" s="3">
        <v>35</v>
      </c>
      <c r="W1742" s="45" t="str">
        <f>HYPERLINK("http://ictvonline.org/taxonomy/p/taxonomy-history?taxnode_id=201900936","ICTVonline=201900936")</f>
        <v>ICTVonline=201900936</v>
      </c>
      <c r="Y1742" s="1" t="s">
        <v>9950</v>
      </c>
      <c r="AA1742" s="1">
        <v>201900000</v>
      </c>
      <c r="AB1742" s="1">
        <v>35</v>
      </c>
    </row>
    <row r="1743" spans="1:28" x14ac:dyDescent="0.2">
      <c r="A1743" s="1">
        <v>4733</v>
      </c>
      <c r="B1743" s="1" t="s">
        <v>6850</v>
      </c>
      <c r="D1743" s="1" t="s">
        <v>6851</v>
      </c>
      <c r="F1743" s="1" t="s">
        <v>6914</v>
      </c>
      <c r="H1743" s="1" t="s">
        <v>6915</v>
      </c>
      <c r="J1743" s="1" t="s">
        <v>1324</v>
      </c>
      <c r="L1743" s="1" t="s">
        <v>895</v>
      </c>
      <c r="N1743" s="1" t="s">
        <v>6456</v>
      </c>
      <c r="P1743" s="1" t="s">
        <v>3147</v>
      </c>
      <c r="Q1743" s="3">
        <v>0</v>
      </c>
      <c r="R1743" s="23" t="s">
        <v>6854</v>
      </c>
      <c r="S1743" s="23" t="s">
        <v>6845</v>
      </c>
      <c r="T1743" s="23" t="s">
        <v>4866</v>
      </c>
      <c r="U1743" s="3">
        <v>35</v>
      </c>
      <c r="W1743" s="45" t="str">
        <f>HYPERLINK("http://ictvonline.org/taxonomy/p/taxonomy-history?taxnode_id=201900937","ICTVonline=201900937")</f>
        <v>ICTVonline=201900937</v>
      </c>
      <c r="Y1743" s="1" t="s">
        <v>9951</v>
      </c>
      <c r="AA1743" s="1">
        <v>201900000</v>
      </c>
      <c r="AB1743" s="1">
        <v>35</v>
      </c>
    </row>
    <row r="1744" spans="1:28" x14ac:dyDescent="0.2">
      <c r="A1744" s="1">
        <v>4735</v>
      </c>
      <c r="B1744" s="1" t="s">
        <v>6850</v>
      </c>
      <c r="D1744" s="1" t="s">
        <v>6851</v>
      </c>
      <c r="F1744" s="1" t="s">
        <v>6914</v>
      </c>
      <c r="H1744" s="1" t="s">
        <v>6915</v>
      </c>
      <c r="J1744" s="1" t="s">
        <v>1324</v>
      </c>
      <c r="L1744" s="1" t="s">
        <v>895</v>
      </c>
      <c r="N1744" s="1" t="s">
        <v>6456</v>
      </c>
      <c r="P1744" s="1" t="s">
        <v>3148</v>
      </c>
      <c r="Q1744" s="3">
        <v>0</v>
      </c>
      <c r="R1744" s="23" t="s">
        <v>6854</v>
      </c>
      <c r="S1744" s="23" t="s">
        <v>6845</v>
      </c>
      <c r="T1744" s="23" t="s">
        <v>4866</v>
      </c>
      <c r="U1744" s="3">
        <v>35</v>
      </c>
      <c r="W1744" s="45" t="str">
        <f>HYPERLINK("http://ictvonline.org/taxonomy/p/taxonomy-history?taxnode_id=201900938","ICTVonline=201900938")</f>
        <v>ICTVonline=201900938</v>
      </c>
      <c r="Y1744" s="1" t="s">
        <v>9952</v>
      </c>
      <c r="AA1744" s="1">
        <v>201900000</v>
      </c>
      <c r="AB1744" s="1">
        <v>35</v>
      </c>
    </row>
    <row r="1745" spans="1:28" x14ac:dyDescent="0.2">
      <c r="A1745" s="1">
        <v>4739</v>
      </c>
      <c r="B1745" s="1" t="s">
        <v>6850</v>
      </c>
      <c r="D1745" s="1" t="s">
        <v>6851</v>
      </c>
      <c r="F1745" s="1" t="s">
        <v>6914</v>
      </c>
      <c r="H1745" s="1" t="s">
        <v>6915</v>
      </c>
      <c r="J1745" s="1" t="s">
        <v>1324</v>
      </c>
      <c r="L1745" s="1" t="s">
        <v>895</v>
      </c>
      <c r="N1745" s="1" t="s">
        <v>9953</v>
      </c>
      <c r="P1745" s="1" t="s">
        <v>9954</v>
      </c>
      <c r="Q1745" s="3">
        <v>1</v>
      </c>
      <c r="R1745" s="23" t="s">
        <v>6854</v>
      </c>
      <c r="S1745" s="23" t="s">
        <v>6849</v>
      </c>
      <c r="T1745" s="23" t="s">
        <v>4864</v>
      </c>
      <c r="U1745" s="3">
        <v>35</v>
      </c>
      <c r="V1745" s="3" t="s">
        <v>9955</v>
      </c>
      <c r="W1745" s="45" t="str">
        <f>HYPERLINK("http://ictvonline.org/taxonomy/p/taxonomy-history?taxnode_id=201907430","ICTVonline=201907430")</f>
        <v>ICTVonline=201907430</v>
      </c>
      <c r="Y1745" s="1" t="s">
        <v>9956</v>
      </c>
      <c r="AA1745" s="1">
        <v>201900000</v>
      </c>
      <c r="AB1745" s="1">
        <v>35</v>
      </c>
    </row>
    <row r="1746" spans="1:28" x14ac:dyDescent="0.2">
      <c r="A1746" s="1">
        <v>4743</v>
      </c>
      <c r="B1746" s="1" t="s">
        <v>6850</v>
      </c>
      <c r="D1746" s="1" t="s">
        <v>6851</v>
      </c>
      <c r="F1746" s="1" t="s">
        <v>6914</v>
      </c>
      <c r="H1746" s="1" t="s">
        <v>6915</v>
      </c>
      <c r="J1746" s="1" t="s">
        <v>1324</v>
      </c>
      <c r="L1746" s="1" t="s">
        <v>895</v>
      </c>
      <c r="N1746" s="1" t="s">
        <v>6457</v>
      </c>
      <c r="P1746" s="1" t="s">
        <v>6458</v>
      </c>
      <c r="Q1746" s="3">
        <v>1</v>
      </c>
      <c r="R1746" s="23" t="s">
        <v>6854</v>
      </c>
      <c r="S1746" s="23" t="s">
        <v>6845</v>
      </c>
      <c r="T1746" s="23" t="s">
        <v>4866</v>
      </c>
      <c r="U1746" s="3">
        <v>35</v>
      </c>
      <c r="W1746" s="45" t="str">
        <f>HYPERLINK("http://ictvonline.org/taxonomy/p/taxonomy-history?taxnode_id=201906845","ICTVonline=201906845")</f>
        <v>ICTVonline=201906845</v>
      </c>
      <c r="Y1746" s="1" t="s">
        <v>9957</v>
      </c>
      <c r="Z1746" s="1" t="s">
        <v>9958</v>
      </c>
      <c r="AA1746" s="1">
        <v>201900000</v>
      </c>
      <c r="AB1746" s="1">
        <v>35</v>
      </c>
    </row>
    <row r="1747" spans="1:28" x14ac:dyDescent="0.2">
      <c r="A1747" s="1">
        <v>4745</v>
      </c>
      <c r="B1747" s="1" t="s">
        <v>6850</v>
      </c>
      <c r="D1747" s="1" t="s">
        <v>6851</v>
      </c>
      <c r="F1747" s="1" t="s">
        <v>6914</v>
      </c>
      <c r="H1747" s="1" t="s">
        <v>6915</v>
      </c>
      <c r="J1747" s="1" t="s">
        <v>1324</v>
      </c>
      <c r="L1747" s="1" t="s">
        <v>895</v>
      </c>
      <c r="N1747" s="1" t="s">
        <v>6457</v>
      </c>
      <c r="P1747" s="1" t="s">
        <v>6459</v>
      </c>
      <c r="Q1747" s="3">
        <v>0</v>
      </c>
      <c r="R1747" s="23" t="s">
        <v>6854</v>
      </c>
      <c r="S1747" s="23" t="s">
        <v>6845</v>
      </c>
      <c r="T1747" s="23" t="s">
        <v>4866</v>
      </c>
      <c r="U1747" s="3">
        <v>35</v>
      </c>
      <c r="W1747" s="45" t="str">
        <f>HYPERLINK("http://ictvonline.org/taxonomy/p/taxonomy-history?taxnode_id=201906846","ICTVonline=201906846")</f>
        <v>ICTVonline=201906846</v>
      </c>
      <c r="Y1747" s="1" t="s">
        <v>9959</v>
      </c>
      <c r="Z1747" s="1" t="s">
        <v>9960</v>
      </c>
      <c r="AA1747" s="1">
        <v>201900000</v>
      </c>
      <c r="AB1747" s="1">
        <v>35</v>
      </c>
    </row>
    <row r="1748" spans="1:28" x14ac:dyDescent="0.2">
      <c r="A1748" s="1">
        <v>4749</v>
      </c>
      <c r="B1748" s="1" t="s">
        <v>6850</v>
      </c>
      <c r="D1748" s="1" t="s">
        <v>6851</v>
      </c>
      <c r="F1748" s="1" t="s">
        <v>6914</v>
      </c>
      <c r="H1748" s="1" t="s">
        <v>6915</v>
      </c>
      <c r="J1748" s="1" t="s">
        <v>1324</v>
      </c>
      <c r="L1748" s="1" t="s">
        <v>895</v>
      </c>
      <c r="N1748" s="1" t="s">
        <v>6460</v>
      </c>
      <c r="P1748" s="1" t="s">
        <v>6461</v>
      </c>
      <c r="Q1748" s="3">
        <v>1</v>
      </c>
      <c r="R1748" s="23" t="s">
        <v>6854</v>
      </c>
      <c r="S1748" s="23" t="s">
        <v>6845</v>
      </c>
      <c r="T1748" s="23" t="s">
        <v>4866</v>
      </c>
      <c r="U1748" s="3">
        <v>35</v>
      </c>
      <c r="W1748" s="45" t="str">
        <f>HYPERLINK("http://ictvonline.org/taxonomy/p/taxonomy-history?taxnode_id=201906848","ICTVonline=201906848")</f>
        <v>ICTVonline=201906848</v>
      </c>
      <c r="Y1748" s="1" t="s">
        <v>9961</v>
      </c>
      <c r="Z1748" s="1" t="s">
        <v>9962</v>
      </c>
      <c r="AA1748" s="1">
        <v>201900000</v>
      </c>
      <c r="AB1748" s="1">
        <v>35</v>
      </c>
    </row>
    <row r="1749" spans="1:28" x14ac:dyDescent="0.2">
      <c r="A1749" s="1">
        <v>4753</v>
      </c>
      <c r="B1749" s="1" t="s">
        <v>6850</v>
      </c>
      <c r="D1749" s="1" t="s">
        <v>6851</v>
      </c>
      <c r="F1749" s="1" t="s">
        <v>6914</v>
      </c>
      <c r="H1749" s="1" t="s">
        <v>6915</v>
      </c>
      <c r="J1749" s="1" t="s">
        <v>1324</v>
      </c>
      <c r="L1749" s="1" t="s">
        <v>895</v>
      </c>
      <c r="N1749" s="1" t="s">
        <v>3230</v>
      </c>
      <c r="P1749" s="1" t="s">
        <v>5014</v>
      </c>
      <c r="Q1749" s="3">
        <v>0</v>
      </c>
      <c r="R1749" s="23" t="s">
        <v>6854</v>
      </c>
      <c r="S1749" s="23" t="s">
        <v>6845</v>
      </c>
      <c r="T1749" s="23" t="s">
        <v>4866</v>
      </c>
      <c r="U1749" s="3">
        <v>35</v>
      </c>
      <c r="W1749" s="45" t="str">
        <f>HYPERLINK("http://ictvonline.org/taxonomy/p/taxonomy-history?taxnode_id=201905558","ICTVonline=201905558")</f>
        <v>ICTVonline=201905558</v>
      </c>
      <c r="AA1749" s="1">
        <v>201900000</v>
      </c>
      <c r="AB1749" s="1">
        <v>35</v>
      </c>
    </row>
    <row r="1750" spans="1:28" x14ac:dyDescent="0.2">
      <c r="A1750" s="1">
        <v>4755</v>
      </c>
      <c r="B1750" s="1" t="s">
        <v>6850</v>
      </c>
      <c r="D1750" s="1" t="s">
        <v>6851</v>
      </c>
      <c r="F1750" s="1" t="s">
        <v>6914</v>
      </c>
      <c r="H1750" s="1" t="s">
        <v>6915</v>
      </c>
      <c r="J1750" s="1" t="s">
        <v>1324</v>
      </c>
      <c r="L1750" s="1" t="s">
        <v>895</v>
      </c>
      <c r="N1750" s="1" t="s">
        <v>3230</v>
      </c>
      <c r="P1750" s="1" t="s">
        <v>5015</v>
      </c>
      <c r="Q1750" s="3">
        <v>0</v>
      </c>
      <c r="R1750" s="23" t="s">
        <v>6854</v>
      </c>
      <c r="S1750" s="23" t="s">
        <v>6845</v>
      </c>
      <c r="T1750" s="23" t="s">
        <v>4866</v>
      </c>
      <c r="U1750" s="3">
        <v>35</v>
      </c>
      <c r="W1750" s="45" t="str">
        <f>HYPERLINK("http://ictvonline.org/taxonomy/p/taxonomy-history?taxnode_id=201905559","ICTVonline=201905559")</f>
        <v>ICTVonline=201905559</v>
      </c>
      <c r="AA1750" s="1">
        <v>201900000</v>
      </c>
      <c r="AB1750" s="1">
        <v>35</v>
      </c>
    </row>
    <row r="1751" spans="1:28" x14ac:dyDescent="0.2">
      <c r="A1751" s="1">
        <v>4757</v>
      </c>
      <c r="B1751" s="1" t="s">
        <v>6850</v>
      </c>
      <c r="D1751" s="1" t="s">
        <v>6851</v>
      </c>
      <c r="F1751" s="1" t="s">
        <v>6914</v>
      </c>
      <c r="H1751" s="1" t="s">
        <v>6915</v>
      </c>
      <c r="J1751" s="1" t="s">
        <v>1324</v>
      </c>
      <c r="L1751" s="1" t="s">
        <v>895</v>
      </c>
      <c r="N1751" s="1" t="s">
        <v>3230</v>
      </c>
      <c r="P1751" s="1" t="s">
        <v>5016</v>
      </c>
      <c r="Q1751" s="3">
        <v>0</v>
      </c>
      <c r="R1751" s="23" t="s">
        <v>6854</v>
      </c>
      <c r="S1751" s="23" t="s">
        <v>6845</v>
      </c>
      <c r="T1751" s="23" t="s">
        <v>4866</v>
      </c>
      <c r="U1751" s="3">
        <v>35</v>
      </c>
      <c r="W1751" s="45" t="str">
        <f>HYPERLINK("http://ictvonline.org/taxonomy/p/taxonomy-history?taxnode_id=201905560","ICTVonline=201905560")</f>
        <v>ICTVonline=201905560</v>
      </c>
      <c r="AA1751" s="1">
        <v>201900000</v>
      </c>
      <c r="AB1751" s="1">
        <v>35</v>
      </c>
    </row>
    <row r="1752" spans="1:28" x14ac:dyDescent="0.2">
      <c r="A1752" s="1">
        <v>4759</v>
      </c>
      <c r="B1752" s="1" t="s">
        <v>6850</v>
      </c>
      <c r="D1752" s="1" t="s">
        <v>6851</v>
      </c>
      <c r="F1752" s="1" t="s">
        <v>6914</v>
      </c>
      <c r="H1752" s="1" t="s">
        <v>6915</v>
      </c>
      <c r="J1752" s="1" t="s">
        <v>1324</v>
      </c>
      <c r="L1752" s="1" t="s">
        <v>895</v>
      </c>
      <c r="N1752" s="1" t="s">
        <v>3230</v>
      </c>
      <c r="P1752" s="1" t="s">
        <v>3233</v>
      </c>
      <c r="Q1752" s="3">
        <v>1</v>
      </c>
      <c r="R1752" s="23" t="s">
        <v>6854</v>
      </c>
      <c r="S1752" s="23" t="s">
        <v>6845</v>
      </c>
      <c r="T1752" s="23" t="s">
        <v>4866</v>
      </c>
      <c r="U1752" s="3">
        <v>35</v>
      </c>
      <c r="W1752" s="45" t="str">
        <f>HYPERLINK("http://ictvonline.org/taxonomy/p/taxonomy-history?taxnode_id=201901072","ICTVonline=201901072")</f>
        <v>ICTVonline=201901072</v>
      </c>
      <c r="AA1752" s="1">
        <v>201900000</v>
      </c>
      <c r="AB1752" s="1">
        <v>35</v>
      </c>
    </row>
    <row r="1753" spans="1:28" x14ac:dyDescent="0.2">
      <c r="A1753" s="1">
        <v>4763</v>
      </c>
      <c r="B1753" s="1" t="s">
        <v>6850</v>
      </c>
      <c r="D1753" s="1" t="s">
        <v>6851</v>
      </c>
      <c r="F1753" s="1" t="s">
        <v>6914</v>
      </c>
      <c r="H1753" s="1" t="s">
        <v>6915</v>
      </c>
      <c r="J1753" s="1" t="s">
        <v>1324</v>
      </c>
      <c r="L1753" s="1" t="s">
        <v>895</v>
      </c>
      <c r="N1753" s="1" t="s">
        <v>9963</v>
      </c>
      <c r="P1753" s="1" t="s">
        <v>9964</v>
      </c>
      <c r="Q1753" s="3">
        <v>1</v>
      </c>
      <c r="R1753" s="23" t="s">
        <v>6854</v>
      </c>
      <c r="S1753" s="23" t="s">
        <v>6849</v>
      </c>
      <c r="T1753" s="23" t="s">
        <v>4864</v>
      </c>
      <c r="U1753" s="3">
        <v>35</v>
      </c>
      <c r="V1753" s="3" t="s">
        <v>9965</v>
      </c>
      <c r="W1753" s="45" t="str">
        <f>HYPERLINK("http://ictvonline.org/taxonomy/p/taxonomy-history?taxnode_id=201907878","ICTVonline=201907878")</f>
        <v>ICTVonline=201907878</v>
      </c>
      <c r="Y1753" s="1" t="s">
        <v>9966</v>
      </c>
      <c r="AA1753" s="1">
        <v>201900000</v>
      </c>
      <c r="AB1753" s="1">
        <v>35</v>
      </c>
    </row>
    <row r="1754" spans="1:28" x14ac:dyDescent="0.2">
      <c r="A1754" s="1">
        <v>4767</v>
      </c>
      <c r="B1754" s="1" t="s">
        <v>6850</v>
      </c>
      <c r="D1754" s="1" t="s">
        <v>6851</v>
      </c>
      <c r="F1754" s="1" t="s">
        <v>6914</v>
      </c>
      <c r="H1754" s="1" t="s">
        <v>6915</v>
      </c>
      <c r="J1754" s="1" t="s">
        <v>1324</v>
      </c>
      <c r="L1754" s="1" t="s">
        <v>895</v>
      </c>
      <c r="N1754" s="1" t="s">
        <v>4344</v>
      </c>
      <c r="P1754" s="1" t="s">
        <v>4345</v>
      </c>
      <c r="Q1754" s="3">
        <v>1</v>
      </c>
      <c r="R1754" s="23" t="s">
        <v>6854</v>
      </c>
      <c r="S1754" s="23" t="s">
        <v>6845</v>
      </c>
      <c r="T1754" s="23" t="s">
        <v>4866</v>
      </c>
      <c r="U1754" s="3">
        <v>35</v>
      </c>
      <c r="W1754" s="45" t="str">
        <f>HYPERLINK("http://ictvonline.org/taxonomy/p/taxonomy-history?taxnode_id=201901074","ICTVonline=201901074")</f>
        <v>ICTVonline=201901074</v>
      </c>
      <c r="Y1754" s="1" t="s">
        <v>9967</v>
      </c>
      <c r="Z1754" s="1" t="s">
        <v>9968</v>
      </c>
      <c r="AA1754" s="1">
        <v>201900000</v>
      </c>
      <c r="AB1754" s="1">
        <v>35</v>
      </c>
    </row>
    <row r="1755" spans="1:28" x14ac:dyDescent="0.2">
      <c r="A1755" s="1">
        <v>4771</v>
      </c>
      <c r="B1755" s="1" t="s">
        <v>6850</v>
      </c>
      <c r="D1755" s="1" t="s">
        <v>6851</v>
      </c>
      <c r="F1755" s="1" t="s">
        <v>6914</v>
      </c>
      <c r="H1755" s="1" t="s">
        <v>6915</v>
      </c>
      <c r="J1755" s="1" t="s">
        <v>1324</v>
      </c>
      <c r="L1755" s="1" t="s">
        <v>895</v>
      </c>
      <c r="N1755" s="1" t="s">
        <v>9969</v>
      </c>
      <c r="P1755" s="1" t="s">
        <v>9970</v>
      </c>
      <c r="Q1755" s="3">
        <v>1</v>
      </c>
      <c r="R1755" s="23" t="s">
        <v>6854</v>
      </c>
      <c r="S1755" s="23" t="s">
        <v>6849</v>
      </c>
      <c r="T1755" s="23" t="s">
        <v>4864</v>
      </c>
      <c r="U1755" s="3">
        <v>35</v>
      </c>
      <c r="V1755" s="3" t="s">
        <v>9971</v>
      </c>
      <c r="W1755" s="45" t="str">
        <f>HYPERLINK("http://ictvonline.org/taxonomy/p/taxonomy-history?taxnode_id=201907890","ICTVonline=201907890")</f>
        <v>ICTVonline=201907890</v>
      </c>
      <c r="Y1755" s="1" t="s">
        <v>9972</v>
      </c>
      <c r="AA1755" s="1">
        <v>201900000</v>
      </c>
      <c r="AB1755" s="1">
        <v>35</v>
      </c>
    </row>
    <row r="1756" spans="1:28" x14ac:dyDescent="0.2">
      <c r="A1756" s="1">
        <v>4775</v>
      </c>
      <c r="B1756" s="1" t="s">
        <v>6850</v>
      </c>
      <c r="D1756" s="1" t="s">
        <v>6851</v>
      </c>
      <c r="F1756" s="1" t="s">
        <v>6914</v>
      </c>
      <c r="H1756" s="1" t="s">
        <v>6915</v>
      </c>
      <c r="J1756" s="1" t="s">
        <v>1324</v>
      </c>
      <c r="L1756" s="1" t="s">
        <v>895</v>
      </c>
      <c r="N1756" s="1" t="s">
        <v>9973</v>
      </c>
      <c r="P1756" s="1" t="s">
        <v>9974</v>
      </c>
      <c r="Q1756" s="3">
        <v>1</v>
      </c>
      <c r="R1756" s="23" t="s">
        <v>6854</v>
      </c>
      <c r="S1756" s="23" t="s">
        <v>6849</v>
      </c>
      <c r="T1756" s="23" t="s">
        <v>4864</v>
      </c>
      <c r="U1756" s="3">
        <v>35</v>
      </c>
      <c r="V1756" s="3" t="s">
        <v>9975</v>
      </c>
      <c r="W1756" s="45" t="str">
        <f>HYPERLINK("http://ictvonline.org/taxonomy/p/taxonomy-history?taxnode_id=201908063","ICTVonline=201908063")</f>
        <v>ICTVonline=201908063</v>
      </c>
      <c r="Y1756" s="1" t="s">
        <v>9976</v>
      </c>
      <c r="AA1756" s="1">
        <v>201900000</v>
      </c>
      <c r="AB1756" s="1">
        <v>35</v>
      </c>
    </row>
    <row r="1757" spans="1:28" x14ac:dyDescent="0.2">
      <c r="A1757" s="1">
        <v>4779</v>
      </c>
      <c r="B1757" s="1" t="s">
        <v>6850</v>
      </c>
      <c r="D1757" s="1" t="s">
        <v>6851</v>
      </c>
      <c r="F1757" s="1" t="s">
        <v>6914</v>
      </c>
      <c r="H1757" s="1" t="s">
        <v>6915</v>
      </c>
      <c r="J1757" s="1" t="s">
        <v>1324</v>
      </c>
      <c r="L1757" s="1" t="s">
        <v>895</v>
      </c>
      <c r="N1757" s="1" t="s">
        <v>3234</v>
      </c>
      <c r="P1757" s="1" t="s">
        <v>3235</v>
      </c>
      <c r="Q1757" s="3">
        <v>1</v>
      </c>
      <c r="R1757" s="23" t="s">
        <v>6854</v>
      </c>
      <c r="S1757" s="23" t="s">
        <v>6845</v>
      </c>
      <c r="T1757" s="23" t="s">
        <v>4866</v>
      </c>
      <c r="U1757" s="3">
        <v>35</v>
      </c>
      <c r="W1757" s="45" t="str">
        <f>HYPERLINK("http://ictvonline.org/taxonomy/p/taxonomy-history?taxnode_id=201901076","ICTVonline=201901076")</f>
        <v>ICTVonline=201901076</v>
      </c>
      <c r="Y1757" s="1" t="s">
        <v>9977</v>
      </c>
      <c r="AA1757" s="1">
        <v>201900000</v>
      </c>
      <c r="AB1757" s="1">
        <v>35</v>
      </c>
    </row>
    <row r="1758" spans="1:28" x14ac:dyDescent="0.2">
      <c r="A1758" s="1">
        <v>4781</v>
      </c>
      <c r="B1758" s="1" t="s">
        <v>6850</v>
      </c>
      <c r="D1758" s="1" t="s">
        <v>6851</v>
      </c>
      <c r="F1758" s="1" t="s">
        <v>6914</v>
      </c>
      <c r="H1758" s="1" t="s">
        <v>6915</v>
      </c>
      <c r="J1758" s="1" t="s">
        <v>1324</v>
      </c>
      <c r="L1758" s="1" t="s">
        <v>895</v>
      </c>
      <c r="N1758" s="1" t="s">
        <v>3234</v>
      </c>
      <c r="P1758" s="1" t="s">
        <v>3236</v>
      </c>
      <c r="Q1758" s="3">
        <v>0</v>
      </c>
      <c r="R1758" s="23" t="s">
        <v>6854</v>
      </c>
      <c r="S1758" s="23" t="s">
        <v>6845</v>
      </c>
      <c r="T1758" s="23" t="s">
        <v>4866</v>
      </c>
      <c r="U1758" s="3">
        <v>35</v>
      </c>
      <c r="W1758" s="45" t="str">
        <f>HYPERLINK("http://ictvonline.org/taxonomy/p/taxonomy-history?taxnode_id=201901077","ICTVonline=201901077")</f>
        <v>ICTVonline=201901077</v>
      </c>
      <c r="Y1758" s="1" t="s">
        <v>9978</v>
      </c>
      <c r="AA1758" s="1">
        <v>201900000</v>
      </c>
      <c r="AB1758" s="1">
        <v>35</v>
      </c>
    </row>
    <row r="1759" spans="1:28" x14ac:dyDescent="0.2">
      <c r="A1759" s="1">
        <v>4785</v>
      </c>
      <c r="B1759" s="1" t="s">
        <v>6850</v>
      </c>
      <c r="D1759" s="1" t="s">
        <v>6851</v>
      </c>
      <c r="F1759" s="1" t="s">
        <v>6914</v>
      </c>
      <c r="H1759" s="1" t="s">
        <v>6915</v>
      </c>
      <c r="J1759" s="1" t="s">
        <v>1324</v>
      </c>
      <c r="L1759" s="1" t="s">
        <v>895</v>
      </c>
      <c r="N1759" s="1" t="s">
        <v>6464</v>
      </c>
      <c r="P1759" s="1" t="s">
        <v>6465</v>
      </c>
      <c r="Q1759" s="3">
        <v>0</v>
      </c>
      <c r="R1759" s="23" t="s">
        <v>6854</v>
      </c>
      <c r="S1759" s="23" t="s">
        <v>6845</v>
      </c>
      <c r="T1759" s="23" t="s">
        <v>4866</v>
      </c>
      <c r="U1759" s="3">
        <v>35</v>
      </c>
      <c r="W1759" s="45" t="str">
        <f>HYPERLINK("http://ictvonline.org/taxonomy/p/taxonomy-history?taxnode_id=201906916","ICTVonline=201906916")</f>
        <v>ICTVonline=201906916</v>
      </c>
      <c r="AA1759" s="1">
        <v>201900000</v>
      </c>
      <c r="AB1759" s="1">
        <v>35</v>
      </c>
    </row>
    <row r="1760" spans="1:28" x14ac:dyDescent="0.2">
      <c r="A1760" s="1">
        <v>4787</v>
      </c>
      <c r="B1760" s="1" t="s">
        <v>6850</v>
      </c>
      <c r="D1760" s="1" t="s">
        <v>6851</v>
      </c>
      <c r="F1760" s="1" t="s">
        <v>6914</v>
      </c>
      <c r="H1760" s="1" t="s">
        <v>6915</v>
      </c>
      <c r="J1760" s="1" t="s">
        <v>1324</v>
      </c>
      <c r="L1760" s="1" t="s">
        <v>895</v>
      </c>
      <c r="N1760" s="1" t="s">
        <v>6464</v>
      </c>
      <c r="P1760" s="1" t="s">
        <v>6466</v>
      </c>
      <c r="Q1760" s="3">
        <v>1</v>
      </c>
      <c r="R1760" s="23" t="s">
        <v>6854</v>
      </c>
      <c r="S1760" s="23" t="s">
        <v>6845</v>
      </c>
      <c r="T1760" s="23" t="s">
        <v>4866</v>
      </c>
      <c r="U1760" s="3">
        <v>35</v>
      </c>
      <c r="W1760" s="45" t="str">
        <f>HYPERLINK("http://ictvonline.org/taxonomy/p/taxonomy-history?taxnode_id=201906915","ICTVonline=201906915")</f>
        <v>ICTVonline=201906915</v>
      </c>
      <c r="AA1760" s="1">
        <v>201900000</v>
      </c>
      <c r="AB1760" s="1">
        <v>35</v>
      </c>
    </row>
    <row r="1761" spans="1:28" x14ac:dyDescent="0.2">
      <c r="A1761" s="1">
        <v>4791</v>
      </c>
      <c r="B1761" s="1" t="s">
        <v>6850</v>
      </c>
      <c r="D1761" s="1" t="s">
        <v>6851</v>
      </c>
      <c r="F1761" s="1" t="s">
        <v>6914</v>
      </c>
      <c r="H1761" s="1" t="s">
        <v>6915</v>
      </c>
      <c r="J1761" s="1" t="s">
        <v>1324</v>
      </c>
      <c r="L1761" s="1" t="s">
        <v>895</v>
      </c>
      <c r="N1761" s="1" t="s">
        <v>6467</v>
      </c>
      <c r="P1761" s="1" t="s">
        <v>3271</v>
      </c>
      <c r="Q1761" s="3">
        <v>0</v>
      </c>
      <c r="R1761" s="23" t="s">
        <v>6854</v>
      </c>
      <c r="S1761" s="23" t="s">
        <v>6845</v>
      </c>
      <c r="T1761" s="23" t="s">
        <v>4866</v>
      </c>
      <c r="U1761" s="3">
        <v>35</v>
      </c>
      <c r="W1761" s="45" t="str">
        <f>HYPERLINK("http://ictvonline.org/taxonomy/p/taxonomy-history?taxnode_id=201901185","ICTVonline=201901185")</f>
        <v>ICTVonline=201901185</v>
      </c>
      <c r="Y1761" s="1" t="s">
        <v>9979</v>
      </c>
      <c r="AA1761" s="1">
        <v>201900000</v>
      </c>
      <c r="AB1761" s="1">
        <v>35</v>
      </c>
    </row>
    <row r="1762" spans="1:28" x14ac:dyDescent="0.2">
      <c r="A1762" s="1">
        <v>4793</v>
      </c>
      <c r="B1762" s="1" t="s">
        <v>6850</v>
      </c>
      <c r="D1762" s="1" t="s">
        <v>6851</v>
      </c>
      <c r="F1762" s="1" t="s">
        <v>6914</v>
      </c>
      <c r="H1762" s="1" t="s">
        <v>6915</v>
      </c>
      <c r="J1762" s="1" t="s">
        <v>1324</v>
      </c>
      <c r="L1762" s="1" t="s">
        <v>895</v>
      </c>
      <c r="N1762" s="1" t="s">
        <v>6467</v>
      </c>
      <c r="P1762" s="1" t="s">
        <v>3272</v>
      </c>
      <c r="Q1762" s="3">
        <v>1</v>
      </c>
      <c r="R1762" s="23" t="s">
        <v>6854</v>
      </c>
      <c r="S1762" s="23" t="s">
        <v>6845</v>
      </c>
      <c r="T1762" s="23" t="s">
        <v>4866</v>
      </c>
      <c r="U1762" s="3">
        <v>35</v>
      </c>
      <c r="W1762" s="45" t="str">
        <f>HYPERLINK("http://ictvonline.org/taxonomy/p/taxonomy-history?taxnode_id=201901186","ICTVonline=201901186")</f>
        <v>ICTVonline=201901186</v>
      </c>
      <c r="AA1762" s="1">
        <v>201900000</v>
      </c>
      <c r="AB1762" s="1">
        <v>35</v>
      </c>
    </row>
    <row r="1763" spans="1:28" x14ac:dyDescent="0.2">
      <c r="A1763" s="1">
        <v>4797</v>
      </c>
      <c r="B1763" s="1" t="s">
        <v>6850</v>
      </c>
      <c r="D1763" s="1" t="s">
        <v>6851</v>
      </c>
      <c r="F1763" s="1" t="s">
        <v>6914</v>
      </c>
      <c r="H1763" s="1" t="s">
        <v>6915</v>
      </c>
      <c r="J1763" s="1" t="s">
        <v>1324</v>
      </c>
      <c r="L1763" s="1" t="s">
        <v>895</v>
      </c>
      <c r="N1763" s="1" t="s">
        <v>9980</v>
      </c>
      <c r="P1763" s="1" t="s">
        <v>9981</v>
      </c>
      <c r="Q1763" s="3">
        <v>1</v>
      </c>
      <c r="R1763" s="23" t="s">
        <v>6854</v>
      </c>
      <c r="S1763" s="23" t="s">
        <v>6849</v>
      </c>
      <c r="T1763" s="23" t="s">
        <v>4864</v>
      </c>
      <c r="U1763" s="3">
        <v>35</v>
      </c>
      <c r="V1763" s="3" t="s">
        <v>9982</v>
      </c>
      <c r="W1763" s="45" t="str">
        <f>HYPERLINK("http://ictvonline.org/taxonomy/p/taxonomy-history?taxnode_id=201907441","ICTVonline=201907441")</f>
        <v>ICTVonline=201907441</v>
      </c>
      <c r="Y1763" s="1" t="s">
        <v>9983</v>
      </c>
      <c r="AA1763" s="1">
        <v>201900000</v>
      </c>
      <c r="AB1763" s="1">
        <v>35</v>
      </c>
    </row>
    <row r="1764" spans="1:28" x14ac:dyDescent="0.2">
      <c r="A1764" s="1">
        <v>4801</v>
      </c>
      <c r="B1764" s="1" t="s">
        <v>6850</v>
      </c>
      <c r="D1764" s="1" t="s">
        <v>6851</v>
      </c>
      <c r="F1764" s="1" t="s">
        <v>6914</v>
      </c>
      <c r="H1764" s="1" t="s">
        <v>6915</v>
      </c>
      <c r="J1764" s="1" t="s">
        <v>1324</v>
      </c>
      <c r="L1764" s="1" t="s">
        <v>895</v>
      </c>
      <c r="N1764" s="1" t="s">
        <v>9984</v>
      </c>
      <c r="P1764" s="1" t="s">
        <v>9985</v>
      </c>
      <c r="Q1764" s="3">
        <v>1</v>
      </c>
      <c r="R1764" s="23" t="s">
        <v>6854</v>
      </c>
      <c r="S1764" s="23" t="s">
        <v>6849</v>
      </c>
      <c r="T1764" s="23" t="s">
        <v>4864</v>
      </c>
      <c r="U1764" s="3">
        <v>35</v>
      </c>
      <c r="V1764" s="3" t="s">
        <v>9986</v>
      </c>
      <c r="W1764" s="45" t="str">
        <f>HYPERLINK("http://ictvonline.org/taxonomy/p/taxonomy-history?taxnode_id=201907448","ICTVonline=201907448")</f>
        <v>ICTVonline=201907448</v>
      </c>
      <c r="Y1764" s="1" t="s">
        <v>9987</v>
      </c>
      <c r="AA1764" s="1">
        <v>201900000</v>
      </c>
      <c r="AB1764" s="1">
        <v>35</v>
      </c>
    </row>
    <row r="1765" spans="1:28" x14ac:dyDescent="0.2">
      <c r="A1765" s="1">
        <v>4805</v>
      </c>
      <c r="B1765" s="1" t="s">
        <v>6850</v>
      </c>
      <c r="D1765" s="1" t="s">
        <v>6851</v>
      </c>
      <c r="F1765" s="1" t="s">
        <v>6914</v>
      </c>
      <c r="H1765" s="1" t="s">
        <v>6915</v>
      </c>
      <c r="J1765" s="1" t="s">
        <v>1324</v>
      </c>
      <c r="L1765" s="1" t="s">
        <v>895</v>
      </c>
      <c r="N1765" s="1" t="s">
        <v>9988</v>
      </c>
      <c r="P1765" s="1" t="s">
        <v>9989</v>
      </c>
      <c r="Q1765" s="3">
        <v>1</v>
      </c>
      <c r="R1765" s="23" t="s">
        <v>6854</v>
      </c>
      <c r="S1765" s="23" t="s">
        <v>6849</v>
      </c>
      <c r="T1765" s="23" t="s">
        <v>4864</v>
      </c>
      <c r="U1765" s="3">
        <v>35</v>
      </c>
      <c r="V1765" s="3" t="s">
        <v>8649</v>
      </c>
      <c r="W1765" s="45" t="str">
        <f>HYPERLINK("http://ictvonline.org/taxonomy/p/taxonomy-history?taxnode_id=201908054","ICTVonline=201908054")</f>
        <v>ICTVonline=201908054</v>
      </c>
      <c r="X1765" s="1" t="s">
        <v>9990</v>
      </c>
      <c r="Y1765" s="1" t="s">
        <v>9991</v>
      </c>
      <c r="Z1765" s="1" t="s">
        <v>8652</v>
      </c>
      <c r="AA1765" s="1">
        <v>201900000</v>
      </c>
      <c r="AB1765" s="1">
        <v>35</v>
      </c>
    </row>
    <row r="1766" spans="1:28" x14ac:dyDescent="0.2">
      <c r="A1766" s="1">
        <v>4809</v>
      </c>
      <c r="B1766" s="1" t="s">
        <v>6850</v>
      </c>
      <c r="D1766" s="1" t="s">
        <v>6851</v>
      </c>
      <c r="F1766" s="1" t="s">
        <v>6914</v>
      </c>
      <c r="H1766" s="1" t="s">
        <v>6915</v>
      </c>
      <c r="J1766" s="1" t="s">
        <v>1324</v>
      </c>
      <c r="L1766" s="1" t="s">
        <v>895</v>
      </c>
      <c r="N1766" s="1" t="s">
        <v>6468</v>
      </c>
      <c r="P1766" s="1" t="s">
        <v>3394</v>
      </c>
      <c r="Q1766" s="3">
        <v>0</v>
      </c>
      <c r="R1766" s="23" t="s">
        <v>6854</v>
      </c>
      <c r="S1766" s="23" t="s">
        <v>6845</v>
      </c>
      <c r="T1766" s="23" t="s">
        <v>4866</v>
      </c>
      <c r="U1766" s="3">
        <v>35</v>
      </c>
      <c r="W1766" s="45" t="str">
        <f>HYPERLINK("http://ictvonline.org/taxonomy/p/taxonomy-history?taxnode_id=201901353","ICTVonline=201901353")</f>
        <v>ICTVonline=201901353</v>
      </c>
      <c r="Y1766" s="1" t="s">
        <v>9992</v>
      </c>
      <c r="AA1766" s="1">
        <v>201900000</v>
      </c>
      <c r="AB1766" s="1">
        <v>35</v>
      </c>
    </row>
    <row r="1767" spans="1:28" x14ac:dyDescent="0.2">
      <c r="A1767" s="1">
        <v>4811</v>
      </c>
      <c r="B1767" s="1" t="s">
        <v>6850</v>
      </c>
      <c r="D1767" s="1" t="s">
        <v>6851</v>
      </c>
      <c r="F1767" s="1" t="s">
        <v>6914</v>
      </c>
      <c r="H1767" s="1" t="s">
        <v>6915</v>
      </c>
      <c r="J1767" s="1" t="s">
        <v>1324</v>
      </c>
      <c r="L1767" s="1" t="s">
        <v>895</v>
      </c>
      <c r="N1767" s="1" t="s">
        <v>6468</v>
      </c>
      <c r="P1767" s="1" t="s">
        <v>3395</v>
      </c>
      <c r="Q1767" s="3">
        <v>1</v>
      </c>
      <c r="R1767" s="23" t="s">
        <v>6854</v>
      </c>
      <c r="S1767" s="23" t="s">
        <v>6845</v>
      </c>
      <c r="T1767" s="23" t="s">
        <v>4866</v>
      </c>
      <c r="U1767" s="3">
        <v>35</v>
      </c>
      <c r="W1767" s="45" t="str">
        <f>HYPERLINK("http://ictvonline.org/taxonomy/p/taxonomy-history?taxnode_id=201901354","ICTVonline=201901354")</f>
        <v>ICTVonline=201901354</v>
      </c>
      <c r="Y1767" s="1" t="s">
        <v>9993</v>
      </c>
      <c r="AA1767" s="1">
        <v>201900000</v>
      </c>
      <c r="AB1767" s="1">
        <v>35</v>
      </c>
    </row>
    <row r="1768" spans="1:28" x14ac:dyDescent="0.2">
      <c r="A1768" s="1">
        <v>4815</v>
      </c>
      <c r="B1768" s="1" t="s">
        <v>6850</v>
      </c>
      <c r="D1768" s="1" t="s">
        <v>6851</v>
      </c>
      <c r="F1768" s="1" t="s">
        <v>6914</v>
      </c>
      <c r="H1768" s="1" t="s">
        <v>6915</v>
      </c>
      <c r="J1768" s="1" t="s">
        <v>1324</v>
      </c>
      <c r="L1768" s="1" t="s">
        <v>895</v>
      </c>
      <c r="N1768" s="1" t="s">
        <v>6469</v>
      </c>
      <c r="P1768" s="1" t="s">
        <v>6470</v>
      </c>
      <c r="Q1768" s="3">
        <v>1</v>
      </c>
      <c r="R1768" s="23" t="s">
        <v>6854</v>
      </c>
      <c r="S1768" s="23" t="s">
        <v>6845</v>
      </c>
      <c r="T1768" s="23" t="s">
        <v>4866</v>
      </c>
      <c r="U1768" s="3">
        <v>35</v>
      </c>
      <c r="W1768" s="45" t="str">
        <f>HYPERLINK("http://ictvonline.org/taxonomy/p/taxonomy-history?taxnode_id=201906987","ICTVonline=201906987")</f>
        <v>ICTVonline=201906987</v>
      </c>
      <c r="Y1768" s="1" t="s">
        <v>9994</v>
      </c>
      <c r="Z1768" s="1" t="s">
        <v>9995</v>
      </c>
      <c r="AA1768" s="1">
        <v>201900000</v>
      </c>
      <c r="AB1768" s="1">
        <v>35</v>
      </c>
    </row>
    <row r="1769" spans="1:28" x14ac:dyDescent="0.2">
      <c r="A1769" s="1">
        <v>4819</v>
      </c>
      <c r="B1769" s="1" t="s">
        <v>6850</v>
      </c>
      <c r="D1769" s="1" t="s">
        <v>6851</v>
      </c>
      <c r="F1769" s="1" t="s">
        <v>6914</v>
      </c>
      <c r="H1769" s="1" t="s">
        <v>6915</v>
      </c>
      <c r="J1769" s="1" t="s">
        <v>1324</v>
      </c>
      <c r="L1769" s="1" t="s">
        <v>895</v>
      </c>
      <c r="N1769" s="1" t="s">
        <v>9996</v>
      </c>
      <c r="P1769" s="1" t="s">
        <v>9997</v>
      </c>
      <c r="Q1769" s="3">
        <v>1</v>
      </c>
      <c r="R1769" s="23" t="s">
        <v>6854</v>
      </c>
      <c r="S1769" s="23" t="s">
        <v>6849</v>
      </c>
      <c r="T1769" s="23" t="s">
        <v>4864</v>
      </c>
      <c r="U1769" s="3">
        <v>35</v>
      </c>
      <c r="V1769" s="3" t="s">
        <v>9998</v>
      </c>
      <c r="W1769" s="45" t="str">
        <f>HYPERLINK("http://ictvonline.org/taxonomy/p/taxonomy-history?taxnode_id=201907892","ICTVonline=201907892")</f>
        <v>ICTVonline=201907892</v>
      </c>
      <c r="Y1769" s="1" t="s">
        <v>9999</v>
      </c>
      <c r="AA1769" s="1">
        <v>201900000</v>
      </c>
      <c r="AB1769" s="1">
        <v>35</v>
      </c>
    </row>
    <row r="1770" spans="1:28" x14ac:dyDescent="0.2">
      <c r="A1770" s="1">
        <v>4823</v>
      </c>
      <c r="B1770" s="1" t="s">
        <v>6850</v>
      </c>
      <c r="D1770" s="1" t="s">
        <v>6851</v>
      </c>
      <c r="F1770" s="1" t="s">
        <v>6914</v>
      </c>
      <c r="H1770" s="1" t="s">
        <v>6915</v>
      </c>
      <c r="J1770" s="1" t="s">
        <v>1324</v>
      </c>
      <c r="L1770" s="1" t="s">
        <v>895</v>
      </c>
      <c r="N1770" s="1" t="s">
        <v>10000</v>
      </c>
      <c r="P1770" s="1" t="s">
        <v>10001</v>
      </c>
      <c r="Q1770" s="3">
        <v>1</v>
      </c>
      <c r="R1770" s="23" t="s">
        <v>6854</v>
      </c>
      <c r="S1770" s="23" t="s">
        <v>6849</v>
      </c>
      <c r="T1770" s="23" t="s">
        <v>4864</v>
      </c>
      <c r="U1770" s="3">
        <v>35</v>
      </c>
      <c r="V1770" s="3" t="s">
        <v>9975</v>
      </c>
      <c r="W1770" s="45" t="str">
        <f>HYPERLINK("http://ictvonline.org/taxonomy/p/taxonomy-history?taxnode_id=201908065","ICTVonline=201908065")</f>
        <v>ICTVonline=201908065</v>
      </c>
      <c r="Y1770" s="1" t="s">
        <v>10002</v>
      </c>
      <c r="AA1770" s="1">
        <v>201900000</v>
      </c>
      <c r="AB1770" s="1">
        <v>35</v>
      </c>
    </row>
    <row r="1771" spans="1:28" x14ac:dyDescent="0.2">
      <c r="A1771" s="1">
        <v>4827</v>
      </c>
      <c r="B1771" s="1" t="s">
        <v>6850</v>
      </c>
      <c r="D1771" s="1" t="s">
        <v>6851</v>
      </c>
      <c r="F1771" s="1" t="s">
        <v>6914</v>
      </c>
      <c r="H1771" s="1" t="s">
        <v>6915</v>
      </c>
      <c r="J1771" s="1" t="s">
        <v>1324</v>
      </c>
      <c r="L1771" s="1" t="s">
        <v>895</v>
      </c>
      <c r="N1771" s="1" t="s">
        <v>6471</v>
      </c>
      <c r="P1771" s="1" t="s">
        <v>2978</v>
      </c>
      <c r="Q1771" s="3">
        <v>1</v>
      </c>
      <c r="R1771" s="23" t="s">
        <v>6854</v>
      </c>
      <c r="S1771" s="23" t="s">
        <v>6845</v>
      </c>
      <c r="T1771" s="23" t="s">
        <v>4866</v>
      </c>
      <c r="U1771" s="3">
        <v>35</v>
      </c>
      <c r="W1771" s="45" t="str">
        <f>HYPERLINK("http://ictvonline.org/taxonomy/p/taxonomy-history?taxnode_id=201900969","ICTVonline=201900969")</f>
        <v>ICTVonline=201900969</v>
      </c>
      <c r="Y1771" s="1" t="s">
        <v>10003</v>
      </c>
      <c r="Z1771" s="1" t="s">
        <v>10004</v>
      </c>
      <c r="AA1771" s="1">
        <v>201900000</v>
      </c>
      <c r="AB1771" s="1">
        <v>35</v>
      </c>
    </row>
    <row r="1772" spans="1:28" x14ac:dyDescent="0.2">
      <c r="A1772" s="1">
        <v>4829</v>
      </c>
      <c r="B1772" s="1" t="s">
        <v>6850</v>
      </c>
      <c r="D1772" s="1" t="s">
        <v>6851</v>
      </c>
      <c r="F1772" s="1" t="s">
        <v>6914</v>
      </c>
      <c r="H1772" s="1" t="s">
        <v>6915</v>
      </c>
      <c r="J1772" s="1" t="s">
        <v>1324</v>
      </c>
      <c r="L1772" s="1" t="s">
        <v>895</v>
      </c>
      <c r="N1772" s="1" t="s">
        <v>6471</v>
      </c>
      <c r="P1772" s="1" t="s">
        <v>2979</v>
      </c>
      <c r="Q1772" s="3">
        <v>0</v>
      </c>
      <c r="R1772" s="23" t="s">
        <v>6854</v>
      </c>
      <c r="S1772" s="23" t="s">
        <v>6845</v>
      </c>
      <c r="T1772" s="23" t="s">
        <v>4866</v>
      </c>
      <c r="U1772" s="3">
        <v>35</v>
      </c>
      <c r="W1772" s="45" t="str">
        <f>HYPERLINK("http://ictvonline.org/taxonomy/p/taxonomy-history?taxnode_id=201900970","ICTVonline=201900970")</f>
        <v>ICTVonline=201900970</v>
      </c>
      <c r="Y1772" s="1" t="s">
        <v>10005</v>
      </c>
      <c r="Z1772" s="1" t="s">
        <v>2979</v>
      </c>
      <c r="AA1772" s="1">
        <v>201900000</v>
      </c>
      <c r="AB1772" s="1">
        <v>35</v>
      </c>
    </row>
    <row r="1773" spans="1:28" x14ac:dyDescent="0.2">
      <c r="A1773" s="1">
        <v>4833</v>
      </c>
      <c r="B1773" s="1" t="s">
        <v>6850</v>
      </c>
      <c r="D1773" s="1" t="s">
        <v>6851</v>
      </c>
      <c r="F1773" s="1" t="s">
        <v>6914</v>
      </c>
      <c r="H1773" s="1" t="s">
        <v>6915</v>
      </c>
      <c r="J1773" s="1" t="s">
        <v>1324</v>
      </c>
      <c r="L1773" s="1" t="s">
        <v>895</v>
      </c>
      <c r="N1773" s="1" t="s">
        <v>6472</v>
      </c>
      <c r="P1773" s="1" t="s">
        <v>3377</v>
      </c>
      <c r="Q1773" s="3">
        <v>0</v>
      </c>
      <c r="R1773" s="23" t="s">
        <v>6854</v>
      </c>
      <c r="S1773" s="23" t="s">
        <v>6845</v>
      </c>
      <c r="T1773" s="23" t="s">
        <v>4866</v>
      </c>
      <c r="U1773" s="3">
        <v>35</v>
      </c>
      <c r="W1773" s="45" t="str">
        <f>HYPERLINK("http://ictvonline.org/taxonomy/p/taxonomy-history?taxnode_id=201901318","ICTVonline=201901318")</f>
        <v>ICTVonline=201901318</v>
      </c>
      <c r="Y1773" s="1" t="s">
        <v>10006</v>
      </c>
      <c r="Z1773" s="1" t="s">
        <v>10007</v>
      </c>
      <c r="AA1773" s="1">
        <v>201900000</v>
      </c>
      <c r="AB1773" s="1">
        <v>35</v>
      </c>
    </row>
    <row r="1774" spans="1:28" x14ac:dyDescent="0.2">
      <c r="A1774" s="1">
        <v>4835</v>
      </c>
      <c r="B1774" s="1" t="s">
        <v>6850</v>
      </c>
      <c r="D1774" s="1" t="s">
        <v>6851</v>
      </c>
      <c r="F1774" s="1" t="s">
        <v>6914</v>
      </c>
      <c r="H1774" s="1" t="s">
        <v>6915</v>
      </c>
      <c r="J1774" s="1" t="s">
        <v>1324</v>
      </c>
      <c r="L1774" s="1" t="s">
        <v>895</v>
      </c>
      <c r="N1774" s="1" t="s">
        <v>6472</v>
      </c>
      <c r="P1774" s="1" t="s">
        <v>3378</v>
      </c>
      <c r="Q1774" s="3">
        <v>1</v>
      </c>
      <c r="R1774" s="23" t="s">
        <v>6854</v>
      </c>
      <c r="S1774" s="23" t="s">
        <v>6845</v>
      </c>
      <c r="T1774" s="23" t="s">
        <v>4866</v>
      </c>
      <c r="U1774" s="3">
        <v>35</v>
      </c>
      <c r="W1774" s="45" t="str">
        <f>HYPERLINK("http://ictvonline.org/taxonomy/p/taxonomy-history?taxnode_id=201901319","ICTVonline=201901319")</f>
        <v>ICTVonline=201901319</v>
      </c>
      <c r="Y1774" s="1" t="s">
        <v>10008</v>
      </c>
      <c r="Z1774" s="1" t="s">
        <v>10009</v>
      </c>
      <c r="AA1774" s="1">
        <v>201900000</v>
      </c>
      <c r="AB1774" s="1">
        <v>35</v>
      </c>
    </row>
    <row r="1775" spans="1:28" x14ac:dyDescent="0.2">
      <c r="A1775" s="1">
        <v>4839</v>
      </c>
      <c r="B1775" s="1" t="s">
        <v>6850</v>
      </c>
      <c r="D1775" s="1" t="s">
        <v>6851</v>
      </c>
      <c r="F1775" s="1" t="s">
        <v>6914</v>
      </c>
      <c r="H1775" s="1" t="s">
        <v>6915</v>
      </c>
      <c r="J1775" s="1" t="s">
        <v>1324</v>
      </c>
      <c r="L1775" s="1" t="s">
        <v>895</v>
      </c>
      <c r="N1775" s="1" t="s">
        <v>4346</v>
      </c>
      <c r="P1775" s="1" t="s">
        <v>4347</v>
      </c>
      <c r="Q1775" s="3">
        <v>1</v>
      </c>
      <c r="R1775" s="23" t="s">
        <v>6854</v>
      </c>
      <c r="S1775" s="23" t="s">
        <v>6845</v>
      </c>
      <c r="T1775" s="23" t="s">
        <v>4866</v>
      </c>
      <c r="U1775" s="3">
        <v>35</v>
      </c>
      <c r="W1775" s="45" t="str">
        <f>HYPERLINK("http://ictvonline.org/taxonomy/p/taxonomy-history?taxnode_id=201901079","ICTVonline=201901079")</f>
        <v>ICTVonline=201901079</v>
      </c>
      <c r="Y1775" s="1" t="s">
        <v>10010</v>
      </c>
      <c r="Z1775" s="1" t="s">
        <v>10011</v>
      </c>
      <c r="AA1775" s="1">
        <v>201900000</v>
      </c>
      <c r="AB1775" s="1">
        <v>35</v>
      </c>
    </row>
    <row r="1776" spans="1:28" x14ac:dyDescent="0.2">
      <c r="A1776" s="1">
        <v>4841</v>
      </c>
      <c r="B1776" s="1" t="s">
        <v>6850</v>
      </c>
      <c r="D1776" s="1" t="s">
        <v>6851</v>
      </c>
      <c r="F1776" s="1" t="s">
        <v>6914</v>
      </c>
      <c r="H1776" s="1" t="s">
        <v>6915</v>
      </c>
      <c r="J1776" s="1" t="s">
        <v>1324</v>
      </c>
      <c r="L1776" s="1" t="s">
        <v>895</v>
      </c>
      <c r="N1776" s="1" t="s">
        <v>4346</v>
      </c>
      <c r="P1776" s="1" t="s">
        <v>4348</v>
      </c>
      <c r="Q1776" s="3">
        <v>0</v>
      </c>
      <c r="R1776" s="23" t="s">
        <v>6854</v>
      </c>
      <c r="S1776" s="23" t="s">
        <v>6845</v>
      </c>
      <c r="T1776" s="23" t="s">
        <v>4866</v>
      </c>
      <c r="U1776" s="3">
        <v>35</v>
      </c>
      <c r="W1776" s="45" t="str">
        <f>HYPERLINK("http://ictvonline.org/taxonomy/p/taxonomy-history?taxnode_id=201901080","ICTVonline=201901080")</f>
        <v>ICTVonline=201901080</v>
      </c>
      <c r="Y1776" s="1" t="s">
        <v>10012</v>
      </c>
      <c r="Z1776" s="1" t="s">
        <v>10013</v>
      </c>
      <c r="AA1776" s="1">
        <v>201900000</v>
      </c>
      <c r="AB1776" s="1">
        <v>35</v>
      </c>
    </row>
    <row r="1777" spans="1:28" x14ac:dyDescent="0.2">
      <c r="A1777" s="1">
        <v>4845</v>
      </c>
      <c r="B1777" s="1" t="s">
        <v>6850</v>
      </c>
      <c r="D1777" s="1" t="s">
        <v>6851</v>
      </c>
      <c r="F1777" s="1" t="s">
        <v>6914</v>
      </c>
      <c r="H1777" s="1" t="s">
        <v>6915</v>
      </c>
      <c r="J1777" s="1" t="s">
        <v>1324</v>
      </c>
      <c r="L1777" s="1" t="s">
        <v>895</v>
      </c>
      <c r="N1777" s="1" t="s">
        <v>10014</v>
      </c>
      <c r="P1777" s="1" t="s">
        <v>10015</v>
      </c>
      <c r="Q1777" s="3">
        <v>1</v>
      </c>
      <c r="R1777" s="23" t="s">
        <v>6854</v>
      </c>
      <c r="S1777" s="23" t="s">
        <v>6849</v>
      </c>
      <c r="T1777" s="23" t="s">
        <v>4864</v>
      </c>
      <c r="U1777" s="3">
        <v>35</v>
      </c>
      <c r="V1777" s="3" t="s">
        <v>10016</v>
      </c>
      <c r="W1777" s="45" t="str">
        <f>HYPERLINK("http://ictvonline.org/taxonomy/p/taxonomy-history?taxnode_id=201907894","ICTVonline=201907894")</f>
        <v>ICTVonline=201907894</v>
      </c>
      <c r="Y1777" s="1" t="s">
        <v>10017</v>
      </c>
      <c r="AA1777" s="1">
        <v>201900000</v>
      </c>
      <c r="AB1777" s="1">
        <v>35</v>
      </c>
    </row>
    <row r="1778" spans="1:28" x14ac:dyDescent="0.2">
      <c r="A1778" s="1">
        <v>4849</v>
      </c>
      <c r="B1778" s="1" t="s">
        <v>6850</v>
      </c>
      <c r="D1778" s="1" t="s">
        <v>6851</v>
      </c>
      <c r="F1778" s="1" t="s">
        <v>6914</v>
      </c>
      <c r="H1778" s="1" t="s">
        <v>6915</v>
      </c>
      <c r="J1778" s="1" t="s">
        <v>1324</v>
      </c>
      <c r="L1778" s="1" t="s">
        <v>895</v>
      </c>
      <c r="N1778" s="1" t="s">
        <v>10018</v>
      </c>
      <c r="P1778" s="1" t="s">
        <v>10019</v>
      </c>
      <c r="Q1778" s="3">
        <v>1</v>
      </c>
      <c r="R1778" s="23" t="s">
        <v>6854</v>
      </c>
      <c r="S1778" s="23" t="s">
        <v>6849</v>
      </c>
      <c r="T1778" s="23" t="s">
        <v>4864</v>
      </c>
      <c r="U1778" s="3">
        <v>35</v>
      </c>
      <c r="V1778" s="3" t="s">
        <v>10020</v>
      </c>
      <c r="W1778" s="45" t="str">
        <f>HYPERLINK("http://ictvonline.org/taxonomy/p/taxonomy-history?taxnode_id=201907453","ICTVonline=201907453")</f>
        <v>ICTVonline=201907453</v>
      </c>
      <c r="Y1778" s="1" t="s">
        <v>10021</v>
      </c>
      <c r="AA1778" s="1">
        <v>201900000</v>
      </c>
      <c r="AB1778" s="1">
        <v>35</v>
      </c>
    </row>
    <row r="1779" spans="1:28" x14ac:dyDescent="0.2">
      <c r="A1779" s="1">
        <v>4853</v>
      </c>
      <c r="B1779" s="1" t="s">
        <v>6850</v>
      </c>
      <c r="D1779" s="1" t="s">
        <v>6851</v>
      </c>
      <c r="F1779" s="1" t="s">
        <v>6914</v>
      </c>
      <c r="H1779" s="1" t="s">
        <v>6915</v>
      </c>
      <c r="J1779" s="1" t="s">
        <v>1324</v>
      </c>
      <c r="L1779" s="1" t="s">
        <v>895</v>
      </c>
      <c r="N1779" s="1" t="s">
        <v>10022</v>
      </c>
      <c r="P1779" s="1" t="s">
        <v>10023</v>
      </c>
      <c r="Q1779" s="3">
        <v>0</v>
      </c>
      <c r="R1779" s="23" t="s">
        <v>6854</v>
      </c>
      <c r="S1779" s="23" t="s">
        <v>6849</v>
      </c>
      <c r="T1779" s="23" t="s">
        <v>4864</v>
      </c>
      <c r="U1779" s="3">
        <v>35</v>
      </c>
      <c r="V1779" s="3" t="s">
        <v>10024</v>
      </c>
      <c r="W1779" s="45" t="str">
        <f>HYPERLINK("http://ictvonline.org/taxonomy/p/taxonomy-history?taxnode_id=201907898","ICTVonline=201907898")</f>
        <v>ICTVonline=201907898</v>
      </c>
      <c r="Y1779" s="1" t="s">
        <v>10025</v>
      </c>
      <c r="AA1779" s="1">
        <v>201900000</v>
      </c>
      <c r="AB1779" s="1">
        <v>35</v>
      </c>
    </row>
    <row r="1780" spans="1:28" x14ac:dyDescent="0.2">
      <c r="A1780" s="1">
        <v>4855</v>
      </c>
      <c r="B1780" s="1" t="s">
        <v>6850</v>
      </c>
      <c r="D1780" s="1" t="s">
        <v>6851</v>
      </c>
      <c r="F1780" s="1" t="s">
        <v>6914</v>
      </c>
      <c r="H1780" s="1" t="s">
        <v>6915</v>
      </c>
      <c r="J1780" s="1" t="s">
        <v>1324</v>
      </c>
      <c r="L1780" s="1" t="s">
        <v>895</v>
      </c>
      <c r="N1780" s="1" t="s">
        <v>10022</v>
      </c>
      <c r="P1780" s="1" t="s">
        <v>10026</v>
      </c>
      <c r="Q1780" s="3">
        <v>1</v>
      </c>
      <c r="R1780" s="23" t="s">
        <v>6854</v>
      </c>
      <c r="S1780" s="23" t="s">
        <v>6849</v>
      </c>
      <c r="T1780" s="23" t="s">
        <v>4864</v>
      </c>
      <c r="U1780" s="3">
        <v>35</v>
      </c>
      <c r="V1780" s="3" t="s">
        <v>10024</v>
      </c>
      <c r="W1780" s="45" t="str">
        <f>HYPERLINK("http://ictvonline.org/taxonomy/p/taxonomy-history?taxnode_id=201907896","ICTVonline=201907896")</f>
        <v>ICTVonline=201907896</v>
      </c>
      <c r="Y1780" s="1" t="s">
        <v>10027</v>
      </c>
      <c r="AA1780" s="1">
        <v>201900000</v>
      </c>
      <c r="AB1780" s="1">
        <v>35</v>
      </c>
    </row>
    <row r="1781" spans="1:28" x14ac:dyDescent="0.2">
      <c r="A1781" s="1">
        <v>4857</v>
      </c>
      <c r="B1781" s="1" t="s">
        <v>6850</v>
      </c>
      <c r="D1781" s="1" t="s">
        <v>6851</v>
      </c>
      <c r="F1781" s="1" t="s">
        <v>6914</v>
      </c>
      <c r="H1781" s="1" t="s">
        <v>6915</v>
      </c>
      <c r="J1781" s="1" t="s">
        <v>1324</v>
      </c>
      <c r="L1781" s="1" t="s">
        <v>895</v>
      </c>
      <c r="N1781" s="1" t="s">
        <v>10022</v>
      </c>
      <c r="P1781" s="1" t="s">
        <v>10028</v>
      </c>
      <c r="Q1781" s="3">
        <v>0</v>
      </c>
      <c r="R1781" s="23" t="s">
        <v>6854</v>
      </c>
      <c r="S1781" s="23" t="s">
        <v>6849</v>
      </c>
      <c r="T1781" s="23" t="s">
        <v>4864</v>
      </c>
      <c r="U1781" s="3">
        <v>35</v>
      </c>
      <c r="V1781" s="3" t="s">
        <v>10024</v>
      </c>
      <c r="W1781" s="45" t="str">
        <f>HYPERLINK("http://ictvonline.org/taxonomy/p/taxonomy-history?taxnode_id=201907897","ICTVonline=201907897")</f>
        <v>ICTVonline=201907897</v>
      </c>
      <c r="Y1781" s="1" t="s">
        <v>10029</v>
      </c>
      <c r="AA1781" s="1">
        <v>201900000</v>
      </c>
      <c r="AB1781" s="1">
        <v>35</v>
      </c>
    </row>
    <row r="1782" spans="1:28" x14ac:dyDescent="0.2">
      <c r="A1782" s="1">
        <v>4861</v>
      </c>
      <c r="B1782" s="1" t="s">
        <v>6850</v>
      </c>
      <c r="D1782" s="1" t="s">
        <v>6851</v>
      </c>
      <c r="F1782" s="1" t="s">
        <v>6914</v>
      </c>
      <c r="H1782" s="1" t="s">
        <v>6915</v>
      </c>
      <c r="J1782" s="1" t="s">
        <v>1324</v>
      </c>
      <c r="L1782" s="1" t="s">
        <v>895</v>
      </c>
      <c r="N1782" s="1" t="s">
        <v>6473</v>
      </c>
      <c r="P1782" s="1" t="s">
        <v>6474</v>
      </c>
      <c r="Q1782" s="3">
        <v>1</v>
      </c>
      <c r="R1782" s="23" t="s">
        <v>6854</v>
      </c>
      <c r="S1782" s="23" t="s">
        <v>6845</v>
      </c>
      <c r="T1782" s="23" t="s">
        <v>4866</v>
      </c>
      <c r="U1782" s="3">
        <v>35</v>
      </c>
      <c r="W1782" s="45" t="str">
        <f>HYPERLINK("http://ictvonline.org/taxonomy/p/taxonomy-history?taxnode_id=201906747","ICTVonline=201906747")</f>
        <v>ICTVonline=201906747</v>
      </c>
      <c r="Y1782" s="1" t="s">
        <v>10030</v>
      </c>
      <c r="Z1782" s="1" t="s">
        <v>10031</v>
      </c>
      <c r="AA1782" s="1">
        <v>201900000</v>
      </c>
      <c r="AB1782" s="1">
        <v>35</v>
      </c>
    </row>
    <row r="1783" spans="1:28" x14ac:dyDescent="0.2">
      <c r="A1783" s="1">
        <v>4865</v>
      </c>
      <c r="B1783" s="1" t="s">
        <v>6850</v>
      </c>
      <c r="D1783" s="1" t="s">
        <v>6851</v>
      </c>
      <c r="F1783" s="1" t="s">
        <v>6914</v>
      </c>
      <c r="H1783" s="1" t="s">
        <v>6915</v>
      </c>
      <c r="J1783" s="1" t="s">
        <v>1324</v>
      </c>
      <c r="L1783" s="1" t="s">
        <v>895</v>
      </c>
      <c r="N1783" s="1" t="s">
        <v>6475</v>
      </c>
      <c r="P1783" s="1" t="s">
        <v>3342</v>
      </c>
      <c r="Q1783" s="3">
        <v>0</v>
      </c>
      <c r="R1783" s="23" t="s">
        <v>6854</v>
      </c>
      <c r="S1783" s="23" t="s">
        <v>6845</v>
      </c>
      <c r="T1783" s="23" t="s">
        <v>4866</v>
      </c>
      <c r="U1783" s="3">
        <v>35</v>
      </c>
      <c r="W1783" s="45" t="str">
        <f>HYPERLINK("http://ictvonline.org/taxonomy/p/taxonomy-history?taxnode_id=201901273","ICTVonline=201901273")</f>
        <v>ICTVonline=201901273</v>
      </c>
      <c r="Y1783" s="1" t="s">
        <v>10032</v>
      </c>
      <c r="AA1783" s="1">
        <v>201900000</v>
      </c>
      <c r="AB1783" s="1">
        <v>35</v>
      </c>
    </row>
    <row r="1784" spans="1:28" x14ac:dyDescent="0.2">
      <c r="A1784" s="1">
        <v>4867</v>
      </c>
      <c r="B1784" s="1" t="s">
        <v>6850</v>
      </c>
      <c r="D1784" s="1" t="s">
        <v>6851</v>
      </c>
      <c r="F1784" s="1" t="s">
        <v>6914</v>
      </c>
      <c r="H1784" s="1" t="s">
        <v>6915</v>
      </c>
      <c r="J1784" s="1" t="s">
        <v>1324</v>
      </c>
      <c r="L1784" s="1" t="s">
        <v>895</v>
      </c>
      <c r="N1784" s="1" t="s">
        <v>6475</v>
      </c>
      <c r="P1784" s="1" t="s">
        <v>3343</v>
      </c>
      <c r="Q1784" s="3">
        <v>1</v>
      </c>
      <c r="R1784" s="23" t="s">
        <v>6854</v>
      </c>
      <c r="S1784" s="23" t="s">
        <v>6845</v>
      </c>
      <c r="T1784" s="23" t="s">
        <v>4866</v>
      </c>
      <c r="U1784" s="3">
        <v>35</v>
      </c>
      <c r="W1784" s="45" t="str">
        <f>HYPERLINK("http://ictvonline.org/taxonomy/p/taxonomy-history?taxnode_id=201901274","ICTVonline=201901274")</f>
        <v>ICTVonline=201901274</v>
      </c>
      <c r="Y1784" s="1" t="s">
        <v>10033</v>
      </c>
      <c r="AA1784" s="1">
        <v>201900000</v>
      </c>
      <c r="AB1784" s="1">
        <v>35</v>
      </c>
    </row>
    <row r="1785" spans="1:28" x14ac:dyDescent="0.2">
      <c r="A1785" s="1">
        <v>4869</v>
      </c>
      <c r="B1785" s="1" t="s">
        <v>6850</v>
      </c>
      <c r="D1785" s="1" t="s">
        <v>6851</v>
      </c>
      <c r="F1785" s="1" t="s">
        <v>6914</v>
      </c>
      <c r="H1785" s="1" t="s">
        <v>6915</v>
      </c>
      <c r="J1785" s="1" t="s">
        <v>1324</v>
      </c>
      <c r="L1785" s="1" t="s">
        <v>895</v>
      </c>
      <c r="N1785" s="1" t="s">
        <v>6475</v>
      </c>
      <c r="P1785" s="1" t="s">
        <v>3344</v>
      </c>
      <c r="Q1785" s="3">
        <v>0</v>
      </c>
      <c r="R1785" s="23" t="s">
        <v>6854</v>
      </c>
      <c r="S1785" s="23" t="s">
        <v>6845</v>
      </c>
      <c r="T1785" s="23" t="s">
        <v>4866</v>
      </c>
      <c r="U1785" s="3">
        <v>35</v>
      </c>
      <c r="W1785" s="45" t="str">
        <f>HYPERLINK("http://ictvonline.org/taxonomy/p/taxonomy-history?taxnode_id=201901275","ICTVonline=201901275")</f>
        <v>ICTVonline=201901275</v>
      </c>
      <c r="Y1785" s="1" t="s">
        <v>10034</v>
      </c>
      <c r="AA1785" s="1">
        <v>201900000</v>
      </c>
      <c r="AB1785" s="1">
        <v>35</v>
      </c>
    </row>
    <row r="1786" spans="1:28" x14ac:dyDescent="0.2">
      <c r="A1786" s="1">
        <v>4871</v>
      </c>
      <c r="B1786" s="1" t="s">
        <v>6850</v>
      </c>
      <c r="D1786" s="1" t="s">
        <v>6851</v>
      </c>
      <c r="F1786" s="1" t="s">
        <v>6914</v>
      </c>
      <c r="H1786" s="1" t="s">
        <v>6915</v>
      </c>
      <c r="J1786" s="1" t="s">
        <v>1324</v>
      </c>
      <c r="L1786" s="1" t="s">
        <v>895</v>
      </c>
      <c r="N1786" s="1" t="s">
        <v>6475</v>
      </c>
      <c r="P1786" s="1" t="s">
        <v>3345</v>
      </c>
      <c r="Q1786" s="3">
        <v>0</v>
      </c>
      <c r="R1786" s="23" t="s">
        <v>6854</v>
      </c>
      <c r="S1786" s="23" t="s">
        <v>6845</v>
      </c>
      <c r="T1786" s="23" t="s">
        <v>4866</v>
      </c>
      <c r="U1786" s="3">
        <v>35</v>
      </c>
      <c r="W1786" s="45" t="str">
        <f>HYPERLINK("http://ictvonline.org/taxonomy/p/taxonomy-history?taxnode_id=201901276","ICTVonline=201901276")</f>
        <v>ICTVonline=201901276</v>
      </c>
      <c r="Y1786" s="1" t="s">
        <v>10035</v>
      </c>
      <c r="AA1786" s="1">
        <v>201900000</v>
      </c>
      <c r="AB1786" s="1">
        <v>35</v>
      </c>
    </row>
    <row r="1787" spans="1:28" x14ac:dyDescent="0.2">
      <c r="A1787" s="1">
        <v>4873</v>
      </c>
      <c r="B1787" s="1" t="s">
        <v>6850</v>
      </c>
      <c r="D1787" s="1" t="s">
        <v>6851</v>
      </c>
      <c r="F1787" s="1" t="s">
        <v>6914</v>
      </c>
      <c r="H1787" s="1" t="s">
        <v>6915</v>
      </c>
      <c r="J1787" s="1" t="s">
        <v>1324</v>
      </c>
      <c r="L1787" s="1" t="s">
        <v>895</v>
      </c>
      <c r="N1787" s="1" t="s">
        <v>6475</v>
      </c>
      <c r="P1787" s="1" t="s">
        <v>3346</v>
      </c>
      <c r="Q1787" s="3">
        <v>0</v>
      </c>
      <c r="R1787" s="23" t="s">
        <v>6854</v>
      </c>
      <c r="S1787" s="23" t="s">
        <v>6845</v>
      </c>
      <c r="T1787" s="23" t="s">
        <v>4866</v>
      </c>
      <c r="U1787" s="3">
        <v>35</v>
      </c>
      <c r="W1787" s="45" t="str">
        <f>HYPERLINK("http://ictvonline.org/taxonomy/p/taxonomy-history?taxnode_id=201901277","ICTVonline=201901277")</f>
        <v>ICTVonline=201901277</v>
      </c>
      <c r="Y1787" s="1" t="s">
        <v>10036</v>
      </c>
      <c r="AA1787" s="1">
        <v>201900000</v>
      </c>
      <c r="AB1787" s="1">
        <v>35</v>
      </c>
    </row>
    <row r="1788" spans="1:28" x14ac:dyDescent="0.2">
      <c r="A1788" s="1">
        <v>4877</v>
      </c>
      <c r="B1788" s="1" t="s">
        <v>6850</v>
      </c>
      <c r="D1788" s="1" t="s">
        <v>6851</v>
      </c>
      <c r="F1788" s="1" t="s">
        <v>6914</v>
      </c>
      <c r="H1788" s="1" t="s">
        <v>6915</v>
      </c>
      <c r="J1788" s="1" t="s">
        <v>1324</v>
      </c>
      <c r="L1788" s="1" t="s">
        <v>895</v>
      </c>
      <c r="N1788" s="1" t="s">
        <v>10037</v>
      </c>
      <c r="P1788" s="1" t="s">
        <v>10038</v>
      </c>
      <c r="Q1788" s="3">
        <v>0</v>
      </c>
      <c r="R1788" s="23" t="s">
        <v>6854</v>
      </c>
      <c r="S1788" s="23" t="s">
        <v>6845</v>
      </c>
      <c r="T1788" s="23" t="s">
        <v>4864</v>
      </c>
      <c r="U1788" s="3">
        <v>35</v>
      </c>
      <c r="V1788" s="3" t="s">
        <v>10039</v>
      </c>
      <c r="W1788" s="45" t="str">
        <f>HYPERLINK("http://ictvonline.org/taxonomy/p/taxonomy-history?taxnode_id=201908659","ICTVonline=201908659")</f>
        <v>ICTVonline=201908659</v>
      </c>
      <c r="Y1788" s="1" t="s">
        <v>10040</v>
      </c>
      <c r="AA1788" s="1">
        <v>201900000</v>
      </c>
      <c r="AB1788" s="1">
        <v>35</v>
      </c>
    </row>
    <row r="1789" spans="1:28" x14ac:dyDescent="0.2">
      <c r="A1789" s="1">
        <v>4879</v>
      </c>
      <c r="B1789" s="1" t="s">
        <v>6850</v>
      </c>
      <c r="D1789" s="1" t="s">
        <v>6851</v>
      </c>
      <c r="F1789" s="1" t="s">
        <v>6914</v>
      </c>
      <c r="H1789" s="1" t="s">
        <v>6915</v>
      </c>
      <c r="J1789" s="1" t="s">
        <v>1324</v>
      </c>
      <c r="L1789" s="1" t="s">
        <v>895</v>
      </c>
      <c r="N1789" s="1" t="s">
        <v>10037</v>
      </c>
      <c r="P1789" s="1" t="s">
        <v>10041</v>
      </c>
      <c r="Q1789" s="3">
        <v>0</v>
      </c>
      <c r="R1789" s="23" t="s">
        <v>6854</v>
      </c>
      <c r="S1789" s="23" t="s">
        <v>6845</v>
      </c>
      <c r="T1789" s="23" t="s">
        <v>4864</v>
      </c>
      <c r="U1789" s="3">
        <v>35</v>
      </c>
      <c r="V1789" s="3" t="s">
        <v>10039</v>
      </c>
      <c r="W1789" s="45" t="str">
        <f>HYPERLINK("http://ictvonline.org/taxonomy/p/taxonomy-history?taxnode_id=201908658","ICTVonline=201908658")</f>
        <v>ICTVonline=201908658</v>
      </c>
      <c r="Y1789" s="1" t="s">
        <v>10042</v>
      </c>
      <c r="AA1789" s="1">
        <v>201900000</v>
      </c>
      <c r="AB1789" s="1">
        <v>35</v>
      </c>
    </row>
    <row r="1790" spans="1:28" x14ac:dyDescent="0.2">
      <c r="A1790" s="1">
        <v>4881</v>
      </c>
      <c r="B1790" s="1" t="s">
        <v>6850</v>
      </c>
      <c r="D1790" s="1" t="s">
        <v>6851</v>
      </c>
      <c r="F1790" s="1" t="s">
        <v>6914</v>
      </c>
      <c r="H1790" s="1" t="s">
        <v>6915</v>
      </c>
      <c r="J1790" s="1" t="s">
        <v>1324</v>
      </c>
      <c r="L1790" s="1" t="s">
        <v>895</v>
      </c>
      <c r="N1790" s="1" t="s">
        <v>10037</v>
      </c>
      <c r="P1790" s="1" t="s">
        <v>4450</v>
      </c>
      <c r="Q1790" s="3">
        <v>1</v>
      </c>
      <c r="R1790" s="23" t="s">
        <v>6854</v>
      </c>
      <c r="S1790" s="23" t="s">
        <v>6845</v>
      </c>
      <c r="T1790" s="23" t="s">
        <v>6395</v>
      </c>
      <c r="U1790" s="3">
        <v>35</v>
      </c>
      <c r="V1790" s="3" t="s">
        <v>10039</v>
      </c>
      <c r="W1790" s="45" t="str">
        <f>HYPERLINK("http://ictvonline.org/taxonomy/p/taxonomy-history?taxnode_id=201901374","ICTVonline=201901374")</f>
        <v>ICTVonline=201901374</v>
      </c>
      <c r="Y1790" s="1" t="s">
        <v>10043</v>
      </c>
      <c r="AA1790" s="1">
        <v>201900000</v>
      </c>
      <c r="AB1790" s="1">
        <v>35</v>
      </c>
    </row>
    <row r="1791" spans="1:28" x14ac:dyDescent="0.2">
      <c r="A1791" s="1">
        <v>4883</v>
      </c>
      <c r="B1791" s="1" t="s">
        <v>6850</v>
      </c>
      <c r="D1791" s="1" t="s">
        <v>6851</v>
      </c>
      <c r="F1791" s="1" t="s">
        <v>6914</v>
      </c>
      <c r="H1791" s="1" t="s">
        <v>6915</v>
      </c>
      <c r="J1791" s="1" t="s">
        <v>1324</v>
      </c>
      <c r="L1791" s="1" t="s">
        <v>895</v>
      </c>
      <c r="N1791" s="1" t="s">
        <v>10037</v>
      </c>
      <c r="P1791" s="1" t="s">
        <v>10044</v>
      </c>
      <c r="Q1791" s="3">
        <v>0</v>
      </c>
      <c r="R1791" s="23" t="s">
        <v>6854</v>
      </c>
      <c r="S1791" s="23" t="s">
        <v>6845</v>
      </c>
      <c r="T1791" s="23" t="s">
        <v>4864</v>
      </c>
      <c r="U1791" s="3">
        <v>35</v>
      </c>
      <c r="V1791" s="3" t="s">
        <v>10039</v>
      </c>
      <c r="W1791" s="45" t="str">
        <f>HYPERLINK("http://ictvonline.org/taxonomy/p/taxonomy-history?taxnode_id=201908660","ICTVonline=201908660")</f>
        <v>ICTVonline=201908660</v>
      </c>
      <c r="Y1791" s="1" t="s">
        <v>10045</v>
      </c>
      <c r="AA1791" s="1">
        <v>201900000</v>
      </c>
      <c r="AB1791" s="1">
        <v>35</v>
      </c>
    </row>
    <row r="1792" spans="1:28" x14ac:dyDescent="0.2">
      <c r="A1792" s="1">
        <v>4887</v>
      </c>
      <c r="B1792" s="1" t="s">
        <v>6850</v>
      </c>
      <c r="D1792" s="1" t="s">
        <v>6851</v>
      </c>
      <c r="F1792" s="1" t="s">
        <v>6914</v>
      </c>
      <c r="H1792" s="1" t="s">
        <v>6915</v>
      </c>
      <c r="J1792" s="1" t="s">
        <v>1324</v>
      </c>
      <c r="L1792" s="1" t="s">
        <v>895</v>
      </c>
      <c r="N1792" s="1" t="s">
        <v>4349</v>
      </c>
      <c r="P1792" s="1" t="s">
        <v>4350</v>
      </c>
      <c r="Q1792" s="3">
        <v>0</v>
      </c>
      <c r="R1792" s="23" t="s">
        <v>6854</v>
      </c>
      <c r="S1792" s="23" t="s">
        <v>6845</v>
      </c>
      <c r="T1792" s="23" t="s">
        <v>4866</v>
      </c>
      <c r="U1792" s="3">
        <v>35</v>
      </c>
      <c r="W1792" s="45" t="str">
        <f>HYPERLINK("http://ictvonline.org/taxonomy/p/taxonomy-history?taxnode_id=201901082","ICTVonline=201901082")</f>
        <v>ICTVonline=201901082</v>
      </c>
      <c r="Y1792" s="1" t="s">
        <v>10046</v>
      </c>
      <c r="Z1792" s="1" t="s">
        <v>10047</v>
      </c>
      <c r="AA1792" s="1">
        <v>201900000</v>
      </c>
      <c r="AB1792" s="1">
        <v>35</v>
      </c>
    </row>
    <row r="1793" spans="1:28" x14ac:dyDescent="0.2">
      <c r="A1793" s="1">
        <v>4889</v>
      </c>
      <c r="B1793" s="1" t="s">
        <v>6850</v>
      </c>
      <c r="D1793" s="1" t="s">
        <v>6851</v>
      </c>
      <c r="F1793" s="1" t="s">
        <v>6914</v>
      </c>
      <c r="H1793" s="1" t="s">
        <v>6915</v>
      </c>
      <c r="J1793" s="1" t="s">
        <v>1324</v>
      </c>
      <c r="L1793" s="1" t="s">
        <v>895</v>
      </c>
      <c r="N1793" s="1" t="s">
        <v>4349</v>
      </c>
      <c r="P1793" s="1" t="s">
        <v>4351</v>
      </c>
      <c r="Q1793" s="3">
        <v>1</v>
      </c>
      <c r="R1793" s="23" t="s">
        <v>6854</v>
      </c>
      <c r="S1793" s="23" t="s">
        <v>6845</v>
      </c>
      <c r="T1793" s="23" t="s">
        <v>4866</v>
      </c>
      <c r="U1793" s="3">
        <v>35</v>
      </c>
      <c r="W1793" s="45" t="str">
        <f>HYPERLINK("http://ictvonline.org/taxonomy/p/taxonomy-history?taxnode_id=201901083","ICTVonline=201901083")</f>
        <v>ICTVonline=201901083</v>
      </c>
      <c r="Y1793" s="1" t="s">
        <v>10048</v>
      </c>
      <c r="Z1793" s="1" t="s">
        <v>10049</v>
      </c>
      <c r="AA1793" s="1">
        <v>201900000</v>
      </c>
      <c r="AB1793" s="1">
        <v>35</v>
      </c>
    </row>
    <row r="1794" spans="1:28" x14ac:dyDescent="0.2">
      <c r="A1794" s="1">
        <v>4893</v>
      </c>
      <c r="B1794" s="1" t="s">
        <v>6850</v>
      </c>
      <c r="D1794" s="1" t="s">
        <v>6851</v>
      </c>
      <c r="F1794" s="1" t="s">
        <v>6914</v>
      </c>
      <c r="H1794" s="1" t="s">
        <v>6915</v>
      </c>
      <c r="J1794" s="1" t="s">
        <v>1324</v>
      </c>
      <c r="L1794" s="1" t="s">
        <v>895</v>
      </c>
      <c r="N1794" s="1" t="s">
        <v>10050</v>
      </c>
      <c r="P1794" s="1" t="s">
        <v>10051</v>
      </c>
      <c r="Q1794" s="3">
        <v>1</v>
      </c>
      <c r="R1794" s="23" t="s">
        <v>6854</v>
      </c>
      <c r="S1794" s="23" t="s">
        <v>6849</v>
      </c>
      <c r="T1794" s="23" t="s">
        <v>4864</v>
      </c>
      <c r="U1794" s="3">
        <v>35</v>
      </c>
      <c r="V1794" s="3" t="s">
        <v>10052</v>
      </c>
      <c r="W1794" s="45" t="str">
        <f>HYPERLINK("http://ictvonline.org/taxonomy/p/taxonomy-history?taxnode_id=201907905","ICTVonline=201907905")</f>
        <v>ICTVonline=201907905</v>
      </c>
      <c r="Y1794" s="1" t="s">
        <v>10053</v>
      </c>
      <c r="AA1794" s="1">
        <v>201900000</v>
      </c>
      <c r="AB1794" s="1">
        <v>35</v>
      </c>
    </row>
    <row r="1795" spans="1:28" x14ac:dyDescent="0.2">
      <c r="A1795" s="1">
        <v>4895</v>
      </c>
      <c r="B1795" s="1" t="s">
        <v>6850</v>
      </c>
      <c r="D1795" s="1" t="s">
        <v>6851</v>
      </c>
      <c r="F1795" s="1" t="s">
        <v>6914</v>
      </c>
      <c r="H1795" s="1" t="s">
        <v>6915</v>
      </c>
      <c r="J1795" s="1" t="s">
        <v>1324</v>
      </c>
      <c r="L1795" s="1" t="s">
        <v>895</v>
      </c>
      <c r="N1795" s="1" t="s">
        <v>10050</v>
      </c>
      <c r="P1795" s="1" t="s">
        <v>10054</v>
      </c>
      <c r="Q1795" s="3">
        <v>0</v>
      </c>
      <c r="R1795" s="23" t="s">
        <v>6854</v>
      </c>
      <c r="S1795" s="23" t="s">
        <v>6849</v>
      </c>
      <c r="T1795" s="23" t="s">
        <v>4864</v>
      </c>
      <c r="U1795" s="3">
        <v>35</v>
      </c>
      <c r="V1795" s="3" t="s">
        <v>10052</v>
      </c>
      <c r="W1795" s="45" t="str">
        <f>HYPERLINK("http://ictvonline.org/taxonomy/p/taxonomy-history?taxnode_id=201907906","ICTVonline=201907906")</f>
        <v>ICTVonline=201907906</v>
      </c>
      <c r="Y1795" s="1" t="s">
        <v>10055</v>
      </c>
      <c r="AA1795" s="1">
        <v>201900000</v>
      </c>
      <c r="AB1795" s="1">
        <v>35</v>
      </c>
    </row>
    <row r="1796" spans="1:28" x14ac:dyDescent="0.2">
      <c r="A1796" s="1">
        <v>4899</v>
      </c>
      <c r="B1796" s="1" t="s">
        <v>6850</v>
      </c>
      <c r="D1796" s="1" t="s">
        <v>6851</v>
      </c>
      <c r="F1796" s="1" t="s">
        <v>6914</v>
      </c>
      <c r="H1796" s="1" t="s">
        <v>6915</v>
      </c>
      <c r="J1796" s="1" t="s">
        <v>1324</v>
      </c>
      <c r="L1796" s="1" t="s">
        <v>895</v>
      </c>
      <c r="N1796" s="1" t="s">
        <v>6478</v>
      </c>
      <c r="P1796" s="1" t="s">
        <v>6479</v>
      </c>
      <c r="Q1796" s="3">
        <v>1</v>
      </c>
      <c r="R1796" s="23" t="s">
        <v>6854</v>
      </c>
      <c r="S1796" s="23" t="s">
        <v>6845</v>
      </c>
      <c r="T1796" s="23" t="s">
        <v>4866</v>
      </c>
      <c r="U1796" s="3">
        <v>35</v>
      </c>
      <c r="W1796" s="45" t="str">
        <f>HYPERLINK("http://ictvonline.org/taxonomy/p/taxonomy-history?taxnode_id=201906879","ICTVonline=201906879")</f>
        <v>ICTVonline=201906879</v>
      </c>
      <c r="Y1796" s="1" t="s">
        <v>10056</v>
      </c>
      <c r="Z1796" s="1" t="s">
        <v>10057</v>
      </c>
      <c r="AA1796" s="1">
        <v>201900000</v>
      </c>
      <c r="AB1796" s="1">
        <v>35</v>
      </c>
    </row>
    <row r="1797" spans="1:28" x14ac:dyDescent="0.2">
      <c r="A1797" s="1">
        <v>4903</v>
      </c>
      <c r="B1797" s="1" t="s">
        <v>6850</v>
      </c>
      <c r="D1797" s="1" t="s">
        <v>6851</v>
      </c>
      <c r="F1797" s="1" t="s">
        <v>6914</v>
      </c>
      <c r="H1797" s="1" t="s">
        <v>6915</v>
      </c>
      <c r="J1797" s="1" t="s">
        <v>1324</v>
      </c>
      <c r="L1797" s="1" t="s">
        <v>895</v>
      </c>
      <c r="N1797" s="1" t="s">
        <v>6171</v>
      </c>
      <c r="P1797" s="1" t="s">
        <v>6172</v>
      </c>
      <c r="Q1797" s="3">
        <v>1</v>
      </c>
      <c r="R1797" s="23" t="s">
        <v>6854</v>
      </c>
      <c r="S1797" s="23" t="s">
        <v>6845</v>
      </c>
      <c r="T1797" s="23" t="s">
        <v>4866</v>
      </c>
      <c r="U1797" s="3">
        <v>35</v>
      </c>
      <c r="W1797" s="45" t="str">
        <f>HYPERLINK("http://ictvonline.org/taxonomy/p/taxonomy-history?taxnode_id=201906776","ICTVonline=201906776")</f>
        <v>ICTVonline=201906776</v>
      </c>
      <c r="Y1797" s="1" t="s">
        <v>10058</v>
      </c>
      <c r="Z1797" s="1" t="s">
        <v>10059</v>
      </c>
      <c r="AA1797" s="1">
        <v>201900000</v>
      </c>
      <c r="AB1797" s="1">
        <v>35</v>
      </c>
    </row>
    <row r="1798" spans="1:28" x14ac:dyDescent="0.2">
      <c r="A1798" s="1">
        <v>4907</v>
      </c>
      <c r="B1798" s="1" t="s">
        <v>6850</v>
      </c>
      <c r="D1798" s="1" t="s">
        <v>6851</v>
      </c>
      <c r="F1798" s="1" t="s">
        <v>6914</v>
      </c>
      <c r="H1798" s="1" t="s">
        <v>6915</v>
      </c>
      <c r="J1798" s="1" t="s">
        <v>1324</v>
      </c>
      <c r="L1798" s="1" t="s">
        <v>895</v>
      </c>
      <c r="N1798" s="1" t="s">
        <v>10060</v>
      </c>
      <c r="P1798" s="1" t="s">
        <v>10061</v>
      </c>
      <c r="Q1798" s="3">
        <v>1</v>
      </c>
      <c r="R1798" s="23" t="s">
        <v>6854</v>
      </c>
      <c r="S1798" s="23" t="s">
        <v>6849</v>
      </c>
      <c r="T1798" s="23" t="s">
        <v>4864</v>
      </c>
      <c r="U1798" s="3">
        <v>35</v>
      </c>
      <c r="V1798" s="3" t="s">
        <v>10062</v>
      </c>
      <c r="W1798" s="45" t="str">
        <f>HYPERLINK("http://ictvonline.org/taxonomy/p/taxonomy-history?taxnode_id=201907931","ICTVonline=201907931")</f>
        <v>ICTVonline=201907931</v>
      </c>
      <c r="Y1798" s="1" t="s">
        <v>10063</v>
      </c>
      <c r="AA1798" s="1">
        <v>201900000</v>
      </c>
      <c r="AB1798" s="1">
        <v>35</v>
      </c>
    </row>
    <row r="1799" spans="1:28" x14ac:dyDescent="0.2">
      <c r="A1799" s="1">
        <v>4911</v>
      </c>
      <c r="B1799" s="1" t="s">
        <v>6850</v>
      </c>
      <c r="D1799" s="1" t="s">
        <v>6851</v>
      </c>
      <c r="F1799" s="1" t="s">
        <v>6914</v>
      </c>
      <c r="H1799" s="1" t="s">
        <v>6915</v>
      </c>
      <c r="J1799" s="1" t="s">
        <v>1324</v>
      </c>
      <c r="L1799" s="1" t="s">
        <v>895</v>
      </c>
      <c r="N1799" s="1" t="s">
        <v>6480</v>
      </c>
      <c r="P1799" s="1" t="s">
        <v>6481</v>
      </c>
      <c r="Q1799" s="3">
        <v>1</v>
      </c>
      <c r="R1799" s="23" t="s">
        <v>6854</v>
      </c>
      <c r="S1799" s="23" t="s">
        <v>6845</v>
      </c>
      <c r="T1799" s="23" t="s">
        <v>4866</v>
      </c>
      <c r="U1799" s="3">
        <v>35</v>
      </c>
      <c r="W1799" s="45" t="str">
        <f>HYPERLINK("http://ictvonline.org/taxonomy/p/taxonomy-history?taxnode_id=201906852","ICTVonline=201906852")</f>
        <v>ICTVonline=201906852</v>
      </c>
      <c r="Y1799" s="1" t="s">
        <v>10064</v>
      </c>
      <c r="Z1799" s="1" t="s">
        <v>10065</v>
      </c>
      <c r="AA1799" s="1">
        <v>201900000</v>
      </c>
      <c r="AB1799" s="1">
        <v>35</v>
      </c>
    </row>
    <row r="1800" spans="1:28" x14ac:dyDescent="0.2">
      <c r="A1800" s="1">
        <v>4915</v>
      </c>
      <c r="B1800" s="1" t="s">
        <v>6850</v>
      </c>
      <c r="D1800" s="1" t="s">
        <v>6851</v>
      </c>
      <c r="F1800" s="1" t="s">
        <v>6914</v>
      </c>
      <c r="H1800" s="1" t="s">
        <v>6915</v>
      </c>
      <c r="J1800" s="1" t="s">
        <v>1324</v>
      </c>
      <c r="L1800" s="1" t="s">
        <v>895</v>
      </c>
      <c r="N1800" s="1" t="s">
        <v>6482</v>
      </c>
      <c r="P1800" s="1" t="s">
        <v>4352</v>
      </c>
      <c r="Q1800" s="3">
        <v>1</v>
      </c>
      <c r="R1800" s="23" t="s">
        <v>6854</v>
      </c>
      <c r="S1800" s="23" t="s">
        <v>6845</v>
      </c>
      <c r="T1800" s="23" t="s">
        <v>4866</v>
      </c>
      <c r="U1800" s="3">
        <v>35</v>
      </c>
      <c r="W1800" s="45" t="str">
        <f>HYPERLINK("http://ictvonline.org/taxonomy/p/taxonomy-history?taxnode_id=201901092","ICTVonline=201901092")</f>
        <v>ICTVonline=201901092</v>
      </c>
      <c r="Y1800" s="1" t="s">
        <v>10066</v>
      </c>
      <c r="Z1800" s="1" t="s">
        <v>10067</v>
      </c>
      <c r="AA1800" s="1">
        <v>201900000</v>
      </c>
      <c r="AB1800" s="1">
        <v>35</v>
      </c>
    </row>
    <row r="1801" spans="1:28" x14ac:dyDescent="0.2">
      <c r="A1801" s="1">
        <v>4917</v>
      </c>
      <c r="B1801" s="1" t="s">
        <v>6850</v>
      </c>
      <c r="D1801" s="1" t="s">
        <v>6851</v>
      </c>
      <c r="F1801" s="1" t="s">
        <v>6914</v>
      </c>
      <c r="H1801" s="1" t="s">
        <v>6915</v>
      </c>
      <c r="J1801" s="1" t="s">
        <v>1324</v>
      </c>
      <c r="L1801" s="1" t="s">
        <v>895</v>
      </c>
      <c r="N1801" s="1" t="s">
        <v>6482</v>
      </c>
      <c r="P1801" s="1" t="s">
        <v>4353</v>
      </c>
      <c r="Q1801" s="3">
        <v>0</v>
      </c>
      <c r="R1801" s="23" t="s">
        <v>6854</v>
      </c>
      <c r="S1801" s="23" t="s">
        <v>6845</v>
      </c>
      <c r="T1801" s="23" t="s">
        <v>4866</v>
      </c>
      <c r="U1801" s="3">
        <v>35</v>
      </c>
      <c r="W1801" s="45" t="str">
        <f>HYPERLINK("http://ictvonline.org/taxonomy/p/taxonomy-history?taxnode_id=201901093","ICTVonline=201901093")</f>
        <v>ICTVonline=201901093</v>
      </c>
      <c r="Y1801" s="1" t="s">
        <v>10068</v>
      </c>
      <c r="Z1801" s="1" t="s">
        <v>10069</v>
      </c>
      <c r="AA1801" s="1">
        <v>201900000</v>
      </c>
      <c r="AB1801" s="1">
        <v>35</v>
      </c>
    </row>
    <row r="1802" spans="1:28" x14ac:dyDescent="0.2">
      <c r="A1802" s="1">
        <v>4921</v>
      </c>
      <c r="B1802" s="1" t="s">
        <v>6850</v>
      </c>
      <c r="D1802" s="1" t="s">
        <v>6851</v>
      </c>
      <c r="F1802" s="1" t="s">
        <v>6914</v>
      </c>
      <c r="H1802" s="1" t="s">
        <v>6915</v>
      </c>
      <c r="J1802" s="1" t="s">
        <v>1324</v>
      </c>
      <c r="L1802" s="1" t="s">
        <v>895</v>
      </c>
      <c r="N1802" s="1" t="s">
        <v>3238</v>
      </c>
      <c r="P1802" s="1" t="s">
        <v>3239</v>
      </c>
      <c r="Q1802" s="3">
        <v>1</v>
      </c>
      <c r="R1802" s="23" t="s">
        <v>6854</v>
      </c>
      <c r="S1802" s="23" t="s">
        <v>6845</v>
      </c>
      <c r="T1802" s="23" t="s">
        <v>4866</v>
      </c>
      <c r="U1802" s="3">
        <v>35</v>
      </c>
      <c r="W1802" s="45" t="str">
        <f>HYPERLINK("http://ictvonline.org/taxonomy/p/taxonomy-history?taxnode_id=201901087","ICTVonline=201901087")</f>
        <v>ICTVonline=201901087</v>
      </c>
      <c r="Y1802" s="1" t="s">
        <v>10070</v>
      </c>
      <c r="Z1802" s="1" t="s">
        <v>10071</v>
      </c>
      <c r="AA1802" s="1">
        <v>201900000</v>
      </c>
      <c r="AB1802" s="1">
        <v>35</v>
      </c>
    </row>
    <row r="1803" spans="1:28" x14ac:dyDescent="0.2">
      <c r="A1803" s="1">
        <v>4923</v>
      </c>
      <c r="B1803" s="1" t="s">
        <v>6850</v>
      </c>
      <c r="D1803" s="1" t="s">
        <v>6851</v>
      </c>
      <c r="F1803" s="1" t="s">
        <v>6914</v>
      </c>
      <c r="H1803" s="1" t="s">
        <v>6915</v>
      </c>
      <c r="J1803" s="1" t="s">
        <v>1324</v>
      </c>
      <c r="L1803" s="1" t="s">
        <v>895</v>
      </c>
      <c r="N1803" s="1" t="s">
        <v>3238</v>
      </c>
      <c r="P1803" s="1" t="s">
        <v>3240</v>
      </c>
      <c r="Q1803" s="3">
        <v>0</v>
      </c>
      <c r="R1803" s="23" t="s">
        <v>6854</v>
      </c>
      <c r="S1803" s="23" t="s">
        <v>6845</v>
      </c>
      <c r="T1803" s="23" t="s">
        <v>4866</v>
      </c>
      <c r="U1803" s="3">
        <v>35</v>
      </c>
      <c r="W1803" s="45" t="str">
        <f>HYPERLINK("http://ictvonline.org/taxonomy/p/taxonomy-history?taxnode_id=201901088","ICTVonline=201901088")</f>
        <v>ICTVonline=201901088</v>
      </c>
      <c r="Y1803" s="1" t="s">
        <v>10072</v>
      </c>
      <c r="Z1803" s="1" t="s">
        <v>10073</v>
      </c>
      <c r="AA1803" s="1">
        <v>201900000</v>
      </c>
      <c r="AB1803" s="1">
        <v>35</v>
      </c>
    </row>
    <row r="1804" spans="1:28" x14ac:dyDescent="0.2">
      <c r="A1804" s="1">
        <v>4925</v>
      </c>
      <c r="B1804" s="1" t="s">
        <v>6850</v>
      </c>
      <c r="D1804" s="1" t="s">
        <v>6851</v>
      </c>
      <c r="F1804" s="1" t="s">
        <v>6914</v>
      </c>
      <c r="H1804" s="1" t="s">
        <v>6915</v>
      </c>
      <c r="J1804" s="1" t="s">
        <v>1324</v>
      </c>
      <c r="L1804" s="1" t="s">
        <v>895</v>
      </c>
      <c r="N1804" s="1" t="s">
        <v>3238</v>
      </c>
      <c r="P1804" s="1" t="s">
        <v>3241</v>
      </c>
      <c r="Q1804" s="3">
        <v>0</v>
      </c>
      <c r="R1804" s="23" t="s">
        <v>6854</v>
      </c>
      <c r="S1804" s="23" t="s">
        <v>6845</v>
      </c>
      <c r="T1804" s="23" t="s">
        <v>4866</v>
      </c>
      <c r="U1804" s="3">
        <v>35</v>
      </c>
      <c r="W1804" s="45" t="str">
        <f>HYPERLINK("http://ictvonline.org/taxonomy/p/taxonomy-history?taxnode_id=201901089","ICTVonline=201901089")</f>
        <v>ICTVonline=201901089</v>
      </c>
      <c r="Y1804" s="1" t="s">
        <v>10074</v>
      </c>
      <c r="Z1804" s="1" t="s">
        <v>10075</v>
      </c>
      <c r="AA1804" s="1">
        <v>201900000</v>
      </c>
      <c r="AB1804" s="1">
        <v>35</v>
      </c>
    </row>
    <row r="1805" spans="1:28" x14ac:dyDescent="0.2">
      <c r="A1805" s="1">
        <v>4927</v>
      </c>
      <c r="B1805" s="1" t="s">
        <v>6850</v>
      </c>
      <c r="D1805" s="1" t="s">
        <v>6851</v>
      </c>
      <c r="F1805" s="1" t="s">
        <v>6914</v>
      </c>
      <c r="H1805" s="1" t="s">
        <v>6915</v>
      </c>
      <c r="J1805" s="1" t="s">
        <v>1324</v>
      </c>
      <c r="L1805" s="1" t="s">
        <v>895</v>
      </c>
      <c r="N1805" s="1" t="s">
        <v>3238</v>
      </c>
      <c r="P1805" s="1" t="s">
        <v>3242</v>
      </c>
      <c r="Q1805" s="3">
        <v>0</v>
      </c>
      <c r="R1805" s="23" t="s">
        <v>6854</v>
      </c>
      <c r="S1805" s="23" t="s">
        <v>6845</v>
      </c>
      <c r="T1805" s="23" t="s">
        <v>4866</v>
      </c>
      <c r="U1805" s="3">
        <v>35</v>
      </c>
      <c r="W1805" s="45" t="str">
        <f>HYPERLINK("http://ictvonline.org/taxonomy/p/taxonomy-history?taxnode_id=201901090","ICTVonline=201901090")</f>
        <v>ICTVonline=201901090</v>
      </c>
      <c r="Y1805" s="1" t="s">
        <v>10076</v>
      </c>
      <c r="Z1805" s="1" t="s">
        <v>10077</v>
      </c>
      <c r="AA1805" s="1">
        <v>201900000</v>
      </c>
      <c r="AB1805" s="1">
        <v>35</v>
      </c>
    </row>
    <row r="1806" spans="1:28" x14ac:dyDescent="0.2">
      <c r="A1806" s="1">
        <v>4929</v>
      </c>
      <c r="B1806" s="1" t="s">
        <v>6850</v>
      </c>
      <c r="D1806" s="1" t="s">
        <v>6851</v>
      </c>
      <c r="F1806" s="1" t="s">
        <v>6914</v>
      </c>
      <c r="H1806" s="1" t="s">
        <v>6915</v>
      </c>
      <c r="J1806" s="1" t="s">
        <v>1324</v>
      </c>
      <c r="L1806" s="1" t="s">
        <v>895</v>
      </c>
      <c r="N1806" s="1" t="s">
        <v>3238</v>
      </c>
      <c r="P1806" s="1" t="s">
        <v>6483</v>
      </c>
      <c r="Q1806" s="3">
        <v>0</v>
      </c>
      <c r="R1806" s="23" t="s">
        <v>6854</v>
      </c>
      <c r="S1806" s="23" t="s">
        <v>6845</v>
      </c>
      <c r="T1806" s="23" t="s">
        <v>4866</v>
      </c>
      <c r="U1806" s="3">
        <v>35</v>
      </c>
      <c r="W1806" s="45" t="str">
        <f>HYPERLINK("http://ictvonline.org/taxonomy/p/taxonomy-history?taxnode_id=201907077","ICTVonline=201907077")</f>
        <v>ICTVonline=201907077</v>
      </c>
      <c r="Y1806" s="1" t="s">
        <v>10078</v>
      </c>
      <c r="Z1806" s="1" t="s">
        <v>8533</v>
      </c>
      <c r="AA1806" s="1">
        <v>201900000</v>
      </c>
      <c r="AB1806" s="1">
        <v>35</v>
      </c>
    </row>
    <row r="1807" spans="1:28" x14ac:dyDescent="0.2">
      <c r="A1807" s="1">
        <v>4933</v>
      </c>
      <c r="B1807" s="1" t="s">
        <v>6850</v>
      </c>
      <c r="D1807" s="1" t="s">
        <v>6851</v>
      </c>
      <c r="F1807" s="1" t="s">
        <v>6914</v>
      </c>
      <c r="H1807" s="1" t="s">
        <v>6915</v>
      </c>
      <c r="J1807" s="1" t="s">
        <v>1324</v>
      </c>
      <c r="L1807" s="1" t="s">
        <v>895</v>
      </c>
      <c r="N1807" s="1" t="s">
        <v>2999</v>
      </c>
      <c r="P1807" s="1" t="s">
        <v>3000</v>
      </c>
      <c r="Q1807" s="3">
        <v>1</v>
      </c>
      <c r="R1807" s="23" t="s">
        <v>6854</v>
      </c>
      <c r="S1807" s="23" t="s">
        <v>6845</v>
      </c>
      <c r="T1807" s="23" t="s">
        <v>4866</v>
      </c>
      <c r="U1807" s="3">
        <v>35</v>
      </c>
      <c r="W1807" s="45" t="str">
        <f>HYPERLINK("http://ictvonline.org/taxonomy/p/taxonomy-history?taxnode_id=201900674","ICTVonline=201900674")</f>
        <v>ICTVonline=201900674</v>
      </c>
      <c r="Y1807" s="1" t="s">
        <v>10079</v>
      </c>
      <c r="Z1807" s="1" t="s">
        <v>10080</v>
      </c>
      <c r="AA1807" s="1">
        <v>201900000</v>
      </c>
      <c r="AB1807" s="1">
        <v>35</v>
      </c>
    </row>
    <row r="1808" spans="1:28" x14ac:dyDescent="0.2">
      <c r="A1808" s="1">
        <v>4935</v>
      </c>
      <c r="B1808" s="1" t="s">
        <v>6850</v>
      </c>
      <c r="D1808" s="1" t="s">
        <v>6851</v>
      </c>
      <c r="F1808" s="1" t="s">
        <v>6914</v>
      </c>
      <c r="H1808" s="1" t="s">
        <v>6915</v>
      </c>
      <c r="J1808" s="1" t="s">
        <v>1324</v>
      </c>
      <c r="L1808" s="1" t="s">
        <v>895</v>
      </c>
      <c r="N1808" s="1" t="s">
        <v>2999</v>
      </c>
      <c r="P1808" s="1" t="s">
        <v>3001</v>
      </c>
      <c r="Q1808" s="3">
        <v>0</v>
      </c>
      <c r="R1808" s="23" t="s">
        <v>6854</v>
      </c>
      <c r="S1808" s="23" t="s">
        <v>6845</v>
      </c>
      <c r="T1808" s="23" t="s">
        <v>4866</v>
      </c>
      <c r="U1808" s="3">
        <v>35</v>
      </c>
      <c r="W1808" s="45" t="str">
        <f>HYPERLINK("http://ictvonline.org/taxonomy/p/taxonomy-history?taxnode_id=201900675","ICTVonline=201900675")</f>
        <v>ICTVonline=201900675</v>
      </c>
      <c r="Y1808" s="1" t="s">
        <v>10081</v>
      </c>
      <c r="Z1808" s="1" t="s">
        <v>10082</v>
      </c>
      <c r="AA1808" s="1">
        <v>201900000</v>
      </c>
      <c r="AB1808" s="1">
        <v>35</v>
      </c>
    </row>
    <row r="1809" spans="1:28" x14ac:dyDescent="0.2">
      <c r="A1809" s="1">
        <v>4939</v>
      </c>
      <c r="B1809" s="1" t="s">
        <v>6850</v>
      </c>
      <c r="D1809" s="1" t="s">
        <v>6851</v>
      </c>
      <c r="F1809" s="1" t="s">
        <v>6914</v>
      </c>
      <c r="H1809" s="1" t="s">
        <v>6915</v>
      </c>
      <c r="J1809" s="1" t="s">
        <v>1324</v>
      </c>
      <c r="L1809" s="1" t="s">
        <v>895</v>
      </c>
      <c r="N1809" s="1" t="s">
        <v>6486</v>
      </c>
      <c r="P1809" s="1" t="s">
        <v>6487</v>
      </c>
      <c r="Q1809" s="3">
        <v>1</v>
      </c>
      <c r="R1809" s="23" t="s">
        <v>6854</v>
      </c>
      <c r="S1809" s="23" t="s">
        <v>6845</v>
      </c>
      <c r="T1809" s="23" t="s">
        <v>4866</v>
      </c>
      <c r="U1809" s="3">
        <v>35</v>
      </c>
      <c r="W1809" s="45" t="str">
        <f>HYPERLINK("http://ictvonline.org/taxonomy/p/taxonomy-history?taxnode_id=201906692","ICTVonline=201906692")</f>
        <v>ICTVonline=201906692</v>
      </c>
      <c r="Y1809" s="1" t="s">
        <v>10083</v>
      </c>
      <c r="Z1809" s="1" t="s">
        <v>10084</v>
      </c>
      <c r="AA1809" s="1">
        <v>201900000</v>
      </c>
      <c r="AB1809" s="1">
        <v>35</v>
      </c>
    </row>
    <row r="1810" spans="1:28" x14ac:dyDescent="0.2">
      <c r="A1810" s="1">
        <v>4943</v>
      </c>
      <c r="B1810" s="1" t="s">
        <v>6850</v>
      </c>
      <c r="D1810" s="1" t="s">
        <v>6851</v>
      </c>
      <c r="F1810" s="1" t="s">
        <v>6914</v>
      </c>
      <c r="H1810" s="1" t="s">
        <v>6915</v>
      </c>
      <c r="J1810" s="1" t="s">
        <v>1324</v>
      </c>
      <c r="L1810" s="1" t="s">
        <v>895</v>
      </c>
      <c r="N1810" s="1" t="s">
        <v>10085</v>
      </c>
      <c r="P1810" s="1" t="s">
        <v>10086</v>
      </c>
      <c r="Q1810" s="3">
        <v>1</v>
      </c>
      <c r="R1810" s="23" t="s">
        <v>6854</v>
      </c>
      <c r="S1810" s="23" t="s">
        <v>6849</v>
      </c>
      <c r="T1810" s="23" t="s">
        <v>4864</v>
      </c>
      <c r="U1810" s="3">
        <v>35</v>
      </c>
      <c r="V1810" s="3" t="s">
        <v>8649</v>
      </c>
      <c r="W1810" s="45" t="str">
        <f>HYPERLINK("http://ictvonline.org/taxonomy/p/taxonomy-history?taxnode_id=201908056","ICTVonline=201908056")</f>
        <v>ICTVonline=201908056</v>
      </c>
      <c r="X1810" s="1" t="s">
        <v>10087</v>
      </c>
      <c r="Y1810" s="1" t="s">
        <v>10088</v>
      </c>
      <c r="Z1810" s="1" t="s">
        <v>8652</v>
      </c>
      <c r="AA1810" s="1">
        <v>201900000</v>
      </c>
      <c r="AB1810" s="1">
        <v>35</v>
      </c>
    </row>
    <row r="1811" spans="1:28" x14ac:dyDescent="0.2">
      <c r="A1811" s="1">
        <v>4947</v>
      </c>
      <c r="B1811" s="1" t="s">
        <v>6850</v>
      </c>
      <c r="D1811" s="1" t="s">
        <v>6851</v>
      </c>
      <c r="F1811" s="1" t="s">
        <v>6914</v>
      </c>
      <c r="H1811" s="1" t="s">
        <v>6915</v>
      </c>
      <c r="J1811" s="1" t="s">
        <v>1324</v>
      </c>
      <c r="L1811" s="1" t="s">
        <v>895</v>
      </c>
      <c r="N1811" s="1" t="s">
        <v>3243</v>
      </c>
      <c r="P1811" s="1" t="s">
        <v>3244</v>
      </c>
      <c r="Q1811" s="3">
        <v>0</v>
      </c>
      <c r="R1811" s="23" t="s">
        <v>6854</v>
      </c>
      <c r="S1811" s="23" t="s">
        <v>6845</v>
      </c>
      <c r="T1811" s="23" t="s">
        <v>4866</v>
      </c>
      <c r="U1811" s="3">
        <v>35</v>
      </c>
      <c r="W1811" s="45" t="str">
        <f>HYPERLINK("http://ictvonline.org/taxonomy/p/taxonomy-history?taxnode_id=201901095","ICTVonline=201901095")</f>
        <v>ICTVonline=201901095</v>
      </c>
      <c r="Y1811" s="1" t="s">
        <v>10089</v>
      </c>
      <c r="Z1811" s="1" t="s">
        <v>10090</v>
      </c>
      <c r="AA1811" s="1">
        <v>201900000</v>
      </c>
      <c r="AB1811" s="1">
        <v>35</v>
      </c>
    </row>
    <row r="1812" spans="1:28" x14ac:dyDescent="0.2">
      <c r="A1812" s="1">
        <v>4949</v>
      </c>
      <c r="B1812" s="1" t="s">
        <v>6850</v>
      </c>
      <c r="D1812" s="1" t="s">
        <v>6851</v>
      </c>
      <c r="F1812" s="1" t="s">
        <v>6914</v>
      </c>
      <c r="H1812" s="1" t="s">
        <v>6915</v>
      </c>
      <c r="J1812" s="1" t="s">
        <v>1324</v>
      </c>
      <c r="L1812" s="1" t="s">
        <v>895</v>
      </c>
      <c r="N1812" s="1" t="s">
        <v>3243</v>
      </c>
      <c r="P1812" s="1" t="s">
        <v>3245</v>
      </c>
      <c r="Q1812" s="3">
        <v>0</v>
      </c>
      <c r="R1812" s="23" t="s">
        <v>6854</v>
      </c>
      <c r="S1812" s="23" t="s">
        <v>6845</v>
      </c>
      <c r="T1812" s="23" t="s">
        <v>4866</v>
      </c>
      <c r="U1812" s="3">
        <v>35</v>
      </c>
      <c r="W1812" s="45" t="str">
        <f>HYPERLINK("http://ictvonline.org/taxonomy/p/taxonomy-history?taxnode_id=201901096","ICTVonline=201901096")</f>
        <v>ICTVonline=201901096</v>
      </c>
      <c r="Y1812" s="1" t="s">
        <v>10091</v>
      </c>
      <c r="AA1812" s="1">
        <v>201900000</v>
      </c>
      <c r="AB1812" s="1">
        <v>35</v>
      </c>
    </row>
    <row r="1813" spans="1:28" x14ac:dyDescent="0.2">
      <c r="A1813" s="1">
        <v>4951</v>
      </c>
      <c r="B1813" s="1" t="s">
        <v>6850</v>
      </c>
      <c r="D1813" s="1" t="s">
        <v>6851</v>
      </c>
      <c r="F1813" s="1" t="s">
        <v>6914</v>
      </c>
      <c r="H1813" s="1" t="s">
        <v>6915</v>
      </c>
      <c r="J1813" s="1" t="s">
        <v>1324</v>
      </c>
      <c r="L1813" s="1" t="s">
        <v>895</v>
      </c>
      <c r="N1813" s="1" t="s">
        <v>3243</v>
      </c>
      <c r="P1813" s="1" t="s">
        <v>3246</v>
      </c>
      <c r="Q1813" s="3">
        <v>0</v>
      </c>
      <c r="R1813" s="23" t="s">
        <v>6854</v>
      </c>
      <c r="S1813" s="23" t="s">
        <v>6845</v>
      </c>
      <c r="T1813" s="23" t="s">
        <v>4866</v>
      </c>
      <c r="U1813" s="3">
        <v>35</v>
      </c>
      <c r="W1813" s="45" t="str">
        <f>HYPERLINK("http://ictvonline.org/taxonomy/p/taxonomy-history?taxnode_id=201901097","ICTVonline=201901097")</f>
        <v>ICTVonline=201901097</v>
      </c>
      <c r="Y1813" s="1" t="s">
        <v>10092</v>
      </c>
      <c r="Z1813" s="1" t="s">
        <v>10093</v>
      </c>
      <c r="AA1813" s="1">
        <v>201900000</v>
      </c>
      <c r="AB1813" s="1">
        <v>35</v>
      </c>
    </row>
    <row r="1814" spans="1:28" x14ac:dyDescent="0.2">
      <c r="A1814" s="1">
        <v>4953</v>
      </c>
      <c r="B1814" s="1" t="s">
        <v>6850</v>
      </c>
      <c r="D1814" s="1" t="s">
        <v>6851</v>
      </c>
      <c r="F1814" s="1" t="s">
        <v>6914</v>
      </c>
      <c r="H1814" s="1" t="s">
        <v>6915</v>
      </c>
      <c r="J1814" s="1" t="s">
        <v>1324</v>
      </c>
      <c r="L1814" s="1" t="s">
        <v>895</v>
      </c>
      <c r="N1814" s="1" t="s">
        <v>3243</v>
      </c>
      <c r="P1814" s="1" t="s">
        <v>3247</v>
      </c>
      <c r="Q1814" s="3">
        <v>1</v>
      </c>
      <c r="R1814" s="23" t="s">
        <v>6854</v>
      </c>
      <c r="S1814" s="23" t="s">
        <v>6845</v>
      </c>
      <c r="T1814" s="23" t="s">
        <v>4866</v>
      </c>
      <c r="U1814" s="3">
        <v>35</v>
      </c>
      <c r="W1814" s="45" t="str">
        <f>HYPERLINK("http://ictvonline.org/taxonomy/p/taxonomy-history?taxnode_id=201901098","ICTVonline=201901098")</f>
        <v>ICTVonline=201901098</v>
      </c>
      <c r="Y1814" s="1" t="s">
        <v>10094</v>
      </c>
      <c r="AA1814" s="1">
        <v>201900000</v>
      </c>
      <c r="AB1814" s="1">
        <v>35</v>
      </c>
    </row>
    <row r="1815" spans="1:28" x14ac:dyDescent="0.2">
      <c r="A1815" s="1">
        <v>4955</v>
      </c>
      <c r="B1815" s="1" t="s">
        <v>6850</v>
      </c>
      <c r="D1815" s="1" t="s">
        <v>6851</v>
      </c>
      <c r="F1815" s="1" t="s">
        <v>6914</v>
      </c>
      <c r="H1815" s="1" t="s">
        <v>6915</v>
      </c>
      <c r="J1815" s="1" t="s">
        <v>1324</v>
      </c>
      <c r="L1815" s="1" t="s">
        <v>895</v>
      </c>
      <c r="N1815" s="1" t="s">
        <v>3243</v>
      </c>
      <c r="P1815" s="1" t="s">
        <v>3248</v>
      </c>
      <c r="Q1815" s="3">
        <v>0</v>
      </c>
      <c r="R1815" s="23" t="s">
        <v>6854</v>
      </c>
      <c r="S1815" s="23" t="s">
        <v>6845</v>
      </c>
      <c r="T1815" s="23" t="s">
        <v>4866</v>
      </c>
      <c r="U1815" s="3">
        <v>35</v>
      </c>
      <c r="W1815" s="45" t="str">
        <f>HYPERLINK("http://ictvonline.org/taxonomy/p/taxonomy-history?taxnode_id=201901099","ICTVonline=201901099")</f>
        <v>ICTVonline=201901099</v>
      </c>
      <c r="Y1815" s="1" t="s">
        <v>10095</v>
      </c>
      <c r="AA1815" s="1">
        <v>201900000</v>
      </c>
      <c r="AB1815" s="1">
        <v>35</v>
      </c>
    </row>
    <row r="1816" spans="1:28" x14ac:dyDescent="0.2">
      <c r="A1816" s="1">
        <v>4957</v>
      </c>
      <c r="B1816" s="1" t="s">
        <v>6850</v>
      </c>
      <c r="D1816" s="1" t="s">
        <v>6851</v>
      </c>
      <c r="F1816" s="1" t="s">
        <v>6914</v>
      </c>
      <c r="H1816" s="1" t="s">
        <v>6915</v>
      </c>
      <c r="J1816" s="1" t="s">
        <v>1324</v>
      </c>
      <c r="L1816" s="1" t="s">
        <v>895</v>
      </c>
      <c r="N1816" s="1" t="s">
        <v>3243</v>
      </c>
      <c r="P1816" s="1" t="s">
        <v>3249</v>
      </c>
      <c r="Q1816" s="3">
        <v>0</v>
      </c>
      <c r="R1816" s="23" t="s">
        <v>6854</v>
      </c>
      <c r="S1816" s="23" t="s">
        <v>6845</v>
      </c>
      <c r="T1816" s="23" t="s">
        <v>4866</v>
      </c>
      <c r="U1816" s="3">
        <v>35</v>
      </c>
      <c r="W1816" s="45" t="str">
        <f>HYPERLINK("http://ictvonline.org/taxonomy/p/taxonomy-history?taxnode_id=201901100","ICTVonline=201901100")</f>
        <v>ICTVonline=201901100</v>
      </c>
      <c r="Y1816" s="1" t="s">
        <v>10096</v>
      </c>
      <c r="AA1816" s="1">
        <v>201900000</v>
      </c>
      <c r="AB1816" s="1">
        <v>35</v>
      </c>
    </row>
    <row r="1817" spans="1:28" x14ac:dyDescent="0.2">
      <c r="A1817" s="1">
        <v>4961</v>
      </c>
      <c r="B1817" s="1" t="s">
        <v>6850</v>
      </c>
      <c r="D1817" s="1" t="s">
        <v>6851</v>
      </c>
      <c r="F1817" s="1" t="s">
        <v>6914</v>
      </c>
      <c r="H1817" s="1" t="s">
        <v>6915</v>
      </c>
      <c r="J1817" s="1" t="s">
        <v>1324</v>
      </c>
      <c r="L1817" s="1" t="s">
        <v>895</v>
      </c>
      <c r="N1817" s="1" t="s">
        <v>10097</v>
      </c>
      <c r="P1817" s="1" t="s">
        <v>10098</v>
      </c>
      <c r="Q1817" s="3">
        <v>0</v>
      </c>
      <c r="R1817" s="23" t="s">
        <v>6854</v>
      </c>
      <c r="S1817" s="23" t="s">
        <v>6849</v>
      </c>
      <c r="T1817" s="23" t="s">
        <v>4864</v>
      </c>
      <c r="U1817" s="3">
        <v>35</v>
      </c>
      <c r="V1817" s="3" t="s">
        <v>10099</v>
      </c>
      <c r="W1817" s="45" t="str">
        <f>HYPERLINK("http://ictvonline.org/taxonomy/p/taxonomy-history?taxnode_id=201907460","ICTVonline=201907460")</f>
        <v>ICTVonline=201907460</v>
      </c>
      <c r="Y1817" s="1" t="s">
        <v>10100</v>
      </c>
      <c r="AA1817" s="1">
        <v>201900000</v>
      </c>
      <c r="AB1817" s="1">
        <v>35</v>
      </c>
    </row>
    <row r="1818" spans="1:28" x14ac:dyDescent="0.2">
      <c r="A1818" s="1">
        <v>4963</v>
      </c>
      <c r="B1818" s="1" t="s">
        <v>6850</v>
      </c>
      <c r="D1818" s="1" t="s">
        <v>6851</v>
      </c>
      <c r="F1818" s="1" t="s">
        <v>6914</v>
      </c>
      <c r="H1818" s="1" t="s">
        <v>6915</v>
      </c>
      <c r="J1818" s="1" t="s">
        <v>1324</v>
      </c>
      <c r="L1818" s="1" t="s">
        <v>895</v>
      </c>
      <c r="N1818" s="1" t="s">
        <v>10097</v>
      </c>
      <c r="P1818" s="1" t="s">
        <v>4428</v>
      </c>
      <c r="Q1818" s="3">
        <v>1</v>
      </c>
      <c r="R1818" s="23" t="s">
        <v>6854</v>
      </c>
      <c r="S1818" s="23" t="s">
        <v>6849</v>
      </c>
      <c r="T1818" s="23" t="s">
        <v>6395</v>
      </c>
      <c r="U1818" s="3">
        <v>35</v>
      </c>
      <c r="V1818" s="3" t="s">
        <v>10099</v>
      </c>
      <c r="W1818" s="45" t="str">
        <f>HYPERLINK("http://ictvonline.org/taxonomy/p/taxonomy-history?taxnode_id=201901311","ICTVonline=201901311")</f>
        <v>ICTVonline=201901311</v>
      </c>
      <c r="Y1818" s="1" t="s">
        <v>10101</v>
      </c>
      <c r="AA1818" s="1">
        <v>201900000</v>
      </c>
      <c r="AB1818" s="1">
        <v>35</v>
      </c>
    </row>
    <row r="1819" spans="1:28" x14ac:dyDescent="0.2">
      <c r="A1819" s="1">
        <v>4967</v>
      </c>
      <c r="B1819" s="1" t="s">
        <v>6850</v>
      </c>
      <c r="D1819" s="1" t="s">
        <v>6851</v>
      </c>
      <c r="F1819" s="1" t="s">
        <v>6914</v>
      </c>
      <c r="H1819" s="1" t="s">
        <v>6915</v>
      </c>
      <c r="J1819" s="1" t="s">
        <v>1324</v>
      </c>
      <c r="L1819" s="1" t="s">
        <v>895</v>
      </c>
      <c r="N1819" s="1" t="s">
        <v>6488</v>
      </c>
      <c r="P1819" s="1" t="s">
        <v>6489</v>
      </c>
      <c r="Q1819" s="3">
        <v>1</v>
      </c>
      <c r="R1819" s="23" t="s">
        <v>6854</v>
      </c>
      <c r="S1819" s="23" t="s">
        <v>6845</v>
      </c>
      <c r="T1819" s="23" t="s">
        <v>4866</v>
      </c>
      <c r="U1819" s="3">
        <v>35</v>
      </c>
      <c r="W1819" s="45" t="str">
        <f>HYPERLINK("http://ictvonline.org/taxonomy/p/taxonomy-history?taxnode_id=201906587","ICTVonline=201906587")</f>
        <v>ICTVonline=201906587</v>
      </c>
      <c r="Y1819" s="1" t="s">
        <v>10102</v>
      </c>
      <c r="Z1819" s="1" t="s">
        <v>10103</v>
      </c>
      <c r="AA1819" s="1">
        <v>201900000</v>
      </c>
      <c r="AB1819" s="1">
        <v>35</v>
      </c>
    </row>
    <row r="1820" spans="1:28" x14ac:dyDescent="0.2">
      <c r="A1820" s="1">
        <v>4971</v>
      </c>
      <c r="B1820" s="1" t="s">
        <v>6850</v>
      </c>
      <c r="D1820" s="1" t="s">
        <v>6851</v>
      </c>
      <c r="F1820" s="1" t="s">
        <v>6914</v>
      </c>
      <c r="H1820" s="1" t="s">
        <v>6915</v>
      </c>
      <c r="J1820" s="1" t="s">
        <v>1324</v>
      </c>
      <c r="L1820" s="1" t="s">
        <v>895</v>
      </c>
      <c r="N1820" s="1" t="s">
        <v>6490</v>
      </c>
      <c r="P1820" s="1" t="s">
        <v>3250</v>
      </c>
      <c r="Q1820" s="3">
        <v>1</v>
      </c>
      <c r="R1820" s="23" t="s">
        <v>6854</v>
      </c>
      <c r="S1820" s="23" t="s">
        <v>6845</v>
      </c>
      <c r="T1820" s="23" t="s">
        <v>4866</v>
      </c>
      <c r="U1820" s="3">
        <v>35</v>
      </c>
      <c r="W1820" s="45" t="str">
        <f>HYPERLINK("http://ictvonline.org/taxonomy/p/taxonomy-history?taxnode_id=201901108","ICTVonline=201901108")</f>
        <v>ICTVonline=201901108</v>
      </c>
      <c r="Y1820" s="1" t="s">
        <v>10104</v>
      </c>
      <c r="AA1820" s="1">
        <v>201900000</v>
      </c>
      <c r="AB1820" s="1">
        <v>35</v>
      </c>
    </row>
    <row r="1821" spans="1:28" x14ac:dyDescent="0.2">
      <c r="A1821" s="1">
        <v>4973</v>
      </c>
      <c r="B1821" s="1" t="s">
        <v>6850</v>
      </c>
      <c r="D1821" s="1" t="s">
        <v>6851</v>
      </c>
      <c r="F1821" s="1" t="s">
        <v>6914</v>
      </c>
      <c r="H1821" s="1" t="s">
        <v>6915</v>
      </c>
      <c r="J1821" s="1" t="s">
        <v>1324</v>
      </c>
      <c r="L1821" s="1" t="s">
        <v>895</v>
      </c>
      <c r="N1821" s="1" t="s">
        <v>6490</v>
      </c>
      <c r="P1821" s="1" t="s">
        <v>3251</v>
      </c>
      <c r="Q1821" s="3">
        <v>0</v>
      </c>
      <c r="R1821" s="23" t="s">
        <v>6854</v>
      </c>
      <c r="S1821" s="23" t="s">
        <v>6845</v>
      </c>
      <c r="T1821" s="23" t="s">
        <v>4866</v>
      </c>
      <c r="U1821" s="3">
        <v>35</v>
      </c>
      <c r="W1821" s="45" t="str">
        <f>HYPERLINK("http://ictvonline.org/taxonomy/p/taxonomy-history?taxnode_id=201901109","ICTVonline=201901109")</f>
        <v>ICTVonline=201901109</v>
      </c>
      <c r="Y1821" s="1" t="s">
        <v>10105</v>
      </c>
      <c r="AA1821" s="1">
        <v>201900000</v>
      </c>
      <c r="AB1821" s="1">
        <v>35</v>
      </c>
    </row>
    <row r="1822" spans="1:28" x14ac:dyDescent="0.2">
      <c r="A1822" s="1">
        <v>4977</v>
      </c>
      <c r="B1822" s="1" t="s">
        <v>6850</v>
      </c>
      <c r="D1822" s="1" t="s">
        <v>6851</v>
      </c>
      <c r="F1822" s="1" t="s">
        <v>6914</v>
      </c>
      <c r="H1822" s="1" t="s">
        <v>6915</v>
      </c>
      <c r="J1822" s="1" t="s">
        <v>1324</v>
      </c>
      <c r="L1822" s="1" t="s">
        <v>895</v>
      </c>
      <c r="N1822" s="1" t="s">
        <v>6491</v>
      </c>
      <c r="P1822" s="1" t="s">
        <v>4358</v>
      </c>
      <c r="Q1822" s="3">
        <v>0</v>
      </c>
      <c r="R1822" s="23" t="s">
        <v>6854</v>
      </c>
      <c r="S1822" s="23" t="s">
        <v>6845</v>
      </c>
      <c r="T1822" s="23" t="s">
        <v>4866</v>
      </c>
      <c r="U1822" s="3">
        <v>35</v>
      </c>
      <c r="W1822" s="45" t="str">
        <f>HYPERLINK("http://ictvonline.org/taxonomy/p/taxonomy-history?taxnode_id=201901117","ICTVonline=201901117")</f>
        <v>ICTVonline=201901117</v>
      </c>
      <c r="Y1822" s="1" t="s">
        <v>10106</v>
      </c>
      <c r="Z1822" s="1" t="s">
        <v>10107</v>
      </c>
      <c r="AA1822" s="1">
        <v>201900000</v>
      </c>
      <c r="AB1822" s="1">
        <v>35</v>
      </c>
    </row>
    <row r="1823" spans="1:28" x14ac:dyDescent="0.2">
      <c r="A1823" s="1">
        <v>4979</v>
      </c>
      <c r="B1823" s="1" t="s">
        <v>6850</v>
      </c>
      <c r="D1823" s="1" t="s">
        <v>6851</v>
      </c>
      <c r="F1823" s="1" t="s">
        <v>6914</v>
      </c>
      <c r="H1823" s="1" t="s">
        <v>6915</v>
      </c>
      <c r="J1823" s="1" t="s">
        <v>1324</v>
      </c>
      <c r="L1823" s="1" t="s">
        <v>895</v>
      </c>
      <c r="N1823" s="1" t="s">
        <v>6491</v>
      </c>
      <c r="P1823" s="1" t="s">
        <v>4359</v>
      </c>
      <c r="Q1823" s="3">
        <v>0</v>
      </c>
      <c r="R1823" s="23" t="s">
        <v>6854</v>
      </c>
      <c r="S1823" s="23" t="s">
        <v>6845</v>
      </c>
      <c r="T1823" s="23" t="s">
        <v>4866</v>
      </c>
      <c r="U1823" s="3">
        <v>35</v>
      </c>
      <c r="W1823" s="45" t="str">
        <f>HYPERLINK("http://ictvonline.org/taxonomy/p/taxonomy-history?taxnode_id=201901118","ICTVonline=201901118")</f>
        <v>ICTVonline=201901118</v>
      </c>
      <c r="Y1823" s="1" t="s">
        <v>10108</v>
      </c>
      <c r="Z1823" s="1" t="s">
        <v>10109</v>
      </c>
      <c r="AA1823" s="1">
        <v>201900000</v>
      </c>
      <c r="AB1823" s="1">
        <v>35</v>
      </c>
    </row>
    <row r="1824" spans="1:28" x14ac:dyDescent="0.2">
      <c r="A1824" s="1">
        <v>4981</v>
      </c>
      <c r="B1824" s="1" t="s">
        <v>6850</v>
      </c>
      <c r="D1824" s="1" t="s">
        <v>6851</v>
      </c>
      <c r="F1824" s="1" t="s">
        <v>6914</v>
      </c>
      <c r="H1824" s="1" t="s">
        <v>6915</v>
      </c>
      <c r="J1824" s="1" t="s">
        <v>1324</v>
      </c>
      <c r="L1824" s="1" t="s">
        <v>895</v>
      </c>
      <c r="N1824" s="1" t="s">
        <v>6491</v>
      </c>
      <c r="P1824" s="1" t="s">
        <v>4360</v>
      </c>
      <c r="Q1824" s="3">
        <v>0</v>
      </c>
      <c r="R1824" s="23" t="s">
        <v>6854</v>
      </c>
      <c r="S1824" s="23" t="s">
        <v>6845</v>
      </c>
      <c r="T1824" s="23" t="s">
        <v>4866</v>
      </c>
      <c r="U1824" s="3">
        <v>35</v>
      </c>
      <c r="W1824" s="45" t="str">
        <f>HYPERLINK("http://ictvonline.org/taxonomy/p/taxonomy-history?taxnode_id=201901119","ICTVonline=201901119")</f>
        <v>ICTVonline=201901119</v>
      </c>
      <c r="Y1824" s="1" t="s">
        <v>10110</v>
      </c>
      <c r="Z1824" s="1" t="s">
        <v>10111</v>
      </c>
      <c r="AA1824" s="1">
        <v>201900000</v>
      </c>
      <c r="AB1824" s="1">
        <v>35</v>
      </c>
    </row>
    <row r="1825" spans="1:28" x14ac:dyDescent="0.2">
      <c r="A1825" s="1">
        <v>4983</v>
      </c>
      <c r="B1825" s="1" t="s">
        <v>6850</v>
      </c>
      <c r="D1825" s="1" t="s">
        <v>6851</v>
      </c>
      <c r="F1825" s="1" t="s">
        <v>6914</v>
      </c>
      <c r="H1825" s="1" t="s">
        <v>6915</v>
      </c>
      <c r="J1825" s="1" t="s">
        <v>1324</v>
      </c>
      <c r="L1825" s="1" t="s">
        <v>895</v>
      </c>
      <c r="N1825" s="1" t="s">
        <v>6491</v>
      </c>
      <c r="P1825" s="1" t="s">
        <v>4361</v>
      </c>
      <c r="Q1825" s="3">
        <v>0</v>
      </c>
      <c r="R1825" s="23" t="s">
        <v>6854</v>
      </c>
      <c r="S1825" s="23" t="s">
        <v>6845</v>
      </c>
      <c r="T1825" s="23" t="s">
        <v>4866</v>
      </c>
      <c r="U1825" s="3">
        <v>35</v>
      </c>
      <c r="W1825" s="45" t="str">
        <f>HYPERLINK("http://ictvonline.org/taxonomy/p/taxonomy-history?taxnode_id=201901120","ICTVonline=201901120")</f>
        <v>ICTVonline=201901120</v>
      </c>
      <c r="Y1825" s="1" t="s">
        <v>10112</v>
      </c>
      <c r="Z1825" s="1" t="s">
        <v>10113</v>
      </c>
      <c r="AA1825" s="1">
        <v>201900000</v>
      </c>
      <c r="AB1825" s="1">
        <v>35</v>
      </c>
    </row>
    <row r="1826" spans="1:28" x14ac:dyDescent="0.2">
      <c r="A1826" s="1">
        <v>4985</v>
      </c>
      <c r="B1826" s="1" t="s">
        <v>6850</v>
      </c>
      <c r="D1826" s="1" t="s">
        <v>6851</v>
      </c>
      <c r="F1826" s="1" t="s">
        <v>6914</v>
      </c>
      <c r="H1826" s="1" t="s">
        <v>6915</v>
      </c>
      <c r="J1826" s="1" t="s">
        <v>1324</v>
      </c>
      <c r="L1826" s="1" t="s">
        <v>895</v>
      </c>
      <c r="N1826" s="1" t="s">
        <v>6491</v>
      </c>
      <c r="P1826" s="1" t="s">
        <v>4362</v>
      </c>
      <c r="Q1826" s="3">
        <v>0</v>
      </c>
      <c r="R1826" s="23" t="s">
        <v>6854</v>
      </c>
      <c r="S1826" s="23" t="s">
        <v>6845</v>
      </c>
      <c r="T1826" s="23" t="s">
        <v>4866</v>
      </c>
      <c r="U1826" s="3">
        <v>35</v>
      </c>
      <c r="W1826" s="45" t="str">
        <f>HYPERLINK("http://ictvonline.org/taxonomy/p/taxonomy-history?taxnode_id=201901121","ICTVonline=201901121")</f>
        <v>ICTVonline=201901121</v>
      </c>
      <c r="Y1826" s="1" t="s">
        <v>10114</v>
      </c>
      <c r="Z1826" s="1" t="s">
        <v>10115</v>
      </c>
      <c r="AA1826" s="1">
        <v>201900000</v>
      </c>
      <c r="AB1826" s="1">
        <v>35</v>
      </c>
    </row>
    <row r="1827" spans="1:28" x14ac:dyDescent="0.2">
      <c r="A1827" s="1">
        <v>4987</v>
      </c>
      <c r="B1827" s="1" t="s">
        <v>6850</v>
      </c>
      <c r="D1827" s="1" t="s">
        <v>6851</v>
      </c>
      <c r="F1827" s="1" t="s">
        <v>6914</v>
      </c>
      <c r="H1827" s="1" t="s">
        <v>6915</v>
      </c>
      <c r="J1827" s="1" t="s">
        <v>1324</v>
      </c>
      <c r="L1827" s="1" t="s">
        <v>895</v>
      </c>
      <c r="N1827" s="1" t="s">
        <v>6491</v>
      </c>
      <c r="P1827" s="1" t="s">
        <v>4363</v>
      </c>
      <c r="Q1827" s="3">
        <v>0</v>
      </c>
      <c r="R1827" s="23" t="s">
        <v>6854</v>
      </c>
      <c r="S1827" s="23" t="s">
        <v>6845</v>
      </c>
      <c r="T1827" s="23" t="s">
        <v>4866</v>
      </c>
      <c r="U1827" s="3">
        <v>35</v>
      </c>
      <c r="W1827" s="45" t="str">
        <f>HYPERLINK("http://ictvonline.org/taxonomy/p/taxonomy-history?taxnode_id=201901122","ICTVonline=201901122")</f>
        <v>ICTVonline=201901122</v>
      </c>
      <c r="Y1827" s="1" t="s">
        <v>10116</v>
      </c>
      <c r="Z1827" s="1" t="s">
        <v>10117</v>
      </c>
      <c r="AA1827" s="1">
        <v>201900000</v>
      </c>
      <c r="AB1827" s="1">
        <v>35</v>
      </c>
    </row>
    <row r="1828" spans="1:28" x14ac:dyDescent="0.2">
      <c r="A1828" s="1">
        <v>4989</v>
      </c>
      <c r="B1828" s="1" t="s">
        <v>6850</v>
      </c>
      <c r="D1828" s="1" t="s">
        <v>6851</v>
      </c>
      <c r="F1828" s="1" t="s">
        <v>6914</v>
      </c>
      <c r="H1828" s="1" t="s">
        <v>6915</v>
      </c>
      <c r="J1828" s="1" t="s">
        <v>1324</v>
      </c>
      <c r="L1828" s="1" t="s">
        <v>895</v>
      </c>
      <c r="N1828" s="1" t="s">
        <v>6491</v>
      </c>
      <c r="P1828" s="1" t="s">
        <v>4364</v>
      </c>
      <c r="Q1828" s="3">
        <v>0</v>
      </c>
      <c r="R1828" s="23" t="s">
        <v>6854</v>
      </c>
      <c r="S1828" s="23" t="s">
        <v>6845</v>
      </c>
      <c r="T1828" s="23" t="s">
        <v>4866</v>
      </c>
      <c r="U1828" s="3">
        <v>35</v>
      </c>
      <c r="W1828" s="45" t="str">
        <f>HYPERLINK("http://ictvonline.org/taxonomy/p/taxonomy-history?taxnode_id=201901123","ICTVonline=201901123")</f>
        <v>ICTVonline=201901123</v>
      </c>
      <c r="Y1828" s="1" t="s">
        <v>10118</v>
      </c>
      <c r="Z1828" s="1" t="s">
        <v>10119</v>
      </c>
      <c r="AA1828" s="1">
        <v>201900000</v>
      </c>
      <c r="AB1828" s="1">
        <v>35</v>
      </c>
    </row>
    <row r="1829" spans="1:28" x14ac:dyDescent="0.2">
      <c r="A1829" s="1">
        <v>4991</v>
      </c>
      <c r="B1829" s="1" t="s">
        <v>6850</v>
      </c>
      <c r="D1829" s="1" t="s">
        <v>6851</v>
      </c>
      <c r="F1829" s="1" t="s">
        <v>6914</v>
      </c>
      <c r="H1829" s="1" t="s">
        <v>6915</v>
      </c>
      <c r="J1829" s="1" t="s">
        <v>1324</v>
      </c>
      <c r="L1829" s="1" t="s">
        <v>895</v>
      </c>
      <c r="N1829" s="1" t="s">
        <v>6491</v>
      </c>
      <c r="P1829" s="1" t="s">
        <v>4365</v>
      </c>
      <c r="Q1829" s="3">
        <v>0</v>
      </c>
      <c r="R1829" s="23" t="s">
        <v>6854</v>
      </c>
      <c r="S1829" s="23" t="s">
        <v>6845</v>
      </c>
      <c r="T1829" s="23" t="s">
        <v>4866</v>
      </c>
      <c r="U1829" s="3">
        <v>35</v>
      </c>
      <c r="W1829" s="45" t="str">
        <f>HYPERLINK("http://ictvonline.org/taxonomy/p/taxonomy-history?taxnode_id=201901124","ICTVonline=201901124")</f>
        <v>ICTVonline=201901124</v>
      </c>
      <c r="Y1829" s="1" t="s">
        <v>10120</v>
      </c>
      <c r="Z1829" s="1" t="s">
        <v>10121</v>
      </c>
      <c r="AA1829" s="1">
        <v>201900000</v>
      </c>
      <c r="AB1829" s="1">
        <v>35</v>
      </c>
    </row>
    <row r="1830" spans="1:28" x14ac:dyDescent="0.2">
      <c r="A1830" s="1">
        <v>4993</v>
      </c>
      <c r="B1830" s="1" t="s">
        <v>6850</v>
      </c>
      <c r="D1830" s="1" t="s">
        <v>6851</v>
      </c>
      <c r="F1830" s="1" t="s">
        <v>6914</v>
      </c>
      <c r="H1830" s="1" t="s">
        <v>6915</v>
      </c>
      <c r="J1830" s="1" t="s">
        <v>1324</v>
      </c>
      <c r="L1830" s="1" t="s">
        <v>895</v>
      </c>
      <c r="N1830" s="1" t="s">
        <v>6491</v>
      </c>
      <c r="P1830" s="1" t="s">
        <v>4366</v>
      </c>
      <c r="Q1830" s="3">
        <v>0</v>
      </c>
      <c r="R1830" s="23" t="s">
        <v>6854</v>
      </c>
      <c r="S1830" s="23" t="s">
        <v>6845</v>
      </c>
      <c r="T1830" s="23" t="s">
        <v>4866</v>
      </c>
      <c r="U1830" s="3">
        <v>35</v>
      </c>
      <c r="W1830" s="45" t="str">
        <f>HYPERLINK("http://ictvonline.org/taxonomy/p/taxonomy-history?taxnode_id=201901125","ICTVonline=201901125")</f>
        <v>ICTVonline=201901125</v>
      </c>
      <c r="Y1830" s="1" t="s">
        <v>10122</v>
      </c>
      <c r="Z1830" s="1" t="s">
        <v>10123</v>
      </c>
      <c r="AA1830" s="1">
        <v>201900000</v>
      </c>
      <c r="AB1830" s="1">
        <v>35</v>
      </c>
    </row>
    <row r="1831" spans="1:28" x14ac:dyDescent="0.2">
      <c r="A1831" s="1">
        <v>4995</v>
      </c>
      <c r="B1831" s="1" t="s">
        <v>6850</v>
      </c>
      <c r="D1831" s="1" t="s">
        <v>6851</v>
      </c>
      <c r="F1831" s="1" t="s">
        <v>6914</v>
      </c>
      <c r="H1831" s="1" t="s">
        <v>6915</v>
      </c>
      <c r="J1831" s="1" t="s">
        <v>1324</v>
      </c>
      <c r="L1831" s="1" t="s">
        <v>895</v>
      </c>
      <c r="N1831" s="1" t="s">
        <v>6491</v>
      </c>
      <c r="P1831" s="1" t="s">
        <v>4367</v>
      </c>
      <c r="Q1831" s="3">
        <v>0</v>
      </c>
      <c r="R1831" s="23" t="s">
        <v>6854</v>
      </c>
      <c r="S1831" s="23" t="s">
        <v>6845</v>
      </c>
      <c r="T1831" s="23" t="s">
        <v>4866</v>
      </c>
      <c r="U1831" s="3">
        <v>35</v>
      </c>
      <c r="W1831" s="45" t="str">
        <f>HYPERLINK("http://ictvonline.org/taxonomy/p/taxonomy-history?taxnode_id=201901126","ICTVonline=201901126")</f>
        <v>ICTVonline=201901126</v>
      </c>
      <c r="Y1831" s="1" t="s">
        <v>10124</v>
      </c>
      <c r="Z1831" s="1" t="s">
        <v>10125</v>
      </c>
      <c r="AA1831" s="1">
        <v>201900000</v>
      </c>
      <c r="AB1831" s="1">
        <v>35</v>
      </c>
    </row>
    <row r="1832" spans="1:28" x14ac:dyDescent="0.2">
      <c r="A1832" s="1">
        <v>4997</v>
      </c>
      <c r="B1832" s="1" t="s">
        <v>6850</v>
      </c>
      <c r="D1832" s="1" t="s">
        <v>6851</v>
      </c>
      <c r="F1832" s="1" t="s">
        <v>6914</v>
      </c>
      <c r="H1832" s="1" t="s">
        <v>6915</v>
      </c>
      <c r="J1832" s="1" t="s">
        <v>1324</v>
      </c>
      <c r="L1832" s="1" t="s">
        <v>895</v>
      </c>
      <c r="N1832" s="1" t="s">
        <v>6491</v>
      </c>
      <c r="P1832" s="1" t="s">
        <v>4368</v>
      </c>
      <c r="Q1832" s="3">
        <v>0</v>
      </c>
      <c r="R1832" s="23" t="s">
        <v>6854</v>
      </c>
      <c r="S1832" s="23" t="s">
        <v>6845</v>
      </c>
      <c r="T1832" s="23" t="s">
        <v>4866</v>
      </c>
      <c r="U1832" s="3">
        <v>35</v>
      </c>
      <c r="W1832" s="45" t="str">
        <f>HYPERLINK("http://ictvonline.org/taxonomy/p/taxonomy-history?taxnode_id=201901127","ICTVonline=201901127")</f>
        <v>ICTVonline=201901127</v>
      </c>
      <c r="Y1832" s="1" t="s">
        <v>10126</v>
      </c>
      <c r="Z1832" s="1" t="s">
        <v>10127</v>
      </c>
      <c r="AA1832" s="1">
        <v>201900000</v>
      </c>
      <c r="AB1832" s="1">
        <v>35</v>
      </c>
    </row>
    <row r="1833" spans="1:28" x14ac:dyDescent="0.2">
      <c r="A1833" s="1">
        <v>4999</v>
      </c>
      <c r="B1833" s="1" t="s">
        <v>6850</v>
      </c>
      <c r="D1833" s="1" t="s">
        <v>6851</v>
      </c>
      <c r="F1833" s="1" t="s">
        <v>6914</v>
      </c>
      <c r="H1833" s="1" t="s">
        <v>6915</v>
      </c>
      <c r="J1833" s="1" t="s">
        <v>1324</v>
      </c>
      <c r="L1833" s="1" t="s">
        <v>895</v>
      </c>
      <c r="N1833" s="1" t="s">
        <v>6491</v>
      </c>
      <c r="P1833" s="1" t="s">
        <v>4369</v>
      </c>
      <c r="Q1833" s="3">
        <v>0</v>
      </c>
      <c r="R1833" s="23" t="s">
        <v>6854</v>
      </c>
      <c r="S1833" s="23" t="s">
        <v>6845</v>
      </c>
      <c r="T1833" s="23" t="s">
        <v>4866</v>
      </c>
      <c r="U1833" s="3">
        <v>35</v>
      </c>
      <c r="W1833" s="45" t="str">
        <f>HYPERLINK("http://ictvonline.org/taxonomy/p/taxonomy-history?taxnode_id=201901128","ICTVonline=201901128")</f>
        <v>ICTVonline=201901128</v>
      </c>
      <c r="Y1833" s="1" t="s">
        <v>10128</v>
      </c>
      <c r="Z1833" s="1" t="s">
        <v>10129</v>
      </c>
      <c r="AA1833" s="1">
        <v>201900000</v>
      </c>
      <c r="AB1833" s="1">
        <v>35</v>
      </c>
    </row>
    <row r="1834" spans="1:28" x14ac:dyDescent="0.2">
      <c r="A1834" s="1">
        <v>5001</v>
      </c>
      <c r="B1834" s="1" t="s">
        <v>6850</v>
      </c>
      <c r="D1834" s="1" t="s">
        <v>6851</v>
      </c>
      <c r="F1834" s="1" t="s">
        <v>6914</v>
      </c>
      <c r="H1834" s="1" t="s">
        <v>6915</v>
      </c>
      <c r="J1834" s="1" t="s">
        <v>1324</v>
      </c>
      <c r="L1834" s="1" t="s">
        <v>895</v>
      </c>
      <c r="N1834" s="1" t="s">
        <v>6491</v>
      </c>
      <c r="P1834" s="1" t="s">
        <v>4370</v>
      </c>
      <c r="Q1834" s="3">
        <v>0</v>
      </c>
      <c r="R1834" s="23" t="s">
        <v>6854</v>
      </c>
      <c r="S1834" s="23" t="s">
        <v>6845</v>
      </c>
      <c r="T1834" s="23" t="s">
        <v>4866</v>
      </c>
      <c r="U1834" s="3">
        <v>35</v>
      </c>
      <c r="W1834" s="45" t="str">
        <f>HYPERLINK("http://ictvonline.org/taxonomy/p/taxonomy-history?taxnode_id=201901129","ICTVonline=201901129")</f>
        <v>ICTVonline=201901129</v>
      </c>
      <c r="Y1834" s="1" t="s">
        <v>10130</v>
      </c>
      <c r="Z1834" s="1" t="s">
        <v>10131</v>
      </c>
      <c r="AA1834" s="1">
        <v>201900000</v>
      </c>
      <c r="AB1834" s="1">
        <v>35</v>
      </c>
    </row>
    <row r="1835" spans="1:28" x14ac:dyDescent="0.2">
      <c r="A1835" s="1">
        <v>5003</v>
      </c>
      <c r="B1835" s="1" t="s">
        <v>6850</v>
      </c>
      <c r="D1835" s="1" t="s">
        <v>6851</v>
      </c>
      <c r="F1835" s="1" t="s">
        <v>6914</v>
      </c>
      <c r="H1835" s="1" t="s">
        <v>6915</v>
      </c>
      <c r="J1835" s="1" t="s">
        <v>1324</v>
      </c>
      <c r="L1835" s="1" t="s">
        <v>895</v>
      </c>
      <c r="N1835" s="1" t="s">
        <v>6491</v>
      </c>
      <c r="P1835" s="1" t="s">
        <v>4371</v>
      </c>
      <c r="Q1835" s="3">
        <v>0</v>
      </c>
      <c r="R1835" s="23" t="s">
        <v>6854</v>
      </c>
      <c r="S1835" s="23" t="s">
        <v>6845</v>
      </c>
      <c r="T1835" s="23" t="s">
        <v>4866</v>
      </c>
      <c r="U1835" s="3">
        <v>35</v>
      </c>
      <c r="W1835" s="45" t="str">
        <f>HYPERLINK("http://ictvonline.org/taxonomy/p/taxonomy-history?taxnode_id=201901130","ICTVonline=201901130")</f>
        <v>ICTVonline=201901130</v>
      </c>
      <c r="Y1835" s="1" t="s">
        <v>10132</v>
      </c>
      <c r="Z1835" s="1" t="s">
        <v>10133</v>
      </c>
      <c r="AA1835" s="1">
        <v>201900000</v>
      </c>
      <c r="AB1835" s="1">
        <v>35</v>
      </c>
    </row>
    <row r="1836" spans="1:28" x14ac:dyDescent="0.2">
      <c r="A1836" s="1">
        <v>5005</v>
      </c>
      <c r="B1836" s="1" t="s">
        <v>6850</v>
      </c>
      <c r="D1836" s="1" t="s">
        <v>6851</v>
      </c>
      <c r="F1836" s="1" t="s">
        <v>6914</v>
      </c>
      <c r="H1836" s="1" t="s">
        <v>6915</v>
      </c>
      <c r="J1836" s="1" t="s">
        <v>1324</v>
      </c>
      <c r="L1836" s="1" t="s">
        <v>895</v>
      </c>
      <c r="N1836" s="1" t="s">
        <v>6491</v>
      </c>
      <c r="P1836" s="1" t="s">
        <v>4372</v>
      </c>
      <c r="Q1836" s="3">
        <v>0</v>
      </c>
      <c r="R1836" s="23" t="s">
        <v>6854</v>
      </c>
      <c r="S1836" s="23" t="s">
        <v>6845</v>
      </c>
      <c r="T1836" s="23" t="s">
        <v>4866</v>
      </c>
      <c r="U1836" s="3">
        <v>35</v>
      </c>
      <c r="W1836" s="45" t="str">
        <f>HYPERLINK("http://ictvonline.org/taxonomy/p/taxonomy-history?taxnode_id=201901131","ICTVonline=201901131")</f>
        <v>ICTVonline=201901131</v>
      </c>
      <c r="Y1836" s="1" t="s">
        <v>10134</v>
      </c>
      <c r="Z1836" s="1" t="s">
        <v>10135</v>
      </c>
      <c r="AA1836" s="1">
        <v>201900000</v>
      </c>
      <c r="AB1836" s="1">
        <v>35</v>
      </c>
    </row>
    <row r="1837" spans="1:28" x14ac:dyDescent="0.2">
      <c r="A1837" s="1">
        <v>5007</v>
      </c>
      <c r="B1837" s="1" t="s">
        <v>6850</v>
      </c>
      <c r="D1837" s="1" t="s">
        <v>6851</v>
      </c>
      <c r="F1837" s="1" t="s">
        <v>6914</v>
      </c>
      <c r="H1837" s="1" t="s">
        <v>6915</v>
      </c>
      <c r="J1837" s="1" t="s">
        <v>1324</v>
      </c>
      <c r="L1837" s="1" t="s">
        <v>895</v>
      </c>
      <c r="N1837" s="1" t="s">
        <v>6491</v>
      </c>
      <c r="P1837" s="1" t="s">
        <v>4373</v>
      </c>
      <c r="Q1837" s="3">
        <v>0</v>
      </c>
      <c r="R1837" s="23" t="s">
        <v>6854</v>
      </c>
      <c r="S1837" s="23" t="s">
        <v>6845</v>
      </c>
      <c r="T1837" s="23" t="s">
        <v>4866</v>
      </c>
      <c r="U1837" s="3">
        <v>35</v>
      </c>
      <c r="W1837" s="45" t="str">
        <f>HYPERLINK("http://ictvonline.org/taxonomy/p/taxonomy-history?taxnode_id=201901132","ICTVonline=201901132")</f>
        <v>ICTVonline=201901132</v>
      </c>
      <c r="Y1837" s="1" t="s">
        <v>10136</v>
      </c>
      <c r="Z1837" s="1" t="s">
        <v>10137</v>
      </c>
      <c r="AA1837" s="1">
        <v>201900000</v>
      </c>
      <c r="AB1837" s="1">
        <v>35</v>
      </c>
    </row>
    <row r="1838" spans="1:28" x14ac:dyDescent="0.2">
      <c r="A1838" s="1">
        <v>5009</v>
      </c>
      <c r="B1838" s="1" t="s">
        <v>6850</v>
      </c>
      <c r="D1838" s="1" t="s">
        <v>6851</v>
      </c>
      <c r="F1838" s="1" t="s">
        <v>6914</v>
      </c>
      <c r="H1838" s="1" t="s">
        <v>6915</v>
      </c>
      <c r="J1838" s="1" t="s">
        <v>1324</v>
      </c>
      <c r="L1838" s="1" t="s">
        <v>895</v>
      </c>
      <c r="N1838" s="1" t="s">
        <v>6491</v>
      </c>
      <c r="P1838" s="1" t="s">
        <v>4374</v>
      </c>
      <c r="Q1838" s="3">
        <v>0</v>
      </c>
      <c r="R1838" s="23" t="s">
        <v>6854</v>
      </c>
      <c r="S1838" s="23" t="s">
        <v>6845</v>
      </c>
      <c r="T1838" s="23" t="s">
        <v>4866</v>
      </c>
      <c r="U1838" s="3">
        <v>35</v>
      </c>
      <c r="W1838" s="45" t="str">
        <f>HYPERLINK("http://ictvonline.org/taxonomy/p/taxonomy-history?taxnode_id=201901133","ICTVonline=201901133")</f>
        <v>ICTVonline=201901133</v>
      </c>
      <c r="Y1838" s="1" t="s">
        <v>10138</v>
      </c>
      <c r="Z1838" s="1" t="s">
        <v>10139</v>
      </c>
      <c r="AA1838" s="1">
        <v>201900000</v>
      </c>
      <c r="AB1838" s="1">
        <v>35</v>
      </c>
    </row>
    <row r="1839" spans="1:28" x14ac:dyDescent="0.2">
      <c r="A1839" s="1">
        <v>5011</v>
      </c>
      <c r="B1839" s="1" t="s">
        <v>6850</v>
      </c>
      <c r="D1839" s="1" t="s">
        <v>6851</v>
      </c>
      <c r="F1839" s="1" t="s">
        <v>6914</v>
      </c>
      <c r="H1839" s="1" t="s">
        <v>6915</v>
      </c>
      <c r="J1839" s="1" t="s">
        <v>1324</v>
      </c>
      <c r="L1839" s="1" t="s">
        <v>895</v>
      </c>
      <c r="N1839" s="1" t="s">
        <v>6491</v>
      </c>
      <c r="P1839" s="1" t="s">
        <v>4375</v>
      </c>
      <c r="Q1839" s="3">
        <v>1</v>
      </c>
      <c r="R1839" s="23" t="s">
        <v>6854</v>
      </c>
      <c r="S1839" s="23" t="s">
        <v>6845</v>
      </c>
      <c r="T1839" s="23" t="s">
        <v>4866</v>
      </c>
      <c r="U1839" s="3">
        <v>35</v>
      </c>
      <c r="W1839" s="45" t="str">
        <f>HYPERLINK("http://ictvonline.org/taxonomy/p/taxonomy-history?taxnode_id=201901134","ICTVonline=201901134")</f>
        <v>ICTVonline=201901134</v>
      </c>
      <c r="Y1839" s="1" t="s">
        <v>10140</v>
      </c>
      <c r="Z1839" s="1" t="s">
        <v>10141</v>
      </c>
      <c r="AA1839" s="1">
        <v>201900000</v>
      </c>
      <c r="AB1839" s="1">
        <v>35</v>
      </c>
    </row>
    <row r="1840" spans="1:28" x14ac:dyDescent="0.2">
      <c r="A1840" s="1">
        <v>5013</v>
      </c>
      <c r="B1840" s="1" t="s">
        <v>6850</v>
      </c>
      <c r="D1840" s="1" t="s">
        <v>6851</v>
      </c>
      <c r="F1840" s="1" t="s">
        <v>6914</v>
      </c>
      <c r="H1840" s="1" t="s">
        <v>6915</v>
      </c>
      <c r="J1840" s="1" t="s">
        <v>1324</v>
      </c>
      <c r="L1840" s="1" t="s">
        <v>895</v>
      </c>
      <c r="N1840" s="1" t="s">
        <v>6491</v>
      </c>
      <c r="P1840" s="1" t="s">
        <v>4376</v>
      </c>
      <c r="Q1840" s="3">
        <v>0</v>
      </c>
      <c r="R1840" s="23" t="s">
        <v>6854</v>
      </c>
      <c r="S1840" s="23" t="s">
        <v>6845</v>
      </c>
      <c r="T1840" s="23" t="s">
        <v>4866</v>
      </c>
      <c r="U1840" s="3">
        <v>35</v>
      </c>
      <c r="W1840" s="45" t="str">
        <f>HYPERLINK("http://ictvonline.org/taxonomy/p/taxonomy-history?taxnode_id=201901135","ICTVonline=201901135")</f>
        <v>ICTVonline=201901135</v>
      </c>
      <c r="Y1840" s="1" t="s">
        <v>10142</v>
      </c>
      <c r="Z1840" s="1" t="s">
        <v>10143</v>
      </c>
      <c r="AA1840" s="1">
        <v>201900000</v>
      </c>
      <c r="AB1840" s="1">
        <v>35</v>
      </c>
    </row>
    <row r="1841" spans="1:28" x14ac:dyDescent="0.2">
      <c r="A1841" s="1">
        <v>5015</v>
      </c>
      <c r="B1841" s="1" t="s">
        <v>6850</v>
      </c>
      <c r="D1841" s="1" t="s">
        <v>6851</v>
      </c>
      <c r="F1841" s="1" t="s">
        <v>6914</v>
      </c>
      <c r="H1841" s="1" t="s">
        <v>6915</v>
      </c>
      <c r="J1841" s="1" t="s">
        <v>1324</v>
      </c>
      <c r="L1841" s="1" t="s">
        <v>895</v>
      </c>
      <c r="N1841" s="1" t="s">
        <v>6491</v>
      </c>
      <c r="P1841" s="1" t="s">
        <v>4377</v>
      </c>
      <c r="Q1841" s="3">
        <v>0</v>
      </c>
      <c r="R1841" s="23" t="s">
        <v>6854</v>
      </c>
      <c r="S1841" s="23" t="s">
        <v>6845</v>
      </c>
      <c r="T1841" s="23" t="s">
        <v>4866</v>
      </c>
      <c r="U1841" s="3">
        <v>35</v>
      </c>
      <c r="W1841" s="45" t="str">
        <f>HYPERLINK("http://ictvonline.org/taxonomy/p/taxonomy-history?taxnode_id=201901136","ICTVonline=201901136")</f>
        <v>ICTVonline=201901136</v>
      </c>
      <c r="Y1841" s="1" t="s">
        <v>10144</v>
      </c>
      <c r="Z1841" s="1" t="s">
        <v>10145</v>
      </c>
      <c r="AA1841" s="1">
        <v>201900000</v>
      </c>
      <c r="AB1841" s="1">
        <v>35</v>
      </c>
    </row>
    <row r="1842" spans="1:28" x14ac:dyDescent="0.2">
      <c r="A1842" s="1">
        <v>5017</v>
      </c>
      <c r="B1842" s="1" t="s">
        <v>6850</v>
      </c>
      <c r="D1842" s="1" t="s">
        <v>6851</v>
      </c>
      <c r="F1842" s="1" t="s">
        <v>6914</v>
      </c>
      <c r="H1842" s="1" t="s">
        <v>6915</v>
      </c>
      <c r="J1842" s="1" t="s">
        <v>1324</v>
      </c>
      <c r="L1842" s="1" t="s">
        <v>895</v>
      </c>
      <c r="N1842" s="1" t="s">
        <v>6491</v>
      </c>
      <c r="P1842" s="1" t="s">
        <v>4378</v>
      </c>
      <c r="Q1842" s="3">
        <v>0</v>
      </c>
      <c r="R1842" s="23" t="s">
        <v>6854</v>
      </c>
      <c r="S1842" s="23" t="s">
        <v>6845</v>
      </c>
      <c r="T1842" s="23" t="s">
        <v>4866</v>
      </c>
      <c r="U1842" s="3">
        <v>35</v>
      </c>
      <c r="W1842" s="45" t="str">
        <f>HYPERLINK("http://ictvonline.org/taxonomy/p/taxonomy-history?taxnode_id=201901137","ICTVonline=201901137")</f>
        <v>ICTVonline=201901137</v>
      </c>
      <c r="Y1842" s="1" t="s">
        <v>10146</v>
      </c>
      <c r="Z1842" s="1" t="s">
        <v>10147</v>
      </c>
      <c r="AA1842" s="1">
        <v>201900000</v>
      </c>
      <c r="AB1842" s="1">
        <v>35</v>
      </c>
    </row>
    <row r="1843" spans="1:28" x14ac:dyDescent="0.2">
      <c r="A1843" s="1">
        <v>5019</v>
      </c>
      <c r="B1843" s="1" t="s">
        <v>6850</v>
      </c>
      <c r="D1843" s="1" t="s">
        <v>6851</v>
      </c>
      <c r="F1843" s="1" t="s">
        <v>6914</v>
      </c>
      <c r="H1843" s="1" t="s">
        <v>6915</v>
      </c>
      <c r="J1843" s="1" t="s">
        <v>1324</v>
      </c>
      <c r="L1843" s="1" t="s">
        <v>895</v>
      </c>
      <c r="N1843" s="1" t="s">
        <v>6491</v>
      </c>
      <c r="P1843" s="1" t="s">
        <v>4379</v>
      </c>
      <c r="Q1843" s="3">
        <v>0</v>
      </c>
      <c r="R1843" s="23" t="s">
        <v>6854</v>
      </c>
      <c r="S1843" s="23" t="s">
        <v>6845</v>
      </c>
      <c r="T1843" s="23" t="s">
        <v>4866</v>
      </c>
      <c r="U1843" s="3">
        <v>35</v>
      </c>
      <c r="W1843" s="45" t="str">
        <f>HYPERLINK("http://ictvonline.org/taxonomy/p/taxonomy-history?taxnode_id=201901138","ICTVonline=201901138")</f>
        <v>ICTVonline=201901138</v>
      </c>
      <c r="Y1843" s="1" t="s">
        <v>10148</v>
      </c>
      <c r="Z1843" s="1" t="s">
        <v>10149</v>
      </c>
      <c r="AA1843" s="1">
        <v>201900000</v>
      </c>
      <c r="AB1843" s="1">
        <v>35</v>
      </c>
    </row>
    <row r="1844" spans="1:28" x14ac:dyDescent="0.2">
      <c r="A1844" s="1">
        <v>5021</v>
      </c>
      <c r="B1844" s="1" t="s">
        <v>6850</v>
      </c>
      <c r="D1844" s="1" t="s">
        <v>6851</v>
      </c>
      <c r="F1844" s="1" t="s">
        <v>6914</v>
      </c>
      <c r="H1844" s="1" t="s">
        <v>6915</v>
      </c>
      <c r="J1844" s="1" t="s">
        <v>1324</v>
      </c>
      <c r="L1844" s="1" t="s">
        <v>895</v>
      </c>
      <c r="N1844" s="1" t="s">
        <v>6491</v>
      </c>
      <c r="P1844" s="1" t="s">
        <v>4380</v>
      </c>
      <c r="Q1844" s="3">
        <v>0</v>
      </c>
      <c r="R1844" s="23" t="s">
        <v>6854</v>
      </c>
      <c r="S1844" s="23" t="s">
        <v>6845</v>
      </c>
      <c r="T1844" s="23" t="s">
        <v>4866</v>
      </c>
      <c r="U1844" s="3">
        <v>35</v>
      </c>
      <c r="W1844" s="45" t="str">
        <f>HYPERLINK("http://ictvonline.org/taxonomy/p/taxonomy-history?taxnode_id=201901139","ICTVonline=201901139")</f>
        <v>ICTVonline=201901139</v>
      </c>
      <c r="Y1844" s="1" t="s">
        <v>10150</v>
      </c>
      <c r="Z1844" s="1" t="s">
        <v>10151</v>
      </c>
      <c r="AA1844" s="1">
        <v>201900000</v>
      </c>
      <c r="AB1844" s="1">
        <v>35</v>
      </c>
    </row>
    <row r="1845" spans="1:28" x14ac:dyDescent="0.2">
      <c r="A1845" s="1">
        <v>5023</v>
      </c>
      <c r="B1845" s="1" t="s">
        <v>6850</v>
      </c>
      <c r="D1845" s="1" t="s">
        <v>6851</v>
      </c>
      <c r="F1845" s="1" t="s">
        <v>6914</v>
      </c>
      <c r="H1845" s="1" t="s">
        <v>6915</v>
      </c>
      <c r="J1845" s="1" t="s">
        <v>1324</v>
      </c>
      <c r="L1845" s="1" t="s">
        <v>895</v>
      </c>
      <c r="N1845" s="1" t="s">
        <v>6491</v>
      </c>
      <c r="P1845" s="1" t="s">
        <v>4381</v>
      </c>
      <c r="Q1845" s="3">
        <v>0</v>
      </c>
      <c r="R1845" s="23" t="s">
        <v>6854</v>
      </c>
      <c r="S1845" s="23" t="s">
        <v>6845</v>
      </c>
      <c r="T1845" s="23" t="s">
        <v>4866</v>
      </c>
      <c r="U1845" s="3">
        <v>35</v>
      </c>
      <c r="W1845" s="45" t="str">
        <f>HYPERLINK("http://ictvonline.org/taxonomy/p/taxonomy-history?taxnode_id=201901140","ICTVonline=201901140")</f>
        <v>ICTVonline=201901140</v>
      </c>
      <c r="Y1845" s="1" t="s">
        <v>10152</v>
      </c>
      <c r="Z1845" s="1" t="s">
        <v>10153</v>
      </c>
      <c r="AA1845" s="1">
        <v>201900000</v>
      </c>
      <c r="AB1845" s="1">
        <v>35</v>
      </c>
    </row>
    <row r="1846" spans="1:28" x14ac:dyDescent="0.2">
      <c r="A1846" s="1">
        <v>5025</v>
      </c>
      <c r="B1846" s="1" t="s">
        <v>6850</v>
      </c>
      <c r="D1846" s="1" t="s">
        <v>6851</v>
      </c>
      <c r="F1846" s="1" t="s">
        <v>6914</v>
      </c>
      <c r="H1846" s="1" t="s">
        <v>6915</v>
      </c>
      <c r="J1846" s="1" t="s">
        <v>1324</v>
      </c>
      <c r="L1846" s="1" t="s">
        <v>895</v>
      </c>
      <c r="N1846" s="1" t="s">
        <v>6491</v>
      </c>
      <c r="P1846" s="1" t="s">
        <v>4382</v>
      </c>
      <c r="Q1846" s="3">
        <v>0</v>
      </c>
      <c r="R1846" s="23" t="s">
        <v>6854</v>
      </c>
      <c r="S1846" s="23" t="s">
        <v>6845</v>
      </c>
      <c r="T1846" s="23" t="s">
        <v>4866</v>
      </c>
      <c r="U1846" s="3">
        <v>35</v>
      </c>
      <c r="W1846" s="45" t="str">
        <f>HYPERLINK("http://ictvonline.org/taxonomy/p/taxonomy-history?taxnode_id=201901141","ICTVonline=201901141")</f>
        <v>ICTVonline=201901141</v>
      </c>
      <c r="Y1846" s="1" t="s">
        <v>10154</v>
      </c>
      <c r="Z1846" s="1" t="s">
        <v>10155</v>
      </c>
      <c r="AA1846" s="1">
        <v>201900000</v>
      </c>
      <c r="AB1846" s="1">
        <v>35</v>
      </c>
    </row>
    <row r="1847" spans="1:28" x14ac:dyDescent="0.2">
      <c r="A1847" s="1">
        <v>5027</v>
      </c>
      <c r="B1847" s="1" t="s">
        <v>6850</v>
      </c>
      <c r="D1847" s="1" t="s">
        <v>6851</v>
      </c>
      <c r="F1847" s="1" t="s">
        <v>6914</v>
      </c>
      <c r="H1847" s="1" t="s">
        <v>6915</v>
      </c>
      <c r="J1847" s="1" t="s">
        <v>1324</v>
      </c>
      <c r="L1847" s="1" t="s">
        <v>895</v>
      </c>
      <c r="N1847" s="1" t="s">
        <v>6491</v>
      </c>
      <c r="P1847" s="1" t="s">
        <v>4383</v>
      </c>
      <c r="Q1847" s="3">
        <v>0</v>
      </c>
      <c r="R1847" s="23" t="s">
        <v>6854</v>
      </c>
      <c r="S1847" s="23" t="s">
        <v>6845</v>
      </c>
      <c r="T1847" s="23" t="s">
        <v>4866</v>
      </c>
      <c r="U1847" s="3">
        <v>35</v>
      </c>
      <c r="W1847" s="45" t="str">
        <f>HYPERLINK("http://ictvonline.org/taxonomy/p/taxonomy-history?taxnode_id=201901142","ICTVonline=201901142")</f>
        <v>ICTVonline=201901142</v>
      </c>
      <c r="Y1847" s="1" t="s">
        <v>10156</v>
      </c>
      <c r="Z1847" s="1" t="s">
        <v>10157</v>
      </c>
      <c r="AA1847" s="1">
        <v>201900000</v>
      </c>
      <c r="AB1847" s="1">
        <v>35</v>
      </c>
    </row>
    <row r="1848" spans="1:28" x14ac:dyDescent="0.2">
      <c r="A1848" s="1">
        <v>5029</v>
      </c>
      <c r="B1848" s="1" t="s">
        <v>6850</v>
      </c>
      <c r="D1848" s="1" t="s">
        <v>6851</v>
      </c>
      <c r="F1848" s="1" t="s">
        <v>6914</v>
      </c>
      <c r="H1848" s="1" t="s">
        <v>6915</v>
      </c>
      <c r="J1848" s="1" t="s">
        <v>1324</v>
      </c>
      <c r="L1848" s="1" t="s">
        <v>895</v>
      </c>
      <c r="N1848" s="1" t="s">
        <v>6491</v>
      </c>
      <c r="P1848" s="1" t="s">
        <v>4384</v>
      </c>
      <c r="Q1848" s="3">
        <v>0</v>
      </c>
      <c r="R1848" s="23" t="s">
        <v>6854</v>
      </c>
      <c r="S1848" s="23" t="s">
        <v>6845</v>
      </c>
      <c r="T1848" s="23" t="s">
        <v>4866</v>
      </c>
      <c r="U1848" s="3">
        <v>35</v>
      </c>
      <c r="W1848" s="45" t="str">
        <f>HYPERLINK("http://ictvonline.org/taxonomy/p/taxonomy-history?taxnode_id=201901143","ICTVonline=201901143")</f>
        <v>ICTVonline=201901143</v>
      </c>
      <c r="Y1848" s="1" t="s">
        <v>10158</v>
      </c>
      <c r="Z1848" s="1" t="s">
        <v>10159</v>
      </c>
      <c r="AA1848" s="1">
        <v>201900000</v>
      </c>
      <c r="AB1848" s="1">
        <v>35</v>
      </c>
    </row>
    <row r="1849" spans="1:28" x14ac:dyDescent="0.2">
      <c r="A1849" s="1">
        <v>5031</v>
      </c>
      <c r="B1849" s="1" t="s">
        <v>6850</v>
      </c>
      <c r="D1849" s="1" t="s">
        <v>6851</v>
      </c>
      <c r="F1849" s="1" t="s">
        <v>6914</v>
      </c>
      <c r="H1849" s="1" t="s">
        <v>6915</v>
      </c>
      <c r="J1849" s="1" t="s">
        <v>1324</v>
      </c>
      <c r="L1849" s="1" t="s">
        <v>895</v>
      </c>
      <c r="N1849" s="1" t="s">
        <v>6491</v>
      </c>
      <c r="P1849" s="1" t="s">
        <v>4385</v>
      </c>
      <c r="Q1849" s="3">
        <v>0</v>
      </c>
      <c r="R1849" s="23" t="s">
        <v>6854</v>
      </c>
      <c r="S1849" s="23" t="s">
        <v>6845</v>
      </c>
      <c r="T1849" s="23" t="s">
        <v>4866</v>
      </c>
      <c r="U1849" s="3">
        <v>35</v>
      </c>
      <c r="W1849" s="45" t="str">
        <f>HYPERLINK("http://ictvonline.org/taxonomy/p/taxonomy-history?taxnode_id=201901144","ICTVonline=201901144")</f>
        <v>ICTVonline=201901144</v>
      </c>
      <c r="Y1849" s="1" t="s">
        <v>10160</v>
      </c>
      <c r="Z1849" s="1" t="s">
        <v>10161</v>
      </c>
      <c r="AA1849" s="1">
        <v>201900000</v>
      </c>
      <c r="AB1849" s="1">
        <v>35</v>
      </c>
    </row>
    <row r="1850" spans="1:28" x14ac:dyDescent="0.2">
      <c r="A1850" s="1">
        <v>5033</v>
      </c>
      <c r="B1850" s="1" t="s">
        <v>6850</v>
      </c>
      <c r="D1850" s="1" t="s">
        <v>6851</v>
      </c>
      <c r="F1850" s="1" t="s">
        <v>6914</v>
      </c>
      <c r="H1850" s="1" t="s">
        <v>6915</v>
      </c>
      <c r="J1850" s="1" t="s">
        <v>1324</v>
      </c>
      <c r="L1850" s="1" t="s">
        <v>895</v>
      </c>
      <c r="N1850" s="1" t="s">
        <v>6491</v>
      </c>
      <c r="P1850" s="1" t="s">
        <v>4386</v>
      </c>
      <c r="Q1850" s="3">
        <v>0</v>
      </c>
      <c r="R1850" s="23" t="s">
        <v>6854</v>
      </c>
      <c r="S1850" s="23" t="s">
        <v>6845</v>
      </c>
      <c r="T1850" s="23" t="s">
        <v>4866</v>
      </c>
      <c r="U1850" s="3">
        <v>35</v>
      </c>
      <c r="W1850" s="45" t="str">
        <f>HYPERLINK("http://ictvonline.org/taxonomy/p/taxonomy-history?taxnode_id=201901145","ICTVonline=201901145")</f>
        <v>ICTVonline=201901145</v>
      </c>
      <c r="Y1850" s="1" t="s">
        <v>10162</v>
      </c>
      <c r="Z1850" s="1" t="s">
        <v>10163</v>
      </c>
      <c r="AA1850" s="1">
        <v>201900000</v>
      </c>
      <c r="AB1850" s="1">
        <v>35</v>
      </c>
    </row>
    <row r="1851" spans="1:28" x14ac:dyDescent="0.2">
      <c r="A1851" s="1">
        <v>5035</v>
      </c>
      <c r="B1851" s="1" t="s">
        <v>6850</v>
      </c>
      <c r="D1851" s="1" t="s">
        <v>6851</v>
      </c>
      <c r="F1851" s="1" t="s">
        <v>6914</v>
      </c>
      <c r="H1851" s="1" t="s">
        <v>6915</v>
      </c>
      <c r="J1851" s="1" t="s">
        <v>1324</v>
      </c>
      <c r="L1851" s="1" t="s">
        <v>895</v>
      </c>
      <c r="N1851" s="1" t="s">
        <v>6491</v>
      </c>
      <c r="P1851" s="1" t="s">
        <v>4387</v>
      </c>
      <c r="Q1851" s="3">
        <v>0</v>
      </c>
      <c r="R1851" s="23" t="s">
        <v>6854</v>
      </c>
      <c r="S1851" s="23" t="s">
        <v>6845</v>
      </c>
      <c r="T1851" s="23" t="s">
        <v>4866</v>
      </c>
      <c r="U1851" s="3">
        <v>35</v>
      </c>
      <c r="W1851" s="45" t="str">
        <f>HYPERLINK("http://ictvonline.org/taxonomy/p/taxonomy-history?taxnode_id=201901146","ICTVonline=201901146")</f>
        <v>ICTVonline=201901146</v>
      </c>
      <c r="Y1851" s="1" t="s">
        <v>10164</v>
      </c>
      <c r="Z1851" s="1" t="s">
        <v>10165</v>
      </c>
      <c r="AA1851" s="1">
        <v>201900000</v>
      </c>
      <c r="AB1851" s="1">
        <v>35</v>
      </c>
    </row>
    <row r="1852" spans="1:28" x14ac:dyDescent="0.2">
      <c r="A1852" s="1">
        <v>5037</v>
      </c>
      <c r="B1852" s="1" t="s">
        <v>6850</v>
      </c>
      <c r="D1852" s="1" t="s">
        <v>6851</v>
      </c>
      <c r="F1852" s="1" t="s">
        <v>6914</v>
      </c>
      <c r="H1852" s="1" t="s">
        <v>6915</v>
      </c>
      <c r="J1852" s="1" t="s">
        <v>1324</v>
      </c>
      <c r="L1852" s="1" t="s">
        <v>895</v>
      </c>
      <c r="N1852" s="1" t="s">
        <v>6491</v>
      </c>
      <c r="P1852" s="1" t="s">
        <v>4388</v>
      </c>
      <c r="Q1852" s="3">
        <v>0</v>
      </c>
      <c r="R1852" s="23" t="s">
        <v>6854</v>
      </c>
      <c r="S1852" s="23" t="s">
        <v>6845</v>
      </c>
      <c r="T1852" s="23" t="s">
        <v>4866</v>
      </c>
      <c r="U1852" s="3">
        <v>35</v>
      </c>
      <c r="W1852" s="45" t="str">
        <f>HYPERLINK("http://ictvonline.org/taxonomy/p/taxonomy-history?taxnode_id=201901147","ICTVonline=201901147")</f>
        <v>ICTVonline=201901147</v>
      </c>
      <c r="Y1852" s="1" t="s">
        <v>10166</v>
      </c>
      <c r="Z1852" s="1" t="s">
        <v>10167</v>
      </c>
      <c r="AA1852" s="1">
        <v>201900000</v>
      </c>
      <c r="AB1852" s="1">
        <v>35</v>
      </c>
    </row>
    <row r="1853" spans="1:28" x14ac:dyDescent="0.2">
      <c r="A1853" s="1">
        <v>5039</v>
      </c>
      <c r="B1853" s="1" t="s">
        <v>6850</v>
      </c>
      <c r="D1853" s="1" t="s">
        <v>6851</v>
      </c>
      <c r="F1853" s="1" t="s">
        <v>6914</v>
      </c>
      <c r="H1853" s="1" t="s">
        <v>6915</v>
      </c>
      <c r="J1853" s="1" t="s">
        <v>1324</v>
      </c>
      <c r="L1853" s="1" t="s">
        <v>895</v>
      </c>
      <c r="N1853" s="1" t="s">
        <v>6491</v>
      </c>
      <c r="P1853" s="1" t="s">
        <v>4389</v>
      </c>
      <c r="Q1853" s="3">
        <v>0</v>
      </c>
      <c r="R1853" s="23" t="s">
        <v>6854</v>
      </c>
      <c r="S1853" s="23" t="s">
        <v>6845</v>
      </c>
      <c r="T1853" s="23" t="s">
        <v>4866</v>
      </c>
      <c r="U1853" s="3">
        <v>35</v>
      </c>
      <c r="W1853" s="45" t="str">
        <f>HYPERLINK("http://ictvonline.org/taxonomy/p/taxonomy-history?taxnode_id=201901148","ICTVonline=201901148")</f>
        <v>ICTVonline=201901148</v>
      </c>
      <c r="Y1853" s="1" t="s">
        <v>10168</v>
      </c>
      <c r="Z1853" s="1" t="s">
        <v>10169</v>
      </c>
      <c r="AA1853" s="1">
        <v>201900000</v>
      </c>
      <c r="AB1853" s="1">
        <v>35</v>
      </c>
    </row>
    <row r="1854" spans="1:28" x14ac:dyDescent="0.2">
      <c r="A1854" s="1">
        <v>5041</v>
      </c>
      <c r="B1854" s="1" t="s">
        <v>6850</v>
      </c>
      <c r="D1854" s="1" t="s">
        <v>6851</v>
      </c>
      <c r="F1854" s="1" t="s">
        <v>6914</v>
      </c>
      <c r="H1854" s="1" t="s">
        <v>6915</v>
      </c>
      <c r="J1854" s="1" t="s">
        <v>1324</v>
      </c>
      <c r="L1854" s="1" t="s">
        <v>895</v>
      </c>
      <c r="N1854" s="1" t="s">
        <v>6491</v>
      </c>
      <c r="P1854" s="1" t="s">
        <v>4390</v>
      </c>
      <c r="Q1854" s="3">
        <v>0</v>
      </c>
      <c r="R1854" s="23" t="s">
        <v>6854</v>
      </c>
      <c r="S1854" s="23" t="s">
        <v>6845</v>
      </c>
      <c r="T1854" s="23" t="s">
        <v>4866</v>
      </c>
      <c r="U1854" s="3">
        <v>35</v>
      </c>
      <c r="W1854" s="45" t="str">
        <f>HYPERLINK("http://ictvonline.org/taxonomy/p/taxonomy-history?taxnode_id=201901149","ICTVonline=201901149")</f>
        <v>ICTVonline=201901149</v>
      </c>
      <c r="Y1854" s="1" t="s">
        <v>10170</v>
      </c>
      <c r="Z1854" s="1" t="s">
        <v>10171</v>
      </c>
      <c r="AA1854" s="1">
        <v>201900000</v>
      </c>
      <c r="AB1854" s="1">
        <v>35</v>
      </c>
    </row>
    <row r="1855" spans="1:28" x14ac:dyDescent="0.2">
      <c r="A1855" s="1">
        <v>5043</v>
      </c>
      <c r="B1855" s="1" t="s">
        <v>6850</v>
      </c>
      <c r="D1855" s="1" t="s">
        <v>6851</v>
      </c>
      <c r="F1855" s="1" t="s">
        <v>6914</v>
      </c>
      <c r="H1855" s="1" t="s">
        <v>6915</v>
      </c>
      <c r="J1855" s="1" t="s">
        <v>1324</v>
      </c>
      <c r="L1855" s="1" t="s">
        <v>895</v>
      </c>
      <c r="N1855" s="1" t="s">
        <v>6491</v>
      </c>
      <c r="P1855" s="1" t="s">
        <v>4391</v>
      </c>
      <c r="Q1855" s="3">
        <v>0</v>
      </c>
      <c r="R1855" s="23" t="s">
        <v>6854</v>
      </c>
      <c r="S1855" s="23" t="s">
        <v>6845</v>
      </c>
      <c r="T1855" s="23" t="s">
        <v>4866</v>
      </c>
      <c r="U1855" s="3">
        <v>35</v>
      </c>
      <c r="W1855" s="45" t="str">
        <f>HYPERLINK("http://ictvonline.org/taxonomy/p/taxonomy-history?taxnode_id=201901150","ICTVonline=201901150")</f>
        <v>ICTVonline=201901150</v>
      </c>
      <c r="Y1855" s="1" t="s">
        <v>10172</v>
      </c>
      <c r="Z1855" s="1" t="s">
        <v>10173</v>
      </c>
      <c r="AA1855" s="1">
        <v>201900000</v>
      </c>
      <c r="AB1855" s="1">
        <v>35</v>
      </c>
    </row>
    <row r="1856" spans="1:28" x14ac:dyDescent="0.2">
      <c r="A1856" s="1">
        <v>5045</v>
      </c>
      <c r="B1856" s="1" t="s">
        <v>6850</v>
      </c>
      <c r="D1856" s="1" t="s">
        <v>6851</v>
      </c>
      <c r="F1856" s="1" t="s">
        <v>6914</v>
      </c>
      <c r="H1856" s="1" t="s">
        <v>6915</v>
      </c>
      <c r="J1856" s="1" t="s">
        <v>1324</v>
      </c>
      <c r="L1856" s="1" t="s">
        <v>895</v>
      </c>
      <c r="N1856" s="1" t="s">
        <v>6491</v>
      </c>
      <c r="P1856" s="1" t="s">
        <v>4392</v>
      </c>
      <c r="Q1856" s="3">
        <v>0</v>
      </c>
      <c r="R1856" s="23" t="s">
        <v>6854</v>
      </c>
      <c r="S1856" s="23" t="s">
        <v>6845</v>
      </c>
      <c r="T1856" s="23" t="s">
        <v>4866</v>
      </c>
      <c r="U1856" s="3">
        <v>35</v>
      </c>
      <c r="W1856" s="45" t="str">
        <f>HYPERLINK("http://ictvonline.org/taxonomy/p/taxonomy-history?taxnode_id=201901151","ICTVonline=201901151")</f>
        <v>ICTVonline=201901151</v>
      </c>
      <c r="Y1856" s="1" t="s">
        <v>10174</v>
      </c>
      <c r="Z1856" s="1" t="s">
        <v>10175</v>
      </c>
      <c r="AA1856" s="1">
        <v>201900000</v>
      </c>
      <c r="AB1856" s="1">
        <v>35</v>
      </c>
    </row>
    <row r="1857" spans="1:28" x14ac:dyDescent="0.2">
      <c r="A1857" s="1">
        <v>5047</v>
      </c>
      <c r="B1857" s="1" t="s">
        <v>6850</v>
      </c>
      <c r="D1857" s="1" t="s">
        <v>6851</v>
      </c>
      <c r="F1857" s="1" t="s">
        <v>6914</v>
      </c>
      <c r="H1857" s="1" t="s">
        <v>6915</v>
      </c>
      <c r="J1857" s="1" t="s">
        <v>1324</v>
      </c>
      <c r="L1857" s="1" t="s">
        <v>895</v>
      </c>
      <c r="N1857" s="1" t="s">
        <v>6491</v>
      </c>
      <c r="P1857" s="1" t="s">
        <v>4393</v>
      </c>
      <c r="Q1857" s="3">
        <v>0</v>
      </c>
      <c r="R1857" s="23" t="s">
        <v>6854</v>
      </c>
      <c r="S1857" s="23" t="s">
        <v>6845</v>
      </c>
      <c r="T1857" s="23" t="s">
        <v>4866</v>
      </c>
      <c r="U1857" s="3">
        <v>35</v>
      </c>
      <c r="W1857" s="45" t="str">
        <f>HYPERLINK("http://ictvonline.org/taxonomy/p/taxonomy-history?taxnode_id=201901152","ICTVonline=201901152")</f>
        <v>ICTVonline=201901152</v>
      </c>
      <c r="Y1857" s="1" t="s">
        <v>10176</v>
      </c>
      <c r="Z1857" s="1" t="s">
        <v>10177</v>
      </c>
      <c r="AA1857" s="1">
        <v>201900000</v>
      </c>
      <c r="AB1857" s="1">
        <v>35</v>
      </c>
    </row>
    <row r="1858" spans="1:28" x14ac:dyDescent="0.2">
      <c r="A1858" s="1">
        <v>5049</v>
      </c>
      <c r="B1858" s="1" t="s">
        <v>6850</v>
      </c>
      <c r="D1858" s="1" t="s">
        <v>6851</v>
      </c>
      <c r="F1858" s="1" t="s">
        <v>6914</v>
      </c>
      <c r="H1858" s="1" t="s">
        <v>6915</v>
      </c>
      <c r="J1858" s="1" t="s">
        <v>1324</v>
      </c>
      <c r="L1858" s="1" t="s">
        <v>895</v>
      </c>
      <c r="N1858" s="1" t="s">
        <v>6491</v>
      </c>
      <c r="P1858" s="1" t="s">
        <v>4394</v>
      </c>
      <c r="Q1858" s="3">
        <v>0</v>
      </c>
      <c r="R1858" s="23" t="s">
        <v>6854</v>
      </c>
      <c r="S1858" s="23" t="s">
        <v>6845</v>
      </c>
      <c r="T1858" s="23" t="s">
        <v>4866</v>
      </c>
      <c r="U1858" s="3">
        <v>35</v>
      </c>
      <c r="W1858" s="45" t="str">
        <f>HYPERLINK("http://ictvonline.org/taxonomy/p/taxonomy-history?taxnode_id=201901153","ICTVonline=201901153")</f>
        <v>ICTVonline=201901153</v>
      </c>
      <c r="Y1858" s="1" t="s">
        <v>10178</v>
      </c>
      <c r="Z1858" s="1" t="s">
        <v>10179</v>
      </c>
      <c r="AA1858" s="1">
        <v>201900000</v>
      </c>
      <c r="AB1858" s="1">
        <v>35</v>
      </c>
    </row>
    <row r="1859" spans="1:28" x14ac:dyDescent="0.2">
      <c r="A1859" s="1">
        <v>5051</v>
      </c>
      <c r="B1859" s="1" t="s">
        <v>6850</v>
      </c>
      <c r="D1859" s="1" t="s">
        <v>6851</v>
      </c>
      <c r="F1859" s="1" t="s">
        <v>6914</v>
      </c>
      <c r="H1859" s="1" t="s">
        <v>6915</v>
      </c>
      <c r="J1859" s="1" t="s">
        <v>1324</v>
      </c>
      <c r="L1859" s="1" t="s">
        <v>895</v>
      </c>
      <c r="N1859" s="1" t="s">
        <v>6491</v>
      </c>
      <c r="P1859" s="1" t="s">
        <v>4395</v>
      </c>
      <c r="Q1859" s="3">
        <v>0</v>
      </c>
      <c r="R1859" s="23" t="s">
        <v>6854</v>
      </c>
      <c r="S1859" s="23" t="s">
        <v>6845</v>
      </c>
      <c r="T1859" s="23" t="s">
        <v>4866</v>
      </c>
      <c r="U1859" s="3">
        <v>35</v>
      </c>
      <c r="W1859" s="45" t="str">
        <f>HYPERLINK("http://ictvonline.org/taxonomy/p/taxonomy-history?taxnode_id=201901154","ICTVonline=201901154")</f>
        <v>ICTVonline=201901154</v>
      </c>
      <c r="Y1859" s="1" t="s">
        <v>10180</v>
      </c>
      <c r="Z1859" s="1" t="s">
        <v>10181</v>
      </c>
      <c r="AA1859" s="1">
        <v>201900000</v>
      </c>
      <c r="AB1859" s="1">
        <v>35</v>
      </c>
    </row>
    <row r="1860" spans="1:28" x14ac:dyDescent="0.2">
      <c r="A1860" s="1">
        <v>5053</v>
      </c>
      <c r="B1860" s="1" t="s">
        <v>6850</v>
      </c>
      <c r="D1860" s="1" t="s">
        <v>6851</v>
      </c>
      <c r="F1860" s="1" t="s">
        <v>6914</v>
      </c>
      <c r="H1860" s="1" t="s">
        <v>6915</v>
      </c>
      <c r="J1860" s="1" t="s">
        <v>1324</v>
      </c>
      <c r="L1860" s="1" t="s">
        <v>895</v>
      </c>
      <c r="N1860" s="1" t="s">
        <v>6491</v>
      </c>
      <c r="P1860" s="1" t="s">
        <v>4396</v>
      </c>
      <c r="Q1860" s="3">
        <v>0</v>
      </c>
      <c r="R1860" s="23" t="s">
        <v>6854</v>
      </c>
      <c r="S1860" s="23" t="s">
        <v>6845</v>
      </c>
      <c r="T1860" s="23" t="s">
        <v>4866</v>
      </c>
      <c r="U1860" s="3">
        <v>35</v>
      </c>
      <c r="W1860" s="45" t="str">
        <f>HYPERLINK("http://ictvonline.org/taxonomy/p/taxonomy-history?taxnode_id=201901155","ICTVonline=201901155")</f>
        <v>ICTVonline=201901155</v>
      </c>
      <c r="Y1860" s="1" t="s">
        <v>10182</v>
      </c>
      <c r="Z1860" s="1" t="s">
        <v>10183</v>
      </c>
      <c r="AA1860" s="1">
        <v>201900000</v>
      </c>
      <c r="AB1860" s="1">
        <v>35</v>
      </c>
    </row>
    <row r="1861" spans="1:28" x14ac:dyDescent="0.2">
      <c r="A1861" s="1">
        <v>5055</v>
      </c>
      <c r="B1861" s="1" t="s">
        <v>6850</v>
      </c>
      <c r="D1861" s="1" t="s">
        <v>6851</v>
      </c>
      <c r="F1861" s="1" t="s">
        <v>6914</v>
      </c>
      <c r="H1861" s="1" t="s">
        <v>6915</v>
      </c>
      <c r="J1861" s="1" t="s">
        <v>1324</v>
      </c>
      <c r="L1861" s="1" t="s">
        <v>895</v>
      </c>
      <c r="N1861" s="1" t="s">
        <v>6491</v>
      </c>
      <c r="P1861" s="1" t="s">
        <v>4397</v>
      </c>
      <c r="Q1861" s="3">
        <v>0</v>
      </c>
      <c r="R1861" s="23" t="s">
        <v>6854</v>
      </c>
      <c r="S1861" s="23" t="s">
        <v>6845</v>
      </c>
      <c r="T1861" s="23" t="s">
        <v>4866</v>
      </c>
      <c r="U1861" s="3">
        <v>35</v>
      </c>
      <c r="W1861" s="45" t="str">
        <f>HYPERLINK("http://ictvonline.org/taxonomy/p/taxonomy-history?taxnode_id=201901156","ICTVonline=201901156")</f>
        <v>ICTVonline=201901156</v>
      </c>
      <c r="Y1861" s="1" t="s">
        <v>10184</v>
      </c>
      <c r="Z1861" s="1" t="s">
        <v>10185</v>
      </c>
      <c r="AA1861" s="1">
        <v>201900000</v>
      </c>
      <c r="AB1861" s="1">
        <v>35</v>
      </c>
    </row>
    <row r="1862" spans="1:28" x14ac:dyDescent="0.2">
      <c r="A1862" s="1">
        <v>5057</v>
      </c>
      <c r="B1862" s="1" t="s">
        <v>6850</v>
      </c>
      <c r="D1862" s="1" t="s">
        <v>6851</v>
      </c>
      <c r="F1862" s="1" t="s">
        <v>6914</v>
      </c>
      <c r="H1862" s="1" t="s">
        <v>6915</v>
      </c>
      <c r="J1862" s="1" t="s">
        <v>1324</v>
      </c>
      <c r="L1862" s="1" t="s">
        <v>895</v>
      </c>
      <c r="N1862" s="1" t="s">
        <v>6491</v>
      </c>
      <c r="P1862" s="1" t="s">
        <v>4398</v>
      </c>
      <c r="Q1862" s="3">
        <v>0</v>
      </c>
      <c r="R1862" s="23" t="s">
        <v>6854</v>
      </c>
      <c r="S1862" s="23" t="s">
        <v>6845</v>
      </c>
      <c r="T1862" s="23" t="s">
        <v>4866</v>
      </c>
      <c r="U1862" s="3">
        <v>35</v>
      </c>
      <c r="W1862" s="45" t="str">
        <f>HYPERLINK("http://ictvonline.org/taxonomy/p/taxonomy-history?taxnode_id=201901157","ICTVonline=201901157")</f>
        <v>ICTVonline=201901157</v>
      </c>
      <c r="Y1862" s="1" t="s">
        <v>10186</v>
      </c>
      <c r="Z1862" s="1" t="s">
        <v>10187</v>
      </c>
      <c r="AA1862" s="1">
        <v>201900000</v>
      </c>
      <c r="AB1862" s="1">
        <v>35</v>
      </c>
    </row>
    <row r="1863" spans="1:28" x14ac:dyDescent="0.2">
      <c r="A1863" s="1">
        <v>5059</v>
      </c>
      <c r="B1863" s="1" t="s">
        <v>6850</v>
      </c>
      <c r="D1863" s="1" t="s">
        <v>6851</v>
      </c>
      <c r="F1863" s="1" t="s">
        <v>6914</v>
      </c>
      <c r="H1863" s="1" t="s">
        <v>6915</v>
      </c>
      <c r="J1863" s="1" t="s">
        <v>1324</v>
      </c>
      <c r="L1863" s="1" t="s">
        <v>895</v>
      </c>
      <c r="N1863" s="1" t="s">
        <v>6491</v>
      </c>
      <c r="P1863" s="1" t="s">
        <v>4399</v>
      </c>
      <c r="Q1863" s="3">
        <v>0</v>
      </c>
      <c r="R1863" s="23" t="s">
        <v>6854</v>
      </c>
      <c r="S1863" s="23" t="s">
        <v>6845</v>
      </c>
      <c r="T1863" s="23" t="s">
        <v>4866</v>
      </c>
      <c r="U1863" s="3">
        <v>35</v>
      </c>
      <c r="W1863" s="45" t="str">
        <f>HYPERLINK("http://ictvonline.org/taxonomy/p/taxonomy-history?taxnode_id=201901158","ICTVonline=201901158")</f>
        <v>ICTVonline=201901158</v>
      </c>
      <c r="Y1863" s="1" t="s">
        <v>10188</v>
      </c>
      <c r="Z1863" s="1" t="s">
        <v>10189</v>
      </c>
      <c r="AA1863" s="1">
        <v>201900000</v>
      </c>
      <c r="AB1863" s="1">
        <v>35</v>
      </c>
    </row>
    <row r="1864" spans="1:28" x14ac:dyDescent="0.2">
      <c r="A1864" s="1">
        <v>5061</v>
      </c>
      <c r="B1864" s="1" t="s">
        <v>6850</v>
      </c>
      <c r="D1864" s="1" t="s">
        <v>6851</v>
      </c>
      <c r="F1864" s="1" t="s">
        <v>6914</v>
      </c>
      <c r="H1864" s="1" t="s">
        <v>6915</v>
      </c>
      <c r="J1864" s="1" t="s">
        <v>1324</v>
      </c>
      <c r="L1864" s="1" t="s">
        <v>895</v>
      </c>
      <c r="N1864" s="1" t="s">
        <v>6491</v>
      </c>
      <c r="P1864" s="1" t="s">
        <v>4400</v>
      </c>
      <c r="Q1864" s="3">
        <v>0</v>
      </c>
      <c r="R1864" s="23" t="s">
        <v>6854</v>
      </c>
      <c r="S1864" s="23" t="s">
        <v>6845</v>
      </c>
      <c r="T1864" s="23" t="s">
        <v>4866</v>
      </c>
      <c r="U1864" s="3">
        <v>35</v>
      </c>
      <c r="W1864" s="45" t="str">
        <f>HYPERLINK("http://ictvonline.org/taxonomy/p/taxonomy-history?taxnode_id=201901159","ICTVonline=201901159")</f>
        <v>ICTVonline=201901159</v>
      </c>
      <c r="Y1864" s="1" t="s">
        <v>10190</v>
      </c>
      <c r="Z1864" s="1" t="s">
        <v>10191</v>
      </c>
      <c r="AA1864" s="1">
        <v>201900000</v>
      </c>
      <c r="AB1864" s="1">
        <v>35</v>
      </c>
    </row>
    <row r="1865" spans="1:28" x14ac:dyDescent="0.2">
      <c r="A1865" s="1">
        <v>5063</v>
      </c>
      <c r="B1865" s="1" t="s">
        <v>6850</v>
      </c>
      <c r="D1865" s="1" t="s">
        <v>6851</v>
      </c>
      <c r="F1865" s="1" t="s">
        <v>6914</v>
      </c>
      <c r="H1865" s="1" t="s">
        <v>6915</v>
      </c>
      <c r="J1865" s="1" t="s">
        <v>1324</v>
      </c>
      <c r="L1865" s="1" t="s">
        <v>895</v>
      </c>
      <c r="N1865" s="1" t="s">
        <v>6491</v>
      </c>
      <c r="P1865" s="1" t="s">
        <v>4401</v>
      </c>
      <c r="Q1865" s="3">
        <v>0</v>
      </c>
      <c r="R1865" s="23" t="s">
        <v>6854</v>
      </c>
      <c r="S1865" s="23" t="s">
        <v>6845</v>
      </c>
      <c r="T1865" s="23" t="s">
        <v>4866</v>
      </c>
      <c r="U1865" s="3">
        <v>35</v>
      </c>
      <c r="W1865" s="45" t="str">
        <f>HYPERLINK("http://ictvonline.org/taxonomy/p/taxonomy-history?taxnode_id=201901160","ICTVonline=201901160")</f>
        <v>ICTVonline=201901160</v>
      </c>
      <c r="Y1865" s="1" t="s">
        <v>10192</v>
      </c>
      <c r="Z1865" s="1" t="s">
        <v>10193</v>
      </c>
      <c r="AA1865" s="1">
        <v>201900000</v>
      </c>
      <c r="AB1865" s="1">
        <v>35</v>
      </c>
    </row>
    <row r="1866" spans="1:28" x14ac:dyDescent="0.2">
      <c r="A1866" s="1">
        <v>5065</v>
      </c>
      <c r="B1866" s="1" t="s">
        <v>6850</v>
      </c>
      <c r="D1866" s="1" t="s">
        <v>6851</v>
      </c>
      <c r="F1866" s="1" t="s">
        <v>6914</v>
      </c>
      <c r="H1866" s="1" t="s">
        <v>6915</v>
      </c>
      <c r="J1866" s="1" t="s">
        <v>1324</v>
      </c>
      <c r="L1866" s="1" t="s">
        <v>895</v>
      </c>
      <c r="N1866" s="1" t="s">
        <v>6491</v>
      </c>
      <c r="P1866" s="1" t="s">
        <v>4402</v>
      </c>
      <c r="Q1866" s="3">
        <v>0</v>
      </c>
      <c r="R1866" s="23" t="s">
        <v>6854</v>
      </c>
      <c r="S1866" s="23" t="s">
        <v>6845</v>
      </c>
      <c r="T1866" s="23" t="s">
        <v>4866</v>
      </c>
      <c r="U1866" s="3">
        <v>35</v>
      </c>
      <c r="W1866" s="45" t="str">
        <f>HYPERLINK("http://ictvonline.org/taxonomy/p/taxonomy-history?taxnode_id=201901161","ICTVonline=201901161")</f>
        <v>ICTVonline=201901161</v>
      </c>
      <c r="Y1866" s="1" t="s">
        <v>10194</v>
      </c>
      <c r="Z1866" s="1" t="s">
        <v>10195</v>
      </c>
      <c r="AA1866" s="1">
        <v>201900000</v>
      </c>
      <c r="AB1866" s="1">
        <v>35</v>
      </c>
    </row>
    <row r="1867" spans="1:28" x14ac:dyDescent="0.2">
      <c r="A1867" s="1">
        <v>5067</v>
      </c>
      <c r="B1867" s="1" t="s">
        <v>6850</v>
      </c>
      <c r="D1867" s="1" t="s">
        <v>6851</v>
      </c>
      <c r="F1867" s="1" t="s">
        <v>6914</v>
      </c>
      <c r="H1867" s="1" t="s">
        <v>6915</v>
      </c>
      <c r="J1867" s="1" t="s">
        <v>1324</v>
      </c>
      <c r="L1867" s="1" t="s">
        <v>895</v>
      </c>
      <c r="N1867" s="1" t="s">
        <v>6491</v>
      </c>
      <c r="P1867" s="1" t="s">
        <v>4403</v>
      </c>
      <c r="Q1867" s="3">
        <v>0</v>
      </c>
      <c r="R1867" s="23" t="s">
        <v>6854</v>
      </c>
      <c r="S1867" s="23" t="s">
        <v>6845</v>
      </c>
      <c r="T1867" s="23" t="s">
        <v>4866</v>
      </c>
      <c r="U1867" s="3">
        <v>35</v>
      </c>
      <c r="W1867" s="45" t="str">
        <f>HYPERLINK("http://ictvonline.org/taxonomy/p/taxonomy-history?taxnode_id=201901162","ICTVonline=201901162")</f>
        <v>ICTVonline=201901162</v>
      </c>
      <c r="Y1867" s="1" t="s">
        <v>10196</v>
      </c>
      <c r="Z1867" s="1" t="s">
        <v>10197</v>
      </c>
      <c r="AA1867" s="1">
        <v>201900000</v>
      </c>
      <c r="AB1867" s="1">
        <v>35</v>
      </c>
    </row>
    <row r="1868" spans="1:28" x14ac:dyDescent="0.2">
      <c r="A1868" s="1">
        <v>5069</v>
      </c>
      <c r="B1868" s="1" t="s">
        <v>6850</v>
      </c>
      <c r="D1868" s="1" t="s">
        <v>6851</v>
      </c>
      <c r="F1868" s="1" t="s">
        <v>6914</v>
      </c>
      <c r="H1868" s="1" t="s">
        <v>6915</v>
      </c>
      <c r="J1868" s="1" t="s">
        <v>1324</v>
      </c>
      <c r="L1868" s="1" t="s">
        <v>895</v>
      </c>
      <c r="N1868" s="1" t="s">
        <v>6491</v>
      </c>
      <c r="P1868" s="1" t="s">
        <v>4404</v>
      </c>
      <c r="Q1868" s="3">
        <v>0</v>
      </c>
      <c r="R1868" s="23" t="s">
        <v>6854</v>
      </c>
      <c r="S1868" s="23" t="s">
        <v>6845</v>
      </c>
      <c r="T1868" s="23" t="s">
        <v>4866</v>
      </c>
      <c r="U1868" s="3">
        <v>35</v>
      </c>
      <c r="W1868" s="45" t="str">
        <f>HYPERLINK("http://ictvonline.org/taxonomy/p/taxonomy-history?taxnode_id=201901163","ICTVonline=201901163")</f>
        <v>ICTVonline=201901163</v>
      </c>
      <c r="Y1868" s="1" t="s">
        <v>10198</v>
      </c>
      <c r="Z1868" s="1" t="s">
        <v>10199</v>
      </c>
      <c r="AA1868" s="1">
        <v>201900000</v>
      </c>
      <c r="AB1868" s="1">
        <v>35</v>
      </c>
    </row>
    <row r="1869" spans="1:28" x14ac:dyDescent="0.2">
      <c r="A1869" s="1">
        <v>5071</v>
      </c>
      <c r="B1869" s="1" t="s">
        <v>6850</v>
      </c>
      <c r="D1869" s="1" t="s">
        <v>6851</v>
      </c>
      <c r="F1869" s="1" t="s">
        <v>6914</v>
      </c>
      <c r="H1869" s="1" t="s">
        <v>6915</v>
      </c>
      <c r="J1869" s="1" t="s">
        <v>1324</v>
      </c>
      <c r="L1869" s="1" t="s">
        <v>895</v>
      </c>
      <c r="N1869" s="1" t="s">
        <v>6491</v>
      </c>
      <c r="P1869" s="1" t="s">
        <v>4405</v>
      </c>
      <c r="Q1869" s="3">
        <v>0</v>
      </c>
      <c r="R1869" s="23" t="s">
        <v>6854</v>
      </c>
      <c r="S1869" s="23" t="s">
        <v>6845</v>
      </c>
      <c r="T1869" s="23" t="s">
        <v>4866</v>
      </c>
      <c r="U1869" s="3">
        <v>35</v>
      </c>
      <c r="W1869" s="45" t="str">
        <f>HYPERLINK("http://ictvonline.org/taxonomy/p/taxonomy-history?taxnode_id=201901164","ICTVonline=201901164")</f>
        <v>ICTVonline=201901164</v>
      </c>
      <c r="Y1869" s="1" t="s">
        <v>10200</v>
      </c>
      <c r="Z1869" s="1" t="s">
        <v>10201</v>
      </c>
      <c r="AA1869" s="1">
        <v>201900000</v>
      </c>
      <c r="AB1869" s="1">
        <v>35</v>
      </c>
    </row>
    <row r="1870" spans="1:28" x14ac:dyDescent="0.2">
      <c r="A1870" s="1">
        <v>5073</v>
      </c>
      <c r="B1870" s="1" t="s">
        <v>6850</v>
      </c>
      <c r="D1870" s="1" t="s">
        <v>6851</v>
      </c>
      <c r="F1870" s="1" t="s">
        <v>6914</v>
      </c>
      <c r="H1870" s="1" t="s">
        <v>6915</v>
      </c>
      <c r="J1870" s="1" t="s">
        <v>1324</v>
      </c>
      <c r="L1870" s="1" t="s">
        <v>895</v>
      </c>
      <c r="N1870" s="1" t="s">
        <v>6491</v>
      </c>
      <c r="P1870" s="1" t="s">
        <v>4406</v>
      </c>
      <c r="Q1870" s="3">
        <v>0</v>
      </c>
      <c r="R1870" s="23" t="s">
        <v>6854</v>
      </c>
      <c r="S1870" s="23" t="s">
        <v>6845</v>
      </c>
      <c r="T1870" s="23" t="s">
        <v>4866</v>
      </c>
      <c r="U1870" s="3">
        <v>35</v>
      </c>
      <c r="W1870" s="45" t="str">
        <f>HYPERLINK("http://ictvonline.org/taxonomy/p/taxonomy-history?taxnode_id=201901165","ICTVonline=201901165")</f>
        <v>ICTVonline=201901165</v>
      </c>
      <c r="Y1870" s="1" t="s">
        <v>10202</v>
      </c>
      <c r="Z1870" s="1" t="s">
        <v>10203</v>
      </c>
      <c r="AA1870" s="1">
        <v>201900000</v>
      </c>
      <c r="AB1870" s="1">
        <v>35</v>
      </c>
    </row>
    <row r="1871" spans="1:28" x14ac:dyDescent="0.2">
      <c r="A1871" s="1">
        <v>5075</v>
      </c>
      <c r="B1871" s="1" t="s">
        <v>6850</v>
      </c>
      <c r="D1871" s="1" t="s">
        <v>6851</v>
      </c>
      <c r="F1871" s="1" t="s">
        <v>6914</v>
      </c>
      <c r="H1871" s="1" t="s">
        <v>6915</v>
      </c>
      <c r="J1871" s="1" t="s">
        <v>1324</v>
      </c>
      <c r="L1871" s="1" t="s">
        <v>895</v>
      </c>
      <c r="N1871" s="1" t="s">
        <v>6491</v>
      </c>
      <c r="P1871" s="1" t="s">
        <v>4407</v>
      </c>
      <c r="Q1871" s="3">
        <v>0</v>
      </c>
      <c r="R1871" s="23" t="s">
        <v>6854</v>
      </c>
      <c r="S1871" s="23" t="s">
        <v>6845</v>
      </c>
      <c r="T1871" s="23" t="s">
        <v>4866</v>
      </c>
      <c r="U1871" s="3">
        <v>35</v>
      </c>
      <c r="W1871" s="45" t="str">
        <f>HYPERLINK("http://ictvonline.org/taxonomy/p/taxonomy-history?taxnode_id=201901166","ICTVonline=201901166")</f>
        <v>ICTVonline=201901166</v>
      </c>
      <c r="Y1871" s="1" t="s">
        <v>10204</v>
      </c>
      <c r="Z1871" s="1" t="s">
        <v>10205</v>
      </c>
      <c r="AA1871" s="1">
        <v>201900000</v>
      </c>
      <c r="AB1871" s="1">
        <v>35</v>
      </c>
    </row>
    <row r="1872" spans="1:28" x14ac:dyDescent="0.2">
      <c r="A1872" s="1">
        <v>5077</v>
      </c>
      <c r="B1872" s="1" t="s">
        <v>6850</v>
      </c>
      <c r="D1872" s="1" t="s">
        <v>6851</v>
      </c>
      <c r="F1872" s="1" t="s">
        <v>6914</v>
      </c>
      <c r="H1872" s="1" t="s">
        <v>6915</v>
      </c>
      <c r="J1872" s="1" t="s">
        <v>1324</v>
      </c>
      <c r="L1872" s="1" t="s">
        <v>895</v>
      </c>
      <c r="N1872" s="1" t="s">
        <v>6491</v>
      </c>
      <c r="P1872" s="1" t="s">
        <v>4408</v>
      </c>
      <c r="Q1872" s="3">
        <v>0</v>
      </c>
      <c r="R1872" s="23" t="s">
        <v>6854</v>
      </c>
      <c r="S1872" s="23" t="s">
        <v>6845</v>
      </c>
      <c r="T1872" s="23" t="s">
        <v>4866</v>
      </c>
      <c r="U1872" s="3">
        <v>35</v>
      </c>
      <c r="W1872" s="45" t="str">
        <f>HYPERLINK("http://ictvonline.org/taxonomy/p/taxonomy-history?taxnode_id=201901167","ICTVonline=201901167")</f>
        <v>ICTVonline=201901167</v>
      </c>
      <c r="Y1872" s="1" t="s">
        <v>10206</v>
      </c>
      <c r="Z1872" s="1" t="s">
        <v>10207</v>
      </c>
      <c r="AA1872" s="1">
        <v>201900000</v>
      </c>
      <c r="AB1872" s="1">
        <v>35</v>
      </c>
    </row>
    <row r="1873" spans="1:28" x14ac:dyDescent="0.2">
      <c r="A1873" s="1">
        <v>5079</v>
      </c>
      <c r="B1873" s="1" t="s">
        <v>6850</v>
      </c>
      <c r="D1873" s="1" t="s">
        <v>6851</v>
      </c>
      <c r="F1873" s="1" t="s">
        <v>6914</v>
      </c>
      <c r="H1873" s="1" t="s">
        <v>6915</v>
      </c>
      <c r="J1873" s="1" t="s">
        <v>1324</v>
      </c>
      <c r="L1873" s="1" t="s">
        <v>895</v>
      </c>
      <c r="N1873" s="1" t="s">
        <v>6491</v>
      </c>
      <c r="P1873" s="1" t="s">
        <v>4409</v>
      </c>
      <c r="Q1873" s="3">
        <v>0</v>
      </c>
      <c r="R1873" s="23" t="s">
        <v>6854</v>
      </c>
      <c r="S1873" s="23" t="s">
        <v>6845</v>
      </c>
      <c r="T1873" s="23" t="s">
        <v>4866</v>
      </c>
      <c r="U1873" s="3">
        <v>35</v>
      </c>
      <c r="W1873" s="45" t="str">
        <f>HYPERLINK("http://ictvonline.org/taxonomy/p/taxonomy-history?taxnode_id=201901168","ICTVonline=201901168")</f>
        <v>ICTVonline=201901168</v>
      </c>
      <c r="Y1873" s="1" t="s">
        <v>10208</v>
      </c>
      <c r="Z1873" s="1" t="s">
        <v>10209</v>
      </c>
      <c r="AA1873" s="1">
        <v>201900000</v>
      </c>
      <c r="AB1873" s="1">
        <v>35</v>
      </c>
    </row>
    <row r="1874" spans="1:28" x14ac:dyDescent="0.2">
      <c r="A1874" s="1">
        <v>5081</v>
      </c>
      <c r="B1874" s="1" t="s">
        <v>6850</v>
      </c>
      <c r="D1874" s="1" t="s">
        <v>6851</v>
      </c>
      <c r="F1874" s="1" t="s">
        <v>6914</v>
      </c>
      <c r="H1874" s="1" t="s">
        <v>6915</v>
      </c>
      <c r="J1874" s="1" t="s">
        <v>1324</v>
      </c>
      <c r="L1874" s="1" t="s">
        <v>895</v>
      </c>
      <c r="N1874" s="1" t="s">
        <v>6491</v>
      </c>
      <c r="P1874" s="1" t="s">
        <v>4410</v>
      </c>
      <c r="Q1874" s="3">
        <v>0</v>
      </c>
      <c r="R1874" s="23" t="s">
        <v>6854</v>
      </c>
      <c r="S1874" s="23" t="s">
        <v>6845</v>
      </c>
      <c r="T1874" s="23" t="s">
        <v>4866</v>
      </c>
      <c r="U1874" s="3">
        <v>35</v>
      </c>
      <c r="W1874" s="45" t="str">
        <f>HYPERLINK("http://ictvonline.org/taxonomy/p/taxonomy-history?taxnode_id=201901169","ICTVonline=201901169")</f>
        <v>ICTVonline=201901169</v>
      </c>
      <c r="Y1874" s="1" t="s">
        <v>10210</v>
      </c>
      <c r="Z1874" s="1" t="s">
        <v>10211</v>
      </c>
      <c r="AA1874" s="1">
        <v>201900000</v>
      </c>
      <c r="AB1874" s="1">
        <v>35</v>
      </c>
    </row>
    <row r="1875" spans="1:28" x14ac:dyDescent="0.2">
      <c r="A1875" s="1">
        <v>5083</v>
      </c>
      <c r="B1875" s="1" t="s">
        <v>6850</v>
      </c>
      <c r="D1875" s="1" t="s">
        <v>6851</v>
      </c>
      <c r="F1875" s="1" t="s">
        <v>6914</v>
      </c>
      <c r="H1875" s="1" t="s">
        <v>6915</v>
      </c>
      <c r="J1875" s="1" t="s">
        <v>1324</v>
      </c>
      <c r="L1875" s="1" t="s">
        <v>895</v>
      </c>
      <c r="N1875" s="1" t="s">
        <v>6491</v>
      </c>
      <c r="P1875" s="1" t="s">
        <v>4411</v>
      </c>
      <c r="Q1875" s="3">
        <v>0</v>
      </c>
      <c r="R1875" s="23" t="s">
        <v>6854</v>
      </c>
      <c r="S1875" s="23" t="s">
        <v>6845</v>
      </c>
      <c r="T1875" s="23" t="s">
        <v>4866</v>
      </c>
      <c r="U1875" s="3">
        <v>35</v>
      </c>
      <c r="W1875" s="45" t="str">
        <f>HYPERLINK("http://ictvonline.org/taxonomy/p/taxonomy-history?taxnode_id=201901170","ICTVonline=201901170")</f>
        <v>ICTVonline=201901170</v>
      </c>
      <c r="Y1875" s="1" t="s">
        <v>10212</v>
      </c>
      <c r="Z1875" s="1" t="s">
        <v>10213</v>
      </c>
      <c r="AA1875" s="1">
        <v>201900000</v>
      </c>
      <c r="AB1875" s="1">
        <v>35</v>
      </c>
    </row>
    <row r="1876" spans="1:28" x14ac:dyDescent="0.2">
      <c r="A1876" s="1">
        <v>5085</v>
      </c>
      <c r="B1876" s="1" t="s">
        <v>6850</v>
      </c>
      <c r="D1876" s="1" t="s">
        <v>6851</v>
      </c>
      <c r="F1876" s="1" t="s">
        <v>6914</v>
      </c>
      <c r="H1876" s="1" t="s">
        <v>6915</v>
      </c>
      <c r="J1876" s="1" t="s">
        <v>1324</v>
      </c>
      <c r="L1876" s="1" t="s">
        <v>895</v>
      </c>
      <c r="N1876" s="1" t="s">
        <v>6491</v>
      </c>
      <c r="P1876" s="1" t="s">
        <v>4412</v>
      </c>
      <c r="Q1876" s="3">
        <v>0</v>
      </c>
      <c r="R1876" s="23" t="s">
        <v>6854</v>
      </c>
      <c r="S1876" s="23" t="s">
        <v>6845</v>
      </c>
      <c r="T1876" s="23" t="s">
        <v>4866</v>
      </c>
      <c r="U1876" s="3">
        <v>35</v>
      </c>
      <c r="W1876" s="45" t="str">
        <f>HYPERLINK("http://ictvonline.org/taxonomy/p/taxonomy-history?taxnode_id=201901171","ICTVonline=201901171")</f>
        <v>ICTVonline=201901171</v>
      </c>
      <c r="Y1876" s="1" t="s">
        <v>10214</v>
      </c>
      <c r="Z1876" s="1" t="s">
        <v>10215</v>
      </c>
      <c r="AA1876" s="1">
        <v>201900000</v>
      </c>
      <c r="AB1876" s="1">
        <v>35</v>
      </c>
    </row>
    <row r="1877" spans="1:28" x14ac:dyDescent="0.2">
      <c r="A1877" s="1">
        <v>5087</v>
      </c>
      <c r="B1877" s="1" t="s">
        <v>6850</v>
      </c>
      <c r="D1877" s="1" t="s">
        <v>6851</v>
      </c>
      <c r="F1877" s="1" t="s">
        <v>6914</v>
      </c>
      <c r="H1877" s="1" t="s">
        <v>6915</v>
      </c>
      <c r="J1877" s="1" t="s">
        <v>1324</v>
      </c>
      <c r="L1877" s="1" t="s">
        <v>895</v>
      </c>
      <c r="N1877" s="1" t="s">
        <v>6491</v>
      </c>
      <c r="P1877" s="1" t="s">
        <v>4413</v>
      </c>
      <c r="Q1877" s="3">
        <v>0</v>
      </c>
      <c r="R1877" s="23" t="s">
        <v>6854</v>
      </c>
      <c r="S1877" s="23" t="s">
        <v>6845</v>
      </c>
      <c r="T1877" s="23" t="s">
        <v>4866</v>
      </c>
      <c r="U1877" s="3">
        <v>35</v>
      </c>
      <c r="W1877" s="45" t="str">
        <f>HYPERLINK("http://ictvonline.org/taxonomy/p/taxonomy-history?taxnode_id=201901172","ICTVonline=201901172")</f>
        <v>ICTVonline=201901172</v>
      </c>
      <c r="Y1877" s="1" t="s">
        <v>10216</v>
      </c>
      <c r="Z1877" s="1" t="s">
        <v>10217</v>
      </c>
      <c r="AA1877" s="1">
        <v>201900000</v>
      </c>
      <c r="AB1877" s="1">
        <v>35</v>
      </c>
    </row>
    <row r="1878" spans="1:28" x14ac:dyDescent="0.2">
      <c r="A1878" s="1">
        <v>5089</v>
      </c>
      <c r="B1878" s="1" t="s">
        <v>6850</v>
      </c>
      <c r="D1878" s="1" t="s">
        <v>6851</v>
      </c>
      <c r="F1878" s="1" t="s">
        <v>6914</v>
      </c>
      <c r="H1878" s="1" t="s">
        <v>6915</v>
      </c>
      <c r="J1878" s="1" t="s">
        <v>1324</v>
      </c>
      <c r="L1878" s="1" t="s">
        <v>895</v>
      </c>
      <c r="N1878" s="1" t="s">
        <v>6491</v>
      </c>
      <c r="P1878" s="1" t="s">
        <v>4414</v>
      </c>
      <c r="Q1878" s="3">
        <v>0</v>
      </c>
      <c r="R1878" s="23" t="s">
        <v>6854</v>
      </c>
      <c r="S1878" s="23" t="s">
        <v>6845</v>
      </c>
      <c r="T1878" s="23" t="s">
        <v>4866</v>
      </c>
      <c r="U1878" s="3">
        <v>35</v>
      </c>
      <c r="W1878" s="45" t="str">
        <f>HYPERLINK("http://ictvonline.org/taxonomy/p/taxonomy-history?taxnode_id=201901173","ICTVonline=201901173")</f>
        <v>ICTVonline=201901173</v>
      </c>
      <c r="Y1878" s="1" t="s">
        <v>10218</v>
      </c>
      <c r="Z1878" s="1" t="s">
        <v>10219</v>
      </c>
      <c r="AA1878" s="1">
        <v>201900000</v>
      </c>
      <c r="AB1878" s="1">
        <v>35</v>
      </c>
    </row>
    <row r="1879" spans="1:28" x14ac:dyDescent="0.2">
      <c r="A1879" s="1">
        <v>5093</v>
      </c>
      <c r="B1879" s="1" t="s">
        <v>6850</v>
      </c>
      <c r="D1879" s="1" t="s">
        <v>6851</v>
      </c>
      <c r="F1879" s="1" t="s">
        <v>6914</v>
      </c>
      <c r="H1879" s="1" t="s">
        <v>6915</v>
      </c>
      <c r="J1879" s="1" t="s">
        <v>1324</v>
      </c>
      <c r="L1879" s="1" t="s">
        <v>895</v>
      </c>
      <c r="N1879" s="1" t="s">
        <v>6492</v>
      </c>
      <c r="P1879" s="1" t="s">
        <v>4415</v>
      </c>
      <c r="Q1879" s="3">
        <v>0</v>
      </c>
      <c r="R1879" s="23" t="s">
        <v>6854</v>
      </c>
      <c r="S1879" s="23" t="s">
        <v>6845</v>
      </c>
      <c r="T1879" s="23" t="s">
        <v>4866</v>
      </c>
      <c r="U1879" s="3">
        <v>35</v>
      </c>
      <c r="W1879" s="45" t="str">
        <f>HYPERLINK("http://ictvonline.org/taxonomy/p/taxonomy-history?taxnode_id=201901175","ICTVonline=201901175")</f>
        <v>ICTVonline=201901175</v>
      </c>
      <c r="Y1879" s="1" t="s">
        <v>10220</v>
      </c>
      <c r="Z1879" s="1" t="s">
        <v>10221</v>
      </c>
      <c r="AA1879" s="1">
        <v>201900000</v>
      </c>
      <c r="AB1879" s="1">
        <v>35</v>
      </c>
    </row>
    <row r="1880" spans="1:28" x14ac:dyDescent="0.2">
      <c r="A1880" s="1">
        <v>5095</v>
      </c>
      <c r="B1880" s="1" t="s">
        <v>6850</v>
      </c>
      <c r="D1880" s="1" t="s">
        <v>6851</v>
      </c>
      <c r="F1880" s="1" t="s">
        <v>6914</v>
      </c>
      <c r="H1880" s="1" t="s">
        <v>6915</v>
      </c>
      <c r="J1880" s="1" t="s">
        <v>1324</v>
      </c>
      <c r="L1880" s="1" t="s">
        <v>895</v>
      </c>
      <c r="N1880" s="1" t="s">
        <v>6492</v>
      </c>
      <c r="P1880" s="1" t="s">
        <v>4416</v>
      </c>
      <c r="Q1880" s="3">
        <v>1</v>
      </c>
      <c r="R1880" s="23" t="s">
        <v>6854</v>
      </c>
      <c r="S1880" s="23" t="s">
        <v>6845</v>
      </c>
      <c r="T1880" s="23" t="s">
        <v>4866</v>
      </c>
      <c r="U1880" s="3">
        <v>35</v>
      </c>
      <c r="W1880" s="45" t="str">
        <f>HYPERLINK("http://ictvonline.org/taxonomy/p/taxonomy-history?taxnode_id=201901176","ICTVonline=201901176")</f>
        <v>ICTVonline=201901176</v>
      </c>
      <c r="Y1880" s="1" t="s">
        <v>10222</v>
      </c>
      <c r="Z1880" s="1" t="s">
        <v>10223</v>
      </c>
      <c r="AA1880" s="1">
        <v>201900000</v>
      </c>
      <c r="AB1880" s="1">
        <v>35</v>
      </c>
    </row>
    <row r="1881" spans="1:28" x14ac:dyDescent="0.2">
      <c r="A1881" s="1">
        <v>5099</v>
      </c>
      <c r="B1881" s="1" t="s">
        <v>6850</v>
      </c>
      <c r="D1881" s="1" t="s">
        <v>6851</v>
      </c>
      <c r="F1881" s="1" t="s">
        <v>6914</v>
      </c>
      <c r="H1881" s="1" t="s">
        <v>6915</v>
      </c>
      <c r="J1881" s="1" t="s">
        <v>1324</v>
      </c>
      <c r="L1881" s="1" t="s">
        <v>895</v>
      </c>
      <c r="N1881" s="1" t="s">
        <v>6493</v>
      </c>
      <c r="P1881" s="1" t="s">
        <v>4422</v>
      </c>
      <c r="Q1881" s="3">
        <v>0</v>
      </c>
      <c r="R1881" s="23" t="s">
        <v>6854</v>
      </c>
      <c r="S1881" s="23" t="s">
        <v>6845</v>
      </c>
      <c r="T1881" s="23" t="s">
        <v>4866</v>
      </c>
      <c r="U1881" s="3">
        <v>35</v>
      </c>
      <c r="W1881" s="45" t="str">
        <f>HYPERLINK("http://ictvonline.org/taxonomy/p/taxonomy-history?taxnode_id=201901253","ICTVonline=201901253")</f>
        <v>ICTVonline=201901253</v>
      </c>
      <c r="Y1881" s="1" t="s">
        <v>10224</v>
      </c>
      <c r="Z1881" s="1" t="s">
        <v>10225</v>
      </c>
      <c r="AA1881" s="1">
        <v>201900000</v>
      </c>
      <c r="AB1881" s="1">
        <v>35</v>
      </c>
    </row>
    <row r="1882" spans="1:28" x14ac:dyDescent="0.2">
      <c r="A1882" s="1">
        <v>5101</v>
      </c>
      <c r="B1882" s="1" t="s">
        <v>6850</v>
      </c>
      <c r="D1882" s="1" t="s">
        <v>6851</v>
      </c>
      <c r="F1882" s="1" t="s">
        <v>6914</v>
      </c>
      <c r="H1882" s="1" t="s">
        <v>6915</v>
      </c>
      <c r="J1882" s="1" t="s">
        <v>1324</v>
      </c>
      <c r="L1882" s="1" t="s">
        <v>895</v>
      </c>
      <c r="N1882" s="1" t="s">
        <v>6493</v>
      </c>
      <c r="P1882" s="1" t="s">
        <v>4423</v>
      </c>
      <c r="Q1882" s="3">
        <v>1</v>
      </c>
      <c r="R1882" s="23" t="s">
        <v>6854</v>
      </c>
      <c r="S1882" s="23" t="s">
        <v>6845</v>
      </c>
      <c r="T1882" s="23" t="s">
        <v>4866</v>
      </c>
      <c r="U1882" s="3">
        <v>35</v>
      </c>
      <c r="W1882" s="45" t="str">
        <f>HYPERLINK("http://ictvonline.org/taxonomy/p/taxonomy-history?taxnode_id=201901254","ICTVonline=201901254")</f>
        <v>ICTVonline=201901254</v>
      </c>
      <c r="Y1882" s="1" t="s">
        <v>10226</v>
      </c>
      <c r="Z1882" s="1" t="s">
        <v>10227</v>
      </c>
      <c r="AA1882" s="1">
        <v>201900000</v>
      </c>
      <c r="AB1882" s="1">
        <v>35</v>
      </c>
    </row>
    <row r="1883" spans="1:28" x14ac:dyDescent="0.2">
      <c r="A1883" s="1">
        <v>5105</v>
      </c>
      <c r="B1883" s="1" t="s">
        <v>6850</v>
      </c>
      <c r="D1883" s="1" t="s">
        <v>6851</v>
      </c>
      <c r="F1883" s="1" t="s">
        <v>6914</v>
      </c>
      <c r="H1883" s="1" t="s">
        <v>6915</v>
      </c>
      <c r="J1883" s="1" t="s">
        <v>1324</v>
      </c>
      <c r="L1883" s="1" t="s">
        <v>895</v>
      </c>
      <c r="N1883" s="1" t="s">
        <v>4070</v>
      </c>
      <c r="P1883" s="1" t="s">
        <v>3079</v>
      </c>
      <c r="Q1883" s="3">
        <v>1</v>
      </c>
      <c r="R1883" s="23" t="s">
        <v>6854</v>
      </c>
      <c r="S1883" s="23" t="s">
        <v>6845</v>
      </c>
      <c r="T1883" s="23" t="s">
        <v>4866</v>
      </c>
      <c r="U1883" s="3">
        <v>35</v>
      </c>
      <c r="W1883" s="45" t="str">
        <f>HYPERLINK("http://ictvonline.org/taxonomy/p/taxonomy-history?taxnode_id=201901178","ICTVonline=201901178")</f>
        <v>ICTVonline=201901178</v>
      </c>
      <c r="Y1883" s="1" t="s">
        <v>10228</v>
      </c>
      <c r="AA1883" s="1">
        <v>201900000</v>
      </c>
      <c r="AB1883" s="1">
        <v>35</v>
      </c>
    </row>
    <row r="1884" spans="1:28" x14ac:dyDescent="0.2">
      <c r="A1884" s="1">
        <v>5109</v>
      </c>
      <c r="B1884" s="1" t="s">
        <v>6850</v>
      </c>
      <c r="D1884" s="1" t="s">
        <v>6851</v>
      </c>
      <c r="F1884" s="1" t="s">
        <v>6914</v>
      </c>
      <c r="H1884" s="1" t="s">
        <v>6915</v>
      </c>
      <c r="J1884" s="1" t="s">
        <v>1324</v>
      </c>
      <c r="L1884" s="1" t="s">
        <v>895</v>
      </c>
      <c r="N1884" s="1" t="s">
        <v>3257</v>
      </c>
      <c r="P1884" s="1" t="s">
        <v>3258</v>
      </c>
      <c r="Q1884" s="3">
        <v>1</v>
      </c>
      <c r="R1884" s="23" t="s">
        <v>6854</v>
      </c>
      <c r="S1884" s="23" t="s">
        <v>6845</v>
      </c>
      <c r="T1884" s="23" t="s">
        <v>4866</v>
      </c>
      <c r="U1884" s="3">
        <v>35</v>
      </c>
      <c r="W1884" s="45" t="str">
        <f>HYPERLINK("http://ictvonline.org/taxonomy/p/taxonomy-history?taxnode_id=201901180","ICTVonline=201901180")</f>
        <v>ICTVonline=201901180</v>
      </c>
      <c r="Y1884" s="1" t="s">
        <v>10229</v>
      </c>
      <c r="AA1884" s="1">
        <v>201900000</v>
      </c>
      <c r="AB1884" s="1">
        <v>35</v>
      </c>
    </row>
    <row r="1885" spans="1:28" x14ac:dyDescent="0.2">
      <c r="A1885" s="1">
        <v>5113</v>
      </c>
      <c r="B1885" s="1" t="s">
        <v>6850</v>
      </c>
      <c r="D1885" s="1" t="s">
        <v>6851</v>
      </c>
      <c r="F1885" s="1" t="s">
        <v>6914</v>
      </c>
      <c r="H1885" s="1" t="s">
        <v>6915</v>
      </c>
      <c r="J1885" s="1" t="s">
        <v>1324</v>
      </c>
      <c r="L1885" s="1" t="s">
        <v>895</v>
      </c>
      <c r="N1885" s="1" t="s">
        <v>6494</v>
      </c>
      <c r="P1885" s="1" t="s">
        <v>4417</v>
      </c>
      <c r="Q1885" s="3">
        <v>1</v>
      </c>
      <c r="R1885" s="23" t="s">
        <v>6854</v>
      </c>
      <c r="S1885" s="23" t="s">
        <v>6845</v>
      </c>
      <c r="T1885" s="23" t="s">
        <v>4866</v>
      </c>
      <c r="U1885" s="3">
        <v>35</v>
      </c>
      <c r="W1885" s="45" t="str">
        <f>HYPERLINK("http://ictvonline.org/taxonomy/p/taxonomy-history?taxnode_id=201901182","ICTVonline=201901182")</f>
        <v>ICTVonline=201901182</v>
      </c>
      <c r="Y1885" s="1" t="s">
        <v>10230</v>
      </c>
      <c r="Z1885" s="1" t="s">
        <v>10231</v>
      </c>
      <c r="AA1885" s="1">
        <v>201900000</v>
      </c>
      <c r="AB1885" s="1">
        <v>35</v>
      </c>
    </row>
    <row r="1886" spans="1:28" x14ac:dyDescent="0.2">
      <c r="A1886" s="1">
        <v>5115</v>
      </c>
      <c r="B1886" s="1" t="s">
        <v>6850</v>
      </c>
      <c r="D1886" s="1" t="s">
        <v>6851</v>
      </c>
      <c r="F1886" s="1" t="s">
        <v>6914</v>
      </c>
      <c r="H1886" s="1" t="s">
        <v>6915</v>
      </c>
      <c r="J1886" s="1" t="s">
        <v>1324</v>
      </c>
      <c r="L1886" s="1" t="s">
        <v>895</v>
      </c>
      <c r="N1886" s="1" t="s">
        <v>6494</v>
      </c>
      <c r="P1886" s="1" t="s">
        <v>4418</v>
      </c>
      <c r="Q1886" s="3">
        <v>0</v>
      </c>
      <c r="R1886" s="23" t="s">
        <v>6854</v>
      </c>
      <c r="S1886" s="23" t="s">
        <v>6845</v>
      </c>
      <c r="T1886" s="23" t="s">
        <v>4866</v>
      </c>
      <c r="U1886" s="3">
        <v>35</v>
      </c>
      <c r="W1886" s="45" t="str">
        <f>HYPERLINK("http://ictvonline.org/taxonomy/p/taxonomy-history?taxnode_id=201901183","ICTVonline=201901183")</f>
        <v>ICTVonline=201901183</v>
      </c>
      <c r="Y1886" s="1" t="s">
        <v>10232</v>
      </c>
      <c r="Z1886" s="1" t="s">
        <v>10233</v>
      </c>
      <c r="AA1886" s="1">
        <v>201900000</v>
      </c>
      <c r="AB1886" s="1">
        <v>35</v>
      </c>
    </row>
    <row r="1887" spans="1:28" x14ac:dyDescent="0.2">
      <c r="A1887" s="1">
        <v>5119</v>
      </c>
      <c r="B1887" s="1" t="s">
        <v>6850</v>
      </c>
      <c r="D1887" s="1" t="s">
        <v>6851</v>
      </c>
      <c r="F1887" s="1" t="s">
        <v>6914</v>
      </c>
      <c r="H1887" s="1" t="s">
        <v>6915</v>
      </c>
      <c r="J1887" s="1" t="s">
        <v>1324</v>
      </c>
      <c r="L1887" s="1" t="s">
        <v>895</v>
      </c>
      <c r="N1887" s="1" t="s">
        <v>3276</v>
      </c>
      <c r="P1887" s="1" t="s">
        <v>3277</v>
      </c>
      <c r="Q1887" s="3">
        <v>0</v>
      </c>
      <c r="R1887" s="23" t="s">
        <v>6854</v>
      </c>
      <c r="S1887" s="23" t="s">
        <v>6845</v>
      </c>
      <c r="T1887" s="23" t="s">
        <v>4866</v>
      </c>
      <c r="U1887" s="3">
        <v>35</v>
      </c>
      <c r="W1887" s="45" t="str">
        <f>HYPERLINK("http://ictvonline.org/taxonomy/p/taxonomy-history?taxnode_id=201901195","ICTVonline=201901195")</f>
        <v>ICTVonline=201901195</v>
      </c>
      <c r="Y1887" s="1" t="s">
        <v>10234</v>
      </c>
      <c r="AA1887" s="1">
        <v>201900000</v>
      </c>
      <c r="AB1887" s="1">
        <v>35</v>
      </c>
    </row>
    <row r="1888" spans="1:28" x14ac:dyDescent="0.2">
      <c r="A1888" s="1">
        <v>5121</v>
      </c>
      <c r="B1888" s="1" t="s">
        <v>6850</v>
      </c>
      <c r="D1888" s="1" t="s">
        <v>6851</v>
      </c>
      <c r="F1888" s="1" t="s">
        <v>6914</v>
      </c>
      <c r="H1888" s="1" t="s">
        <v>6915</v>
      </c>
      <c r="J1888" s="1" t="s">
        <v>1324</v>
      </c>
      <c r="L1888" s="1" t="s">
        <v>895</v>
      </c>
      <c r="N1888" s="1" t="s">
        <v>3276</v>
      </c>
      <c r="P1888" s="1" t="s">
        <v>3278</v>
      </c>
      <c r="Q1888" s="3">
        <v>0</v>
      </c>
      <c r="R1888" s="23" t="s">
        <v>6854</v>
      </c>
      <c r="S1888" s="23" t="s">
        <v>6845</v>
      </c>
      <c r="T1888" s="23" t="s">
        <v>4866</v>
      </c>
      <c r="U1888" s="3">
        <v>35</v>
      </c>
      <c r="W1888" s="45" t="str">
        <f>HYPERLINK("http://ictvonline.org/taxonomy/p/taxonomy-history?taxnode_id=201901196","ICTVonline=201901196")</f>
        <v>ICTVonline=201901196</v>
      </c>
      <c r="Y1888" s="1" t="s">
        <v>10235</v>
      </c>
      <c r="AA1888" s="1">
        <v>201900000</v>
      </c>
      <c r="AB1888" s="1">
        <v>35</v>
      </c>
    </row>
    <row r="1889" spans="1:28" x14ac:dyDescent="0.2">
      <c r="A1889" s="1">
        <v>5123</v>
      </c>
      <c r="B1889" s="1" t="s">
        <v>6850</v>
      </c>
      <c r="D1889" s="1" t="s">
        <v>6851</v>
      </c>
      <c r="F1889" s="1" t="s">
        <v>6914</v>
      </c>
      <c r="H1889" s="1" t="s">
        <v>6915</v>
      </c>
      <c r="J1889" s="1" t="s">
        <v>1324</v>
      </c>
      <c r="L1889" s="1" t="s">
        <v>895</v>
      </c>
      <c r="N1889" s="1" t="s">
        <v>3276</v>
      </c>
      <c r="P1889" s="1" t="s">
        <v>3279</v>
      </c>
      <c r="Q1889" s="3">
        <v>0</v>
      </c>
      <c r="R1889" s="23" t="s">
        <v>6854</v>
      </c>
      <c r="S1889" s="23" t="s">
        <v>6845</v>
      </c>
      <c r="T1889" s="23" t="s">
        <v>4866</v>
      </c>
      <c r="U1889" s="3">
        <v>35</v>
      </c>
      <c r="W1889" s="45" t="str">
        <f>HYPERLINK("http://ictvonline.org/taxonomy/p/taxonomy-history?taxnode_id=201901197","ICTVonline=201901197")</f>
        <v>ICTVonline=201901197</v>
      </c>
      <c r="Y1889" s="1" t="s">
        <v>10236</v>
      </c>
      <c r="AA1889" s="1">
        <v>201900000</v>
      </c>
      <c r="AB1889" s="1">
        <v>35</v>
      </c>
    </row>
    <row r="1890" spans="1:28" x14ac:dyDescent="0.2">
      <c r="A1890" s="1">
        <v>5125</v>
      </c>
      <c r="B1890" s="1" t="s">
        <v>6850</v>
      </c>
      <c r="D1890" s="1" t="s">
        <v>6851</v>
      </c>
      <c r="F1890" s="1" t="s">
        <v>6914</v>
      </c>
      <c r="H1890" s="1" t="s">
        <v>6915</v>
      </c>
      <c r="J1890" s="1" t="s">
        <v>1324</v>
      </c>
      <c r="L1890" s="1" t="s">
        <v>895</v>
      </c>
      <c r="N1890" s="1" t="s">
        <v>3276</v>
      </c>
      <c r="P1890" s="1" t="s">
        <v>3280</v>
      </c>
      <c r="Q1890" s="3">
        <v>0</v>
      </c>
      <c r="R1890" s="23" t="s">
        <v>6854</v>
      </c>
      <c r="S1890" s="23" t="s">
        <v>6845</v>
      </c>
      <c r="T1890" s="23" t="s">
        <v>4866</v>
      </c>
      <c r="U1890" s="3">
        <v>35</v>
      </c>
      <c r="W1890" s="45" t="str">
        <f>HYPERLINK("http://ictvonline.org/taxonomy/p/taxonomy-history?taxnode_id=201901198","ICTVonline=201901198")</f>
        <v>ICTVonline=201901198</v>
      </c>
      <c r="Y1890" s="1" t="s">
        <v>10237</v>
      </c>
      <c r="AA1890" s="1">
        <v>201900000</v>
      </c>
      <c r="AB1890" s="1">
        <v>35</v>
      </c>
    </row>
    <row r="1891" spans="1:28" x14ac:dyDescent="0.2">
      <c r="A1891" s="1">
        <v>5127</v>
      </c>
      <c r="B1891" s="1" t="s">
        <v>6850</v>
      </c>
      <c r="D1891" s="1" t="s">
        <v>6851</v>
      </c>
      <c r="F1891" s="1" t="s">
        <v>6914</v>
      </c>
      <c r="H1891" s="1" t="s">
        <v>6915</v>
      </c>
      <c r="J1891" s="1" t="s">
        <v>1324</v>
      </c>
      <c r="L1891" s="1" t="s">
        <v>895</v>
      </c>
      <c r="N1891" s="1" t="s">
        <v>3276</v>
      </c>
      <c r="P1891" s="1" t="s">
        <v>3281</v>
      </c>
      <c r="Q1891" s="3">
        <v>0</v>
      </c>
      <c r="R1891" s="23" t="s">
        <v>6854</v>
      </c>
      <c r="S1891" s="23" t="s">
        <v>6845</v>
      </c>
      <c r="T1891" s="23" t="s">
        <v>4866</v>
      </c>
      <c r="U1891" s="3">
        <v>35</v>
      </c>
      <c r="W1891" s="45" t="str">
        <f>HYPERLINK("http://ictvonline.org/taxonomy/p/taxonomy-history?taxnode_id=201901199","ICTVonline=201901199")</f>
        <v>ICTVonline=201901199</v>
      </c>
      <c r="Y1891" s="1" t="s">
        <v>10238</v>
      </c>
      <c r="AA1891" s="1">
        <v>201900000</v>
      </c>
      <c r="AB1891" s="1">
        <v>35</v>
      </c>
    </row>
    <row r="1892" spans="1:28" x14ac:dyDescent="0.2">
      <c r="A1892" s="1">
        <v>5129</v>
      </c>
      <c r="B1892" s="1" t="s">
        <v>6850</v>
      </c>
      <c r="D1892" s="1" t="s">
        <v>6851</v>
      </c>
      <c r="F1892" s="1" t="s">
        <v>6914</v>
      </c>
      <c r="H1892" s="1" t="s">
        <v>6915</v>
      </c>
      <c r="J1892" s="1" t="s">
        <v>1324</v>
      </c>
      <c r="L1892" s="1" t="s">
        <v>895</v>
      </c>
      <c r="N1892" s="1" t="s">
        <v>3276</v>
      </c>
      <c r="P1892" s="1" t="s">
        <v>3282</v>
      </c>
      <c r="Q1892" s="3">
        <v>0</v>
      </c>
      <c r="R1892" s="23" t="s">
        <v>6854</v>
      </c>
      <c r="S1892" s="23" t="s">
        <v>6845</v>
      </c>
      <c r="T1892" s="23" t="s">
        <v>4866</v>
      </c>
      <c r="U1892" s="3">
        <v>35</v>
      </c>
      <c r="W1892" s="45" t="str">
        <f>HYPERLINK("http://ictvonline.org/taxonomy/p/taxonomy-history?taxnode_id=201901200","ICTVonline=201901200")</f>
        <v>ICTVonline=201901200</v>
      </c>
      <c r="Y1892" s="1" t="s">
        <v>10239</v>
      </c>
      <c r="AA1892" s="1">
        <v>201900000</v>
      </c>
      <c r="AB1892" s="1">
        <v>35</v>
      </c>
    </row>
    <row r="1893" spans="1:28" x14ac:dyDescent="0.2">
      <c r="A1893" s="1">
        <v>5131</v>
      </c>
      <c r="B1893" s="1" t="s">
        <v>6850</v>
      </c>
      <c r="D1893" s="1" t="s">
        <v>6851</v>
      </c>
      <c r="F1893" s="1" t="s">
        <v>6914</v>
      </c>
      <c r="H1893" s="1" t="s">
        <v>6915</v>
      </c>
      <c r="J1893" s="1" t="s">
        <v>1324</v>
      </c>
      <c r="L1893" s="1" t="s">
        <v>895</v>
      </c>
      <c r="N1893" s="1" t="s">
        <v>3276</v>
      </c>
      <c r="P1893" s="1" t="s">
        <v>3283</v>
      </c>
      <c r="Q1893" s="3">
        <v>0</v>
      </c>
      <c r="R1893" s="23" t="s">
        <v>6854</v>
      </c>
      <c r="S1893" s="23" t="s">
        <v>6845</v>
      </c>
      <c r="T1893" s="23" t="s">
        <v>4866</v>
      </c>
      <c r="U1893" s="3">
        <v>35</v>
      </c>
      <c r="W1893" s="45" t="str">
        <f>HYPERLINK("http://ictvonline.org/taxonomy/p/taxonomy-history?taxnode_id=201901201","ICTVonline=201901201")</f>
        <v>ICTVonline=201901201</v>
      </c>
      <c r="Y1893" s="1" t="s">
        <v>10240</v>
      </c>
      <c r="AA1893" s="1">
        <v>201900000</v>
      </c>
      <c r="AB1893" s="1">
        <v>35</v>
      </c>
    </row>
    <row r="1894" spans="1:28" x14ac:dyDescent="0.2">
      <c r="A1894" s="1">
        <v>5133</v>
      </c>
      <c r="B1894" s="1" t="s">
        <v>6850</v>
      </c>
      <c r="D1894" s="1" t="s">
        <v>6851</v>
      </c>
      <c r="F1894" s="1" t="s">
        <v>6914</v>
      </c>
      <c r="H1894" s="1" t="s">
        <v>6915</v>
      </c>
      <c r="J1894" s="1" t="s">
        <v>1324</v>
      </c>
      <c r="L1894" s="1" t="s">
        <v>895</v>
      </c>
      <c r="N1894" s="1" t="s">
        <v>3276</v>
      </c>
      <c r="P1894" s="1" t="s">
        <v>3284</v>
      </c>
      <c r="Q1894" s="3">
        <v>0</v>
      </c>
      <c r="R1894" s="23" t="s">
        <v>6854</v>
      </c>
      <c r="S1894" s="23" t="s">
        <v>6845</v>
      </c>
      <c r="T1894" s="23" t="s">
        <v>4866</v>
      </c>
      <c r="U1894" s="3">
        <v>35</v>
      </c>
      <c r="W1894" s="45" t="str">
        <f>HYPERLINK("http://ictvonline.org/taxonomy/p/taxonomy-history?taxnode_id=201901202","ICTVonline=201901202")</f>
        <v>ICTVonline=201901202</v>
      </c>
      <c r="Y1894" s="1" t="s">
        <v>10241</v>
      </c>
      <c r="AA1894" s="1">
        <v>201900000</v>
      </c>
      <c r="AB1894" s="1">
        <v>35</v>
      </c>
    </row>
    <row r="1895" spans="1:28" x14ac:dyDescent="0.2">
      <c r="A1895" s="1">
        <v>5135</v>
      </c>
      <c r="B1895" s="1" t="s">
        <v>6850</v>
      </c>
      <c r="D1895" s="1" t="s">
        <v>6851</v>
      </c>
      <c r="F1895" s="1" t="s">
        <v>6914</v>
      </c>
      <c r="H1895" s="1" t="s">
        <v>6915</v>
      </c>
      <c r="J1895" s="1" t="s">
        <v>1324</v>
      </c>
      <c r="L1895" s="1" t="s">
        <v>895</v>
      </c>
      <c r="N1895" s="1" t="s">
        <v>3276</v>
      </c>
      <c r="P1895" s="1" t="s">
        <v>3285</v>
      </c>
      <c r="Q1895" s="3">
        <v>0</v>
      </c>
      <c r="R1895" s="23" t="s">
        <v>6854</v>
      </c>
      <c r="S1895" s="23" t="s">
        <v>6845</v>
      </c>
      <c r="T1895" s="23" t="s">
        <v>4866</v>
      </c>
      <c r="U1895" s="3">
        <v>35</v>
      </c>
      <c r="W1895" s="45" t="str">
        <f>HYPERLINK("http://ictvonline.org/taxonomy/p/taxonomy-history?taxnode_id=201901203","ICTVonline=201901203")</f>
        <v>ICTVonline=201901203</v>
      </c>
      <c r="Y1895" s="1" t="s">
        <v>10242</v>
      </c>
      <c r="AA1895" s="1">
        <v>201900000</v>
      </c>
      <c r="AB1895" s="1">
        <v>35</v>
      </c>
    </row>
    <row r="1896" spans="1:28" x14ac:dyDescent="0.2">
      <c r="A1896" s="1">
        <v>5137</v>
      </c>
      <c r="B1896" s="1" t="s">
        <v>6850</v>
      </c>
      <c r="D1896" s="1" t="s">
        <v>6851</v>
      </c>
      <c r="F1896" s="1" t="s">
        <v>6914</v>
      </c>
      <c r="H1896" s="1" t="s">
        <v>6915</v>
      </c>
      <c r="J1896" s="1" t="s">
        <v>1324</v>
      </c>
      <c r="L1896" s="1" t="s">
        <v>895</v>
      </c>
      <c r="N1896" s="1" t="s">
        <v>3276</v>
      </c>
      <c r="P1896" s="1" t="s">
        <v>3286</v>
      </c>
      <c r="Q1896" s="3">
        <v>0</v>
      </c>
      <c r="R1896" s="23" t="s">
        <v>6854</v>
      </c>
      <c r="S1896" s="23" t="s">
        <v>6845</v>
      </c>
      <c r="T1896" s="23" t="s">
        <v>4866</v>
      </c>
      <c r="U1896" s="3">
        <v>35</v>
      </c>
      <c r="W1896" s="45" t="str">
        <f>HYPERLINK("http://ictvonline.org/taxonomy/p/taxonomy-history?taxnode_id=201901204","ICTVonline=201901204")</f>
        <v>ICTVonline=201901204</v>
      </c>
      <c r="Y1896" s="1" t="s">
        <v>10243</v>
      </c>
      <c r="AA1896" s="1">
        <v>201900000</v>
      </c>
      <c r="AB1896" s="1">
        <v>35</v>
      </c>
    </row>
    <row r="1897" spans="1:28" x14ac:dyDescent="0.2">
      <c r="A1897" s="1">
        <v>5139</v>
      </c>
      <c r="B1897" s="1" t="s">
        <v>6850</v>
      </c>
      <c r="D1897" s="1" t="s">
        <v>6851</v>
      </c>
      <c r="F1897" s="1" t="s">
        <v>6914</v>
      </c>
      <c r="H1897" s="1" t="s">
        <v>6915</v>
      </c>
      <c r="J1897" s="1" t="s">
        <v>1324</v>
      </c>
      <c r="L1897" s="1" t="s">
        <v>895</v>
      </c>
      <c r="N1897" s="1" t="s">
        <v>3276</v>
      </c>
      <c r="P1897" s="1" t="s">
        <v>3287</v>
      </c>
      <c r="Q1897" s="3">
        <v>0</v>
      </c>
      <c r="R1897" s="23" t="s">
        <v>6854</v>
      </c>
      <c r="S1897" s="23" t="s">
        <v>6845</v>
      </c>
      <c r="T1897" s="23" t="s">
        <v>4866</v>
      </c>
      <c r="U1897" s="3">
        <v>35</v>
      </c>
      <c r="W1897" s="45" t="str">
        <f>HYPERLINK("http://ictvonline.org/taxonomy/p/taxonomy-history?taxnode_id=201901205","ICTVonline=201901205")</f>
        <v>ICTVonline=201901205</v>
      </c>
      <c r="Y1897" s="1" t="s">
        <v>10244</v>
      </c>
      <c r="AA1897" s="1">
        <v>201900000</v>
      </c>
      <c r="AB1897" s="1">
        <v>35</v>
      </c>
    </row>
    <row r="1898" spans="1:28" x14ac:dyDescent="0.2">
      <c r="A1898" s="1">
        <v>5141</v>
      </c>
      <c r="B1898" s="1" t="s">
        <v>6850</v>
      </c>
      <c r="D1898" s="1" t="s">
        <v>6851</v>
      </c>
      <c r="F1898" s="1" t="s">
        <v>6914</v>
      </c>
      <c r="H1898" s="1" t="s">
        <v>6915</v>
      </c>
      <c r="J1898" s="1" t="s">
        <v>1324</v>
      </c>
      <c r="L1898" s="1" t="s">
        <v>895</v>
      </c>
      <c r="N1898" s="1" t="s">
        <v>3276</v>
      </c>
      <c r="P1898" s="1" t="s">
        <v>3288</v>
      </c>
      <c r="Q1898" s="3">
        <v>0</v>
      </c>
      <c r="R1898" s="23" t="s">
        <v>6854</v>
      </c>
      <c r="S1898" s="23" t="s">
        <v>6845</v>
      </c>
      <c r="T1898" s="23" t="s">
        <v>4866</v>
      </c>
      <c r="U1898" s="3">
        <v>35</v>
      </c>
      <c r="W1898" s="45" t="str">
        <f>HYPERLINK("http://ictvonline.org/taxonomy/p/taxonomy-history?taxnode_id=201901206","ICTVonline=201901206")</f>
        <v>ICTVonline=201901206</v>
      </c>
      <c r="Y1898" s="1" t="s">
        <v>10245</v>
      </c>
      <c r="AA1898" s="1">
        <v>201900000</v>
      </c>
      <c r="AB1898" s="1">
        <v>35</v>
      </c>
    </row>
    <row r="1899" spans="1:28" x14ac:dyDescent="0.2">
      <c r="A1899" s="1">
        <v>5143</v>
      </c>
      <c r="B1899" s="1" t="s">
        <v>6850</v>
      </c>
      <c r="D1899" s="1" t="s">
        <v>6851</v>
      </c>
      <c r="F1899" s="1" t="s">
        <v>6914</v>
      </c>
      <c r="H1899" s="1" t="s">
        <v>6915</v>
      </c>
      <c r="J1899" s="1" t="s">
        <v>1324</v>
      </c>
      <c r="L1899" s="1" t="s">
        <v>895</v>
      </c>
      <c r="N1899" s="1" t="s">
        <v>3276</v>
      </c>
      <c r="P1899" s="1" t="s">
        <v>3289</v>
      </c>
      <c r="Q1899" s="3">
        <v>0</v>
      </c>
      <c r="R1899" s="23" t="s">
        <v>6854</v>
      </c>
      <c r="S1899" s="23" t="s">
        <v>6845</v>
      </c>
      <c r="T1899" s="23" t="s">
        <v>4866</v>
      </c>
      <c r="U1899" s="3">
        <v>35</v>
      </c>
      <c r="W1899" s="45" t="str">
        <f>HYPERLINK("http://ictvonline.org/taxonomy/p/taxonomy-history?taxnode_id=201901207","ICTVonline=201901207")</f>
        <v>ICTVonline=201901207</v>
      </c>
      <c r="Y1899" s="1" t="s">
        <v>10246</v>
      </c>
      <c r="AA1899" s="1">
        <v>201900000</v>
      </c>
      <c r="AB1899" s="1">
        <v>35</v>
      </c>
    </row>
    <row r="1900" spans="1:28" x14ac:dyDescent="0.2">
      <c r="A1900" s="1">
        <v>5145</v>
      </c>
      <c r="B1900" s="1" t="s">
        <v>6850</v>
      </c>
      <c r="D1900" s="1" t="s">
        <v>6851</v>
      </c>
      <c r="F1900" s="1" t="s">
        <v>6914</v>
      </c>
      <c r="H1900" s="1" t="s">
        <v>6915</v>
      </c>
      <c r="J1900" s="1" t="s">
        <v>1324</v>
      </c>
      <c r="L1900" s="1" t="s">
        <v>895</v>
      </c>
      <c r="N1900" s="1" t="s">
        <v>3276</v>
      </c>
      <c r="P1900" s="1" t="s">
        <v>3290</v>
      </c>
      <c r="Q1900" s="3">
        <v>0</v>
      </c>
      <c r="R1900" s="23" t="s">
        <v>6854</v>
      </c>
      <c r="S1900" s="23" t="s">
        <v>6845</v>
      </c>
      <c r="T1900" s="23" t="s">
        <v>4866</v>
      </c>
      <c r="U1900" s="3">
        <v>35</v>
      </c>
      <c r="W1900" s="45" t="str">
        <f>HYPERLINK("http://ictvonline.org/taxonomy/p/taxonomy-history?taxnode_id=201901208","ICTVonline=201901208")</f>
        <v>ICTVonline=201901208</v>
      </c>
      <c r="Y1900" s="1" t="s">
        <v>10247</v>
      </c>
      <c r="AA1900" s="1">
        <v>201900000</v>
      </c>
      <c r="AB1900" s="1">
        <v>35</v>
      </c>
    </row>
    <row r="1901" spans="1:28" x14ac:dyDescent="0.2">
      <c r="A1901" s="1">
        <v>5147</v>
      </c>
      <c r="B1901" s="1" t="s">
        <v>6850</v>
      </c>
      <c r="D1901" s="1" t="s">
        <v>6851</v>
      </c>
      <c r="F1901" s="1" t="s">
        <v>6914</v>
      </c>
      <c r="H1901" s="1" t="s">
        <v>6915</v>
      </c>
      <c r="J1901" s="1" t="s">
        <v>1324</v>
      </c>
      <c r="L1901" s="1" t="s">
        <v>895</v>
      </c>
      <c r="N1901" s="1" t="s">
        <v>3276</v>
      </c>
      <c r="P1901" s="1" t="s">
        <v>3291</v>
      </c>
      <c r="Q1901" s="3">
        <v>0</v>
      </c>
      <c r="R1901" s="23" t="s">
        <v>6854</v>
      </c>
      <c r="S1901" s="23" t="s">
        <v>6845</v>
      </c>
      <c r="T1901" s="23" t="s">
        <v>4866</v>
      </c>
      <c r="U1901" s="3">
        <v>35</v>
      </c>
      <c r="W1901" s="45" t="str">
        <f>HYPERLINK("http://ictvonline.org/taxonomy/p/taxonomy-history?taxnode_id=201901209","ICTVonline=201901209")</f>
        <v>ICTVonline=201901209</v>
      </c>
      <c r="Y1901" s="1" t="s">
        <v>10248</v>
      </c>
      <c r="AA1901" s="1">
        <v>201900000</v>
      </c>
      <c r="AB1901" s="1">
        <v>35</v>
      </c>
    </row>
    <row r="1902" spans="1:28" x14ac:dyDescent="0.2">
      <c r="A1902" s="1">
        <v>5149</v>
      </c>
      <c r="B1902" s="1" t="s">
        <v>6850</v>
      </c>
      <c r="D1902" s="1" t="s">
        <v>6851</v>
      </c>
      <c r="F1902" s="1" t="s">
        <v>6914</v>
      </c>
      <c r="H1902" s="1" t="s">
        <v>6915</v>
      </c>
      <c r="J1902" s="1" t="s">
        <v>1324</v>
      </c>
      <c r="L1902" s="1" t="s">
        <v>895</v>
      </c>
      <c r="N1902" s="1" t="s">
        <v>3276</v>
      </c>
      <c r="P1902" s="1" t="s">
        <v>3292</v>
      </c>
      <c r="Q1902" s="3">
        <v>0</v>
      </c>
      <c r="R1902" s="23" t="s">
        <v>6854</v>
      </c>
      <c r="S1902" s="23" t="s">
        <v>6845</v>
      </c>
      <c r="T1902" s="23" t="s">
        <v>4866</v>
      </c>
      <c r="U1902" s="3">
        <v>35</v>
      </c>
      <c r="W1902" s="45" t="str">
        <f>HYPERLINK("http://ictvonline.org/taxonomy/p/taxonomy-history?taxnode_id=201901210","ICTVonline=201901210")</f>
        <v>ICTVonline=201901210</v>
      </c>
      <c r="Y1902" s="1" t="s">
        <v>10249</v>
      </c>
      <c r="AA1902" s="1">
        <v>201900000</v>
      </c>
      <c r="AB1902" s="1">
        <v>35</v>
      </c>
    </row>
    <row r="1903" spans="1:28" x14ac:dyDescent="0.2">
      <c r="A1903" s="1">
        <v>5151</v>
      </c>
      <c r="B1903" s="1" t="s">
        <v>6850</v>
      </c>
      <c r="D1903" s="1" t="s">
        <v>6851</v>
      </c>
      <c r="F1903" s="1" t="s">
        <v>6914</v>
      </c>
      <c r="H1903" s="1" t="s">
        <v>6915</v>
      </c>
      <c r="J1903" s="1" t="s">
        <v>1324</v>
      </c>
      <c r="L1903" s="1" t="s">
        <v>895</v>
      </c>
      <c r="N1903" s="1" t="s">
        <v>3276</v>
      </c>
      <c r="P1903" s="1" t="s">
        <v>3293</v>
      </c>
      <c r="Q1903" s="3">
        <v>0</v>
      </c>
      <c r="R1903" s="23" t="s">
        <v>6854</v>
      </c>
      <c r="S1903" s="23" t="s">
        <v>6845</v>
      </c>
      <c r="T1903" s="23" t="s">
        <v>4866</v>
      </c>
      <c r="U1903" s="3">
        <v>35</v>
      </c>
      <c r="W1903" s="45" t="str">
        <f>HYPERLINK("http://ictvonline.org/taxonomy/p/taxonomy-history?taxnode_id=201901211","ICTVonline=201901211")</f>
        <v>ICTVonline=201901211</v>
      </c>
      <c r="Y1903" s="1" t="s">
        <v>10250</v>
      </c>
      <c r="AA1903" s="1">
        <v>201900000</v>
      </c>
      <c r="AB1903" s="1">
        <v>35</v>
      </c>
    </row>
    <row r="1904" spans="1:28" x14ac:dyDescent="0.2">
      <c r="A1904" s="1">
        <v>5153</v>
      </c>
      <c r="B1904" s="1" t="s">
        <v>6850</v>
      </c>
      <c r="D1904" s="1" t="s">
        <v>6851</v>
      </c>
      <c r="F1904" s="1" t="s">
        <v>6914</v>
      </c>
      <c r="H1904" s="1" t="s">
        <v>6915</v>
      </c>
      <c r="J1904" s="1" t="s">
        <v>1324</v>
      </c>
      <c r="L1904" s="1" t="s">
        <v>895</v>
      </c>
      <c r="N1904" s="1" t="s">
        <v>3276</v>
      </c>
      <c r="P1904" s="1" t="s">
        <v>3294</v>
      </c>
      <c r="Q1904" s="3">
        <v>0</v>
      </c>
      <c r="R1904" s="23" t="s">
        <v>6854</v>
      </c>
      <c r="S1904" s="23" t="s">
        <v>6845</v>
      </c>
      <c r="T1904" s="23" t="s">
        <v>4866</v>
      </c>
      <c r="U1904" s="3">
        <v>35</v>
      </c>
      <c r="W1904" s="45" t="str">
        <f>HYPERLINK("http://ictvonline.org/taxonomy/p/taxonomy-history?taxnode_id=201901212","ICTVonline=201901212")</f>
        <v>ICTVonline=201901212</v>
      </c>
      <c r="Y1904" s="1" t="s">
        <v>10251</v>
      </c>
      <c r="AA1904" s="1">
        <v>201900000</v>
      </c>
      <c r="AB1904" s="1">
        <v>35</v>
      </c>
    </row>
    <row r="1905" spans="1:28" x14ac:dyDescent="0.2">
      <c r="A1905" s="1">
        <v>5155</v>
      </c>
      <c r="B1905" s="1" t="s">
        <v>6850</v>
      </c>
      <c r="D1905" s="1" t="s">
        <v>6851</v>
      </c>
      <c r="F1905" s="1" t="s">
        <v>6914</v>
      </c>
      <c r="H1905" s="1" t="s">
        <v>6915</v>
      </c>
      <c r="J1905" s="1" t="s">
        <v>1324</v>
      </c>
      <c r="L1905" s="1" t="s">
        <v>895</v>
      </c>
      <c r="N1905" s="1" t="s">
        <v>3276</v>
      </c>
      <c r="P1905" s="1" t="s">
        <v>3295</v>
      </c>
      <c r="Q1905" s="3">
        <v>0</v>
      </c>
      <c r="R1905" s="23" t="s">
        <v>6854</v>
      </c>
      <c r="S1905" s="23" t="s">
        <v>6845</v>
      </c>
      <c r="T1905" s="23" t="s">
        <v>4866</v>
      </c>
      <c r="U1905" s="3">
        <v>35</v>
      </c>
      <c r="W1905" s="45" t="str">
        <f>HYPERLINK("http://ictvonline.org/taxonomy/p/taxonomy-history?taxnode_id=201901213","ICTVonline=201901213")</f>
        <v>ICTVonline=201901213</v>
      </c>
      <c r="Y1905" s="1" t="s">
        <v>10252</v>
      </c>
      <c r="AA1905" s="1">
        <v>201900000</v>
      </c>
      <c r="AB1905" s="1">
        <v>35</v>
      </c>
    </row>
    <row r="1906" spans="1:28" x14ac:dyDescent="0.2">
      <c r="A1906" s="1">
        <v>5157</v>
      </c>
      <c r="B1906" s="1" t="s">
        <v>6850</v>
      </c>
      <c r="D1906" s="1" t="s">
        <v>6851</v>
      </c>
      <c r="F1906" s="1" t="s">
        <v>6914</v>
      </c>
      <c r="H1906" s="1" t="s">
        <v>6915</v>
      </c>
      <c r="J1906" s="1" t="s">
        <v>1324</v>
      </c>
      <c r="L1906" s="1" t="s">
        <v>895</v>
      </c>
      <c r="N1906" s="1" t="s">
        <v>3276</v>
      </c>
      <c r="P1906" s="1" t="s">
        <v>3296</v>
      </c>
      <c r="Q1906" s="3">
        <v>0</v>
      </c>
      <c r="R1906" s="23" t="s">
        <v>6854</v>
      </c>
      <c r="S1906" s="23" t="s">
        <v>6845</v>
      </c>
      <c r="T1906" s="23" t="s">
        <v>4866</v>
      </c>
      <c r="U1906" s="3">
        <v>35</v>
      </c>
      <c r="W1906" s="45" t="str">
        <f>HYPERLINK("http://ictvonline.org/taxonomy/p/taxonomy-history?taxnode_id=201901214","ICTVonline=201901214")</f>
        <v>ICTVonline=201901214</v>
      </c>
      <c r="Y1906" s="1" t="s">
        <v>10253</v>
      </c>
      <c r="AA1906" s="1">
        <v>201900000</v>
      </c>
      <c r="AB1906" s="1">
        <v>35</v>
      </c>
    </row>
    <row r="1907" spans="1:28" x14ac:dyDescent="0.2">
      <c r="A1907" s="1">
        <v>5159</v>
      </c>
      <c r="B1907" s="1" t="s">
        <v>6850</v>
      </c>
      <c r="D1907" s="1" t="s">
        <v>6851</v>
      </c>
      <c r="F1907" s="1" t="s">
        <v>6914</v>
      </c>
      <c r="H1907" s="1" t="s">
        <v>6915</v>
      </c>
      <c r="J1907" s="1" t="s">
        <v>1324</v>
      </c>
      <c r="L1907" s="1" t="s">
        <v>895</v>
      </c>
      <c r="N1907" s="1" t="s">
        <v>3276</v>
      </c>
      <c r="P1907" s="1" t="s">
        <v>3297</v>
      </c>
      <c r="Q1907" s="3">
        <v>0</v>
      </c>
      <c r="R1907" s="23" t="s">
        <v>6854</v>
      </c>
      <c r="S1907" s="23" t="s">
        <v>6845</v>
      </c>
      <c r="T1907" s="23" t="s">
        <v>4866</v>
      </c>
      <c r="U1907" s="3">
        <v>35</v>
      </c>
      <c r="W1907" s="45" t="str">
        <f>HYPERLINK("http://ictvonline.org/taxonomy/p/taxonomy-history?taxnode_id=201901215","ICTVonline=201901215")</f>
        <v>ICTVonline=201901215</v>
      </c>
      <c r="Y1907" s="1" t="s">
        <v>10254</v>
      </c>
      <c r="AA1907" s="1">
        <v>201900000</v>
      </c>
      <c r="AB1907" s="1">
        <v>35</v>
      </c>
    </row>
    <row r="1908" spans="1:28" x14ac:dyDescent="0.2">
      <c r="A1908" s="1">
        <v>5161</v>
      </c>
      <c r="B1908" s="1" t="s">
        <v>6850</v>
      </c>
      <c r="D1908" s="1" t="s">
        <v>6851</v>
      </c>
      <c r="F1908" s="1" t="s">
        <v>6914</v>
      </c>
      <c r="H1908" s="1" t="s">
        <v>6915</v>
      </c>
      <c r="J1908" s="1" t="s">
        <v>1324</v>
      </c>
      <c r="L1908" s="1" t="s">
        <v>895</v>
      </c>
      <c r="N1908" s="1" t="s">
        <v>3276</v>
      </c>
      <c r="P1908" s="1" t="s">
        <v>3298</v>
      </c>
      <c r="Q1908" s="3">
        <v>1</v>
      </c>
      <c r="R1908" s="23" t="s">
        <v>6854</v>
      </c>
      <c r="S1908" s="23" t="s">
        <v>6845</v>
      </c>
      <c r="T1908" s="23" t="s">
        <v>4866</v>
      </c>
      <c r="U1908" s="3">
        <v>35</v>
      </c>
      <c r="W1908" s="45" t="str">
        <f>HYPERLINK("http://ictvonline.org/taxonomy/p/taxonomy-history?taxnode_id=201901216","ICTVonline=201901216")</f>
        <v>ICTVonline=201901216</v>
      </c>
      <c r="Y1908" s="1" t="s">
        <v>10255</v>
      </c>
      <c r="AA1908" s="1">
        <v>201900000</v>
      </c>
      <c r="AB1908" s="1">
        <v>35</v>
      </c>
    </row>
    <row r="1909" spans="1:28" x14ac:dyDescent="0.2">
      <c r="A1909" s="1">
        <v>5163</v>
      </c>
      <c r="B1909" s="1" t="s">
        <v>6850</v>
      </c>
      <c r="D1909" s="1" t="s">
        <v>6851</v>
      </c>
      <c r="F1909" s="1" t="s">
        <v>6914</v>
      </c>
      <c r="H1909" s="1" t="s">
        <v>6915</v>
      </c>
      <c r="J1909" s="1" t="s">
        <v>1324</v>
      </c>
      <c r="L1909" s="1" t="s">
        <v>895</v>
      </c>
      <c r="N1909" s="1" t="s">
        <v>3276</v>
      </c>
      <c r="P1909" s="1" t="s">
        <v>3299</v>
      </c>
      <c r="Q1909" s="3">
        <v>0</v>
      </c>
      <c r="R1909" s="23" t="s">
        <v>6854</v>
      </c>
      <c r="S1909" s="23" t="s">
        <v>6845</v>
      </c>
      <c r="T1909" s="23" t="s">
        <v>4866</v>
      </c>
      <c r="U1909" s="3">
        <v>35</v>
      </c>
      <c r="W1909" s="45" t="str">
        <f>HYPERLINK("http://ictvonline.org/taxonomy/p/taxonomy-history?taxnode_id=201901217","ICTVonline=201901217")</f>
        <v>ICTVonline=201901217</v>
      </c>
      <c r="Y1909" s="1" t="s">
        <v>10256</v>
      </c>
      <c r="AA1909" s="1">
        <v>201900000</v>
      </c>
      <c r="AB1909" s="1">
        <v>35</v>
      </c>
    </row>
    <row r="1910" spans="1:28" x14ac:dyDescent="0.2">
      <c r="A1910" s="1">
        <v>5165</v>
      </c>
      <c r="B1910" s="1" t="s">
        <v>6850</v>
      </c>
      <c r="D1910" s="1" t="s">
        <v>6851</v>
      </c>
      <c r="F1910" s="1" t="s">
        <v>6914</v>
      </c>
      <c r="H1910" s="1" t="s">
        <v>6915</v>
      </c>
      <c r="J1910" s="1" t="s">
        <v>1324</v>
      </c>
      <c r="L1910" s="1" t="s">
        <v>895</v>
      </c>
      <c r="N1910" s="1" t="s">
        <v>3276</v>
      </c>
      <c r="P1910" s="1" t="s">
        <v>3300</v>
      </c>
      <c r="Q1910" s="3">
        <v>0</v>
      </c>
      <c r="R1910" s="23" t="s">
        <v>6854</v>
      </c>
      <c r="S1910" s="23" t="s">
        <v>6845</v>
      </c>
      <c r="T1910" s="23" t="s">
        <v>4866</v>
      </c>
      <c r="U1910" s="3">
        <v>35</v>
      </c>
      <c r="W1910" s="45" t="str">
        <f>HYPERLINK("http://ictvonline.org/taxonomy/p/taxonomy-history?taxnode_id=201901218","ICTVonline=201901218")</f>
        <v>ICTVonline=201901218</v>
      </c>
      <c r="Y1910" s="1" t="s">
        <v>10257</v>
      </c>
      <c r="AA1910" s="1">
        <v>201900000</v>
      </c>
      <c r="AB1910" s="1">
        <v>35</v>
      </c>
    </row>
    <row r="1911" spans="1:28" x14ac:dyDescent="0.2">
      <c r="A1911" s="1">
        <v>5167</v>
      </c>
      <c r="B1911" s="1" t="s">
        <v>6850</v>
      </c>
      <c r="D1911" s="1" t="s">
        <v>6851</v>
      </c>
      <c r="F1911" s="1" t="s">
        <v>6914</v>
      </c>
      <c r="H1911" s="1" t="s">
        <v>6915</v>
      </c>
      <c r="J1911" s="1" t="s">
        <v>1324</v>
      </c>
      <c r="L1911" s="1" t="s">
        <v>895</v>
      </c>
      <c r="N1911" s="1" t="s">
        <v>3276</v>
      </c>
      <c r="P1911" s="1" t="s">
        <v>3301</v>
      </c>
      <c r="Q1911" s="3">
        <v>0</v>
      </c>
      <c r="R1911" s="23" t="s">
        <v>6854</v>
      </c>
      <c r="S1911" s="23" t="s">
        <v>6845</v>
      </c>
      <c r="T1911" s="23" t="s">
        <v>4866</v>
      </c>
      <c r="U1911" s="3">
        <v>35</v>
      </c>
      <c r="W1911" s="45" t="str">
        <f>HYPERLINK("http://ictvonline.org/taxonomy/p/taxonomy-history?taxnode_id=201901219","ICTVonline=201901219")</f>
        <v>ICTVonline=201901219</v>
      </c>
      <c r="Y1911" s="1" t="s">
        <v>10258</v>
      </c>
      <c r="AA1911" s="1">
        <v>201900000</v>
      </c>
      <c r="AB1911" s="1">
        <v>35</v>
      </c>
    </row>
    <row r="1912" spans="1:28" x14ac:dyDescent="0.2">
      <c r="A1912" s="1">
        <v>5169</v>
      </c>
      <c r="B1912" s="1" t="s">
        <v>6850</v>
      </c>
      <c r="D1912" s="1" t="s">
        <v>6851</v>
      </c>
      <c r="F1912" s="1" t="s">
        <v>6914</v>
      </c>
      <c r="H1912" s="1" t="s">
        <v>6915</v>
      </c>
      <c r="J1912" s="1" t="s">
        <v>1324</v>
      </c>
      <c r="L1912" s="1" t="s">
        <v>895</v>
      </c>
      <c r="N1912" s="1" t="s">
        <v>3276</v>
      </c>
      <c r="P1912" s="1" t="s">
        <v>3302</v>
      </c>
      <c r="Q1912" s="3">
        <v>0</v>
      </c>
      <c r="R1912" s="23" t="s">
        <v>6854</v>
      </c>
      <c r="S1912" s="23" t="s">
        <v>6845</v>
      </c>
      <c r="T1912" s="23" t="s">
        <v>4866</v>
      </c>
      <c r="U1912" s="3">
        <v>35</v>
      </c>
      <c r="W1912" s="45" t="str">
        <f>HYPERLINK("http://ictvonline.org/taxonomy/p/taxonomy-history?taxnode_id=201901220","ICTVonline=201901220")</f>
        <v>ICTVonline=201901220</v>
      </c>
      <c r="Y1912" s="1" t="s">
        <v>10259</v>
      </c>
      <c r="AA1912" s="1">
        <v>201900000</v>
      </c>
      <c r="AB1912" s="1">
        <v>35</v>
      </c>
    </row>
    <row r="1913" spans="1:28" x14ac:dyDescent="0.2">
      <c r="A1913" s="1">
        <v>5171</v>
      </c>
      <c r="B1913" s="1" t="s">
        <v>6850</v>
      </c>
      <c r="D1913" s="1" t="s">
        <v>6851</v>
      </c>
      <c r="F1913" s="1" t="s">
        <v>6914</v>
      </c>
      <c r="H1913" s="1" t="s">
        <v>6915</v>
      </c>
      <c r="J1913" s="1" t="s">
        <v>1324</v>
      </c>
      <c r="L1913" s="1" t="s">
        <v>895</v>
      </c>
      <c r="N1913" s="1" t="s">
        <v>3276</v>
      </c>
      <c r="P1913" s="1" t="s">
        <v>3303</v>
      </c>
      <c r="Q1913" s="3">
        <v>0</v>
      </c>
      <c r="R1913" s="23" t="s">
        <v>6854</v>
      </c>
      <c r="S1913" s="23" t="s">
        <v>6845</v>
      </c>
      <c r="T1913" s="23" t="s">
        <v>4866</v>
      </c>
      <c r="U1913" s="3">
        <v>35</v>
      </c>
      <c r="W1913" s="45" t="str">
        <f>HYPERLINK("http://ictvonline.org/taxonomy/p/taxonomy-history?taxnode_id=201901221","ICTVonline=201901221")</f>
        <v>ICTVonline=201901221</v>
      </c>
      <c r="Y1913" s="1" t="s">
        <v>10260</v>
      </c>
      <c r="AA1913" s="1">
        <v>201900000</v>
      </c>
      <c r="AB1913" s="1">
        <v>35</v>
      </c>
    </row>
    <row r="1914" spans="1:28" x14ac:dyDescent="0.2">
      <c r="A1914" s="1">
        <v>5173</v>
      </c>
      <c r="B1914" s="1" t="s">
        <v>6850</v>
      </c>
      <c r="D1914" s="1" t="s">
        <v>6851</v>
      </c>
      <c r="F1914" s="1" t="s">
        <v>6914</v>
      </c>
      <c r="H1914" s="1" t="s">
        <v>6915</v>
      </c>
      <c r="J1914" s="1" t="s">
        <v>1324</v>
      </c>
      <c r="L1914" s="1" t="s">
        <v>895</v>
      </c>
      <c r="N1914" s="1" t="s">
        <v>3276</v>
      </c>
      <c r="P1914" s="1" t="s">
        <v>3304</v>
      </c>
      <c r="Q1914" s="3">
        <v>0</v>
      </c>
      <c r="R1914" s="23" t="s">
        <v>6854</v>
      </c>
      <c r="S1914" s="23" t="s">
        <v>6845</v>
      </c>
      <c r="T1914" s="23" t="s">
        <v>4866</v>
      </c>
      <c r="U1914" s="3">
        <v>35</v>
      </c>
      <c r="W1914" s="45" t="str">
        <f>HYPERLINK("http://ictvonline.org/taxonomy/p/taxonomy-history?taxnode_id=201901222","ICTVonline=201901222")</f>
        <v>ICTVonline=201901222</v>
      </c>
      <c r="Y1914" s="1" t="s">
        <v>10261</v>
      </c>
      <c r="AA1914" s="1">
        <v>201900000</v>
      </c>
      <c r="AB1914" s="1">
        <v>35</v>
      </c>
    </row>
    <row r="1915" spans="1:28" x14ac:dyDescent="0.2">
      <c r="A1915" s="1">
        <v>5175</v>
      </c>
      <c r="B1915" s="1" t="s">
        <v>6850</v>
      </c>
      <c r="D1915" s="1" t="s">
        <v>6851</v>
      </c>
      <c r="F1915" s="1" t="s">
        <v>6914</v>
      </c>
      <c r="H1915" s="1" t="s">
        <v>6915</v>
      </c>
      <c r="J1915" s="1" t="s">
        <v>1324</v>
      </c>
      <c r="L1915" s="1" t="s">
        <v>895</v>
      </c>
      <c r="N1915" s="1" t="s">
        <v>3276</v>
      </c>
      <c r="P1915" s="1" t="s">
        <v>3305</v>
      </c>
      <c r="Q1915" s="3">
        <v>0</v>
      </c>
      <c r="R1915" s="23" t="s">
        <v>6854</v>
      </c>
      <c r="S1915" s="23" t="s">
        <v>6845</v>
      </c>
      <c r="T1915" s="23" t="s">
        <v>4866</v>
      </c>
      <c r="U1915" s="3">
        <v>35</v>
      </c>
      <c r="W1915" s="45" t="str">
        <f>HYPERLINK("http://ictvonline.org/taxonomy/p/taxonomy-history?taxnode_id=201901223","ICTVonline=201901223")</f>
        <v>ICTVonline=201901223</v>
      </c>
      <c r="Y1915" s="1" t="s">
        <v>10262</v>
      </c>
      <c r="AA1915" s="1">
        <v>201900000</v>
      </c>
      <c r="AB1915" s="1">
        <v>35</v>
      </c>
    </row>
    <row r="1916" spans="1:28" x14ac:dyDescent="0.2">
      <c r="A1916" s="1">
        <v>5177</v>
      </c>
      <c r="B1916" s="1" t="s">
        <v>6850</v>
      </c>
      <c r="D1916" s="1" t="s">
        <v>6851</v>
      </c>
      <c r="F1916" s="1" t="s">
        <v>6914</v>
      </c>
      <c r="H1916" s="1" t="s">
        <v>6915</v>
      </c>
      <c r="J1916" s="1" t="s">
        <v>1324</v>
      </c>
      <c r="L1916" s="1" t="s">
        <v>895</v>
      </c>
      <c r="N1916" s="1" t="s">
        <v>3276</v>
      </c>
      <c r="P1916" s="1" t="s">
        <v>3306</v>
      </c>
      <c r="Q1916" s="3">
        <v>0</v>
      </c>
      <c r="R1916" s="23" t="s">
        <v>6854</v>
      </c>
      <c r="S1916" s="23" t="s">
        <v>6845</v>
      </c>
      <c r="T1916" s="23" t="s">
        <v>4866</v>
      </c>
      <c r="U1916" s="3">
        <v>35</v>
      </c>
      <c r="W1916" s="45" t="str">
        <f>HYPERLINK("http://ictvonline.org/taxonomy/p/taxonomy-history?taxnode_id=201901224","ICTVonline=201901224")</f>
        <v>ICTVonline=201901224</v>
      </c>
      <c r="Y1916" s="1" t="s">
        <v>10263</v>
      </c>
      <c r="AA1916" s="1">
        <v>201900000</v>
      </c>
      <c r="AB1916" s="1">
        <v>35</v>
      </c>
    </row>
    <row r="1917" spans="1:28" x14ac:dyDescent="0.2">
      <c r="A1917" s="1">
        <v>5179</v>
      </c>
      <c r="B1917" s="1" t="s">
        <v>6850</v>
      </c>
      <c r="D1917" s="1" t="s">
        <v>6851</v>
      </c>
      <c r="F1917" s="1" t="s">
        <v>6914</v>
      </c>
      <c r="H1917" s="1" t="s">
        <v>6915</v>
      </c>
      <c r="J1917" s="1" t="s">
        <v>1324</v>
      </c>
      <c r="L1917" s="1" t="s">
        <v>895</v>
      </c>
      <c r="N1917" s="1" t="s">
        <v>3276</v>
      </c>
      <c r="P1917" s="1" t="s">
        <v>3307</v>
      </c>
      <c r="Q1917" s="3">
        <v>0</v>
      </c>
      <c r="R1917" s="23" t="s">
        <v>6854</v>
      </c>
      <c r="S1917" s="23" t="s">
        <v>6845</v>
      </c>
      <c r="T1917" s="23" t="s">
        <v>4866</v>
      </c>
      <c r="U1917" s="3">
        <v>35</v>
      </c>
      <c r="W1917" s="45" t="str">
        <f>HYPERLINK("http://ictvonline.org/taxonomy/p/taxonomy-history?taxnode_id=201901225","ICTVonline=201901225")</f>
        <v>ICTVonline=201901225</v>
      </c>
      <c r="Y1917" s="1" t="s">
        <v>10264</v>
      </c>
      <c r="AA1917" s="1">
        <v>201900000</v>
      </c>
      <c r="AB1917" s="1">
        <v>35</v>
      </c>
    </row>
    <row r="1918" spans="1:28" x14ac:dyDescent="0.2">
      <c r="A1918" s="1">
        <v>5183</v>
      </c>
      <c r="B1918" s="1" t="s">
        <v>6850</v>
      </c>
      <c r="D1918" s="1" t="s">
        <v>6851</v>
      </c>
      <c r="F1918" s="1" t="s">
        <v>6914</v>
      </c>
      <c r="H1918" s="1" t="s">
        <v>6915</v>
      </c>
      <c r="J1918" s="1" t="s">
        <v>1324</v>
      </c>
      <c r="L1918" s="1" t="s">
        <v>895</v>
      </c>
      <c r="N1918" s="1" t="s">
        <v>3308</v>
      </c>
      <c r="P1918" s="1" t="s">
        <v>3309</v>
      </c>
      <c r="Q1918" s="3">
        <v>1</v>
      </c>
      <c r="R1918" s="23" t="s">
        <v>6854</v>
      </c>
      <c r="S1918" s="23" t="s">
        <v>6845</v>
      </c>
      <c r="T1918" s="23" t="s">
        <v>4866</v>
      </c>
      <c r="U1918" s="3">
        <v>35</v>
      </c>
      <c r="W1918" s="45" t="str">
        <f>HYPERLINK("http://ictvonline.org/taxonomy/p/taxonomy-history?taxnode_id=201901227","ICTVonline=201901227")</f>
        <v>ICTVonline=201901227</v>
      </c>
      <c r="Y1918" s="1" t="s">
        <v>10265</v>
      </c>
      <c r="AA1918" s="1">
        <v>201900000</v>
      </c>
      <c r="AB1918" s="1">
        <v>35</v>
      </c>
    </row>
    <row r="1919" spans="1:28" x14ac:dyDescent="0.2">
      <c r="A1919" s="1">
        <v>5185</v>
      </c>
      <c r="B1919" s="1" t="s">
        <v>6850</v>
      </c>
      <c r="D1919" s="1" t="s">
        <v>6851</v>
      </c>
      <c r="F1919" s="1" t="s">
        <v>6914</v>
      </c>
      <c r="H1919" s="1" t="s">
        <v>6915</v>
      </c>
      <c r="J1919" s="1" t="s">
        <v>1324</v>
      </c>
      <c r="L1919" s="1" t="s">
        <v>895</v>
      </c>
      <c r="N1919" s="1" t="s">
        <v>3308</v>
      </c>
      <c r="P1919" s="1" t="s">
        <v>3310</v>
      </c>
      <c r="Q1919" s="3">
        <v>0</v>
      </c>
      <c r="R1919" s="23" t="s">
        <v>6854</v>
      </c>
      <c r="S1919" s="23" t="s">
        <v>6845</v>
      </c>
      <c r="T1919" s="23" t="s">
        <v>4866</v>
      </c>
      <c r="U1919" s="3">
        <v>35</v>
      </c>
      <c r="W1919" s="45" t="str">
        <f>HYPERLINK("http://ictvonline.org/taxonomy/p/taxonomy-history?taxnode_id=201901228","ICTVonline=201901228")</f>
        <v>ICTVonline=201901228</v>
      </c>
      <c r="Y1919" s="1" t="s">
        <v>10266</v>
      </c>
      <c r="AA1919" s="1">
        <v>201900000</v>
      </c>
      <c r="AB1919" s="1">
        <v>35</v>
      </c>
    </row>
    <row r="1920" spans="1:28" x14ac:dyDescent="0.2">
      <c r="A1920" s="1">
        <v>5187</v>
      </c>
      <c r="B1920" s="1" t="s">
        <v>6850</v>
      </c>
      <c r="D1920" s="1" t="s">
        <v>6851</v>
      </c>
      <c r="F1920" s="1" t="s">
        <v>6914</v>
      </c>
      <c r="H1920" s="1" t="s">
        <v>6915</v>
      </c>
      <c r="J1920" s="1" t="s">
        <v>1324</v>
      </c>
      <c r="L1920" s="1" t="s">
        <v>895</v>
      </c>
      <c r="N1920" s="1" t="s">
        <v>3308</v>
      </c>
      <c r="P1920" s="1" t="s">
        <v>3311</v>
      </c>
      <c r="Q1920" s="3">
        <v>0</v>
      </c>
      <c r="R1920" s="23" t="s">
        <v>6854</v>
      </c>
      <c r="S1920" s="23" t="s">
        <v>6845</v>
      </c>
      <c r="T1920" s="23" t="s">
        <v>4866</v>
      </c>
      <c r="U1920" s="3">
        <v>35</v>
      </c>
      <c r="W1920" s="45" t="str">
        <f>HYPERLINK("http://ictvonline.org/taxonomy/p/taxonomy-history?taxnode_id=201901229","ICTVonline=201901229")</f>
        <v>ICTVonline=201901229</v>
      </c>
      <c r="Y1920" s="1" t="s">
        <v>10267</v>
      </c>
      <c r="AA1920" s="1">
        <v>201900000</v>
      </c>
      <c r="AB1920" s="1">
        <v>35</v>
      </c>
    </row>
    <row r="1921" spans="1:28" x14ac:dyDescent="0.2">
      <c r="A1921" s="1">
        <v>5191</v>
      </c>
      <c r="B1921" s="1" t="s">
        <v>6850</v>
      </c>
      <c r="D1921" s="1" t="s">
        <v>6851</v>
      </c>
      <c r="F1921" s="1" t="s">
        <v>6914</v>
      </c>
      <c r="H1921" s="1" t="s">
        <v>6915</v>
      </c>
      <c r="J1921" s="1" t="s">
        <v>1324</v>
      </c>
      <c r="L1921" s="1" t="s">
        <v>895</v>
      </c>
      <c r="N1921" s="1" t="s">
        <v>10268</v>
      </c>
      <c r="P1921" s="1" t="s">
        <v>10269</v>
      </c>
      <c r="Q1921" s="3">
        <v>1</v>
      </c>
      <c r="R1921" s="23" t="s">
        <v>6854</v>
      </c>
      <c r="S1921" s="23" t="s">
        <v>6849</v>
      </c>
      <c r="T1921" s="23" t="s">
        <v>4864</v>
      </c>
      <c r="U1921" s="3">
        <v>35</v>
      </c>
      <c r="V1921" s="3" t="s">
        <v>10270</v>
      </c>
      <c r="W1921" s="45" t="str">
        <f>HYPERLINK("http://ictvonline.org/taxonomy/p/taxonomy-history?taxnode_id=201907512","ICTVonline=201907512")</f>
        <v>ICTVonline=201907512</v>
      </c>
      <c r="Y1921" s="1" t="s">
        <v>10271</v>
      </c>
      <c r="AA1921" s="1">
        <v>201900000</v>
      </c>
      <c r="AB1921" s="1">
        <v>35</v>
      </c>
    </row>
    <row r="1922" spans="1:28" x14ac:dyDescent="0.2">
      <c r="A1922" s="1">
        <v>5195</v>
      </c>
      <c r="B1922" s="1" t="s">
        <v>6850</v>
      </c>
      <c r="D1922" s="1" t="s">
        <v>6851</v>
      </c>
      <c r="F1922" s="1" t="s">
        <v>6914</v>
      </c>
      <c r="H1922" s="1" t="s">
        <v>6915</v>
      </c>
      <c r="J1922" s="1" t="s">
        <v>1324</v>
      </c>
      <c r="L1922" s="1" t="s">
        <v>895</v>
      </c>
      <c r="N1922" s="1" t="s">
        <v>6495</v>
      </c>
      <c r="P1922" s="1" t="s">
        <v>6496</v>
      </c>
      <c r="Q1922" s="3">
        <v>1</v>
      </c>
      <c r="R1922" s="23" t="s">
        <v>6854</v>
      </c>
      <c r="S1922" s="23" t="s">
        <v>6845</v>
      </c>
      <c r="T1922" s="23" t="s">
        <v>4866</v>
      </c>
      <c r="U1922" s="3">
        <v>35</v>
      </c>
      <c r="W1922" s="45" t="str">
        <f>HYPERLINK("http://ictvonline.org/taxonomy/p/taxonomy-history?taxnode_id=201906749","ICTVonline=201906749")</f>
        <v>ICTVonline=201906749</v>
      </c>
      <c r="Y1922" s="1" t="s">
        <v>10272</v>
      </c>
      <c r="Z1922" s="1" t="s">
        <v>10273</v>
      </c>
      <c r="AA1922" s="1">
        <v>201900000</v>
      </c>
      <c r="AB1922" s="1">
        <v>35</v>
      </c>
    </row>
    <row r="1923" spans="1:28" x14ac:dyDescent="0.2">
      <c r="A1923" s="1">
        <v>5199</v>
      </c>
      <c r="B1923" s="1" t="s">
        <v>6850</v>
      </c>
      <c r="D1923" s="1" t="s">
        <v>6851</v>
      </c>
      <c r="F1923" s="1" t="s">
        <v>6914</v>
      </c>
      <c r="H1923" s="1" t="s">
        <v>6915</v>
      </c>
      <c r="J1923" s="1" t="s">
        <v>1324</v>
      </c>
      <c r="L1923" s="1" t="s">
        <v>895</v>
      </c>
      <c r="N1923" s="1" t="s">
        <v>6497</v>
      </c>
      <c r="P1923" s="1" t="s">
        <v>6498</v>
      </c>
      <c r="Q1923" s="3">
        <v>1</v>
      </c>
      <c r="R1923" s="23" t="s">
        <v>6854</v>
      </c>
      <c r="S1923" s="23" t="s">
        <v>6845</v>
      </c>
      <c r="T1923" s="23" t="s">
        <v>4866</v>
      </c>
      <c r="U1923" s="3">
        <v>35</v>
      </c>
      <c r="W1923" s="45" t="str">
        <f>HYPERLINK("http://ictvonline.org/taxonomy/p/taxonomy-history?taxnode_id=201906592","ICTVonline=201906592")</f>
        <v>ICTVonline=201906592</v>
      </c>
      <c r="Y1923" s="1" t="s">
        <v>10274</v>
      </c>
      <c r="Z1923" s="1" t="s">
        <v>10275</v>
      </c>
      <c r="AA1923" s="1">
        <v>201900000</v>
      </c>
      <c r="AB1923" s="1">
        <v>35</v>
      </c>
    </row>
    <row r="1924" spans="1:28" x14ac:dyDescent="0.2">
      <c r="A1924" s="1">
        <v>5203</v>
      </c>
      <c r="B1924" s="1" t="s">
        <v>6850</v>
      </c>
      <c r="D1924" s="1" t="s">
        <v>6851</v>
      </c>
      <c r="F1924" s="1" t="s">
        <v>6914</v>
      </c>
      <c r="H1924" s="1" t="s">
        <v>6915</v>
      </c>
      <c r="J1924" s="1" t="s">
        <v>1324</v>
      </c>
      <c r="L1924" s="1" t="s">
        <v>895</v>
      </c>
      <c r="N1924" s="1" t="s">
        <v>6499</v>
      </c>
      <c r="P1924" s="1" t="s">
        <v>6500</v>
      </c>
      <c r="Q1924" s="3">
        <v>1</v>
      </c>
      <c r="R1924" s="23" t="s">
        <v>6854</v>
      </c>
      <c r="S1924" s="23" t="s">
        <v>6845</v>
      </c>
      <c r="T1924" s="23" t="s">
        <v>4866</v>
      </c>
      <c r="U1924" s="3">
        <v>35</v>
      </c>
      <c r="W1924" s="45" t="str">
        <f>HYPERLINK("http://ictvonline.org/taxonomy/p/taxonomy-history?taxnode_id=201907062","ICTVonline=201907062")</f>
        <v>ICTVonline=201907062</v>
      </c>
      <c r="Y1924" s="1" t="s">
        <v>10276</v>
      </c>
      <c r="Z1924" s="1" t="s">
        <v>10277</v>
      </c>
      <c r="AA1924" s="1">
        <v>201900000</v>
      </c>
      <c r="AB1924" s="1">
        <v>35</v>
      </c>
    </row>
    <row r="1925" spans="1:28" x14ac:dyDescent="0.2">
      <c r="A1925" s="1">
        <v>5207</v>
      </c>
      <c r="B1925" s="1" t="s">
        <v>6850</v>
      </c>
      <c r="D1925" s="1" t="s">
        <v>6851</v>
      </c>
      <c r="F1925" s="1" t="s">
        <v>6914</v>
      </c>
      <c r="H1925" s="1" t="s">
        <v>6915</v>
      </c>
      <c r="J1925" s="1" t="s">
        <v>1324</v>
      </c>
      <c r="L1925" s="1" t="s">
        <v>895</v>
      </c>
      <c r="N1925" s="1" t="s">
        <v>3315</v>
      </c>
      <c r="P1925" s="1" t="s">
        <v>3316</v>
      </c>
      <c r="Q1925" s="3">
        <v>0</v>
      </c>
      <c r="R1925" s="23" t="s">
        <v>6854</v>
      </c>
      <c r="S1925" s="23" t="s">
        <v>6845</v>
      </c>
      <c r="T1925" s="23" t="s">
        <v>4866</v>
      </c>
      <c r="U1925" s="3">
        <v>35</v>
      </c>
      <c r="W1925" s="45" t="str">
        <f>HYPERLINK("http://ictvonline.org/taxonomy/p/taxonomy-history?taxnode_id=201901237","ICTVonline=201901237")</f>
        <v>ICTVonline=201901237</v>
      </c>
      <c r="Y1925" s="1" t="s">
        <v>10278</v>
      </c>
      <c r="Z1925" s="1" t="s">
        <v>10279</v>
      </c>
      <c r="AA1925" s="1">
        <v>201900000</v>
      </c>
      <c r="AB1925" s="1">
        <v>35</v>
      </c>
    </row>
    <row r="1926" spans="1:28" x14ac:dyDescent="0.2">
      <c r="A1926" s="1">
        <v>5209</v>
      </c>
      <c r="B1926" s="1" t="s">
        <v>6850</v>
      </c>
      <c r="D1926" s="1" t="s">
        <v>6851</v>
      </c>
      <c r="F1926" s="1" t="s">
        <v>6914</v>
      </c>
      <c r="H1926" s="1" t="s">
        <v>6915</v>
      </c>
      <c r="J1926" s="1" t="s">
        <v>1324</v>
      </c>
      <c r="L1926" s="1" t="s">
        <v>895</v>
      </c>
      <c r="N1926" s="1" t="s">
        <v>3315</v>
      </c>
      <c r="P1926" s="1" t="s">
        <v>3317</v>
      </c>
      <c r="Q1926" s="3">
        <v>1</v>
      </c>
      <c r="R1926" s="23" t="s">
        <v>6854</v>
      </c>
      <c r="S1926" s="23" t="s">
        <v>6845</v>
      </c>
      <c r="T1926" s="23" t="s">
        <v>4866</v>
      </c>
      <c r="U1926" s="3">
        <v>35</v>
      </c>
      <c r="W1926" s="45" t="str">
        <f>HYPERLINK("http://ictvonline.org/taxonomy/p/taxonomy-history?taxnode_id=201901238","ICTVonline=201901238")</f>
        <v>ICTVonline=201901238</v>
      </c>
      <c r="Y1926" s="1" t="s">
        <v>10280</v>
      </c>
      <c r="Z1926" s="1" t="s">
        <v>10281</v>
      </c>
      <c r="AA1926" s="1">
        <v>201900000</v>
      </c>
      <c r="AB1926" s="1">
        <v>35</v>
      </c>
    </row>
    <row r="1927" spans="1:28" x14ac:dyDescent="0.2">
      <c r="A1927" s="1">
        <v>5213</v>
      </c>
      <c r="B1927" s="1" t="s">
        <v>6850</v>
      </c>
      <c r="D1927" s="1" t="s">
        <v>6851</v>
      </c>
      <c r="F1927" s="1" t="s">
        <v>6914</v>
      </c>
      <c r="H1927" s="1" t="s">
        <v>6915</v>
      </c>
      <c r="J1927" s="1" t="s">
        <v>1324</v>
      </c>
      <c r="L1927" s="1" t="s">
        <v>895</v>
      </c>
      <c r="N1927" s="1" t="s">
        <v>3318</v>
      </c>
      <c r="P1927" s="1" t="s">
        <v>10282</v>
      </c>
      <c r="Q1927" s="3">
        <v>1</v>
      </c>
      <c r="R1927" s="23" t="s">
        <v>6854</v>
      </c>
      <c r="S1927" s="23" t="s">
        <v>6849</v>
      </c>
      <c r="T1927" s="23" t="s">
        <v>4864</v>
      </c>
      <c r="U1927" s="3">
        <v>35</v>
      </c>
      <c r="V1927" s="3" t="s">
        <v>10283</v>
      </c>
      <c r="W1927" s="45" t="str">
        <f>HYPERLINK("http://ictvonline.org/taxonomy/p/taxonomy-history?taxnode_id=201907999","ICTVonline=201907999")</f>
        <v>ICTVonline=201907999</v>
      </c>
      <c r="X1927" s="1" t="s">
        <v>10284</v>
      </c>
      <c r="Y1927" s="1" t="s">
        <v>10285</v>
      </c>
      <c r="AA1927" s="1">
        <v>201900000</v>
      </c>
      <c r="AB1927" s="1">
        <v>35</v>
      </c>
    </row>
    <row r="1928" spans="1:28" x14ac:dyDescent="0.2">
      <c r="A1928" s="1">
        <v>5217</v>
      </c>
      <c r="B1928" s="1" t="s">
        <v>6850</v>
      </c>
      <c r="D1928" s="1" t="s">
        <v>6851</v>
      </c>
      <c r="F1928" s="1" t="s">
        <v>6914</v>
      </c>
      <c r="H1928" s="1" t="s">
        <v>6915</v>
      </c>
      <c r="J1928" s="1" t="s">
        <v>1324</v>
      </c>
      <c r="L1928" s="1" t="s">
        <v>895</v>
      </c>
      <c r="N1928" s="1" t="s">
        <v>6501</v>
      </c>
      <c r="P1928" s="1" t="s">
        <v>5017</v>
      </c>
      <c r="Q1928" s="3">
        <v>1</v>
      </c>
      <c r="R1928" s="23" t="s">
        <v>6854</v>
      </c>
      <c r="S1928" s="23" t="s">
        <v>6845</v>
      </c>
      <c r="T1928" s="23" t="s">
        <v>4866</v>
      </c>
      <c r="U1928" s="3">
        <v>35</v>
      </c>
      <c r="W1928" s="45" t="str">
        <f>HYPERLINK("http://ictvonline.org/taxonomy/p/taxonomy-history?taxnode_id=201905561","ICTVonline=201905561")</f>
        <v>ICTVonline=201905561</v>
      </c>
      <c r="AA1928" s="1">
        <v>201900000</v>
      </c>
      <c r="AB1928" s="1">
        <v>35</v>
      </c>
    </row>
    <row r="1929" spans="1:28" x14ac:dyDescent="0.2">
      <c r="A1929" s="1">
        <v>5221</v>
      </c>
      <c r="B1929" s="1" t="s">
        <v>6850</v>
      </c>
      <c r="D1929" s="1" t="s">
        <v>6851</v>
      </c>
      <c r="F1929" s="1" t="s">
        <v>6914</v>
      </c>
      <c r="H1929" s="1" t="s">
        <v>6915</v>
      </c>
      <c r="J1929" s="1" t="s">
        <v>1324</v>
      </c>
      <c r="L1929" s="1" t="s">
        <v>895</v>
      </c>
      <c r="N1929" s="1" t="s">
        <v>10286</v>
      </c>
      <c r="P1929" s="1" t="s">
        <v>10287</v>
      </c>
      <c r="Q1929" s="3">
        <v>0</v>
      </c>
      <c r="R1929" s="23" t="s">
        <v>6854</v>
      </c>
      <c r="S1929" s="23" t="s">
        <v>6849</v>
      </c>
      <c r="T1929" s="23" t="s">
        <v>4864</v>
      </c>
      <c r="U1929" s="3">
        <v>35</v>
      </c>
      <c r="V1929" s="3" t="s">
        <v>10288</v>
      </c>
      <c r="W1929" s="45" t="str">
        <f>HYPERLINK("http://ictvonline.org/taxonomy/p/taxonomy-history?taxnode_id=201907537","ICTVonline=201907537")</f>
        <v>ICTVonline=201907537</v>
      </c>
      <c r="Y1929" s="1" t="s">
        <v>10289</v>
      </c>
      <c r="AA1929" s="1">
        <v>201900000</v>
      </c>
      <c r="AB1929" s="1">
        <v>35</v>
      </c>
    </row>
    <row r="1930" spans="1:28" x14ac:dyDescent="0.2">
      <c r="A1930" s="1">
        <v>5223</v>
      </c>
      <c r="B1930" s="1" t="s">
        <v>6850</v>
      </c>
      <c r="D1930" s="1" t="s">
        <v>6851</v>
      </c>
      <c r="F1930" s="1" t="s">
        <v>6914</v>
      </c>
      <c r="H1930" s="1" t="s">
        <v>6915</v>
      </c>
      <c r="J1930" s="1" t="s">
        <v>1324</v>
      </c>
      <c r="L1930" s="1" t="s">
        <v>895</v>
      </c>
      <c r="N1930" s="1" t="s">
        <v>10286</v>
      </c>
      <c r="P1930" s="1" t="s">
        <v>10290</v>
      </c>
      <c r="Q1930" s="3">
        <v>0</v>
      </c>
      <c r="R1930" s="23" t="s">
        <v>6854</v>
      </c>
      <c r="S1930" s="23" t="s">
        <v>6849</v>
      </c>
      <c r="T1930" s="23" t="s">
        <v>4864</v>
      </c>
      <c r="U1930" s="3">
        <v>35</v>
      </c>
      <c r="V1930" s="3" t="s">
        <v>10288</v>
      </c>
      <c r="W1930" s="45" t="str">
        <f>HYPERLINK("http://ictvonline.org/taxonomy/p/taxonomy-history?taxnode_id=201907536","ICTVonline=201907536")</f>
        <v>ICTVonline=201907536</v>
      </c>
      <c r="Y1930" s="1" t="s">
        <v>10291</v>
      </c>
      <c r="AA1930" s="1">
        <v>201900000</v>
      </c>
      <c r="AB1930" s="1">
        <v>35</v>
      </c>
    </row>
    <row r="1931" spans="1:28" x14ac:dyDescent="0.2">
      <c r="A1931" s="1">
        <v>5225</v>
      </c>
      <c r="B1931" s="1" t="s">
        <v>6850</v>
      </c>
      <c r="D1931" s="1" t="s">
        <v>6851</v>
      </c>
      <c r="F1931" s="1" t="s">
        <v>6914</v>
      </c>
      <c r="H1931" s="1" t="s">
        <v>6915</v>
      </c>
      <c r="J1931" s="1" t="s">
        <v>1324</v>
      </c>
      <c r="L1931" s="1" t="s">
        <v>895</v>
      </c>
      <c r="N1931" s="1" t="s">
        <v>10286</v>
      </c>
      <c r="P1931" s="1" t="s">
        <v>10292</v>
      </c>
      <c r="Q1931" s="3">
        <v>1</v>
      </c>
      <c r="R1931" s="23" t="s">
        <v>6854</v>
      </c>
      <c r="S1931" s="23" t="s">
        <v>6849</v>
      </c>
      <c r="T1931" s="23" t="s">
        <v>4864</v>
      </c>
      <c r="U1931" s="3">
        <v>35</v>
      </c>
      <c r="V1931" s="3" t="s">
        <v>10288</v>
      </c>
      <c r="W1931" s="45" t="str">
        <f>HYPERLINK("http://ictvonline.org/taxonomy/p/taxonomy-history?taxnode_id=201907535","ICTVonline=201907535")</f>
        <v>ICTVonline=201907535</v>
      </c>
      <c r="Y1931" s="1" t="s">
        <v>10293</v>
      </c>
      <c r="AA1931" s="1">
        <v>201900000</v>
      </c>
      <c r="AB1931" s="1">
        <v>35</v>
      </c>
    </row>
    <row r="1932" spans="1:28" x14ac:dyDescent="0.2">
      <c r="A1932" s="1">
        <v>5229</v>
      </c>
      <c r="B1932" s="1" t="s">
        <v>6850</v>
      </c>
      <c r="D1932" s="1" t="s">
        <v>6851</v>
      </c>
      <c r="F1932" s="1" t="s">
        <v>6914</v>
      </c>
      <c r="H1932" s="1" t="s">
        <v>6915</v>
      </c>
      <c r="J1932" s="1" t="s">
        <v>1324</v>
      </c>
      <c r="L1932" s="1" t="s">
        <v>895</v>
      </c>
      <c r="N1932" s="1" t="s">
        <v>10294</v>
      </c>
      <c r="P1932" s="1" t="s">
        <v>10295</v>
      </c>
      <c r="Q1932" s="3">
        <v>0</v>
      </c>
      <c r="R1932" s="23" t="s">
        <v>6854</v>
      </c>
      <c r="S1932" s="23" t="s">
        <v>6849</v>
      </c>
      <c r="T1932" s="23" t="s">
        <v>4864</v>
      </c>
      <c r="U1932" s="3">
        <v>35</v>
      </c>
      <c r="V1932" s="3" t="s">
        <v>10296</v>
      </c>
      <c r="W1932" s="45" t="str">
        <f>HYPERLINK("http://ictvonline.org/taxonomy/p/taxonomy-history?taxnode_id=201908018","ICTVonline=201908018")</f>
        <v>ICTVonline=201908018</v>
      </c>
      <c r="Y1932" s="1" t="s">
        <v>10297</v>
      </c>
      <c r="AA1932" s="1">
        <v>201900000</v>
      </c>
      <c r="AB1932" s="1">
        <v>35</v>
      </c>
    </row>
    <row r="1933" spans="1:28" x14ac:dyDescent="0.2">
      <c r="A1933" s="1">
        <v>5231</v>
      </c>
      <c r="B1933" s="1" t="s">
        <v>6850</v>
      </c>
      <c r="D1933" s="1" t="s">
        <v>6851</v>
      </c>
      <c r="F1933" s="1" t="s">
        <v>6914</v>
      </c>
      <c r="H1933" s="1" t="s">
        <v>6915</v>
      </c>
      <c r="J1933" s="1" t="s">
        <v>1324</v>
      </c>
      <c r="L1933" s="1" t="s">
        <v>895</v>
      </c>
      <c r="N1933" s="1" t="s">
        <v>10294</v>
      </c>
      <c r="P1933" s="1" t="s">
        <v>10298</v>
      </c>
      <c r="Q1933" s="3">
        <v>1</v>
      </c>
      <c r="R1933" s="23" t="s">
        <v>6854</v>
      </c>
      <c r="S1933" s="23" t="s">
        <v>6849</v>
      </c>
      <c r="T1933" s="23" t="s">
        <v>4864</v>
      </c>
      <c r="U1933" s="3">
        <v>35</v>
      </c>
      <c r="V1933" s="3" t="s">
        <v>10296</v>
      </c>
      <c r="W1933" s="45" t="str">
        <f>HYPERLINK("http://ictvonline.org/taxonomy/p/taxonomy-history?taxnode_id=201908017","ICTVonline=201908017")</f>
        <v>ICTVonline=201908017</v>
      </c>
      <c r="Y1933" s="1" t="s">
        <v>10299</v>
      </c>
      <c r="AA1933" s="1">
        <v>201900000</v>
      </c>
      <c r="AB1933" s="1">
        <v>35</v>
      </c>
    </row>
    <row r="1934" spans="1:28" x14ac:dyDescent="0.2">
      <c r="A1934" s="1">
        <v>5235</v>
      </c>
      <c r="B1934" s="1" t="s">
        <v>6850</v>
      </c>
      <c r="D1934" s="1" t="s">
        <v>6851</v>
      </c>
      <c r="F1934" s="1" t="s">
        <v>6914</v>
      </c>
      <c r="H1934" s="1" t="s">
        <v>6915</v>
      </c>
      <c r="J1934" s="1" t="s">
        <v>1324</v>
      </c>
      <c r="L1934" s="1" t="s">
        <v>895</v>
      </c>
      <c r="N1934" s="1" t="s">
        <v>6502</v>
      </c>
      <c r="P1934" s="1" t="s">
        <v>3237</v>
      </c>
      <c r="Q1934" s="3">
        <v>1</v>
      </c>
      <c r="R1934" s="23" t="s">
        <v>6854</v>
      </c>
      <c r="S1934" s="23" t="s">
        <v>6845</v>
      </c>
      <c r="T1934" s="23" t="s">
        <v>4866</v>
      </c>
      <c r="U1934" s="3">
        <v>35</v>
      </c>
      <c r="W1934" s="45" t="str">
        <f>HYPERLINK("http://ictvonline.org/taxonomy/p/taxonomy-history?taxnode_id=201901085","ICTVonline=201901085")</f>
        <v>ICTVonline=201901085</v>
      </c>
      <c r="AA1934" s="1">
        <v>201900000</v>
      </c>
      <c r="AB1934" s="1">
        <v>35</v>
      </c>
    </row>
    <row r="1935" spans="1:28" x14ac:dyDescent="0.2">
      <c r="A1935" s="1">
        <v>5239</v>
      </c>
      <c r="B1935" s="1" t="s">
        <v>6850</v>
      </c>
      <c r="D1935" s="1" t="s">
        <v>6851</v>
      </c>
      <c r="F1935" s="1" t="s">
        <v>6914</v>
      </c>
      <c r="H1935" s="1" t="s">
        <v>6915</v>
      </c>
      <c r="J1935" s="1" t="s">
        <v>1324</v>
      </c>
      <c r="L1935" s="1" t="s">
        <v>895</v>
      </c>
      <c r="N1935" s="1" t="s">
        <v>6503</v>
      </c>
      <c r="P1935" s="1" t="s">
        <v>3228</v>
      </c>
      <c r="Q1935" s="3">
        <v>1</v>
      </c>
      <c r="R1935" s="23" t="s">
        <v>6854</v>
      </c>
      <c r="S1935" s="23" t="s">
        <v>6845</v>
      </c>
      <c r="T1935" s="23" t="s">
        <v>4866</v>
      </c>
      <c r="U1935" s="3">
        <v>35</v>
      </c>
      <c r="W1935" s="45" t="str">
        <f>HYPERLINK("http://ictvonline.org/taxonomy/p/taxonomy-history?taxnode_id=201901245","ICTVonline=201901245")</f>
        <v>ICTVonline=201901245</v>
      </c>
      <c r="Y1935" s="1" t="s">
        <v>10300</v>
      </c>
      <c r="Z1935" s="1" t="s">
        <v>10301</v>
      </c>
      <c r="AA1935" s="1">
        <v>201900000</v>
      </c>
      <c r="AB1935" s="1">
        <v>35</v>
      </c>
    </row>
    <row r="1936" spans="1:28" x14ac:dyDescent="0.2">
      <c r="A1936" s="1">
        <v>5243</v>
      </c>
      <c r="B1936" s="1" t="s">
        <v>6850</v>
      </c>
      <c r="D1936" s="1" t="s">
        <v>6851</v>
      </c>
      <c r="F1936" s="1" t="s">
        <v>6914</v>
      </c>
      <c r="H1936" s="1" t="s">
        <v>6915</v>
      </c>
      <c r="J1936" s="1" t="s">
        <v>1324</v>
      </c>
      <c r="L1936" s="1" t="s">
        <v>895</v>
      </c>
      <c r="N1936" s="1" t="s">
        <v>6504</v>
      </c>
      <c r="P1936" s="1" t="s">
        <v>6505</v>
      </c>
      <c r="Q1936" s="3">
        <v>1</v>
      </c>
      <c r="R1936" s="23" t="s">
        <v>6854</v>
      </c>
      <c r="S1936" s="23" t="s">
        <v>6845</v>
      </c>
      <c r="T1936" s="23" t="s">
        <v>4866</v>
      </c>
      <c r="U1936" s="3">
        <v>35</v>
      </c>
      <c r="W1936" s="45" t="str">
        <f>HYPERLINK("http://ictvonline.org/taxonomy/p/taxonomy-history?taxnode_id=201906863","ICTVonline=201906863")</f>
        <v>ICTVonline=201906863</v>
      </c>
      <c r="Y1936" s="1" t="s">
        <v>10302</v>
      </c>
      <c r="Z1936" s="1" t="s">
        <v>10303</v>
      </c>
      <c r="AA1936" s="1">
        <v>201900000</v>
      </c>
      <c r="AB1936" s="1">
        <v>35</v>
      </c>
    </row>
    <row r="1937" spans="1:28" x14ac:dyDescent="0.2">
      <c r="A1937" s="1">
        <v>5247</v>
      </c>
      <c r="B1937" s="1" t="s">
        <v>6850</v>
      </c>
      <c r="D1937" s="1" t="s">
        <v>6851</v>
      </c>
      <c r="F1937" s="1" t="s">
        <v>6914</v>
      </c>
      <c r="H1937" s="1" t="s">
        <v>6915</v>
      </c>
      <c r="J1937" s="1" t="s">
        <v>1324</v>
      </c>
      <c r="L1937" s="1" t="s">
        <v>895</v>
      </c>
      <c r="N1937" s="1" t="s">
        <v>6506</v>
      </c>
      <c r="P1937" s="1" t="s">
        <v>6507</v>
      </c>
      <c r="Q1937" s="3">
        <v>0</v>
      </c>
      <c r="R1937" s="23" t="s">
        <v>6854</v>
      </c>
      <c r="S1937" s="23" t="s">
        <v>6845</v>
      </c>
      <c r="T1937" s="23" t="s">
        <v>4866</v>
      </c>
      <c r="U1937" s="3">
        <v>35</v>
      </c>
      <c r="W1937" s="45" t="str">
        <f>HYPERLINK("http://ictvonline.org/taxonomy/p/taxonomy-history?taxnode_id=201906752","ICTVonline=201906752")</f>
        <v>ICTVonline=201906752</v>
      </c>
      <c r="Y1937" s="1" t="s">
        <v>10304</v>
      </c>
      <c r="Z1937" s="1" t="s">
        <v>10305</v>
      </c>
      <c r="AA1937" s="1">
        <v>201900000</v>
      </c>
      <c r="AB1937" s="1">
        <v>35</v>
      </c>
    </row>
    <row r="1938" spans="1:28" x14ac:dyDescent="0.2">
      <c r="A1938" s="1">
        <v>5249</v>
      </c>
      <c r="B1938" s="1" t="s">
        <v>6850</v>
      </c>
      <c r="D1938" s="1" t="s">
        <v>6851</v>
      </c>
      <c r="F1938" s="1" t="s">
        <v>6914</v>
      </c>
      <c r="H1938" s="1" t="s">
        <v>6915</v>
      </c>
      <c r="J1938" s="1" t="s">
        <v>1324</v>
      </c>
      <c r="L1938" s="1" t="s">
        <v>895</v>
      </c>
      <c r="N1938" s="1" t="s">
        <v>6506</v>
      </c>
      <c r="P1938" s="1" t="s">
        <v>6508</v>
      </c>
      <c r="Q1938" s="3">
        <v>1</v>
      </c>
      <c r="R1938" s="23" t="s">
        <v>6854</v>
      </c>
      <c r="S1938" s="23" t="s">
        <v>6845</v>
      </c>
      <c r="T1938" s="23" t="s">
        <v>4866</v>
      </c>
      <c r="U1938" s="3">
        <v>35</v>
      </c>
      <c r="W1938" s="45" t="str">
        <f>HYPERLINK("http://ictvonline.org/taxonomy/p/taxonomy-history?taxnode_id=201906751","ICTVonline=201906751")</f>
        <v>ICTVonline=201906751</v>
      </c>
      <c r="Y1938" s="1" t="s">
        <v>10306</v>
      </c>
      <c r="Z1938" s="1" t="s">
        <v>10307</v>
      </c>
      <c r="AA1938" s="1">
        <v>201900000</v>
      </c>
      <c r="AB1938" s="1">
        <v>35</v>
      </c>
    </row>
    <row r="1939" spans="1:28" x14ac:dyDescent="0.2">
      <c r="A1939" s="1">
        <v>5253</v>
      </c>
      <c r="B1939" s="1" t="s">
        <v>6850</v>
      </c>
      <c r="D1939" s="1" t="s">
        <v>6851</v>
      </c>
      <c r="F1939" s="1" t="s">
        <v>6914</v>
      </c>
      <c r="H1939" s="1" t="s">
        <v>6915</v>
      </c>
      <c r="J1939" s="1" t="s">
        <v>1324</v>
      </c>
      <c r="L1939" s="1" t="s">
        <v>895</v>
      </c>
      <c r="N1939" s="1" t="s">
        <v>10308</v>
      </c>
      <c r="P1939" s="1" t="s">
        <v>10309</v>
      </c>
      <c r="Q1939" s="3">
        <v>1</v>
      </c>
      <c r="R1939" s="23" t="s">
        <v>6854</v>
      </c>
      <c r="S1939" s="23" t="s">
        <v>6849</v>
      </c>
      <c r="T1939" s="23" t="s">
        <v>4864</v>
      </c>
      <c r="U1939" s="3">
        <v>35</v>
      </c>
      <c r="V1939" s="3" t="s">
        <v>10310</v>
      </c>
      <c r="W1939" s="45" t="str">
        <f>HYPERLINK("http://ictvonline.org/taxonomy/p/taxonomy-history?taxnode_id=201907546","ICTVonline=201907546")</f>
        <v>ICTVonline=201907546</v>
      </c>
      <c r="Y1939" s="1" t="s">
        <v>10311</v>
      </c>
      <c r="AA1939" s="1">
        <v>201900000</v>
      </c>
      <c r="AB1939" s="1">
        <v>35</v>
      </c>
    </row>
    <row r="1940" spans="1:28" x14ac:dyDescent="0.2">
      <c r="A1940" s="1">
        <v>5257</v>
      </c>
      <c r="B1940" s="1" t="s">
        <v>6850</v>
      </c>
      <c r="D1940" s="1" t="s">
        <v>6851</v>
      </c>
      <c r="F1940" s="1" t="s">
        <v>6914</v>
      </c>
      <c r="H1940" s="1" t="s">
        <v>6915</v>
      </c>
      <c r="J1940" s="1" t="s">
        <v>1324</v>
      </c>
      <c r="L1940" s="1" t="s">
        <v>895</v>
      </c>
      <c r="N1940" s="1" t="s">
        <v>10312</v>
      </c>
      <c r="P1940" s="1" t="s">
        <v>10313</v>
      </c>
      <c r="Q1940" s="3">
        <v>0</v>
      </c>
      <c r="R1940" s="23" t="s">
        <v>6854</v>
      </c>
      <c r="S1940" s="23" t="s">
        <v>6849</v>
      </c>
      <c r="T1940" s="23" t="s">
        <v>4864</v>
      </c>
      <c r="U1940" s="3">
        <v>35</v>
      </c>
      <c r="V1940" s="3" t="s">
        <v>10314</v>
      </c>
      <c r="W1940" s="45" t="str">
        <f>HYPERLINK("http://ictvonline.org/taxonomy/p/taxonomy-history?taxnode_id=201907556","ICTVonline=201907556")</f>
        <v>ICTVonline=201907556</v>
      </c>
      <c r="Y1940" s="1" t="s">
        <v>10315</v>
      </c>
      <c r="AA1940" s="1">
        <v>201900000</v>
      </c>
      <c r="AB1940" s="1">
        <v>35</v>
      </c>
    </row>
    <row r="1941" spans="1:28" x14ac:dyDescent="0.2">
      <c r="A1941" s="1">
        <v>5259</v>
      </c>
      <c r="B1941" s="1" t="s">
        <v>6850</v>
      </c>
      <c r="D1941" s="1" t="s">
        <v>6851</v>
      </c>
      <c r="F1941" s="1" t="s">
        <v>6914</v>
      </c>
      <c r="H1941" s="1" t="s">
        <v>6915</v>
      </c>
      <c r="J1941" s="1" t="s">
        <v>1324</v>
      </c>
      <c r="L1941" s="1" t="s">
        <v>895</v>
      </c>
      <c r="N1941" s="1" t="s">
        <v>10312</v>
      </c>
      <c r="P1941" s="1" t="s">
        <v>10316</v>
      </c>
      <c r="Q1941" s="3">
        <v>1</v>
      </c>
      <c r="R1941" s="23" t="s">
        <v>6854</v>
      </c>
      <c r="S1941" s="23" t="s">
        <v>6849</v>
      </c>
      <c r="T1941" s="23" t="s">
        <v>4864</v>
      </c>
      <c r="U1941" s="3">
        <v>35</v>
      </c>
      <c r="V1941" s="3" t="s">
        <v>10314</v>
      </c>
      <c r="W1941" s="45" t="str">
        <f>HYPERLINK("http://ictvonline.org/taxonomy/p/taxonomy-history?taxnode_id=201907555","ICTVonline=201907555")</f>
        <v>ICTVonline=201907555</v>
      </c>
      <c r="Y1941" s="1" t="s">
        <v>10317</v>
      </c>
      <c r="AA1941" s="1">
        <v>201900000</v>
      </c>
      <c r="AB1941" s="1">
        <v>35</v>
      </c>
    </row>
    <row r="1942" spans="1:28" x14ac:dyDescent="0.2">
      <c r="A1942" s="1">
        <v>5263</v>
      </c>
      <c r="B1942" s="1" t="s">
        <v>6850</v>
      </c>
      <c r="D1942" s="1" t="s">
        <v>6851</v>
      </c>
      <c r="F1942" s="1" t="s">
        <v>6914</v>
      </c>
      <c r="H1942" s="1" t="s">
        <v>6915</v>
      </c>
      <c r="J1942" s="1" t="s">
        <v>1324</v>
      </c>
      <c r="L1942" s="1" t="s">
        <v>895</v>
      </c>
      <c r="N1942" s="1" t="s">
        <v>6509</v>
      </c>
      <c r="P1942" s="1" t="s">
        <v>4419</v>
      </c>
      <c r="Q1942" s="3">
        <v>1</v>
      </c>
      <c r="R1942" s="23" t="s">
        <v>6854</v>
      </c>
      <c r="S1942" s="23" t="s">
        <v>6845</v>
      </c>
      <c r="T1942" s="23" t="s">
        <v>4866</v>
      </c>
      <c r="U1942" s="3">
        <v>35</v>
      </c>
      <c r="W1942" s="45" t="str">
        <f>HYPERLINK("http://ictvonline.org/taxonomy/p/taxonomy-history?taxnode_id=201901235","ICTVonline=201901235")</f>
        <v>ICTVonline=201901235</v>
      </c>
      <c r="Y1942" s="1" t="s">
        <v>10318</v>
      </c>
      <c r="Z1942" s="1" t="s">
        <v>10319</v>
      </c>
      <c r="AA1942" s="1">
        <v>201900000</v>
      </c>
      <c r="AB1942" s="1">
        <v>35</v>
      </c>
    </row>
    <row r="1943" spans="1:28" x14ac:dyDescent="0.2">
      <c r="A1943" s="1">
        <v>5267</v>
      </c>
      <c r="B1943" s="1" t="s">
        <v>6850</v>
      </c>
      <c r="D1943" s="1" t="s">
        <v>6851</v>
      </c>
      <c r="F1943" s="1" t="s">
        <v>6914</v>
      </c>
      <c r="H1943" s="1" t="s">
        <v>6915</v>
      </c>
      <c r="J1943" s="1" t="s">
        <v>1324</v>
      </c>
      <c r="L1943" s="1" t="s">
        <v>895</v>
      </c>
      <c r="N1943" s="1" t="s">
        <v>10320</v>
      </c>
      <c r="P1943" s="1" t="s">
        <v>10321</v>
      </c>
      <c r="Q1943" s="3">
        <v>1</v>
      </c>
      <c r="R1943" s="23" t="s">
        <v>6854</v>
      </c>
      <c r="S1943" s="23" t="s">
        <v>6849</v>
      </c>
      <c r="T1943" s="23" t="s">
        <v>4864</v>
      </c>
      <c r="U1943" s="3">
        <v>35</v>
      </c>
      <c r="V1943" s="3" t="s">
        <v>10322</v>
      </c>
      <c r="W1943" s="45" t="str">
        <f>HYPERLINK("http://ictvonline.org/taxonomy/p/taxonomy-history?taxnode_id=201908025","ICTVonline=201908025")</f>
        <v>ICTVonline=201908025</v>
      </c>
      <c r="Y1943" s="1" t="s">
        <v>10323</v>
      </c>
      <c r="AA1943" s="1">
        <v>201900000</v>
      </c>
      <c r="AB1943" s="1">
        <v>35</v>
      </c>
    </row>
    <row r="1944" spans="1:28" x14ac:dyDescent="0.2">
      <c r="A1944" s="1">
        <v>5271</v>
      </c>
      <c r="B1944" s="1" t="s">
        <v>6850</v>
      </c>
      <c r="D1944" s="1" t="s">
        <v>6851</v>
      </c>
      <c r="F1944" s="1" t="s">
        <v>6914</v>
      </c>
      <c r="H1944" s="1" t="s">
        <v>6915</v>
      </c>
      <c r="J1944" s="1" t="s">
        <v>1324</v>
      </c>
      <c r="L1944" s="1" t="s">
        <v>895</v>
      </c>
      <c r="N1944" s="1" t="s">
        <v>10324</v>
      </c>
      <c r="P1944" s="1" t="s">
        <v>10325</v>
      </c>
      <c r="Q1944" s="3">
        <v>1</v>
      </c>
      <c r="R1944" s="23" t="s">
        <v>6854</v>
      </c>
      <c r="S1944" s="23" t="s">
        <v>6849</v>
      </c>
      <c r="T1944" s="23" t="s">
        <v>4864</v>
      </c>
      <c r="U1944" s="3">
        <v>35</v>
      </c>
      <c r="V1944" s="3" t="s">
        <v>10326</v>
      </c>
      <c r="W1944" s="45" t="str">
        <f>HYPERLINK("http://ictvonline.org/taxonomy/p/taxonomy-history?taxnode_id=201907568","ICTVonline=201907568")</f>
        <v>ICTVonline=201907568</v>
      </c>
      <c r="Y1944" s="1" t="s">
        <v>10327</v>
      </c>
      <c r="AA1944" s="1">
        <v>201900000</v>
      </c>
      <c r="AB1944" s="1">
        <v>35</v>
      </c>
    </row>
    <row r="1945" spans="1:28" x14ac:dyDescent="0.2">
      <c r="A1945" s="1">
        <v>5275</v>
      </c>
      <c r="B1945" s="1" t="s">
        <v>6850</v>
      </c>
      <c r="D1945" s="1" t="s">
        <v>6851</v>
      </c>
      <c r="F1945" s="1" t="s">
        <v>6914</v>
      </c>
      <c r="H1945" s="1" t="s">
        <v>6915</v>
      </c>
      <c r="J1945" s="1" t="s">
        <v>1324</v>
      </c>
      <c r="L1945" s="1" t="s">
        <v>895</v>
      </c>
      <c r="N1945" s="1" t="s">
        <v>6510</v>
      </c>
      <c r="P1945" s="1" t="s">
        <v>6511</v>
      </c>
      <c r="Q1945" s="3">
        <v>0</v>
      </c>
      <c r="R1945" s="23" t="s">
        <v>6854</v>
      </c>
      <c r="S1945" s="23" t="s">
        <v>6845</v>
      </c>
      <c r="T1945" s="23" t="s">
        <v>4866</v>
      </c>
      <c r="U1945" s="3">
        <v>35</v>
      </c>
      <c r="W1945" s="45" t="str">
        <f>HYPERLINK("http://ictvonline.org/taxonomy/p/taxonomy-history?taxnode_id=201906783","ICTVonline=201906783")</f>
        <v>ICTVonline=201906783</v>
      </c>
      <c r="Y1945" s="1" t="s">
        <v>10328</v>
      </c>
      <c r="Z1945" s="1" t="s">
        <v>10329</v>
      </c>
      <c r="AA1945" s="1">
        <v>201900000</v>
      </c>
      <c r="AB1945" s="1">
        <v>35</v>
      </c>
    </row>
    <row r="1946" spans="1:28" x14ac:dyDescent="0.2">
      <c r="A1946" s="1">
        <v>5277</v>
      </c>
      <c r="B1946" s="1" t="s">
        <v>6850</v>
      </c>
      <c r="D1946" s="1" t="s">
        <v>6851</v>
      </c>
      <c r="F1946" s="1" t="s">
        <v>6914</v>
      </c>
      <c r="H1946" s="1" t="s">
        <v>6915</v>
      </c>
      <c r="J1946" s="1" t="s">
        <v>1324</v>
      </c>
      <c r="L1946" s="1" t="s">
        <v>895</v>
      </c>
      <c r="N1946" s="1" t="s">
        <v>6510</v>
      </c>
      <c r="P1946" s="1" t="s">
        <v>6512</v>
      </c>
      <c r="Q1946" s="3">
        <v>0</v>
      </c>
      <c r="R1946" s="23" t="s">
        <v>6854</v>
      </c>
      <c r="S1946" s="23" t="s">
        <v>6845</v>
      </c>
      <c r="T1946" s="23" t="s">
        <v>4866</v>
      </c>
      <c r="U1946" s="3">
        <v>35</v>
      </c>
      <c r="W1946" s="45" t="str">
        <f>HYPERLINK("http://ictvonline.org/taxonomy/p/taxonomy-history?taxnode_id=201906785","ICTVonline=201906785")</f>
        <v>ICTVonline=201906785</v>
      </c>
      <c r="Y1946" s="1" t="s">
        <v>10330</v>
      </c>
      <c r="Z1946" s="1" t="s">
        <v>10331</v>
      </c>
      <c r="AA1946" s="1">
        <v>201900000</v>
      </c>
      <c r="AB1946" s="1">
        <v>35</v>
      </c>
    </row>
    <row r="1947" spans="1:28" x14ac:dyDescent="0.2">
      <c r="A1947" s="1">
        <v>5279</v>
      </c>
      <c r="B1947" s="1" t="s">
        <v>6850</v>
      </c>
      <c r="D1947" s="1" t="s">
        <v>6851</v>
      </c>
      <c r="F1947" s="1" t="s">
        <v>6914</v>
      </c>
      <c r="H1947" s="1" t="s">
        <v>6915</v>
      </c>
      <c r="J1947" s="1" t="s">
        <v>1324</v>
      </c>
      <c r="L1947" s="1" t="s">
        <v>895</v>
      </c>
      <c r="N1947" s="1" t="s">
        <v>6510</v>
      </c>
      <c r="P1947" s="1" t="s">
        <v>6513</v>
      </c>
      <c r="Q1947" s="3">
        <v>0</v>
      </c>
      <c r="R1947" s="23" t="s">
        <v>6854</v>
      </c>
      <c r="S1947" s="23" t="s">
        <v>6845</v>
      </c>
      <c r="T1947" s="23" t="s">
        <v>4866</v>
      </c>
      <c r="U1947" s="3">
        <v>35</v>
      </c>
      <c r="W1947" s="45" t="str">
        <f>HYPERLINK("http://ictvonline.org/taxonomy/p/taxonomy-history?taxnode_id=201906784","ICTVonline=201906784")</f>
        <v>ICTVonline=201906784</v>
      </c>
      <c r="Y1947" s="1" t="s">
        <v>10332</v>
      </c>
      <c r="Z1947" s="1" t="s">
        <v>10333</v>
      </c>
      <c r="AA1947" s="1">
        <v>201900000</v>
      </c>
      <c r="AB1947" s="1">
        <v>35</v>
      </c>
    </row>
    <row r="1948" spans="1:28" x14ac:dyDescent="0.2">
      <c r="A1948" s="1">
        <v>5281</v>
      </c>
      <c r="B1948" s="1" t="s">
        <v>6850</v>
      </c>
      <c r="D1948" s="1" t="s">
        <v>6851</v>
      </c>
      <c r="F1948" s="1" t="s">
        <v>6914</v>
      </c>
      <c r="H1948" s="1" t="s">
        <v>6915</v>
      </c>
      <c r="J1948" s="1" t="s">
        <v>1324</v>
      </c>
      <c r="L1948" s="1" t="s">
        <v>895</v>
      </c>
      <c r="N1948" s="1" t="s">
        <v>6510</v>
      </c>
      <c r="P1948" s="1" t="s">
        <v>6514</v>
      </c>
      <c r="Q1948" s="3">
        <v>0</v>
      </c>
      <c r="R1948" s="23" t="s">
        <v>6854</v>
      </c>
      <c r="S1948" s="23" t="s">
        <v>6845</v>
      </c>
      <c r="T1948" s="23" t="s">
        <v>4866</v>
      </c>
      <c r="U1948" s="3">
        <v>35</v>
      </c>
      <c r="W1948" s="45" t="str">
        <f>HYPERLINK("http://ictvonline.org/taxonomy/p/taxonomy-history?taxnode_id=201906782","ICTVonline=201906782")</f>
        <v>ICTVonline=201906782</v>
      </c>
      <c r="Y1948" s="1" t="s">
        <v>10334</v>
      </c>
      <c r="Z1948" s="1" t="s">
        <v>10335</v>
      </c>
      <c r="AA1948" s="1">
        <v>201900000</v>
      </c>
      <c r="AB1948" s="1">
        <v>35</v>
      </c>
    </row>
    <row r="1949" spans="1:28" x14ac:dyDescent="0.2">
      <c r="A1949" s="1">
        <v>5283</v>
      </c>
      <c r="B1949" s="1" t="s">
        <v>6850</v>
      </c>
      <c r="D1949" s="1" t="s">
        <v>6851</v>
      </c>
      <c r="F1949" s="1" t="s">
        <v>6914</v>
      </c>
      <c r="H1949" s="1" t="s">
        <v>6915</v>
      </c>
      <c r="J1949" s="1" t="s">
        <v>1324</v>
      </c>
      <c r="L1949" s="1" t="s">
        <v>895</v>
      </c>
      <c r="N1949" s="1" t="s">
        <v>6510</v>
      </c>
      <c r="P1949" s="1" t="s">
        <v>6515</v>
      </c>
      <c r="Q1949" s="3">
        <v>0</v>
      </c>
      <c r="R1949" s="23" t="s">
        <v>6854</v>
      </c>
      <c r="S1949" s="23" t="s">
        <v>6845</v>
      </c>
      <c r="T1949" s="23" t="s">
        <v>4866</v>
      </c>
      <c r="U1949" s="3">
        <v>35</v>
      </c>
      <c r="W1949" s="45" t="str">
        <f>HYPERLINK("http://ictvonline.org/taxonomy/p/taxonomy-history?taxnode_id=201906781","ICTVonline=201906781")</f>
        <v>ICTVonline=201906781</v>
      </c>
      <c r="Y1949" s="1" t="s">
        <v>10336</v>
      </c>
      <c r="Z1949" s="1" t="s">
        <v>10337</v>
      </c>
      <c r="AA1949" s="1">
        <v>201900000</v>
      </c>
      <c r="AB1949" s="1">
        <v>35</v>
      </c>
    </row>
    <row r="1950" spans="1:28" x14ac:dyDescent="0.2">
      <c r="A1950" s="1">
        <v>5285</v>
      </c>
      <c r="B1950" s="1" t="s">
        <v>6850</v>
      </c>
      <c r="D1950" s="1" t="s">
        <v>6851</v>
      </c>
      <c r="F1950" s="1" t="s">
        <v>6914</v>
      </c>
      <c r="H1950" s="1" t="s">
        <v>6915</v>
      </c>
      <c r="J1950" s="1" t="s">
        <v>1324</v>
      </c>
      <c r="L1950" s="1" t="s">
        <v>895</v>
      </c>
      <c r="N1950" s="1" t="s">
        <v>6510</v>
      </c>
      <c r="P1950" s="1" t="s">
        <v>6516</v>
      </c>
      <c r="Q1950" s="3">
        <v>1</v>
      </c>
      <c r="R1950" s="23" t="s">
        <v>6854</v>
      </c>
      <c r="S1950" s="23" t="s">
        <v>6845</v>
      </c>
      <c r="T1950" s="23" t="s">
        <v>4866</v>
      </c>
      <c r="U1950" s="3">
        <v>35</v>
      </c>
      <c r="W1950" s="45" t="str">
        <f>HYPERLINK("http://ictvonline.org/taxonomy/p/taxonomy-history?taxnode_id=201906780","ICTVonline=201906780")</f>
        <v>ICTVonline=201906780</v>
      </c>
      <c r="Y1950" s="1" t="s">
        <v>10338</v>
      </c>
      <c r="Z1950" s="1" t="s">
        <v>10339</v>
      </c>
      <c r="AA1950" s="1">
        <v>201900000</v>
      </c>
      <c r="AB1950" s="1">
        <v>35</v>
      </c>
    </row>
    <row r="1951" spans="1:28" x14ac:dyDescent="0.2">
      <c r="A1951" s="1">
        <v>5289</v>
      </c>
      <c r="B1951" s="1" t="s">
        <v>6850</v>
      </c>
      <c r="D1951" s="1" t="s">
        <v>6851</v>
      </c>
      <c r="F1951" s="1" t="s">
        <v>6914</v>
      </c>
      <c r="H1951" s="1" t="s">
        <v>6915</v>
      </c>
      <c r="J1951" s="1" t="s">
        <v>1324</v>
      </c>
      <c r="L1951" s="1" t="s">
        <v>895</v>
      </c>
      <c r="N1951" s="1" t="s">
        <v>6517</v>
      </c>
      <c r="P1951" s="1" t="s">
        <v>6518</v>
      </c>
      <c r="Q1951" s="3">
        <v>1</v>
      </c>
      <c r="R1951" s="23" t="s">
        <v>6854</v>
      </c>
      <c r="S1951" s="23" t="s">
        <v>6845</v>
      </c>
      <c r="T1951" s="23" t="s">
        <v>4866</v>
      </c>
      <c r="U1951" s="3">
        <v>35</v>
      </c>
      <c r="W1951" s="45" t="str">
        <f>HYPERLINK("http://ictvonline.org/taxonomy/p/taxonomy-history?taxnode_id=201906869","ICTVonline=201906869")</f>
        <v>ICTVonline=201906869</v>
      </c>
      <c r="Y1951" s="1" t="s">
        <v>10340</v>
      </c>
      <c r="Z1951" s="1" t="s">
        <v>10341</v>
      </c>
      <c r="AA1951" s="1">
        <v>201900000</v>
      </c>
      <c r="AB1951" s="1">
        <v>35</v>
      </c>
    </row>
    <row r="1952" spans="1:28" x14ac:dyDescent="0.2">
      <c r="A1952" s="1">
        <v>5293</v>
      </c>
      <c r="B1952" s="1" t="s">
        <v>6850</v>
      </c>
      <c r="D1952" s="1" t="s">
        <v>6851</v>
      </c>
      <c r="F1952" s="1" t="s">
        <v>6914</v>
      </c>
      <c r="H1952" s="1" t="s">
        <v>6915</v>
      </c>
      <c r="J1952" s="1" t="s">
        <v>1324</v>
      </c>
      <c r="L1952" s="1" t="s">
        <v>895</v>
      </c>
      <c r="N1952" s="1" t="s">
        <v>10342</v>
      </c>
      <c r="P1952" s="1" t="s">
        <v>10343</v>
      </c>
      <c r="Q1952" s="3">
        <v>1</v>
      </c>
      <c r="R1952" s="23" t="s">
        <v>6854</v>
      </c>
      <c r="S1952" s="23" t="s">
        <v>6849</v>
      </c>
      <c r="T1952" s="23" t="s">
        <v>4864</v>
      </c>
      <c r="U1952" s="3">
        <v>35</v>
      </c>
      <c r="V1952" s="3" t="s">
        <v>10344</v>
      </c>
      <c r="W1952" s="45" t="str">
        <f>HYPERLINK("http://ictvonline.org/taxonomy/p/taxonomy-history?taxnode_id=201907653","ICTVonline=201907653")</f>
        <v>ICTVonline=201907653</v>
      </c>
      <c r="Y1952" s="1" t="s">
        <v>10345</v>
      </c>
      <c r="AA1952" s="1">
        <v>201900000</v>
      </c>
      <c r="AB1952" s="1">
        <v>35</v>
      </c>
    </row>
    <row r="1953" spans="1:28" x14ac:dyDescent="0.2">
      <c r="A1953" s="1">
        <v>5297</v>
      </c>
      <c r="B1953" s="1" t="s">
        <v>6850</v>
      </c>
      <c r="D1953" s="1" t="s">
        <v>6851</v>
      </c>
      <c r="F1953" s="1" t="s">
        <v>6914</v>
      </c>
      <c r="H1953" s="1" t="s">
        <v>6915</v>
      </c>
      <c r="J1953" s="1" t="s">
        <v>1324</v>
      </c>
      <c r="L1953" s="1" t="s">
        <v>895</v>
      </c>
      <c r="N1953" s="1" t="s">
        <v>6519</v>
      </c>
      <c r="P1953" s="1" t="s">
        <v>6520</v>
      </c>
      <c r="Q1953" s="3">
        <v>0</v>
      </c>
      <c r="R1953" s="23" t="s">
        <v>6854</v>
      </c>
      <c r="S1953" s="23" t="s">
        <v>6845</v>
      </c>
      <c r="T1953" s="23" t="s">
        <v>4866</v>
      </c>
      <c r="U1953" s="3">
        <v>35</v>
      </c>
      <c r="W1953" s="45" t="str">
        <f>HYPERLINK("http://ictvonline.org/taxonomy/p/taxonomy-history?taxnode_id=201906884","ICTVonline=201906884")</f>
        <v>ICTVonline=201906884</v>
      </c>
      <c r="Y1953" s="1" t="s">
        <v>10346</v>
      </c>
      <c r="Z1953" s="1" t="s">
        <v>10347</v>
      </c>
      <c r="AA1953" s="1">
        <v>201900000</v>
      </c>
      <c r="AB1953" s="1">
        <v>35</v>
      </c>
    </row>
    <row r="1954" spans="1:28" x14ac:dyDescent="0.2">
      <c r="A1954" s="1">
        <v>5299</v>
      </c>
      <c r="B1954" s="1" t="s">
        <v>6850</v>
      </c>
      <c r="D1954" s="1" t="s">
        <v>6851</v>
      </c>
      <c r="F1954" s="1" t="s">
        <v>6914</v>
      </c>
      <c r="H1954" s="1" t="s">
        <v>6915</v>
      </c>
      <c r="J1954" s="1" t="s">
        <v>1324</v>
      </c>
      <c r="L1954" s="1" t="s">
        <v>895</v>
      </c>
      <c r="N1954" s="1" t="s">
        <v>6519</v>
      </c>
      <c r="P1954" s="1" t="s">
        <v>6521</v>
      </c>
      <c r="Q1954" s="3">
        <v>1</v>
      </c>
      <c r="R1954" s="23" t="s">
        <v>6854</v>
      </c>
      <c r="S1954" s="23" t="s">
        <v>6845</v>
      </c>
      <c r="T1954" s="23" t="s">
        <v>4866</v>
      </c>
      <c r="U1954" s="3">
        <v>35</v>
      </c>
      <c r="W1954" s="45" t="str">
        <f>HYPERLINK("http://ictvonline.org/taxonomy/p/taxonomy-history?taxnode_id=201906883","ICTVonline=201906883")</f>
        <v>ICTVonline=201906883</v>
      </c>
      <c r="Y1954" s="1" t="s">
        <v>10348</v>
      </c>
      <c r="Z1954" s="1" t="s">
        <v>10349</v>
      </c>
      <c r="AA1954" s="1">
        <v>201900000</v>
      </c>
      <c r="AB1954" s="1">
        <v>35</v>
      </c>
    </row>
    <row r="1955" spans="1:28" x14ac:dyDescent="0.2">
      <c r="A1955" s="1">
        <v>5303</v>
      </c>
      <c r="B1955" s="1" t="s">
        <v>6850</v>
      </c>
      <c r="D1955" s="1" t="s">
        <v>6851</v>
      </c>
      <c r="F1955" s="1" t="s">
        <v>6914</v>
      </c>
      <c r="H1955" s="1" t="s">
        <v>6915</v>
      </c>
      <c r="J1955" s="1" t="s">
        <v>1324</v>
      </c>
      <c r="L1955" s="1" t="s">
        <v>895</v>
      </c>
      <c r="N1955" s="1" t="s">
        <v>10350</v>
      </c>
      <c r="P1955" s="1" t="s">
        <v>10351</v>
      </c>
      <c r="Q1955" s="3">
        <v>1</v>
      </c>
      <c r="R1955" s="23" t="s">
        <v>6854</v>
      </c>
      <c r="S1955" s="23" t="s">
        <v>6849</v>
      </c>
      <c r="T1955" s="23" t="s">
        <v>4864</v>
      </c>
      <c r="U1955" s="3">
        <v>35</v>
      </c>
      <c r="V1955" s="3" t="s">
        <v>10352</v>
      </c>
      <c r="W1955" s="45" t="str">
        <f>HYPERLINK("http://ictvonline.org/taxonomy/p/taxonomy-history?taxnode_id=201907658","ICTVonline=201907658")</f>
        <v>ICTVonline=201907658</v>
      </c>
      <c r="Y1955" s="1" t="s">
        <v>10353</v>
      </c>
      <c r="AA1955" s="1">
        <v>201900000</v>
      </c>
      <c r="AB1955" s="1">
        <v>35</v>
      </c>
    </row>
    <row r="1956" spans="1:28" x14ac:dyDescent="0.2">
      <c r="A1956" s="1">
        <v>5307</v>
      </c>
      <c r="B1956" s="1" t="s">
        <v>6850</v>
      </c>
      <c r="D1956" s="1" t="s">
        <v>6851</v>
      </c>
      <c r="F1956" s="1" t="s">
        <v>6914</v>
      </c>
      <c r="H1956" s="1" t="s">
        <v>6915</v>
      </c>
      <c r="J1956" s="1" t="s">
        <v>1324</v>
      </c>
      <c r="L1956" s="1" t="s">
        <v>895</v>
      </c>
      <c r="N1956" s="1" t="s">
        <v>6522</v>
      </c>
      <c r="P1956" s="1" t="s">
        <v>3322</v>
      </c>
      <c r="Q1956" s="3">
        <v>0</v>
      </c>
      <c r="R1956" s="23" t="s">
        <v>6854</v>
      </c>
      <c r="S1956" s="23" t="s">
        <v>6845</v>
      </c>
      <c r="T1956" s="23" t="s">
        <v>4866</v>
      </c>
      <c r="U1956" s="3">
        <v>35</v>
      </c>
      <c r="W1956" s="45" t="str">
        <f>HYPERLINK("http://ictvonline.org/taxonomy/p/taxonomy-history?taxnode_id=201901247","ICTVonline=201901247")</f>
        <v>ICTVonline=201901247</v>
      </c>
      <c r="Y1956" s="1" t="s">
        <v>10354</v>
      </c>
      <c r="AA1956" s="1">
        <v>201900000</v>
      </c>
      <c r="AB1956" s="1">
        <v>35</v>
      </c>
    </row>
    <row r="1957" spans="1:28" x14ac:dyDescent="0.2">
      <c r="A1957" s="1">
        <v>5309</v>
      </c>
      <c r="B1957" s="1" t="s">
        <v>6850</v>
      </c>
      <c r="D1957" s="1" t="s">
        <v>6851</v>
      </c>
      <c r="F1957" s="1" t="s">
        <v>6914</v>
      </c>
      <c r="H1957" s="1" t="s">
        <v>6915</v>
      </c>
      <c r="J1957" s="1" t="s">
        <v>1324</v>
      </c>
      <c r="L1957" s="1" t="s">
        <v>895</v>
      </c>
      <c r="N1957" s="1" t="s">
        <v>6522</v>
      </c>
      <c r="P1957" s="1" t="s">
        <v>3323</v>
      </c>
      <c r="Q1957" s="3">
        <v>0</v>
      </c>
      <c r="R1957" s="23" t="s">
        <v>6854</v>
      </c>
      <c r="S1957" s="23" t="s">
        <v>6845</v>
      </c>
      <c r="T1957" s="23" t="s">
        <v>4866</v>
      </c>
      <c r="U1957" s="3">
        <v>35</v>
      </c>
      <c r="W1957" s="45" t="str">
        <f>HYPERLINK("http://ictvonline.org/taxonomy/p/taxonomy-history?taxnode_id=201901248","ICTVonline=201901248")</f>
        <v>ICTVonline=201901248</v>
      </c>
      <c r="Y1957" s="1" t="s">
        <v>10355</v>
      </c>
      <c r="AA1957" s="1">
        <v>201900000</v>
      </c>
      <c r="AB1957" s="1">
        <v>35</v>
      </c>
    </row>
    <row r="1958" spans="1:28" x14ac:dyDescent="0.2">
      <c r="A1958" s="1">
        <v>5311</v>
      </c>
      <c r="B1958" s="1" t="s">
        <v>6850</v>
      </c>
      <c r="D1958" s="1" t="s">
        <v>6851</v>
      </c>
      <c r="F1958" s="1" t="s">
        <v>6914</v>
      </c>
      <c r="H1958" s="1" t="s">
        <v>6915</v>
      </c>
      <c r="J1958" s="1" t="s">
        <v>1324</v>
      </c>
      <c r="L1958" s="1" t="s">
        <v>895</v>
      </c>
      <c r="N1958" s="1" t="s">
        <v>6522</v>
      </c>
      <c r="P1958" s="1" t="s">
        <v>3324</v>
      </c>
      <c r="Q1958" s="3">
        <v>1</v>
      </c>
      <c r="R1958" s="23" t="s">
        <v>6854</v>
      </c>
      <c r="S1958" s="23" t="s">
        <v>6845</v>
      </c>
      <c r="T1958" s="23" t="s">
        <v>4866</v>
      </c>
      <c r="U1958" s="3">
        <v>35</v>
      </c>
      <c r="W1958" s="45" t="str">
        <f>HYPERLINK("http://ictvonline.org/taxonomy/p/taxonomy-history?taxnode_id=201901249","ICTVonline=201901249")</f>
        <v>ICTVonline=201901249</v>
      </c>
      <c r="Y1958" s="1" t="s">
        <v>10356</v>
      </c>
      <c r="AA1958" s="1">
        <v>201900000</v>
      </c>
      <c r="AB1958" s="1">
        <v>35</v>
      </c>
    </row>
    <row r="1959" spans="1:28" x14ac:dyDescent="0.2">
      <c r="A1959" s="1">
        <v>5313</v>
      </c>
      <c r="B1959" s="1" t="s">
        <v>6850</v>
      </c>
      <c r="D1959" s="1" t="s">
        <v>6851</v>
      </c>
      <c r="F1959" s="1" t="s">
        <v>6914</v>
      </c>
      <c r="H1959" s="1" t="s">
        <v>6915</v>
      </c>
      <c r="J1959" s="1" t="s">
        <v>1324</v>
      </c>
      <c r="L1959" s="1" t="s">
        <v>895</v>
      </c>
      <c r="N1959" s="1" t="s">
        <v>6522</v>
      </c>
      <c r="P1959" s="1" t="s">
        <v>3325</v>
      </c>
      <c r="Q1959" s="3">
        <v>0</v>
      </c>
      <c r="R1959" s="23" t="s">
        <v>6854</v>
      </c>
      <c r="S1959" s="23" t="s">
        <v>6845</v>
      </c>
      <c r="T1959" s="23" t="s">
        <v>4866</v>
      </c>
      <c r="U1959" s="3">
        <v>35</v>
      </c>
      <c r="W1959" s="45" t="str">
        <f>HYPERLINK("http://ictvonline.org/taxonomy/p/taxonomy-history?taxnode_id=201901250","ICTVonline=201901250")</f>
        <v>ICTVonline=201901250</v>
      </c>
      <c r="Y1959" s="1" t="s">
        <v>10357</v>
      </c>
      <c r="AA1959" s="1">
        <v>201900000</v>
      </c>
      <c r="AB1959" s="1">
        <v>35</v>
      </c>
    </row>
    <row r="1960" spans="1:28" x14ac:dyDescent="0.2">
      <c r="A1960" s="1">
        <v>5315</v>
      </c>
      <c r="B1960" s="1" t="s">
        <v>6850</v>
      </c>
      <c r="D1960" s="1" t="s">
        <v>6851</v>
      </c>
      <c r="F1960" s="1" t="s">
        <v>6914</v>
      </c>
      <c r="H1960" s="1" t="s">
        <v>6915</v>
      </c>
      <c r="J1960" s="1" t="s">
        <v>1324</v>
      </c>
      <c r="L1960" s="1" t="s">
        <v>895</v>
      </c>
      <c r="N1960" s="1" t="s">
        <v>6522</v>
      </c>
      <c r="P1960" s="1" t="s">
        <v>3326</v>
      </c>
      <c r="Q1960" s="3">
        <v>0</v>
      </c>
      <c r="R1960" s="23" t="s">
        <v>6854</v>
      </c>
      <c r="S1960" s="23" t="s">
        <v>6845</v>
      </c>
      <c r="T1960" s="23" t="s">
        <v>4866</v>
      </c>
      <c r="U1960" s="3">
        <v>35</v>
      </c>
      <c r="W1960" s="45" t="str">
        <f>HYPERLINK("http://ictvonline.org/taxonomy/p/taxonomy-history?taxnode_id=201901251","ICTVonline=201901251")</f>
        <v>ICTVonline=201901251</v>
      </c>
      <c r="Y1960" s="1" t="s">
        <v>10358</v>
      </c>
      <c r="AA1960" s="1">
        <v>201900000</v>
      </c>
      <c r="AB1960" s="1">
        <v>35</v>
      </c>
    </row>
    <row r="1961" spans="1:28" x14ac:dyDescent="0.2">
      <c r="A1961" s="1">
        <v>5319</v>
      </c>
      <c r="B1961" s="1" t="s">
        <v>6850</v>
      </c>
      <c r="D1961" s="1" t="s">
        <v>6851</v>
      </c>
      <c r="F1961" s="1" t="s">
        <v>6914</v>
      </c>
      <c r="H1961" s="1" t="s">
        <v>6915</v>
      </c>
      <c r="J1961" s="1" t="s">
        <v>1324</v>
      </c>
      <c r="L1961" s="1" t="s">
        <v>895</v>
      </c>
      <c r="N1961" s="1" t="s">
        <v>10359</v>
      </c>
      <c r="P1961" s="1" t="s">
        <v>10360</v>
      </c>
      <c r="Q1961" s="3">
        <v>1</v>
      </c>
      <c r="R1961" s="23" t="s">
        <v>6854</v>
      </c>
      <c r="S1961" s="23" t="s">
        <v>6849</v>
      </c>
      <c r="T1961" s="23" t="s">
        <v>4864</v>
      </c>
      <c r="U1961" s="3">
        <v>35</v>
      </c>
      <c r="V1961" s="3" t="s">
        <v>10361</v>
      </c>
      <c r="W1961" s="45" t="str">
        <f>HYPERLINK("http://ictvonline.org/taxonomy/p/taxonomy-history?taxnode_id=201908027","ICTVonline=201908027")</f>
        <v>ICTVonline=201908027</v>
      </c>
      <c r="Y1961" s="1" t="s">
        <v>10362</v>
      </c>
      <c r="AA1961" s="1">
        <v>201900000</v>
      </c>
      <c r="AB1961" s="1">
        <v>35</v>
      </c>
    </row>
    <row r="1962" spans="1:28" x14ac:dyDescent="0.2">
      <c r="A1962" s="1">
        <v>5323</v>
      </c>
      <c r="B1962" s="1" t="s">
        <v>6850</v>
      </c>
      <c r="D1962" s="1" t="s">
        <v>6851</v>
      </c>
      <c r="F1962" s="1" t="s">
        <v>6914</v>
      </c>
      <c r="H1962" s="1" t="s">
        <v>6915</v>
      </c>
      <c r="J1962" s="1" t="s">
        <v>1324</v>
      </c>
      <c r="L1962" s="1" t="s">
        <v>895</v>
      </c>
      <c r="N1962" s="1" t="s">
        <v>6523</v>
      </c>
      <c r="P1962" s="1" t="s">
        <v>6524</v>
      </c>
      <c r="Q1962" s="3">
        <v>1</v>
      </c>
      <c r="R1962" s="23" t="s">
        <v>6854</v>
      </c>
      <c r="S1962" s="23" t="s">
        <v>6845</v>
      </c>
      <c r="T1962" s="23" t="s">
        <v>4866</v>
      </c>
      <c r="U1962" s="3">
        <v>35</v>
      </c>
      <c r="W1962" s="45" t="str">
        <f>HYPERLINK("http://ictvonline.org/taxonomy/p/taxonomy-history?taxnode_id=201906834","ICTVonline=201906834")</f>
        <v>ICTVonline=201906834</v>
      </c>
      <c r="Y1962" s="1" t="s">
        <v>10363</v>
      </c>
      <c r="Z1962" s="1" t="s">
        <v>10364</v>
      </c>
      <c r="AA1962" s="1">
        <v>201900000</v>
      </c>
      <c r="AB1962" s="1">
        <v>35</v>
      </c>
    </row>
    <row r="1963" spans="1:28" x14ac:dyDescent="0.2">
      <c r="A1963" s="1">
        <v>5327</v>
      </c>
      <c r="B1963" s="1" t="s">
        <v>6850</v>
      </c>
      <c r="D1963" s="1" t="s">
        <v>6851</v>
      </c>
      <c r="F1963" s="1" t="s">
        <v>6914</v>
      </c>
      <c r="H1963" s="1" t="s">
        <v>6915</v>
      </c>
      <c r="J1963" s="1" t="s">
        <v>1324</v>
      </c>
      <c r="L1963" s="1" t="s">
        <v>895</v>
      </c>
      <c r="N1963" s="1" t="s">
        <v>6525</v>
      </c>
      <c r="P1963" s="1" t="s">
        <v>5018</v>
      </c>
      <c r="Q1963" s="3">
        <v>1</v>
      </c>
      <c r="R1963" s="23" t="s">
        <v>6854</v>
      </c>
      <c r="S1963" s="23" t="s">
        <v>6845</v>
      </c>
      <c r="T1963" s="23" t="s">
        <v>4866</v>
      </c>
      <c r="U1963" s="3">
        <v>35</v>
      </c>
      <c r="W1963" s="45" t="str">
        <f>HYPERLINK("http://ictvonline.org/taxonomy/p/taxonomy-history?taxnode_id=201905563","ICTVonline=201905563")</f>
        <v>ICTVonline=201905563</v>
      </c>
      <c r="AA1963" s="1">
        <v>201900000</v>
      </c>
      <c r="AB1963" s="1">
        <v>35</v>
      </c>
    </row>
    <row r="1964" spans="1:28" x14ac:dyDescent="0.2">
      <c r="A1964" s="1">
        <v>5331</v>
      </c>
      <c r="B1964" s="1" t="s">
        <v>6850</v>
      </c>
      <c r="D1964" s="1" t="s">
        <v>6851</v>
      </c>
      <c r="F1964" s="1" t="s">
        <v>6914</v>
      </c>
      <c r="H1964" s="1" t="s">
        <v>6915</v>
      </c>
      <c r="J1964" s="1" t="s">
        <v>1324</v>
      </c>
      <c r="L1964" s="1" t="s">
        <v>895</v>
      </c>
      <c r="N1964" s="1" t="s">
        <v>6526</v>
      </c>
      <c r="P1964" s="1" t="s">
        <v>6527</v>
      </c>
      <c r="Q1964" s="3">
        <v>1</v>
      </c>
      <c r="R1964" s="23" t="s">
        <v>6854</v>
      </c>
      <c r="S1964" s="23" t="s">
        <v>6845</v>
      </c>
      <c r="T1964" s="23" t="s">
        <v>4866</v>
      </c>
      <c r="U1964" s="3">
        <v>35</v>
      </c>
      <c r="W1964" s="45" t="str">
        <f>HYPERLINK("http://ictvonline.org/taxonomy/p/taxonomy-history?taxnode_id=201906754","ICTVonline=201906754")</f>
        <v>ICTVonline=201906754</v>
      </c>
      <c r="Y1964" s="1" t="s">
        <v>10365</v>
      </c>
      <c r="Z1964" s="1" t="s">
        <v>10366</v>
      </c>
      <c r="AA1964" s="1">
        <v>201900000</v>
      </c>
      <c r="AB1964" s="1">
        <v>35</v>
      </c>
    </row>
    <row r="1965" spans="1:28" x14ac:dyDescent="0.2">
      <c r="A1965" s="1">
        <v>5335</v>
      </c>
      <c r="B1965" s="1" t="s">
        <v>6850</v>
      </c>
      <c r="D1965" s="1" t="s">
        <v>6851</v>
      </c>
      <c r="F1965" s="1" t="s">
        <v>6914</v>
      </c>
      <c r="H1965" s="1" t="s">
        <v>6915</v>
      </c>
      <c r="J1965" s="1" t="s">
        <v>1324</v>
      </c>
      <c r="L1965" s="1" t="s">
        <v>895</v>
      </c>
      <c r="N1965" s="1" t="s">
        <v>10367</v>
      </c>
      <c r="P1965" s="1" t="s">
        <v>10368</v>
      </c>
      <c r="Q1965" s="3">
        <v>1</v>
      </c>
      <c r="R1965" s="23" t="s">
        <v>6854</v>
      </c>
      <c r="S1965" s="23" t="s">
        <v>6849</v>
      </c>
      <c r="T1965" s="23" t="s">
        <v>4864</v>
      </c>
      <c r="U1965" s="3">
        <v>35</v>
      </c>
      <c r="V1965" s="3" t="s">
        <v>10369</v>
      </c>
      <c r="W1965" s="45" t="str">
        <f>HYPERLINK("http://ictvonline.org/taxonomy/p/taxonomy-history?taxnode_id=201908031","ICTVonline=201908031")</f>
        <v>ICTVonline=201908031</v>
      </c>
      <c r="Y1965" s="1" t="s">
        <v>10370</v>
      </c>
      <c r="AA1965" s="1">
        <v>201900000</v>
      </c>
      <c r="AB1965" s="1">
        <v>35</v>
      </c>
    </row>
    <row r="1966" spans="1:28" x14ac:dyDescent="0.2">
      <c r="A1966" s="1">
        <v>5339</v>
      </c>
      <c r="B1966" s="1" t="s">
        <v>6850</v>
      </c>
      <c r="D1966" s="1" t="s">
        <v>6851</v>
      </c>
      <c r="F1966" s="1" t="s">
        <v>6914</v>
      </c>
      <c r="H1966" s="1" t="s">
        <v>6915</v>
      </c>
      <c r="J1966" s="1" t="s">
        <v>1324</v>
      </c>
      <c r="L1966" s="1" t="s">
        <v>895</v>
      </c>
      <c r="N1966" s="1" t="s">
        <v>10371</v>
      </c>
      <c r="P1966" s="1" t="s">
        <v>10372</v>
      </c>
      <c r="Q1966" s="3">
        <v>1</v>
      </c>
      <c r="R1966" s="23" t="s">
        <v>6854</v>
      </c>
      <c r="S1966" s="23" t="s">
        <v>6849</v>
      </c>
      <c r="T1966" s="23" t="s">
        <v>4864</v>
      </c>
      <c r="U1966" s="3">
        <v>35</v>
      </c>
      <c r="V1966" s="3" t="s">
        <v>10373</v>
      </c>
      <c r="W1966" s="45" t="str">
        <f>HYPERLINK("http://ictvonline.org/taxonomy/p/taxonomy-history?taxnode_id=201907665","ICTVonline=201907665")</f>
        <v>ICTVonline=201907665</v>
      </c>
      <c r="Y1966" s="1" t="s">
        <v>10374</v>
      </c>
      <c r="AA1966" s="1">
        <v>201900000</v>
      </c>
      <c r="AB1966" s="1">
        <v>35</v>
      </c>
    </row>
    <row r="1967" spans="1:28" x14ac:dyDescent="0.2">
      <c r="A1967" s="1">
        <v>5343</v>
      </c>
      <c r="B1967" s="1" t="s">
        <v>6850</v>
      </c>
      <c r="D1967" s="1" t="s">
        <v>6851</v>
      </c>
      <c r="F1967" s="1" t="s">
        <v>6914</v>
      </c>
      <c r="H1967" s="1" t="s">
        <v>6915</v>
      </c>
      <c r="J1967" s="1" t="s">
        <v>1324</v>
      </c>
      <c r="L1967" s="1" t="s">
        <v>895</v>
      </c>
      <c r="N1967" s="1" t="s">
        <v>6528</v>
      </c>
      <c r="P1967" s="1" t="s">
        <v>3328</v>
      </c>
      <c r="Q1967" s="3">
        <v>1</v>
      </c>
      <c r="R1967" s="23" t="s">
        <v>6854</v>
      </c>
      <c r="S1967" s="23" t="s">
        <v>6845</v>
      </c>
      <c r="T1967" s="23" t="s">
        <v>4866</v>
      </c>
      <c r="U1967" s="3">
        <v>35</v>
      </c>
      <c r="W1967" s="45" t="str">
        <f>HYPERLINK("http://ictvonline.org/taxonomy/p/taxonomy-history?taxnode_id=201901257","ICTVonline=201901257")</f>
        <v>ICTVonline=201901257</v>
      </c>
      <c r="Y1967" s="1" t="s">
        <v>10375</v>
      </c>
      <c r="Z1967" s="1" t="s">
        <v>10376</v>
      </c>
      <c r="AA1967" s="1">
        <v>201900000</v>
      </c>
      <c r="AB1967" s="1">
        <v>35</v>
      </c>
    </row>
    <row r="1968" spans="1:28" x14ac:dyDescent="0.2">
      <c r="A1968" s="1">
        <v>5345</v>
      </c>
      <c r="B1968" s="1" t="s">
        <v>6850</v>
      </c>
      <c r="D1968" s="1" t="s">
        <v>6851</v>
      </c>
      <c r="F1968" s="1" t="s">
        <v>6914</v>
      </c>
      <c r="H1968" s="1" t="s">
        <v>6915</v>
      </c>
      <c r="J1968" s="1" t="s">
        <v>1324</v>
      </c>
      <c r="L1968" s="1" t="s">
        <v>895</v>
      </c>
      <c r="N1968" s="1" t="s">
        <v>6528</v>
      </c>
      <c r="P1968" s="1" t="s">
        <v>3329</v>
      </c>
      <c r="Q1968" s="3">
        <v>0</v>
      </c>
      <c r="R1968" s="23" t="s">
        <v>6854</v>
      </c>
      <c r="S1968" s="23" t="s">
        <v>6845</v>
      </c>
      <c r="T1968" s="23" t="s">
        <v>4866</v>
      </c>
      <c r="U1968" s="3">
        <v>35</v>
      </c>
      <c r="W1968" s="45" t="str">
        <f>HYPERLINK("http://ictvonline.org/taxonomy/p/taxonomy-history?taxnode_id=201901258","ICTVonline=201901258")</f>
        <v>ICTVonline=201901258</v>
      </c>
      <c r="Y1968" s="1" t="s">
        <v>10377</v>
      </c>
      <c r="Z1968" s="1" t="s">
        <v>10378</v>
      </c>
      <c r="AA1968" s="1">
        <v>201900000</v>
      </c>
      <c r="AB1968" s="1">
        <v>35</v>
      </c>
    </row>
    <row r="1969" spans="1:28" x14ac:dyDescent="0.2">
      <c r="A1969" s="1">
        <v>5347</v>
      </c>
      <c r="B1969" s="1" t="s">
        <v>6850</v>
      </c>
      <c r="D1969" s="1" t="s">
        <v>6851</v>
      </c>
      <c r="F1969" s="1" t="s">
        <v>6914</v>
      </c>
      <c r="H1969" s="1" t="s">
        <v>6915</v>
      </c>
      <c r="J1969" s="1" t="s">
        <v>1324</v>
      </c>
      <c r="L1969" s="1" t="s">
        <v>895</v>
      </c>
      <c r="N1969" s="1" t="s">
        <v>6528</v>
      </c>
      <c r="P1969" s="1" t="s">
        <v>3330</v>
      </c>
      <c r="Q1969" s="3">
        <v>0</v>
      </c>
      <c r="R1969" s="23" t="s">
        <v>6854</v>
      </c>
      <c r="S1969" s="23" t="s">
        <v>6845</v>
      </c>
      <c r="T1969" s="23" t="s">
        <v>4866</v>
      </c>
      <c r="U1969" s="3">
        <v>35</v>
      </c>
      <c r="W1969" s="45" t="str">
        <f>HYPERLINK("http://ictvonline.org/taxonomy/p/taxonomy-history?taxnode_id=201901259","ICTVonline=201901259")</f>
        <v>ICTVonline=201901259</v>
      </c>
      <c r="Y1969" s="1" t="s">
        <v>10379</v>
      </c>
      <c r="Z1969" s="1" t="s">
        <v>10380</v>
      </c>
      <c r="AA1969" s="1">
        <v>201900000</v>
      </c>
      <c r="AB1969" s="1">
        <v>35</v>
      </c>
    </row>
    <row r="1970" spans="1:28" x14ac:dyDescent="0.2">
      <c r="A1970" s="1">
        <v>5351</v>
      </c>
      <c r="B1970" s="1" t="s">
        <v>6850</v>
      </c>
      <c r="D1970" s="1" t="s">
        <v>6851</v>
      </c>
      <c r="F1970" s="1" t="s">
        <v>6914</v>
      </c>
      <c r="H1970" s="1" t="s">
        <v>6915</v>
      </c>
      <c r="J1970" s="1" t="s">
        <v>1324</v>
      </c>
      <c r="L1970" s="1" t="s">
        <v>895</v>
      </c>
      <c r="N1970" s="1" t="s">
        <v>3331</v>
      </c>
      <c r="P1970" s="1" t="s">
        <v>3332</v>
      </c>
      <c r="Q1970" s="3">
        <v>0</v>
      </c>
      <c r="R1970" s="23" t="s">
        <v>6854</v>
      </c>
      <c r="S1970" s="23" t="s">
        <v>6845</v>
      </c>
      <c r="T1970" s="23" t="s">
        <v>4866</v>
      </c>
      <c r="U1970" s="3">
        <v>35</v>
      </c>
      <c r="W1970" s="45" t="str">
        <f>HYPERLINK("http://ictvonline.org/taxonomy/p/taxonomy-history?taxnode_id=201901261","ICTVonline=201901261")</f>
        <v>ICTVonline=201901261</v>
      </c>
      <c r="Y1970" s="1" t="s">
        <v>10381</v>
      </c>
      <c r="Z1970" s="1" t="s">
        <v>10382</v>
      </c>
      <c r="AA1970" s="1">
        <v>201900000</v>
      </c>
      <c r="AB1970" s="1">
        <v>35</v>
      </c>
    </row>
    <row r="1971" spans="1:28" x14ac:dyDescent="0.2">
      <c r="A1971" s="1">
        <v>5353</v>
      </c>
      <c r="B1971" s="1" t="s">
        <v>6850</v>
      </c>
      <c r="D1971" s="1" t="s">
        <v>6851</v>
      </c>
      <c r="F1971" s="1" t="s">
        <v>6914</v>
      </c>
      <c r="H1971" s="1" t="s">
        <v>6915</v>
      </c>
      <c r="J1971" s="1" t="s">
        <v>1324</v>
      </c>
      <c r="L1971" s="1" t="s">
        <v>895</v>
      </c>
      <c r="N1971" s="1" t="s">
        <v>3331</v>
      </c>
      <c r="P1971" s="1" t="s">
        <v>3333</v>
      </c>
      <c r="Q1971" s="3">
        <v>1</v>
      </c>
      <c r="R1971" s="23" t="s">
        <v>6854</v>
      </c>
      <c r="S1971" s="23" t="s">
        <v>6845</v>
      </c>
      <c r="T1971" s="23" t="s">
        <v>4866</v>
      </c>
      <c r="U1971" s="3">
        <v>35</v>
      </c>
      <c r="W1971" s="45" t="str">
        <f>HYPERLINK("http://ictvonline.org/taxonomy/p/taxonomy-history?taxnode_id=201901262","ICTVonline=201901262")</f>
        <v>ICTVonline=201901262</v>
      </c>
      <c r="Y1971" s="1" t="s">
        <v>10383</v>
      </c>
      <c r="Z1971" s="1" t="s">
        <v>10384</v>
      </c>
      <c r="AA1971" s="1">
        <v>201900000</v>
      </c>
      <c r="AB1971" s="1">
        <v>35</v>
      </c>
    </row>
    <row r="1972" spans="1:28" x14ac:dyDescent="0.2">
      <c r="A1972" s="1">
        <v>5357</v>
      </c>
      <c r="B1972" s="1" t="s">
        <v>6850</v>
      </c>
      <c r="D1972" s="1" t="s">
        <v>6851</v>
      </c>
      <c r="F1972" s="1" t="s">
        <v>6914</v>
      </c>
      <c r="H1972" s="1" t="s">
        <v>6915</v>
      </c>
      <c r="J1972" s="1" t="s">
        <v>1324</v>
      </c>
      <c r="L1972" s="1" t="s">
        <v>895</v>
      </c>
      <c r="N1972" s="1" t="s">
        <v>10385</v>
      </c>
      <c r="P1972" s="1" t="s">
        <v>10386</v>
      </c>
      <c r="Q1972" s="3">
        <v>1</v>
      </c>
      <c r="R1972" s="23" t="s">
        <v>6854</v>
      </c>
      <c r="S1972" s="23" t="s">
        <v>6849</v>
      </c>
      <c r="T1972" s="23" t="s">
        <v>4864</v>
      </c>
      <c r="U1972" s="3">
        <v>35</v>
      </c>
      <c r="V1972" s="3" t="s">
        <v>10387</v>
      </c>
      <c r="W1972" s="45" t="str">
        <f>HYPERLINK("http://ictvonline.org/taxonomy/p/taxonomy-history?taxnode_id=201908035","ICTVonline=201908035")</f>
        <v>ICTVonline=201908035</v>
      </c>
      <c r="Y1972" s="1" t="s">
        <v>10388</v>
      </c>
      <c r="AA1972" s="1">
        <v>201900000</v>
      </c>
      <c r="AB1972" s="1">
        <v>35</v>
      </c>
    </row>
    <row r="1973" spans="1:28" x14ac:dyDescent="0.2">
      <c r="A1973" s="1">
        <v>5361</v>
      </c>
      <c r="B1973" s="1" t="s">
        <v>6850</v>
      </c>
      <c r="D1973" s="1" t="s">
        <v>6851</v>
      </c>
      <c r="F1973" s="1" t="s">
        <v>6914</v>
      </c>
      <c r="H1973" s="1" t="s">
        <v>6915</v>
      </c>
      <c r="J1973" s="1" t="s">
        <v>1324</v>
      </c>
      <c r="L1973" s="1" t="s">
        <v>895</v>
      </c>
      <c r="N1973" s="1" t="s">
        <v>3334</v>
      </c>
      <c r="P1973" s="1" t="s">
        <v>3335</v>
      </c>
      <c r="Q1973" s="3">
        <v>0</v>
      </c>
      <c r="R1973" s="23" t="s">
        <v>6854</v>
      </c>
      <c r="S1973" s="23" t="s">
        <v>6845</v>
      </c>
      <c r="T1973" s="23" t="s">
        <v>4866</v>
      </c>
      <c r="U1973" s="3">
        <v>35</v>
      </c>
      <c r="W1973" s="45" t="str">
        <f>HYPERLINK("http://ictvonline.org/taxonomy/p/taxonomy-history?taxnode_id=201901264","ICTVonline=201901264")</f>
        <v>ICTVonline=201901264</v>
      </c>
      <c r="Y1973" s="1" t="s">
        <v>10389</v>
      </c>
      <c r="Z1973" s="1" t="s">
        <v>10390</v>
      </c>
      <c r="AA1973" s="1">
        <v>201900000</v>
      </c>
      <c r="AB1973" s="1">
        <v>35</v>
      </c>
    </row>
    <row r="1974" spans="1:28" x14ac:dyDescent="0.2">
      <c r="A1974" s="1">
        <v>5363</v>
      </c>
      <c r="B1974" s="1" t="s">
        <v>6850</v>
      </c>
      <c r="D1974" s="1" t="s">
        <v>6851</v>
      </c>
      <c r="F1974" s="1" t="s">
        <v>6914</v>
      </c>
      <c r="H1974" s="1" t="s">
        <v>6915</v>
      </c>
      <c r="J1974" s="1" t="s">
        <v>1324</v>
      </c>
      <c r="L1974" s="1" t="s">
        <v>895</v>
      </c>
      <c r="N1974" s="1" t="s">
        <v>3334</v>
      </c>
      <c r="P1974" s="1" t="s">
        <v>3336</v>
      </c>
      <c r="Q1974" s="3">
        <v>1</v>
      </c>
      <c r="R1974" s="23" t="s">
        <v>6854</v>
      </c>
      <c r="S1974" s="23" t="s">
        <v>6845</v>
      </c>
      <c r="T1974" s="23" t="s">
        <v>4866</v>
      </c>
      <c r="U1974" s="3">
        <v>35</v>
      </c>
      <c r="W1974" s="45" t="str">
        <f>HYPERLINK("http://ictvonline.org/taxonomy/p/taxonomy-history?taxnode_id=201901265","ICTVonline=201901265")</f>
        <v>ICTVonline=201901265</v>
      </c>
      <c r="Y1974" s="1" t="s">
        <v>10391</v>
      </c>
      <c r="Z1974" s="1" t="s">
        <v>10392</v>
      </c>
      <c r="AA1974" s="1">
        <v>201900000</v>
      </c>
      <c r="AB1974" s="1">
        <v>35</v>
      </c>
    </row>
    <row r="1975" spans="1:28" x14ac:dyDescent="0.2">
      <c r="A1975" s="1">
        <v>5367</v>
      </c>
      <c r="B1975" s="1" t="s">
        <v>6850</v>
      </c>
      <c r="D1975" s="1" t="s">
        <v>6851</v>
      </c>
      <c r="F1975" s="1" t="s">
        <v>6914</v>
      </c>
      <c r="H1975" s="1" t="s">
        <v>6915</v>
      </c>
      <c r="J1975" s="1" t="s">
        <v>1324</v>
      </c>
      <c r="L1975" s="1" t="s">
        <v>895</v>
      </c>
      <c r="N1975" s="1" t="s">
        <v>3347</v>
      </c>
      <c r="P1975" s="1" t="s">
        <v>3348</v>
      </c>
      <c r="Q1975" s="3">
        <v>1</v>
      </c>
      <c r="R1975" s="23" t="s">
        <v>6854</v>
      </c>
      <c r="S1975" s="23" t="s">
        <v>6845</v>
      </c>
      <c r="T1975" s="23" t="s">
        <v>4866</v>
      </c>
      <c r="U1975" s="3">
        <v>35</v>
      </c>
      <c r="W1975" s="45" t="str">
        <f>HYPERLINK("http://ictvonline.org/taxonomy/p/taxonomy-history?taxnode_id=201901279","ICTVonline=201901279")</f>
        <v>ICTVonline=201901279</v>
      </c>
      <c r="Y1975" s="1" t="s">
        <v>10393</v>
      </c>
      <c r="Z1975" s="1" t="s">
        <v>10394</v>
      </c>
      <c r="AA1975" s="1">
        <v>201900000</v>
      </c>
      <c r="AB1975" s="1">
        <v>35</v>
      </c>
    </row>
    <row r="1976" spans="1:28" x14ac:dyDescent="0.2">
      <c r="A1976" s="1">
        <v>5369</v>
      </c>
      <c r="B1976" s="1" t="s">
        <v>6850</v>
      </c>
      <c r="D1976" s="1" t="s">
        <v>6851</v>
      </c>
      <c r="F1976" s="1" t="s">
        <v>6914</v>
      </c>
      <c r="H1976" s="1" t="s">
        <v>6915</v>
      </c>
      <c r="J1976" s="1" t="s">
        <v>1324</v>
      </c>
      <c r="L1976" s="1" t="s">
        <v>895</v>
      </c>
      <c r="N1976" s="1" t="s">
        <v>3347</v>
      </c>
      <c r="P1976" s="1" t="s">
        <v>3349</v>
      </c>
      <c r="Q1976" s="3">
        <v>0</v>
      </c>
      <c r="R1976" s="23" t="s">
        <v>6854</v>
      </c>
      <c r="S1976" s="23" t="s">
        <v>6845</v>
      </c>
      <c r="T1976" s="23" t="s">
        <v>4866</v>
      </c>
      <c r="U1976" s="3">
        <v>35</v>
      </c>
      <c r="W1976" s="45" t="str">
        <f>HYPERLINK("http://ictvonline.org/taxonomy/p/taxonomy-history?taxnode_id=201901280","ICTVonline=201901280")</f>
        <v>ICTVonline=201901280</v>
      </c>
      <c r="Y1976" s="1" t="s">
        <v>10395</v>
      </c>
      <c r="Z1976" s="1" t="s">
        <v>10396</v>
      </c>
      <c r="AA1976" s="1">
        <v>201900000</v>
      </c>
      <c r="AB1976" s="1">
        <v>35</v>
      </c>
    </row>
    <row r="1977" spans="1:28" x14ac:dyDescent="0.2">
      <c r="A1977" s="1">
        <v>5371</v>
      </c>
      <c r="B1977" s="1" t="s">
        <v>6850</v>
      </c>
      <c r="D1977" s="1" t="s">
        <v>6851</v>
      </c>
      <c r="F1977" s="1" t="s">
        <v>6914</v>
      </c>
      <c r="H1977" s="1" t="s">
        <v>6915</v>
      </c>
      <c r="J1977" s="1" t="s">
        <v>1324</v>
      </c>
      <c r="L1977" s="1" t="s">
        <v>895</v>
      </c>
      <c r="N1977" s="1" t="s">
        <v>3347</v>
      </c>
      <c r="P1977" s="1" t="s">
        <v>3350</v>
      </c>
      <c r="Q1977" s="3">
        <v>0</v>
      </c>
      <c r="R1977" s="23" t="s">
        <v>6854</v>
      </c>
      <c r="S1977" s="23" t="s">
        <v>6845</v>
      </c>
      <c r="T1977" s="23" t="s">
        <v>4866</v>
      </c>
      <c r="U1977" s="3">
        <v>35</v>
      </c>
      <c r="W1977" s="45" t="str">
        <f>HYPERLINK("http://ictvonline.org/taxonomy/p/taxonomy-history?taxnode_id=201901281","ICTVonline=201901281")</f>
        <v>ICTVonline=201901281</v>
      </c>
      <c r="Y1977" s="1" t="s">
        <v>10397</v>
      </c>
      <c r="Z1977" s="1" t="s">
        <v>10398</v>
      </c>
      <c r="AA1977" s="1">
        <v>201900000</v>
      </c>
      <c r="AB1977" s="1">
        <v>35</v>
      </c>
    </row>
    <row r="1978" spans="1:28" x14ac:dyDescent="0.2">
      <c r="A1978" s="1">
        <v>5373</v>
      </c>
      <c r="B1978" s="1" t="s">
        <v>6850</v>
      </c>
      <c r="D1978" s="1" t="s">
        <v>6851</v>
      </c>
      <c r="F1978" s="1" t="s">
        <v>6914</v>
      </c>
      <c r="H1978" s="1" t="s">
        <v>6915</v>
      </c>
      <c r="J1978" s="1" t="s">
        <v>1324</v>
      </c>
      <c r="L1978" s="1" t="s">
        <v>895</v>
      </c>
      <c r="N1978" s="1" t="s">
        <v>3347</v>
      </c>
      <c r="P1978" s="1" t="s">
        <v>3351</v>
      </c>
      <c r="Q1978" s="3">
        <v>0</v>
      </c>
      <c r="R1978" s="23" t="s">
        <v>6854</v>
      </c>
      <c r="S1978" s="23" t="s">
        <v>6845</v>
      </c>
      <c r="T1978" s="23" t="s">
        <v>4866</v>
      </c>
      <c r="U1978" s="3">
        <v>35</v>
      </c>
      <c r="W1978" s="45" t="str">
        <f>HYPERLINK("http://ictvonline.org/taxonomy/p/taxonomy-history?taxnode_id=201901282","ICTVonline=201901282")</f>
        <v>ICTVonline=201901282</v>
      </c>
      <c r="Y1978" s="1" t="s">
        <v>10399</v>
      </c>
      <c r="Z1978" s="1" t="s">
        <v>10400</v>
      </c>
      <c r="AA1978" s="1">
        <v>201900000</v>
      </c>
      <c r="AB1978" s="1">
        <v>35</v>
      </c>
    </row>
    <row r="1979" spans="1:28" x14ac:dyDescent="0.2">
      <c r="A1979" s="1">
        <v>5375</v>
      </c>
      <c r="B1979" s="1" t="s">
        <v>6850</v>
      </c>
      <c r="D1979" s="1" t="s">
        <v>6851</v>
      </c>
      <c r="F1979" s="1" t="s">
        <v>6914</v>
      </c>
      <c r="H1979" s="1" t="s">
        <v>6915</v>
      </c>
      <c r="J1979" s="1" t="s">
        <v>1324</v>
      </c>
      <c r="L1979" s="1" t="s">
        <v>895</v>
      </c>
      <c r="N1979" s="1" t="s">
        <v>3347</v>
      </c>
      <c r="P1979" s="1" t="s">
        <v>3352</v>
      </c>
      <c r="Q1979" s="3">
        <v>0</v>
      </c>
      <c r="R1979" s="23" t="s">
        <v>6854</v>
      </c>
      <c r="S1979" s="23" t="s">
        <v>6845</v>
      </c>
      <c r="T1979" s="23" t="s">
        <v>4866</v>
      </c>
      <c r="U1979" s="3">
        <v>35</v>
      </c>
      <c r="W1979" s="45" t="str">
        <f>HYPERLINK("http://ictvonline.org/taxonomy/p/taxonomy-history?taxnode_id=201901283","ICTVonline=201901283")</f>
        <v>ICTVonline=201901283</v>
      </c>
      <c r="Y1979" s="1" t="s">
        <v>10401</v>
      </c>
      <c r="Z1979" s="1" t="s">
        <v>10402</v>
      </c>
      <c r="AA1979" s="1">
        <v>201900000</v>
      </c>
      <c r="AB1979" s="1">
        <v>35</v>
      </c>
    </row>
    <row r="1980" spans="1:28" x14ac:dyDescent="0.2">
      <c r="A1980" s="1">
        <v>5377</v>
      </c>
      <c r="B1980" s="1" t="s">
        <v>6850</v>
      </c>
      <c r="D1980" s="1" t="s">
        <v>6851</v>
      </c>
      <c r="F1980" s="1" t="s">
        <v>6914</v>
      </c>
      <c r="H1980" s="1" t="s">
        <v>6915</v>
      </c>
      <c r="J1980" s="1" t="s">
        <v>1324</v>
      </c>
      <c r="L1980" s="1" t="s">
        <v>895</v>
      </c>
      <c r="N1980" s="1" t="s">
        <v>3347</v>
      </c>
      <c r="P1980" s="1" t="s">
        <v>4424</v>
      </c>
      <c r="Q1980" s="3">
        <v>0</v>
      </c>
      <c r="R1980" s="23" t="s">
        <v>6854</v>
      </c>
      <c r="S1980" s="23" t="s">
        <v>6845</v>
      </c>
      <c r="T1980" s="23" t="s">
        <v>4866</v>
      </c>
      <c r="U1980" s="3">
        <v>35</v>
      </c>
      <c r="W1980" s="45" t="str">
        <f>HYPERLINK("http://ictvonline.org/taxonomy/p/taxonomy-history?taxnode_id=201901284","ICTVonline=201901284")</f>
        <v>ICTVonline=201901284</v>
      </c>
      <c r="Y1980" s="1" t="s">
        <v>10403</v>
      </c>
      <c r="Z1980" s="1" t="s">
        <v>10404</v>
      </c>
      <c r="AA1980" s="1">
        <v>201900000</v>
      </c>
      <c r="AB1980" s="1">
        <v>35</v>
      </c>
    </row>
    <row r="1981" spans="1:28" x14ac:dyDescent="0.2">
      <c r="A1981" s="1">
        <v>5381</v>
      </c>
      <c r="B1981" s="1" t="s">
        <v>6850</v>
      </c>
      <c r="D1981" s="1" t="s">
        <v>6851</v>
      </c>
      <c r="F1981" s="1" t="s">
        <v>6914</v>
      </c>
      <c r="H1981" s="1" t="s">
        <v>6915</v>
      </c>
      <c r="J1981" s="1" t="s">
        <v>1324</v>
      </c>
      <c r="L1981" s="1" t="s">
        <v>895</v>
      </c>
      <c r="N1981" s="1" t="s">
        <v>6529</v>
      </c>
      <c r="P1981" s="1" t="s">
        <v>3353</v>
      </c>
      <c r="Q1981" s="3">
        <v>0</v>
      </c>
      <c r="R1981" s="23" t="s">
        <v>6854</v>
      </c>
      <c r="S1981" s="23" t="s">
        <v>6845</v>
      </c>
      <c r="T1981" s="23" t="s">
        <v>4866</v>
      </c>
      <c r="U1981" s="3">
        <v>35</v>
      </c>
      <c r="W1981" s="45" t="str">
        <f>HYPERLINK("http://ictvonline.org/taxonomy/p/taxonomy-history?taxnode_id=201901286","ICTVonline=201901286")</f>
        <v>ICTVonline=201901286</v>
      </c>
      <c r="Y1981" s="1" t="s">
        <v>10405</v>
      </c>
      <c r="AA1981" s="1">
        <v>201900000</v>
      </c>
      <c r="AB1981" s="1">
        <v>35</v>
      </c>
    </row>
    <row r="1982" spans="1:28" x14ac:dyDescent="0.2">
      <c r="A1982" s="1">
        <v>5383</v>
      </c>
      <c r="B1982" s="1" t="s">
        <v>6850</v>
      </c>
      <c r="D1982" s="1" t="s">
        <v>6851</v>
      </c>
      <c r="F1982" s="1" t="s">
        <v>6914</v>
      </c>
      <c r="H1982" s="1" t="s">
        <v>6915</v>
      </c>
      <c r="J1982" s="1" t="s">
        <v>1324</v>
      </c>
      <c r="L1982" s="1" t="s">
        <v>895</v>
      </c>
      <c r="N1982" s="1" t="s">
        <v>6529</v>
      </c>
      <c r="P1982" s="1" t="s">
        <v>3354</v>
      </c>
      <c r="Q1982" s="3">
        <v>0</v>
      </c>
      <c r="R1982" s="23" t="s">
        <v>6854</v>
      </c>
      <c r="S1982" s="23" t="s">
        <v>6845</v>
      </c>
      <c r="T1982" s="23" t="s">
        <v>4866</v>
      </c>
      <c r="U1982" s="3">
        <v>35</v>
      </c>
      <c r="W1982" s="45" t="str">
        <f>HYPERLINK("http://ictvonline.org/taxonomy/p/taxonomy-history?taxnode_id=201901287","ICTVonline=201901287")</f>
        <v>ICTVonline=201901287</v>
      </c>
      <c r="Y1982" s="1" t="s">
        <v>10406</v>
      </c>
      <c r="AA1982" s="1">
        <v>201900000</v>
      </c>
      <c r="AB1982" s="1">
        <v>35</v>
      </c>
    </row>
    <row r="1983" spans="1:28" x14ac:dyDescent="0.2">
      <c r="A1983" s="1">
        <v>5385</v>
      </c>
      <c r="B1983" s="1" t="s">
        <v>6850</v>
      </c>
      <c r="D1983" s="1" t="s">
        <v>6851</v>
      </c>
      <c r="F1983" s="1" t="s">
        <v>6914</v>
      </c>
      <c r="H1983" s="1" t="s">
        <v>6915</v>
      </c>
      <c r="J1983" s="1" t="s">
        <v>1324</v>
      </c>
      <c r="L1983" s="1" t="s">
        <v>895</v>
      </c>
      <c r="N1983" s="1" t="s">
        <v>6529</v>
      </c>
      <c r="P1983" s="1" t="s">
        <v>3355</v>
      </c>
      <c r="Q1983" s="3">
        <v>0</v>
      </c>
      <c r="R1983" s="23" t="s">
        <v>6854</v>
      </c>
      <c r="S1983" s="23" t="s">
        <v>6845</v>
      </c>
      <c r="T1983" s="23" t="s">
        <v>4866</v>
      </c>
      <c r="U1983" s="3">
        <v>35</v>
      </c>
      <c r="W1983" s="45" t="str">
        <f>HYPERLINK("http://ictvonline.org/taxonomy/p/taxonomy-history?taxnode_id=201901288","ICTVonline=201901288")</f>
        <v>ICTVonline=201901288</v>
      </c>
      <c r="Y1983" s="1" t="s">
        <v>10407</v>
      </c>
      <c r="AA1983" s="1">
        <v>201900000</v>
      </c>
      <c r="AB1983" s="1">
        <v>35</v>
      </c>
    </row>
    <row r="1984" spans="1:28" x14ac:dyDescent="0.2">
      <c r="A1984" s="1">
        <v>5387</v>
      </c>
      <c r="B1984" s="1" t="s">
        <v>6850</v>
      </c>
      <c r="D1984" s="1" t="s">
        <v>6851</v>
      </c>
      <c r="F1984" s="1" t="s">
        <v>6914</v>
      </c>
      <c r="H1984" s="1" t="s">
        <v>6915</v>
      </c>
      <c r="J1984" s="1" t="s">
        <v>1324</v>
      </c>
      <c r="L1984" s="1" t="s">
        <v>895</v>
      </c>
      <c r="N1984" s="1" t="s">
        <v>6529</v>
      </c>
      <c r="P1984" s="1" t="s">
        <v>3356</v>
      </c>
      <c r="Q1984" s="3">
        <v>0</v>
      </c>
      <c r="R1984" s="23" t="s">
        <v>6854</v>
      </c>
      <c r="S1984" s="23" t="s">
        <v>6845</v>
      </c>
      <c r="T1984" s="23" t="s">
        <v>4866</v>
      </c>
      <c r="U1984" s="3">
        <v>35</v>
      </c>
      <c r="W1984" s="45" t="str">
        <f>HYPERLINK("http://ictvonline.org/taxonomy/p/taxonomy-history?taxnode_id=201901289","ICTVonline=201901289")</f>
        <v>ICTVonline=201901289</v>
      </c>
      <c r="Y1984" s="1" t="s">
        <v>10408</v>
      </c>
      <c r="AA1984" s="1">
        <v>201900000</v>
      </c>
      <c r="AB1984" s="1">
        <v>35</v>
      </c>
    </row>
    <row r="1985" spans="1:28" x14ac:dyDescent="0.2">
      <c r="A1985" s="1">
        <v>5389</v>
      </c>
      <c r="B1985" s="1" t="s">
        <v>6850</v>
      </c>
      <c r="D1985" s="1" t="s">
        <v>6851</v>
      </c>
      <c r="F1985" s="1" t="s">
        <v>6914</v>
      </c>
      <c r="H1985" s="1" t="s">
        <v>6915</v>
      </c>
      <c r="J1985" s="1" t="s">
        <v>1324</v>
      </c>
      <c r="L1985" s="1" t="s">
        <v>895</v>
      </c>
      <c r="N1985" s="1" t="s">
        <v>6529</v>
      </c>
      <c r="P1985" s="1" t="s">
        <v>3357</v>
      </c>
      <c r="Q1985" s="3">
        <v>0</v>
      </c>
      <c r="R1985" s="23" t="s">
        <v>6854</v>
      </c>
      <c r="S1985" s="23" t="s">
        <v>6845</v>
      </c>
      <c r="T1985" s="23" t="s">
        <v>4866</v>
      </c>
      <c r="U1985" s="3">
        <v>35</v>
      </c>
      <c r="W1985" s="45" t="str">
        <f>HYPERLINK("http://ictvonline.org/taxonomy/p/taxonomy-history?taxnode_id=201901290","ICTVonline=201901290")</f>
        <v>ICTVonline=201901290</v>
      </c>
      <c r="Y1985" s="1" t="s">
        <v>10409</v>
      </c>
      <c r="AA1985" s="1">
        <v>201900000</v>
      </c>
      <c r="AB1985" s="1">
        <v>35</v>
      </c>
    </row>
    <row r="1986" spans="1:28" x14ac:dyDescent="0.2">
      <c r="A1986" s="1">
        <v>5391</v>
      </c>
      <c r="B1986" s="1" t="s">
        <v>6850</v>
      </c>
      <c r="D1986" s="1" t="s">
        <v>6851</v>
      </c>
      <c r="F1986" s="1" t="s">
        <v>6914</v>
      </c>
      <c r="H1986" s="1" t="s">
        <v>6915</v>
      </c>
      <c r="J1986" s="1" t="s">
        <v>1324</v>
      </c>
      <c r="L1986" s="1" t="s">
        <v>895</v>
      </c>
      <c r="N1986" s="1" t="s">
        <v>6529</v>
      </c>
      <c r="P1986" s="1" t="s">
        <v>3358</v>
      </c>
      <c r="Q1986" s="3">
        <v>0</v>
      </c>
      <c r="R1986" s="23" t="s">
        <v>6854</v>
      </c>
      <c r="S1986" s="23" t="s">
        <v>6845</v>
      </c>
      <c r="T1986" s="23" t="s">
        <v>4866</v>
      </c>
      <c r="U1986" s="3">
        <v>35</v>
      </c>
      <c r="W1986" s="45" t="str">
        <f>HYPERLINK("http://ictvonline.org/taxonomy/p/taxonomy-history?taxnode_id=201901291","ICTVonline=201901291")</f>
        <v>ICTVonline=201901291</v>
      </c>
      <c r="Y1986" s="1" t="s">
        <v>10410</v>
      </c>
      <c r="AA1986" s="1">
        <v>201900000</v>
      </c>
      <c r="AB1986" s="1">
        <v>35</v>
      </c>
    </row>
    <row r="1987" spans="1:28" x14ac:dyDescent="0.2">
      <c r="A1987" s="1">
        <v>5393</v>
      </c>
      <c r="B1987" s="1" t="s">
        <v>6850</v>
      </c>
      <c r="D1987" s="1" t="s">
        <v>6851</v>
      </c>
      <c r="F1987" s="1" t="s">
        <v>6914</v>
      </c>
      <c r="H1987" s="1" t="s">
        <v>6915</v>
      </c>
      <c r="J1987" s="1" t="s">
        <v>1324</v>
      </c>
      <c r="L1987" s="1" t="s">
        <v>895</v>
      </c>
      <c r="N1987" s="1" t="s">
        <v>6529</v>
      </c>
      <c r="P1987" s="1" t="s">
        <v>3359</v>
      </c>
      <c r="Q1987" s="3">
        <v>0</v>
      </c>
      <c r="R1987" s="23" t="s">
        <v>6854</v>
      </c>
      <c r="S1987" s="23" t="s">
        <v>6845</v>
      </c>
      <c r="T1987" s="23" t="s">
        <v>4866</v>
      </c>
      <c r="U1987" s="3">
        <v>35</v>
      </c>
      <c r="W1987" s="45" t="str">
        <f>HYPERLINK("http://ictvonline.org/taxonomy/p/taxonomy-history?taxnode_id=201901292","ICTVonline=201901292")</f>
        <v>ICTVonline=201901292</v>
      </c>
      <c r="Y1987" s="1" t="s">
        <v>10411</v>
      </c>
      <c r="AA1987" s="1">
        <v>201900000</v>
      </c>
      <c r="AB1987" s="1">
        <v>35</v>
      </c>
    </row>
    <row r="1988" spans="1:28" x14ac:dyDescent="0.2">
      <c r="A1988" s="1">
        <v>5395</v>
      </c>
      <c r="B1988" s="1" t="s">
        <v>6850</v>
      </c>
      <c r="D1988" s="1" t="s">
        <v>6851</v>
      </c>
      <c r="F1988" s="1" t="s">
        <v>6914</v>
      </c>
      <c r="H1988" s="1" t="s">
        <v>6915</v>
      </c>
      <c r="J1988" s="1" t="s">
        <v>1324</v>
      </c>
      <c r="L1988" s="1" t="s">
        <v>895</v>
      </c>
      <c r="N1988" s="1" t="s">
        <v>6529</v>
      </c>
      <c r="P1988" s="1" t="s">
        <v>3360</v>
      </c>
      <c r="Q1988" s="3">
        <v>0</v>
      </c>
      <c r="R1988" s="23" t="s">
        <v>6854</v>
      </c>
      <c r="S1988" s="23" t="s">
        <v>6845</v>
      </c>
      <c r="T1988" s="23" t="s">
        <v>4866</v>
      </c>
      <c r="U1988" s="3">
        <v>35</v>
      </c>
      <c r="W1988" s="45" t="str">
        <f>HYPERLINK("http://ictvonline.org/taxonomy/p/taxonomy-history?taxnode_id=201901293","ICTVonline=201901293")</f>
        <v>ICTVonline=201901293</v>
      </c>
      <c r="Y1988" s="1" t="s">
        <v>10412</v>
      </c>
      <c r="AA1988" s="1">
        <v>201900000</v>
      </c>
      <c r="AB1988" s="1">
        <v>35</v>
      </c>
    </row>
    <row r="1989" spans="1:28" x14ac:dyDescent="0.2">
      <c r="A1989" s="1">
        <v>5397</v>
      </c>
      <c r="B1989" s="1" t="s">
        <v>6850</v>
      </c>
      <c r="D1989" s="1" t="s">
        <v>6851</v>
      </c>
      <c r="F1989" s="1" t="s">
        <v>6914</v>
      </c>
      <c r="H1989" s="1" t="s">
        <v>6915</v>
      </c>
      <c r="J1989" s="1" t="s">
        <v>1324</v>
      </c>
      <c r="L1989" s="1" t="s">
        <v>895</v>
      </c>
      <c r="N1989" s="1" t="s">
        <v>6529</v>
      </c>
      <c r="P1989" s="1" t="s">
        <v>3361</v>
      </c>
      <c r="Q1989" s="3">
        <v>0</v>
      </c>
      <c r="R1989" s="23" t="s">
        <v>6854</v>
      </c>
      <c r="S1989" s="23" t="s">
        <v>6845</v>
      </c>
      <c r="T1989" s="23" t="s">
        <v>4866</v>
      </c>
      <c r="U1989" s="3">
        <v>35</v>
      </c>
      <c r="W1989" s="45" t="str">
        <f>HYPERLINK("http://ictvonline.org/taxonomy/p/taxonomy-history?taxnode_id=201901294","ICTVonline=201901294")</f>
        <v>ICTVonline=201901294</v>
      </c>
      <c r="Y1989" s="1" t="s">
        <v>10413</v>
      </c>
      <c r="AA1989" s="1">
        <v>201900000</v>
      </c>
      <c r="AB1989" s="1">
        <v>35</v>
      </c>
    </row>
    <row r="1990" spans="1:28" x14ac:dyDescent="0.2">
      <c r="A1990" s="1">
        <v>5399</v>
      </c>
      <c r="B1990" s="1" t="s">
        <v>6850</v>
      </c>
      <c r="D1990" s="1" t="s">
        <v>6851</v>
      </c>
      <c r="F1990" s="1" t="s">
        <v>6914</v>
      </c>
      <c r="H1990" s="1" t="s">
        <v>6915</v>
      </c>
      <c r="J1990" s="1" t="s">
        <v>1324</v>
      </c>
      <c r="L1990" s="1" t="s">
        <v>895</v>
      </c>
      <c r="N1990" s="1" t="s">
        <v>6529</v>
      </c>
      <c r="P1990" s="1" t="s">
        <v>3362</v>
      </c>
      <c r="Q1990" s="3">
        <v>0</v>
      </c>
      <c r="R1990" s="23" t="s">
        <v>6854</v>
      </c>
      <c r="S1990" s="23" t="s">
        <v>6845</v>
      </c>
      <c r="T1990" s="23" t="s">
        <v>4866</v>
      </c>
      <c r="U1990" s="3">
        <v>35</v>
      </c>
      <c r="W1990" s="45" t="str">
        <f>HYPERLINK("http://ictvonline.org/taxonomy/p/taxonomy-history?taxnode_id=201901295","ICTVonline=201901295")</f>
        <v>ICTVonline=201901295</v>
      </c>
      <c r="Y1990" s="1" t="s">
        <v>10414</v>
      </c>
      <c r="AA1990" s="1">
        <v>201900000</v>
      </c>
      <c r="AB1990" s="1">
        <v>35</v>
      </c>
    </row>
    <row r="1991" spans="1:28" x14ac:dyDescent="0.2">
      <c r="A1991" s="1">
        <v>5401</v>
      </c>
      <c r="B1991" s="1" t="s">
        <v>6850</v>
      </c>
      <c r="D1991" s="1" t="s">
        <v>6851</v>
      </c>
      <c r="F1991" s="1" t="s">
        <v>6914</v>
      </c>
      <c r="H1991" s="1" t="s">
        <v>6915</v>
      </c>
      <c r="J1991" s="1" t="s">
        <v>1324</v>
      </c>
      <c r="L1991" s="1" t="s">
        <v>895</v>
      </c>
      <c r="N1991" s="1" t="s">
        <v>6529</v>
      </c>
      <c r="P1991" s="1" t="s">
        <v>3363</v>
      </c>
      <c r="Q1991" s="3">
        <v>0</v>
      </c>
      <c r="R1991" s="23" t="s">
        <v>6854</v>
      </c>
      <c r="S1991" s="23" t="s">
        <v>6845</v>
      </c>
      <c r="T1991" s="23" t="s">
        <v>4866</v>
      </c>
      <c r="U1991" s="3">
        <v>35</v>
      </c>
      <c r="W1991" s="45" t="str">
        <f>HYPERLINK("http://ictvonline.org/taxonomy/p/taxonomy-history?taxnode_id=201901296","ICTVonline=201901296")</f>
        <v>ICTVonline=201901296</v>
      </c>
      <c r="Y1991" s="1" t="s">
        <v>10415</v>
      </c>
      <c r="AA1991" s="1">
        <v>201900000</v>
      </c>
      <c r="AB1991" s="1">
        <v>35</v>
      </c>
    </row>
    <row r="1992" spans="1:28" x14ac:dyDescent="0.2">
      <c r="A1992" s="1">
        <v>5403</v>
      </c>
      <c r="B1992" s="1" t="s">
        <v>6850</v>
      </c>
      <c r="D1992" s="1" t="s">
        <v>6851</v>
      </c>
      <c r="F1992" s="1" t="s">
        <v>6914</v>
      </c>
      <c r="H1992" s="1" t="s">
        <v>6915</v>
      </c>
      <c r="J1992" s="1" t="s">
        <v>1324</v>
      </c>
      <c r="L1992" s="1" t="s">
        <v>895</v>
      </c>
      <c r="N1992" s="1" t="s">
        <v>6529</v>
      </c>
      <c r="P1992" s="1" t="s">
        <v>3364</v>
      </c>
      <c r="Q1992" s="3">
        <v>0</v>
      </c>
      <c r="R1992" s="23" t="s">
        <v>6854</v>
      </c>
      <c r="S1992" s="23" t="s">
        <v>6845</v>
      </c>
      <c r="T1992" s="23" t="s">
        <v>4866</v>
      </c>
      <c r="U1992" s="3">
        <v>35</v>
      </c>
      <c r="W1992" s="45" t="str">
        <f>HYPERLINK("http://ictvonline.org/taxonomy/p/taxonomy-history?taxnode_id=201901297","ICTVonline=201901297")</f>
        <v>ICTVonline=201901297</v>
      </c>
      <c r="Y1992" s="1" t="s">
        <v>10416</v>
      </c>
      <c r="AA1992" s="1">
        <v>201900000</v>
      </c>
      <c r="AB1992" s="1">
        <v>35</v>
      </c>
    </row>
    <row r="1993" spans="1:28" x14ac:dyDescent="0.2">
      <c r="A1993" s="1">
        <v>5405</v>
      </c>
      <c r="B1993" s="1" t="s">
        <v>6850</v>
      </c>
      <c r="D1993" s="1" t="s">
        <v>6851</v>
      </c>
      <c r="F1993" s="1" t="s">
        <v>6914</v>
      </c>
      <c r="H1993" s="1" t="s">
        <v>6915</v>
      </c>
      <c r="J1993" s="1" t="s">
        <v>1324</v>
      </c>
      <c r="L1993" s="1" t="s">
        <v>895</v>
      </c>
      <c r="N1993" s="1" t="s">
        <v>6529</v>
      </c>
      <c r="P1993" s="1" t="s">
        <v>3365</v>
      </c>
      <c r="Q1993" s="3">
        <v>0</v>
      </c>
      <c r="R1993" s="23" t="s">
        <v>6854</v>
      </c>
      <c r="S1993" s="23" t="s">
        <v>6845</v>
      </c>
      <c r="T1993" s="23" t="s">
        <v>4866</v>
      </c>
      <c r="U1993" s="3">
        <v>35</v>
      </c>
      <c r="W1993" s="45" t="str">
        <f>HYPERLINK("http://ictvonline.org/taxonomy/p/taxonomy-history?taxnode_id=201901298","ICTVonline=201901298")</f>
        <v>ICTVonline=201901298</v>
      </c>
      <c r="Y1993" s="1" t="s">
        <v>10417</v>
      </c>
      <c r="AA1993" s="1">
        <v>201900000</v>
      </c>
      <c r="AB1993" s="1">
        <v>35</v>
      </c>
    </row>
    <row r="1994" spans="1:28" x14ac:dyDescent="0.2">
      <c r="A1994" s="1">
        <v>5407</v>
      </c>
      <c r="B1994" s="1" t="s">
        <v>6850</v>
      </c>
      <c r="D1994" s="1" t="s">
        <v>6851</v>
      </c>
      <c r="F1994" s="1" t="s">
        <v>6914</v>
      </c>
      <c r="H1994" s="1" t="s">
        <v>6915</v>
      </c>
      <c r="J1994" s="1" t="s">
        <v>1324</v>
      </c>
      <c r="L1994" s="1" t="s">
        <v>895</v>
      </c>
      <c r="N1994" s="1" t="s">
        <v>6529</v>
      </c>
      <c r="P1994" s="1" t="s">
        <v>3366</v>
      </c>
      <c r="Q1994" s="3">
        <v>0</v>
      </c>
      <c r="R1994" s="23" t="s">
        <v>6854</v>
      </c>
      <c r="S1994" s="23" t="s">
        <v>6845</v>
      </c>
      <c r="T1994" s="23" t="s">
        <v>4866</v>
      </c>
      <c r="U1994" s="3">
        <v>35</v>
      </c>
      <c r="W1994" s="45" t="str">
        <f>HYPERLINK("http://ictvonline.org/taxonomy/p/taxonomy-history?taxnode_id=201901299","ICTVonline=201901299")</f>
        <v>ICTVonline=201901299</v>
      </c>
      <c r="Y1994" s="1" t="s">
        <v>10418</v>
      </c>
      <c r="AA1994" s="1">
        <v>201900000</v>
      </c>
      <c r="AB1994" s="1">
        <v>35</v>
      </c>
    </row>
    <row r="1995" spans="1:28" x14ac:dyDescent="0.2">
      <c r="A1995" s="1">
        <v>5409</v>
      </c>
      <c r="B1995" s="1" t="s">
        <v>6850</v>
      </c>
      <c r="D1995" s="1" t="s">
        <v>6851</v>
      </c>
      <c r="F1995" s="1" t="s">
        <v>6914</v>
      </c>
      <c r="H1995" s="1" t="s">
        <v>6915</v>
      </c>
      <c r="J1995" s="1" t="s">
        <v>1324</v>
      </c>
      <c r="L1995" s="1" t="s">
        <v>895</v>
      </c>
      <c r="N1995" s="1" t="s">
        <v>6529</v>
      </c>
      <c r="P1995" s="1" t="s">
        <v>3367</v>
      </c>
      <c r="Q1995" s="3">
        <v>0</v>
      </c>
      <c r="R1995" s="23" t="s">
        <v>6854</v>
      </c>
      <c r="S1995" s="23" t="s">
        <v>6845</v>
      </c>
      <c r="T1995" s="23" t="s">
        <v>4866</v>
      </c>
      <c r="U1995" s="3">
        <v>35</v>
      </c>
      <c r="W1995" s="45" t="str">
        <f>HYPERLINK("http://ictvonline.org/taxonomy/p/taxonomy-history?taxnode_id=201901300","ICTVonline=201901300")</f>
        <v>ICTVonline=201901300</v>
      </c>
      <c r="Y1995" s="1" t="s">
        <v>10419</v>
      </c>
      <c r="AA1995" s="1">
        <v>201900000</v>
      </c>
      <c r="AB1995" s="1">
        <v>35</v>
      </c>
    </row>
    <row r="1996" spans="1:28" x14ac:dyDescent="0.2">
      <c r="A1996" s="1">
        <v>5411</v>
      </c>
      <c r="B1996" s="1" t="s">
        <v>6850</v>
      </c>
      <c r="D1996" s="1" t="s">
        <v>6851</v>
      </c>
      <c r="F1996" s="1" t="s">
        <v>6914</v>
      </c>
      <c r="H1996" s="1" t="s">
        <v>6915</v>
      </c>
      <c r="J1996" s="1" t="s">
        <v>1324</v>
      </c>
      <c r="L1996" s="1" t="s">
        <v>895</v>
      </c>
      <c r="N1996" s="1" t="s">
        <v>6529</v>
      </c>
      <c r="P1996" s="1" t="s">
        <v>3368</v>
      </c>
      <c r="Q1996" s="3">
        <v>1</v>
      </c>
      <c r="R1996" s="23" t="s">
        <v>6854</v>
      </c>
      <c r="S1996" s="23" t="s">
        <v>6845</v>
      </c>
      <c r="T1996" s="23" t="s">
        <v>4866</v>
      </c>
      <c r="U1996" s="3">
        <v>35</v>
      </c>
      <c r="W1996" s="45" t="str">
        <f>HYPERLINK("http://ictvonline.org/taxonomy/p/taxonomy-history?taxnode_id=201901301","ICTVonline=201901301")</f>
        <v>ICTVonline=201901301</v>
      </c>
      <c r="Y1996" s="1" t="s">
        <v>10420</v>
      </c>
      <c r="AA1996" s="1">
        <v>201900000</v>
      </c>
      <c r="AB1996" s="1">
        <v>35</v>
      </c>
    </row>
    <row r="1997" spans="1:28" x14ac:dyDescent="0.2">
      <c r="A1997" s="1">
        <v>5413</v>
      </c>
      <c r="B1997" s="1" t="s">
        <v>6850</v>
      </c>
      <c r="D1997" s="1" t="s">
        <v>6851</v>
      </c>
      <c r="F1997" s="1" t="s">
        <v>6914</v>
      </c>
      <c r="H1997" s="1" t="s">
        <v>6915</v>
      </c>
      <c r="J1997" s="1" t="s">
        <v>1324</v>
      </c>
      <c r="L1997" s="1" t="s">
        <v>895</v>
      </c>
      <c r="N1997" s="1" t="s">
        <v>6529</v>
      </c>
      <c r="P1997" s="1" t="s">
        <v>3369</v>
      </c>
      <c r="Q1997" s="3">
        <v>0</v>
      </c>
      <c r="R1997" s="23" t="s">
        <v>6854</v>
      </c>
      <c r="S1997" s="23" t="s">
        <v>6845</v>
      </c>
      <c r="T1997" s="23" t="s">
        <v>4866</v>
      </c>
      <c r="U1997" s="3">
        <v>35</v>
      </c>
      <c r="W1997" s="45" t="str">
        <f>HYPERLINK("http://ictvonline.org/taxonomy/p/taxonomy-history?taxnode_id=201901302","ICTVonline=201901302")</f>
        <v>ICTVonline=201901302</v>
      </c>
      <c r="Y1997" s="1" t="s">
        <v>10421</v>
      </c>
      <c r="AA1997" s="1">
        <v>201900000</v>
      </c>
      <c r="AB1997" s="1">
        <v>35</v>
      </c>
    </row>
    <row r="1998" spans="1:28" x14ac:dyDescent="0.2">
      <c r="A1998" s="1">
        <v>5417</v>
      </c>
      <c r="B1998" s="1" t="s">
        <v>6850</v>
      </c>
      <c r="D1998" s="1" t="s">
        <v>6851</v>
      </c>
      <c r="F1998" s="1" t="s">
        <v>6914</v>
      </c>
      <c r="H1998" s="1" t="s">
        <v>6915</v>
      </c>
      <c r="J1998" s="1" t="s">
        <v>1324</v>
      </c>
      <c r="L1998" s="1" t="s">
        <v>895</v>
      </c>
      <c r="N1998" s="1" t="s">
        <v>3370</v>
      </c>
      <c r="P1998" s="1" t="s">
        <v>3371</v>
      </c>
      <c r="Q1998" s="3">
        <v>1</v>
      </c>
      <c r="R1998" s="23" t="s">
        <v>6854</v>
      </c>
      <c r="S1998" s="23" t="s">
        <v>6845</v>
      </c>
      <c r="T1998" s="23" t="s">
        <v>4866</v>
      </c>
      <c r="U1998" s="3">
        <v>35</v>
      </c>
      <c r="W1998" s="45" t="str">
        <f>HYPERLINK("http://ictvonline.org/taxonomy/p/taxonomy-history?taxnode_id=201901304","ICTVonline=201901304")</f>
        <v>ICTVonline=201901304</v>
      </c>
      <c r="Y1998" s="1" t="s">
        <v>10422</v>
      </c>
      <c r="Z1998" s="1" t="s">
        <v>10423</v>
      </c>
      <c r="AA1998" s="1">
        <v>201900000</v>
      </c>
      <c r="AB1998" s="1">
        <v>35</v>
      </c>
    </row>
    <row r="1999" spans="1:28" x14ac:dyDescent="0.2">
      <c r="A1999" s="1">
        <v>5419</v>
      </c>
      <c r="B1999" s="1" t="s">
        <v>6850</v>
      </c>
      <c r="D1999" s="1" t="s">
        <v>6851</v>
      </c>
      <c r="F1999" s="1" t="s">
        <v>6914</v>
      </c>
      <c r="H1999" s="1" t="s">
        <v>6915</v>
      </c>
      <c r="J1999" s="1" t="s">
        <v>1324</v>
      </c>
      <c r="L1999" s="1" t="s">
        <v>895</v>
      </c>
      <c r="N1999" s="1" t="s">
        <v>3370</v>
      </c>
      <c r="P1999" s="1" t="s">
        <v>3372</v>
      </c>
      <c r="Q1999" s="3">
        <v>0</v>
      </c>
      <c r="R1999" s="23" t="s">
        <v>6854</v>
      </c>
      <c r="S1999" s="23" t="s">
        <v>6845</v>
      </c>
      <c r="T1999" s="23" t="s">
        <v>4866</v>
      </c>
      <c r="U1999" s="3">
        <v>35</v>
      </c>
      <c r="W1999" s="45" t="str">
        <f>HYPERLINK("http://ictvonline.org/taxonomy/p/taxonomy-history?taxnode_id=201901305","ICTVonline=201901305")</f>
        <v>ICTVonline=201901305</v>
      </c>
      <c r="Y1999" s="1" t="s">
        <v>10424</v>
      </c>
      <c r="Z1999" s="1" t="s">
        <v>10425</v>
      </c>
      <c r="AA1999" s="1">
        <v>201900000</v>
      </c>
      <c r="AB1999" s="1">
        <v>35</v>
      </c>
    </row>
    <row r="2000" spans="1:28" x14ac:dyDescent="0.2">
      <c r="A2000" s="1">
        <v>5421</v>
      </c>
      <c r="B2000" s="1" t="s">
        <v>6850</v>
      </c>
      <c r="D2000" s="1" t="s">
        <v>6851</v>
      </c>
      <c r="F2000" s="1" t="s">
        <v>6914</v>
      </c>
      <c r="H2000" s="1" t="s">
        <v>6915</v>
      </c>
      <c r="J2000" s="1" t="s">
        <v>1324</v>
      </c>
      <c r="L2000" s="1" t="s">
        <v>895</v>
      </c>
      <c r="N2000" s="1" t="s">
        <v>3370</v>
      </c>
      <c r="P2000" s="1" t="s">
        <v>3373</v>
      </c>
      <c r="Q2000" s="3">
        <v>0</v>
      </c>
      <c r="R2000" s="23" t="s">
        <v>6854</v>
      </c>
      <c r="S2000" s="23" t="s">
        <v>6845</v>
      </c>
      <c r="T2000" s="23" t="s">
        <v>4866</v>
      </c>
      <c r="U2000" s="3">
        <v>35</v>
      </c>
      <c r="W2000" s="45" t="str">
        <f>HYPERLINK("http://ictvonline.org/taxonomy/p/taxonomy-history?taxnode_id=201901306","ICTVonline=201901306")</f>
        <v>ICTVonline=201901306</v>
      </c>
      <c r="Y2000" s="1" t="s">
        <v>10426</v>
      </c>
      <c r="Z2000" s="1" t="s">
        <v>10427</v>
      </c>
      <c r="AA2000" s="1">
        <v>201900000</v>
      </c>
      <c r="AB2000" s="1">
        <v>35</v>
      </c>
    </row>
    <row r="2001" spans="1:28" x14ac:dyDescent="0.2">
      <c r="A2001" s="1">
        <v>5423</v>
      </c>
      <c r="B2001" s="1" t="s">
        <v>6850</v>
      </c>
      <c r="D2001" s="1" t="s">
        <v>6851</v>
      </c>
      <c r="F2001" s="1" t="s">
        <v>6914</v>
      </c>
      <c r="H2001" s="1" t="s">
        <v>6915</v>
      </c>
      <c r="J2001" s="1" t="s">
        <v>1324</v>
      </c>
      <c r="L2001" s="1" t="s">
        <v>895</v>
      </c>
      <c r="N2001" s="1" t="s">
        <v>3370</v>
      </c>
      <c r="P2001" s="1" t="s">
        <v>3374</v>
      </c>
      <c r="Q2001" s="3">
        <v>0</v>
      </c>
      <c r="R2001" s="23" t="s">
        <v>6854</v>
      </c>
      <c r="S2001" s="23" t="s">
        <v>6845</v>
      </c>
      <c r="T2001" s="23" t="s">
        <v>4866</v>
      </c>
      <c r="U2001" s="3">
        <v>35</v>
      </c>
      <c r="W2001" s="45" t="str">
        <f>HYPERLINK("http://ictvonline.org/taxonomy/p/taxonomy-history?taxnode_id=201901307","ICTVonline=201901307")</f>
        <v>ICTVonline=201901307</v>
      </c>
      <c r="Y2001" s="1" t="s">
        <v>10428</v>
      </c>
      <c r="Z2001" s="1" t="s">
        <v>10429</v>
      </c>
      <c r="AA2001" s="1">
        <v>201900000</v>
      </c>
      <c r="AB2001" s="1">
        <v>35</v>
      </c>
    </row>
    <row r="2002" spans="1:28" x14ac:dyDescent="0.2">
      <c r="A2002" s="1">
        <v>5427</v>
      </c>
      <c r="B2002" s="1" t="s">
        <v>6850</v>
      </c>
      <c r="D2002" s="1" t="s">
        <v>6851</v>
      </c>
      <c r="F2002" s="1" t="s">
        <v>6914</v>
      </c>
      <c r="H2002" s="1" t="s">
        <v>6915</v>
      </c>
      <c r="J2002" s="1" t="s">
        <v>1324</v>
      </c>
      <c r="L2002" s="1" t="s">
        <v>895</v>
      </c>
      <c r="N2002" s="1" t="s">
        <v>4425</v>
      </c>
      <c r="P2002" s="1" t="s">
        <v>4426</v>
      </c>
      <c r="Q2002" s="3">
        <v>0</v>
      </c>
      <c r="R2002" s="23" t="s">
        <v>6854</v>
      </c>
      <c r="S2002" s="23" t="s">
        <v>6845</v>
      </c>
      <c r="T2002" s="23" t="s">
        <v>4866</v>
      </c>
      <c r="U2002" s="3">
        <v>35</v>
      </c>
      <c r="W2002" s="45" t="str">
        <f>HYPERLINK("http://ictvonline.org/taxonomy/p/taxonomy-history?taxnode_id=201901309","ICTVonline=201901309")</f>
        <v>ICTVonline=201901309</v>
      </c>
      <c r="Y2002" s="1" t="s">
        <v>10430</v>
      </c>
      <c r="Z2002" s="1" t="s">
        <v>10431</v>
      </c>
      <c r="AA2002" s="1">
        <v>201900000</v>
      </c>
      <c r="AB2002" s="1">
        <v>35</v>
      </c>
    </row>
    <row r="2003" spans="1:28" x14ac:dyDescent="0.2">
      <c r="A2003" s="1">
        <v>5429</v>
      </c>
      <c r="B2003" s="1" t="s">
        <v>6850</v>
      </c>
      <c r="D2003" s="1" t="s">
        <v>6851</v>
      </c>
      <c r="F2003" s="1" t="s">
        <v>6914</v>
      </c>
      <c r="H2003" s="1" t="s">
        <v>6915</v>
      </c>
      <c r="J2003" s="1" t="s">
        <v>1324</v>
      </c>
      <c r="L2003" s="1" t="s">
        <v>895</v>
      </c>
      <c r="N2003" s="1" t="s">
        <v>4425</v>
      </c>
      <c r="P2003" s="1" t="s">
        <v>4427</v>
      </c>
      <c r="Q2003" s="3">
        <v>0</v>
      </c>
      <c r="R2003" s="23" t="s">
        <v>6854</v>
      </c>
      <c r="S2003" s="23" t="s">
        <v>6845</v>
      </c>
      <c r="T2003" s="23" t="s">
        <v>4866</v>
      </c>
      <c r="U2003" s="3">
        <v>35</v>
      </c>
      <c r="W2003" s="45" t="str">
        <f>HYPERLINK("http://ictvonline.org/taxonomy/p/taxonomy-history?taxnode_id=201901310","ICTVonline=201901310")</f>
        <v>ICTVonline=201901310</v>
      </c>
      <c r="Y2003" s="1" t="s">
        <v>10432</v>
      </c>
      <c r="Z2003" s="1" t="s">
        <v>10433</v>
      </c>
      <c r="AA2003" s="1">
        <v>201900000</v>
      </c>
      <c r="AB2003" s="1">
        <v>35</v>
      </c>
    </row>
    <row r="2004" spans="1:28" x14ac:dyDescent="0.2">
      <c r="A2004" s="1">
        <v>5431</v>
      </c>
      <c r="B2004" s="1" t="s">
        <v>6850</v>
      </c>
      <c r="D2004" s="1" t="s">
        <v>6851</v>
      </c>
      <c r="F2004" s="1" t="s">
        <v>6914</v>
      </c>
      <c r="H2004" s="1" t="s">
        <v>6915</v>
      </c>
      <c r="J2004" s="1" t="s">
        <v>1324</v>
      </c>
      <c r="L2004" s="1" t="s">
        <v>895</v>
      </c>
      <c r="N2004" s="1" t="s">
        <v>4425</v>
      </c>
      <c r="P2004" s="1" t="s">
        <v>4429</v>
      </c>
      <c r="Q2004" s="3">
        <v>1</v>
      </c>
      <c r="R2004" s="23" t="s">
        <v>6854</v>
      </c>
      <c r="S2004" s="23" t="s">
        <v>6845</v>
      </c>
      <c r="T2004" s="23" t="s">
        <v>4866</v>
      </c>
      <c r="U2004" s="3">
        <v>35</v>
      </c>
      <c r="W2004" s="45" t="str">
        <f>HYPERLINK("http://ictvonline.org/taxonomy/p/taxonomy-history?taxnode_id=201901312","ICTVonline=201901312")</f>
        <v>ICTVonline=201901312</v>
      </c>
      <c r="Y2004" s="1" t="s">
        <v>10434</v>
      </c>
      <c r="Z2004" s="1" t="s">
        <v>10435</v>
      </c>
      <c r="AA2004" s="1">
        <v>201900000</v>
      </c>
      <c r="AB2004" s="1">
        <v>35</v>
      </c>
    </row>
    <row r="2005" spans="1:28" x14ac:dyDescent="0.2">
      <c r="A2005" s="1">
        <v>5435</v>
      </c>
      <c r="B2005" s="1" t="s">
        <v>6850</v>
      </c>
      <c r="D2005" s="1" t="s">
        <v>6851</v>
      </c>
      <c r="F2005" s="1" t="s">
        <v>6914</v>
      </c>
      <c r="H2005" s="1" t="s">
        <v>6915</v>
      </c>
      <c r="J2005" s="1" t="s">
        <v>1324</v>
      </c>
      <c r="L2005" s="1" t="s">
        <v>895</v>
      </c>
      <c r="N2005" s="1" t="s">
        <v>10436</v>
      </c>
      <c r="P2005" s="1" t="s">
        <v>10437</v>
      </c>
      <c r="Q2005" s="3">
        <v>1</v>
      </c>
      <c r="R2005" s="23" t="s">
        <v>6854</v>
      </c>
      <c r="S2005" s="23" t="s">
        <v>6849</v>
      </c>
      <c r="T2005" s="23" t="s">
        <v>4864</v>
      </c>
      <c r="U2005" s="3">
        <v>35</v>
      </c>
      <c r="V2005" s="3" t="s">
        <v>10438</v>
      </c>
      <c r="W2005" s="45" t="str">
        <f>HYPERLINK("http://ictvonline.org/taxonomy/p/taxonomy-history?taxnode_id=201907699","ICTVonline=201907699")</f>
        <v>ICTVonline=201907699</v>
      </c>
      <c r="Y2005" s="1" t="s">
        <v>10439</v>
      </c>
      <c r="AA2005" s="1">
        <v>201900000</v>
      </c>
      <c r="AB2005" s="1">
        <v>35</v>
      </c>
    </row>
    <row r="2006" spans="1:28" x14ac:dyDescent="0.2">
      <c r="A2006" s="1">
        <v>5439</v>
      </c>
      <c r="B2006" s="1" t="s">
        <v>6850</v>
      </c>
      <c r="D2006" s="1" t="s">
        <v>6851</v>
      </c>
      <c r="F2006" s="1" t="s">
        <v>6914</v>
      </c>
      <c r="H2006" s="1" t="s">
        <v>6915</v>
      </c>
      <c r="J2006" s="1" t="s">
        <v>1324</v>
      </c>
      <c r="L2006" s="1" t="s">
        <v>895</v>
      </c>
      <c r="N2006" s="1" t="s">
        <v>4430</v>
      </c>
      <c r="P2006" s="1" t="s">
        <v>4431</v>
      </c>
      <c r="Q2006" s="3">
        <v>1</v>
      </c>
      <c r="R2006" s="23" t="s">
        <v>6854</v>
      </c>
      <c r="S2006" s="23" t="s">
        <v>6845</v>
      </c>
      <c r="T2006" s="23" t="s">
        <v>4866</v>
      </c>
      <c r="U2006" s="3">
        <v>35</v>
      </c>
      <c r="W2006" s="45" t="str">
        <f>HYPERLINK("http://ictvonline.org/taxonomy/p/taxonomy-history?taxnode_id=201901314","ICTVonline=201901314")</f>
        <v>ICTVonline=201901314</v>
      </c>
      <c r="Y2006" s="1" t="s">
        <v>10440</v>
      </c>
      <c r="Z2006" s="1" t="s">
        <v>10441</v>
      </c>
      <c r="AA2006" s="1">
        <v>201900000</v>
      </c>
      <c r="AB2006" s="1">
        <v>35</v>
      </c>
    </row>
    <row r="2007" spans="1:28" x14ac:dyDescent="0.2">
      <c r="A2007" s="1">
        <v>5441</v>
      </c>
      <c r="B2007" s="1" t="s">
        <v>6850</v>
      </c>
      <c r="D2007" s="1" t="s">
        <v>6851</v>
      </c>
      <c r="F2007" s="1" t="s">
        <v>6914</v>
      </c>
      <c r="H2007" s="1" t="s">
        <v>6915</v>
      </c>
      <c r="J2007" s="1" t="s">
        <v>1324</v>
      </c>
      <c r="L2007" s="1" t="s">
        <v>895</v>
      </c>
      <c r="N2007" s="1" t="s">
        <v>4430</v>
      </c>
      <c r="P2007" s="1" t="s">
        <v>6530</v>
      </c>
      <c r="Q2007" s="3">
        <v>0</v>
      </c>
      <c r="R2007" s="23" t="s">
        <v>6854</v>
      </c>
      <c r="S2007" s="23" t="s">
        <v>6845</v>
      </c>
      <c r="T2007" s="23" t="s">
        <v>4866</v>
      </c>
      <c r="U2007" s="3">
        <v>35</v>
      </c>
      <c r="W2007" s="45" t="str">
        <f>HYPERLINK("http://ictvonline.org/taxonomy/p/taxonomy-history?taxnode_id=201906886","ICTVonline=201906886")</f>
        <v>ICTVonline=201906886</v>
      </c>
      <c r="Y2007" s="1" t="s">
        <v>10442</v>
      </c>
      <c r="Z2007" s="1" t="s">
        <v>10443</v>
      </c>
      <c r="AA2007" s="1">
        <v>201900000</v>
      </c>
      <c r="AB2007" s="1">
        <v>35</v>
      </c>
    </row>
    <row r="2008" spans="1:28" x14ac:dyDescent="0.2">
      <c r="A2008" s="1">
        <v>5443</v>
      </c>
      <c r="B2008" s="1" t="s">
        <v>6850</v>
      </c>
      <c r="D2008" s="1" t="s">
        <v>6851</v>
      </c>
      <c r="F2008" s="1" t="s">
        <v>6914</v>
      </c>
      <c r="H2008" s="1" t="s">
        <v>6915</v>
      </c>
      <c r="J2008" s="1" t="s">
        <v>1324</v>
      </c>
      <c r="L2008" s="1" t="s">
        <v>895</v>
      </c>
      <c r="N2008" s="1" t="s">
        <v>4430</v>
      </c>
      <c r="P2008" s="1" t="s">
        <v>6531</v>
      </c>
      <c r="Q2008" s="3">
        <v>0</v>
      </c>
      <c r="R2008" s="23" t="s">
        <v>6854</v>
      </c>
      <c r="S2008" s="23" t="s">
        <v>6845</v>
      </c>
      <c r="T2008" s="23" t="s">
        <v>4866</v>
      </c>
      <c r="U2008" s="3">
        <v>35</v>
      </c>
      <c r="W2008" s="45" t="str">
        <f>HYPERLINK("http://ictvonline.org/taxonomy/p/taxonomy-history?taxnode_id=201906885","ICTVonline=201906885")</f>
        <v>ICTVonline=201906885</v>
      </c>
      <c r="Y2008" s="1" t="s">
        <v>10444</v>
      </c>
      <c r="Z2008" s="1" t="s">
        <v>10445</v>
      </c>
      <c r="AA2008" s="1">
        <v>201900000</v>
      </c>
      <c r="AB2008" s="1">
        <v>35</v>
      </c>
    </row>
    <row r="2009" spans="1:28" x14ac:dyDescent="0.2">
      <c r="A2009" s="1">
        <v>5447</v>
      </c>
      <c r="B2009" s="1" t="s">
        <v>6850</v>
      </c>
      <c r="D2009" s="1" t="s">
        <v>6851</v>
      </c>
      <c r="F2009" s="1" t="s">
        <v>6914</v>
      </c>
      <c r="H2009" s="1" t="s">
        <v>6915</v>
      </c>
      <c r="J2009" s="1" t="s">
        <v>1324</v>
      </c>
      <c r="L2009" s="1" t="s">
        <v>895</v>
      </c>
      <c r="N2009" s="1" t="s">
        <v>6532</v>
      </c>
      <c r="P2009" s="1" t="s">
        <v>6533</v>
      </c>
      <c r="Q2009" s="3">
        <v>1</v>
      </c>
      <c r="R2009" s="23" t="s">
        <v>6854</v>
      </c>
      <c r="S2009" s="23" t="s">
        <v>6845</v>
      </c>
      <c r="T2009" s="23" t="s">
        <v>4866</v>
      </c>
      <c r="U2009" s="3">
        <v>35</v>
      </c>
      <c r="W2009" s="45" t="str">
        <f>HYPERLINK("http://ictvonline.org/taxonomy/p/taxonomy-history?taxnode_id=201906991","ICTVonline=201906991")</f>
        <v>ICTVonline=201906991</v>
      </c>
      <c r="Y2009" s="1" t="s">
        <v>10446</v>
      </c>
      <c r="Z2009" s="1" t="s">
        <v>10447</v>
      </c>
      <c r="AA2009" s="1">
        <v>201900000</v>
      </c>
      <c r="AB2009" s="1">
        <v>35</v>
      </c>
    </row>
    <row r="2010" spans="1:28" x14ac:dyDescent="0.2">
      <c r="A2010" s="1">
        <v>5451</v>
      </c>
      <c r="B2010" s="1" t="s">
        <v>6850</v>
      </c>
      <c r="D2010" s="1" t="s">
        <v>6851</v>
      </c>
      <c r="F2010" s="1" t="s">
        <v>6914</v>
      </c>
      <c r="H2010" s="1" t="s">
        <v>6915</v>
      </c>
      <c r="J2010" s="1" t="s">
        <v>1324</v>
      </c>
      <c r="L2010" s="1" t="s">
        <v>895</v>
      </c>
      <c r="N2010" s="1" t="s">
        <v>3375</v>
      </c>
      <c r="P2010" s="1" t="s">
        <v>3376</v>
      </c>
      <c r="Q2010" s="3">
        <v>1</v>
      </c>
      <c r="R2010" s="23" t="s">
        <v>6854</v>
      </c>
      <c r="S2010" s="23" t="s">
        <v>6845</v>
      </c>
      <c r="T2010" s="23" t="s">
        <v>4866</v>
      </c>
      <c r="U2010" s="3">
        <v>35</v>
      </c>
      <c r="W2010" s="45" t="str">
        <f>HYPERLINK("http://ictvonline.org/taxonomy/p/taxonomy-history?taxnode_id=201901316","ICTVonline=201901316")</f>
        <v>ICTVonline=201901316</v>
      </c>
      <c r="AA2010" s="1">
        <v>201900000</v>
      </c>
      <c r="AB2010" s="1">
        <v>35</v>
      </c>
    </row>
    <row r="2011" spans="1:28" x14ac:dyDescent="0.2">
      <c r="A2011" s="1">
        <v>5455</v>
      </c>
      <c r="B2011" s="1" t="s">
        <v>6850</v>
      </c>
      <c r="D2011" s="1" t="s">
        <v>6851</v>
      </c>
      <c r="F2011" s="1" t="s">
        <v>6914</v>
      </c>
      <c r="H2011" s="1" t="s">
        <v>6915</v>
      </c>
      <c r="J2011" s="1" t="s">
        <v>1324</v>
      </c>
      <c r="L2011" s="1" t="s">
        <v>895</v>
      </c>
      <c r="N2011" s="1" t="s">
        <v>10448</v>
      </c>
      <c r="P2011" s="1" t="s">
        <v>10449</v>
      </c>
      <c r="Q2011" s="3">
        <v>0</v>
      </c>
      <c r="R2011" s="23" t="s">
        <v>6854</v>
      </c>
      <c r="S2011" s="23" t="s">
        <v>6849</v>
      </c>
      <c r="T2011" s="23" t="s">
        <v>4864</v>
      </c>
      <c r="U2011" s="3">
        <v>35</v>
      </c>
      <c r="V2011" s="3" t="s">
        <v>10450</v>
      </c>
      <c r="W2011" s="45" t="str">
        <f>HYPERLINK("http://ictvonline.org/taxonomy/p/taxonomy-history?taxnode_id=201907703","ICTVonline=201907703")</f>
        <v>ICTVonline=201907703</v>
      </c>
      <c r="Y2011" s="1" t="s">
        <v>10451</v>
      </c>
      <c r="AA2011" s="1">
        <v>201900000</v>
      </c>
      <c r="AB2011" s="1">
        <v>35</v>
      </c>
    </row>
    <row r="2012" spans="1:28" x14ac:dyDescent="0.2">
      <c r="A2012" s="1">
        <v>5457</v>
      </c>
      <c r="B2012" s="1" t="s">
        <v>6850</v>
      </c>
      <c r="D2012" s="1" t="s">
        <v>6851</v>
      </c>
      <c r="F2012" s="1" t="s">
        <v>6914</v>
      </c>
      <c r="H2012" s="1" t="s">
        <v>6915</v>
      </c>
      <c r="J2012" s="1" t="s">
        <v>1324</v>
      </c>
      <c r="L2012" s="1" t="s">
        <v>895</v>
      </c>
      <c r="N2012" s="1" t="s">
        <v>10448</v>
      </c>
      <c r="P2012" s="1" t="s">
        <v>10452</v>
      </c>
      <c r="Q2012" s="3">
        <v>1</v>
      </c>
      <c r="R2012" s="23" t="s">
        <v>6854</v>
      </c>
      <c r="S2012" s="23" t="s">
        <v>6849</v>
      </c>
      <c r="T2012" s="23" t="s">
        <v>4864</v>
      </c>
      <c r="U2012" s="3">
        <v>35</v>
      </c>
      <c r="V2012" s="3" t="s">
        <v>10450</v>
      </c>
      <c r="W2012" s="45" t="str">
        <f>HYPERLINK("http://ictvonline.org/taxonomy/p/taxonomy-history?taxnode_id=201907702","ICTVonline=201907702")</f>
        <v>ICTVonline=201907702</v>
      </c>
      <c r="Y2012" s="1" t="s">
        <v>10453</v>
      </c>
      <c r="AA2012" s="1">
        <v>201900000</v>
      </c>
      <c r="AB2012" s="1">
        <v>35</v>
      </c>
    </row>
    <row r="2013" spans="1:28" x14ac:dyDescent="0.2">
      <c r="A2013" s="1">
        <v>5461</v>
      </c>
      <c r="B2013" s="1" t="s">
        <v>6850</v>
      </c>
      <c r="D2013" s="1" t="s">
        <v>6851</v>
      </c>
      <c r="F2013" s="1" t="s">
        <v>6914</v>
      </c>
      <c r="H2013" s="1" t="s">
        <v>6915</v>
      </c>
      <c r="J2013" s="1" t="s">
        <v>1324</v>
      </c>
      <c r="L2013" s="1" t="s">
        <v>895</v>
      </c>
      <c r="N2013" s="1" t="s">
        <v>6534</v>
      </c>
      <c r="P2013" s="1" t="s">
        <v>3162</v>
      </c>
      <c r="Q2013" s="3">
        <v>0</v>
      </c>
      <c r="R2013" s="23" t="s">
        <v>6854</v>
      </c>
      <c r="S2013" s="23" t="s">
        <v>6845</v>
      </c>
      <c r="T2013" s="23" t="s">
        <v>4866</v>
      </c>
      <c r="U2013" s="3">
        <v>35</v>
      </c>
      <c r="W2013" s="45" t="str">
        <f>HYPERLINK("http://ictvonline.org/taxonomy/p/taxonomy-history?taxnode_id=201900963","ICTVonline=201900963")</f>
        <v>ICTVonline=201900963</v>
      </c>
      <c r="Y2013" s="1" t="s">
        <v>10454</v>
      </c>
      <c r="AA2013" s="1">
        <v>201900000</v>
      </c>
      <c r="AB2013" s="1">
        <v>35</v>
      </c>
    </row>
    <row r="2014" spans="1:28" x14ac:dyDescent="0.2">
      <c r="A2014" s="1">
        <v>5463</v>
      </c>
      <c r="B2014" s="1" t="s">
        <v>6850</v>
      </c>
      <c r="D2014" s="1" t="s">
        <v>6851</v>
      </c>
      <c r="F2014" s="1" t="s">
        <v>6914</v>
      </c>
      <c r="H2014" s="1" t="s">
        <v>6915</v>
      </c>
      <c r="J2014" s="1" t="s">
        <v>1324</v>
      </c>
      <c r="L2014" s="1" t="s">
        <v>895</v>
      </c>
      <c r="N2014" s="1" t="s">
        <v>6534</v>
      </c>
      <c r="P2014" s="1" t="s">
        <v>3163</v>
      </c>
      <c r="Q2014" s="3">
        <v>0</v>
      </c>
      <c r="R2014" s="23" t="s">
        <v>6854</v>
      </c>
      <c r="S2014" s="23" t="s">
        <v>6845</v>
      </c>
      <c r="T2014" s="23" t="s">
        <v>4866</v>
      </c>
      <c r="U2014" s="3">
        <v>35</v>
      </c>
      <c r="W2014" s="45" t="str">
        <f>HYPERLINK("http://ictvonline.org/taxonomy/p/taxonomy-history?taxnode_id=201900964","ICTVonline=201900964")</f>
        <v>ICTVonline=201900964</v>
      </c>
      <c r="Y2014" s="1" t="s">
        <v>10455</v>
      </c>
      <c r="AA2014" s="1">
        <v>201900000</v>
      </c>
      <c r="AB2014" s="1">
        <v>35</v>
      </c>
    </row>
    <row r="2015" spans="1:28" x14ac:dyDescent="0.2">
      <c r="A2015" s="1">
        <v>5465</v>
      </c>
      <c r="B2015" s="1" t="s">
        <v>6850</v>
      </c>
      <c r="D2015" s="1" t="s">
        <v>6851</v>
      </c>
      <c r="F2015" s="1" t="s">
        <v>6914</v>
      </c>
      <c r="H2015" s="1" t="s">
        <v>6915</v>
      </c>
      <c r="J2015" s="1" t="s">
        <v>1324</v>
      </c>
      <c r="L2015" s="1" t="s">
        <v>895</v>
      </c>
      <c r="N2015" s="1" t="s">
        <v>6534</v>
      </c>
      <c r="P2015" s="1" t="s">
        <v>3164</v>
      </c>
      <c r="Q2015" s="3">
        <v>1</v>
      </c>
      <c r="R2015" s="23" t="s">
        <v>6854</v>
      </c>
      <c r="S2015" s="23" t="s">
        <v>6845</v>
      </c>
      <c r="T2015" s="23" t="s">
        <v>4866</v>
      </c>
      <c r="U2015" s="3">
        <v>35</v>
      </c>
      <c r="W2015" s="45" t="str">
        <f>HYPERLINK("http://ictvonline.org/taxonomy/p/taxonomy-history?taxnode_id=201900965","ICTVonline=201900965")</f>
        <v>ICTVonline=201900965</v>
      </c>
      <c r="Y2015" s="1" t="s">
        <v>10456</v>
      </c>
      <c r="AA2015" s="1">
        <v>201900000</v>
      </c>
      <c r="AB2015" s="1">
        <v>35</v>
      </c>
    </row>
    <row r="2016" spans="1:28" x14ac:dyDescent="0.2">
      <c r="A2016" s="1">
        <v>5469</v>
      </c>
      <c r="B2016" s="1" t="s">
        <v>6850</v>
      </c>
      <c r="D2016" s="1" t="s">
        <v>6851</v>
      </c>
      <c r="F2016" s="1" t="s">
        <v>6914</v>
      </c>
      <c r="H2016" s="1" t="s">
        <v>6915</v>
      </c>
      <c r="J2016" s="1" t="s">
        <v>1324</v>
      </c>
      <c r="L2016" s="1" t="s">
        <v>895</v>
      </c>
      <c r="N2016" s="1" t="s">
        <v>6535</v>
      </c>
      <c r="P2016" s="1" t="s">
        <v>4329</v>
      </c>
      <c r="Q2016" s="3">
        <v>0</v>
      </c>
      <c r="R2016" s="23" t="s">
        <v>6854</v>
      </c>
      <c r="S2016" s="23" t="s">
        <v>6845</v>
      </c>
      <c r="T2016" s="23" t="s">
        <v>4866</v>
      </c>
      <c r="U2016" s="3">
        <v>35</v>
      </c>
      <c r="W2016" s="45" t="str">
        <f>HYPERLINK("http://ictvonline.org/taxonomy/p/taxonomy-history?taxnode_id=201900993","ICTVonline=201900993")</f>
        <v>ICTVonline=201900993</v>
      </c>
      <c r="Y2016" s="1" t="s">
        <v>10457</v>
      </c>
      <c r="Z2016" s="1" t="s">
        <v>10458</v>
      </c>
      <c r="AA2016" s="1">
        <v>201900000</v>
      </c>
      <c r="AB2016" s="1">
        <v>35</v>
      </c>
    </row>
    <row r="2017" spans="1:28" x14ac:dyDescent="0.2">
      <c r="A2017" s="1">
        <v>5471</v>
      </c>
      <c r="B2017" s="1" t="s">
        <v>6850</v>
      </c>
      <c r="D2017" s="1" t="s">
        <v>6851</v>
      </c>
      <c r="F2017" s="1" t="s">
        <v>6914</v>
      </c>
      <c r="H2017" s="1" t="s">
        <v>6915</v>
      </c>
      <c r="J2017" s="1" t="s">
        <v>1324</v>
      </c>
      <c r="L2017" s="1" t="s">
        <v>895</v>
      </c>
      <c r="N2017" s="1" t="s">
        <v>6535</v>
      </c>
      <c r="P2017" s="1" t="s">
        <v>4330</v>
      </c>
      <c r="Q2017" s="3">
        <v>1</v>
      </c>
      <c r="R2017" s="23" t="s">
        <v>6854</v>
      </c>
      <c r="S2017" s="23" t="s">
        <v>6845</v>
      </c>
      <c r="T2017" s="23" t="s">
        <v>4866</v>
      </c>
      <c r="U2017" s="3">
        <v>35</v>
      </c>
      <c r="W2017" s="45" t="str">
        <f>HYPERLINK("http://ictvonline.org/taxonomy/p/taxonomy-history?taxnode_id=201900994","ICTVonline=201900994")</f>
        <v>ICTVonline=201900994</v>
      </c>
      <c r="Y2017" s="1" t="s">
        <v>10459</v>
      </c>
      <c r="Z2017" s="1" t="s">
        <v>10460</v>
      </c>
      <c r="AA2017" s="1">
        <v>201900000</v>
      </c>
      <c r="AB2017" s="1">
        <v>35</v>
      </c>
    </row>
    <row r="2018" spans="1:28" x14ac:dyDescent="0.2">
      <c r="A2018" s="1">
        <v>5475</v>
      </c>
      <c r="B2018" s="1" t="s">
        <v>6850</v>
      </c>
      <c r="D2018" s="1" t="s">
        <v>6851</v>
      </c>
      <c r="F2018" s="1" t="s">
        <v>6914</v>
      </c>
      <c r="H2018" s="1" t="s">
        <v>6915</v>
      </c>
      <c r="J2018" s="1" t="s">
        <v>1324</v>
      </c>
      <c r="L2018" s="1" t="s">
        <v>895</v>
      </c>
      <c r="N2018" s="1" t="s">
        <v>4434</v>
      </c>
      <c r="P2018" s="1" t="s">
        <v>4435</v>
      </c>
      <c r="Q2018" s="3">
        <v>1</v>
      </c>
      <c r="R2018" s="23" t="s">
        <v>6854</v>
      </c>
      <c r="S2018" s="23" t="s">
        <v>6845</v>
      </c>
      <c r="T2018" s="23" t="s">
        <v>4866</v>
      </c>
      <c r="U2018" s="3">
        <v>35</v>
      </c>
      <c r="W2018" s="45" t="str">
        <f>HYPERLINK("http://ictvonline.org/taxonomy/p/taxonomy-history?taxnode_id=201901334","ICTVonline=201901334")</f>
        <v>ICTVonline=201901334</v>
      </c>
      <c r="Y2018" s="1" t="s">
        <v>10461</v>
      </c>
      <c r="Z2018" s="1" t="s">
        <v>10462</v>
      </c>
      <c r="AA2018" s="1">
        <v>201900000</v>
      </c>
      <c r="AB2018" s="1">
        <v>35</v>
      </c>
    </row>
    <row r="2019" spans="1:28" x14ac:dyDescent="0.2">
      <c r="A2019" s="1">
        <v>5479</v>
      </c>
      <c r="B2019" s="1" t="s">
        <v>6850</v>
      </c>
      <c r="D2019" s="1" t="s">
        <v>6851</v>
      </c>
      <c r="F2019" s="1" t="s">
        <v>6914</v>
      </c>
      <c r="H2019" s="1" t="s">
        <v>6915</v>
      </c>
      <c r="J2019" s="1" t="s">
        <v>1324</v>
      </c>
      <c r="L2019" s="1" t="s">
        <v>895</v>
      </c>
      <c r="N2019" s="1" t="s">
        <v>10463</v>
      </c>
      <c r="P2019" s="1" t="s">
        <v>10464</v>
      </c>
      <c r="Q2019" s="3">
        <v>0</v>
      </c>
      <c r="R2019" s="23" t="s">
        <v>6854</v>
      </c>
      <c r="S2019" s="23" t="s">
        <v>6849</v>
      </c>
      <c r="T2019" s="23" t="s">
        <v>4864</v>
      </c>
      <c r="U2019" s="3">
        <v>35</v>
      </c>
      <c r="V2019" s="3" t="s">
        <v>10465</v>
      </c>
      <c r="W2019" s="45" t="str">
        <f>HYPERLINK("http://ictvonline.org/taxonomy/p/taxonomy-history?taxnode_id=201907706","ICTVonline=201907706")</f>
        <v>ICTVonline=201907706</v>
      </c>
      <c r="Y2019" s="1" t="s">
        <v>10466</v>
      </c>
      <c r="AA2019" s="1">
        <v>201900000</v>
      </c>
      <c r="AB2019" s="1">
        <v>35</v>
      </c>
    </row>
    <row r="2020" spans="1:28" x14ac:dyDescent="0.2">
      <c r="A2020" s="1">
        <v>5481</v>
      </c>
      <c r="B2020" s="1" t="s">
        <v>6850</v>
      </c>
      <c r="D2020" s="1" t="s">
        <v>6851</v>
      </c>
      <c r="F2020" s="1" t="s">
        <v>6914</v>
      </c>
      <c r="H2020" s="1" t="s">
        <v>6915</v>
      </c>
      <c r="J2020" s="1" t="s">
        <v>1324</v>
      </c>
      <c r="L2020" s="1" t="s">
        <v>895</v>
      </c>
      <c r="N2020" s="1" t="s">
        <v>10463</v>
      </c>
      <c r="P2020" s="1" t="s">
        <v>10467</v>
      </c>
      <c r="Q2020" s="3">
        <v>1</v>
      </c>
      <c r="R2020" s="23" t="s">
        <v>6854</v>
      </c>
      <c r="S2020" s="23" t="s">
        <v>6849</v>
      </c>
      <c r="T2020" s="23" t="s">
        <v>4864</v>
      </c>
      <c r="U2020" s="3">
        <v>35</v>
      </c>
      <c r="V2020" s="3" t="s">
        <v>10465</v>
      </c>
      <c r="W2020" s="45" t="str">
        <f>HYPERLINK("http://ictvonline.org/taxonomy/p/taxonomy-history?taxnode_id=201907705","ICTVonline=201907705")</f>
        <v>ICTVonline=201907705</v>
      </c>
      <c r="Y2020" s="1" t="s">
        <v>10468</v>
      </c>
      <c r="AA2020" s="1">
        <v>201900000</v>
      </c>
      <c r="AB2020" s="1">
        <v>35</v>
      </c>
    </row>
    <row r="2021" spans="1:28" x14ac:dyDescent="0.2">
      <c r="A2021" s="1">
        <v>5485</v>
      </c>
      <c r="B2021" s="1" t="s">
        <v>6850</v>
      </c>
      <c r="D2021" s="1" t="s">
        <v>6851</v>
      </c>
      <c r="F2021" s="1" t="s">
        <v>6914</v>
      </c>
      <c r="H2021" s="1" t="s">
        <v>6915</v>
      </c>
      <c r="J2021" s="1" t="s">
        <v>1324</v>
      </c>
      <c r="L2021" s="1" t="s">
        <v>895</v>
      </c>
      <c r="N2021" s="1" t="s">
        <v>10469</v>
      </c>
      <c r="P2021" s="1" t="s">
        <v>3273</v>
      </c>
      <c r="Q2021" s="3">
        <v>1</v>
      </c>
      <c r="R2021" s="23" t="s">
        <v>6854</v>
      </c>
      <c r="S2021" s="23" t="s">
        <v>6849</v>
      </c>
      <c r="T2021" s="23" t="s">
        <v>6395</v>
      </c>
      <c r="U2021" s="3">
        <v>35</v>
      </c>
      <c r="V2021" s="3" t="s">
        <v>10470</v>
      </c>
      <c r="W2021" s="45" t="str">
        <f>HYPERLINK("http://ictvonline.org/taxonomy/p/taxonomy-history?taxnode_id=201901187","ICTVonline=201901187")</f>
        <v>ICTVonline=201901187</v>
      </c>
      <c r="Y2021" s="1" t="s">
        <v>10471</v>
      </c>
      <c r="AA2021" s="1">
        <v>201900000</v>
      </c>
      <c r="AB2021" s="1">
        <v>35</v>
      </c>
    </row>
    <row r="2022" spans="1:28" x14ac:dyDescent="0.2">
      <c r="A2022" s="1">
        <v>5489</v>
      </c>
      <c r="B2022" s="1" t="s">
        <v>6850</v>
      </c>
      <c r="D2022" s="1" t="s">
        <v>6851</v>
      </c>
      <c r="F2022" s="1" t="s">
        <v>6914</v>
      </c>
      <c r="H2022" s="1" t="s">
        <v>6915</v>
      </c>
      <c r="J2022" s="1" t="s">
        <v>1324</v>
      </c>
      <c r="L2022" s="1" t="s">
        <v>895</v>
      </c>
      <c r="N2022" s="1" t="s">
        <v>6540</v>
      </c>
      <c r="P2022" s="1" t="s">
        <v>3389</v>
      </c>
      <c r="Q2022" s="3">
        <v>0</v>
      </c>
      <c r="R2022" s="23" t="s">
        <v>6854</v>
      </c>
      <c r="S2022" s="23" t="s">
        <v>6845</v>
      </c>
      <c r="T2022" s="23" t="s">
        <v>4866</v>
      </c>
      <c r="U2022" s="3">
        <v>35</v>
      </c>
      <c r="W2022" s="45" t="str">
        <f>HYPERLINK("http://ictvonline.org/taxonomy/p/taxonomy-history?taxnode_id=201901343","ICTVonline=201901343")</f>
        <v>ICTVonline=201901343</v>
      </c>
      <c r="Y2022" s="1" t="s">
        <v>10472</v>
      </c>
      <c r="AA2022" s="1">
        <v>201900000</v>
      </c>
      <c r="AB2022" s="1">
        <v>35</v>
      </c>
    </row>
    <row r="2023" spans="1:28" x14ac:dyDescent="0.2">
      <c r="A2023" s="1">
        <v>5491</v>
      </c>
      <c r="B2023" s="1" t="s">
        <v>6850</v>
      </c>
      <c r="D2023" s="1" t="s">
        <v>6851</v>
      </c>
      <c r="F2023" s="1" t="s">
        <v>6914</v>
      </c>
      <c r="H2023" s="1" t="s">
        <v>6915</v>
      </c>
      <c r="J2023" s="1" t="s">
        <v>1324</v>
      </c>
      <c r="L2023" s="1" t="s">
        <v>895</v>
      </c>
      <c r="N2023" s="1" t="s">
        <v>6540</v>
      </c>
      <c r="P2023" s="1" t="s">
        <v>3390</v>
      </c>
      <c r="Q2023" s="3">
        <v>0</v>
      </c>
      <c r="R2023" s="23" t="s">
        <v>6854</v>
      </c>
      <c r="S2023" s="23" t="s">
        <v>6845</v>
      </c>
      <c r="T2023" s="23" t="s">
        <v>4866</v>
      </c>
      <c r="U2023" s="3">
        <v>35</v>
      </c>
      <c r="W2023" s="45" t="str">
        <f>HYPERLINK("http://ictvonline.org/taxonomy/p/taxonomy-history?taxnode_id=201901344","ICTVonline=201901344")</f>
        <v>ICTVonline=201901344</v>
      </c>
      <c r="Y2023" s="1" t="s">
        <v>10473</v>
      </c>
      <c r="AA2023" s="1">
        <v>201900000</v>
      </c>
      <c r="AB2023" s="1">
        <v>35</v>
      </c>
    </row>
    <row r="2024" spans="1:28" x14ac:dyDescent="0.2">
      <c r="A2024" s="1">
        <v>5493</v>
      </c>
      <c r="B2024" s="1" t="s">
        <v>6850</v>
      </c>
      <c r="D2024" s="1" t="s">
        <v>6851</v>
      </c>
      <c r="F2024" s="1" t="s">
        <v>6914</v>
      </c>
      <c r="H2024" s="1" t="s">
        <v>6915</v>
      </c>
      <c r="J2024" s="1" t="s">
        <v>1324</v>
      </c>
      <c r="L2024" s="1" t="s">
        <v>895</v>
      </c>
      <c r="N2024" s="1" t="s">
        <v>6540</v>
      </c>
      <c r="P2024" s="1" t="s">
        <v>10474</v>
      </c>
      <c r="Q2024" s="3">
        <v>0</v>
      </c>
      <c r="R2024" s="23" t="s">
        <v>6854</v>
      </c>
      <c r="S2024" s="23" t="s">
        <v>6849</v>
      </c>
      <c r="T2024" s="23" t="s">
        <v>4866</v>
      </c>
      <c r="U2024" s="3">
        <v>35</v>
      </c>
      <c r="V2024" s="3" t="s">
        <v>9563</v>
      </c>
      <c r="W2024" s="45" t="str">
        <f>HYPERLINK("http://ictvonline.org/taxonomy/p/taxonomy-history?taxnode_id=201901345","ICTVonline=201901345")</f>
        <v>ICTVonline=201901345</v>
      </c>
      <c r="Y2024" s="1" t="s">
        <v>10475</v>
      </c>
      <c r="AA2024" s="1">
        <v>201900000</v>
      </c>
      <c r="AB2024" s="1">
        <v>35</v>
      </c>
    </row>
    <row r="2025" spans="1:28" x14ac:dyDescent="0.2">
      <c r="A2025" s="1">
        <v>5495</v>
      </c>
      <c r="B2025" s="1" t="s">
        <v>6850</v>
      </c>
      <c r="D2025" s="1" t="s">
        <v>6851</v>
      </c>
      <c r="F2025" s="1" t="s">
        <v>6914</v>
      </c>
      <c r="H2025" s="1" t="s">
        <v>6915</v>
      </c>
      <c r="J2025" s="1" t="s">
        <v>1324</v>
      </c>
      <c r="L2025" s="1" t="s">
        <v>895</v>
      </c>
      <c r="N2025" s="1" t="s">
        <v>6540</v>
      </c>
      <c r="P2025" s="1" t="s">
        <v>6541</v>
      </c>
      <c r="Q2025" s="3">
        <v>0</v>
      </c>
      <c r="R2025" s="23" t="s">
        <v>6854</v>
      </c>
      <c r="S2025" s="23" t="s">
        <v>6845</v>
      </c>
      <c r="T2025" s="23" t="s">
        <v>4866</v>
      </c>
      <c r="U2025" s="3">
        <v>35</v>
      </c>
      <c r="W2025" s="45" t="str">
        <f>HYPERLINK("http://ictvonline.org/taxonomy/p/taxonomy-history?taxnode_id=201901346","ICTVonline=201901346")</f>
        <v>ICTVonline=201901346</v>
      </c>
      <c r="Z2025" s="1" t="s">
        <v>10476</v>
      </c>
      <c r="AA2025" s="1">
        <v>201900000</v>
      </c>
      <c r="AB2025" s="1">
        <v>35</v>
      </c>
    </row>
    <row r="2026" spans="1:28" x14ac:dyDescent="0.2">
      <c r="A2026" s="1">
        <v>5497</v>
      </c>
      <c r="B2026" s="1" t="s">
        <v>6850</v>
      </c>
      <c r="D2026" s="1" t="s">
        <v>6851</v>
      </c>
      <c r="F2026" s="1" t="s">
        <v>6914</v>
      </c>
      <c r="H2026" s="1" t="s">
        <v>6915</v>
      </c>
      <c r="J2026" s="1" t="s">
        <v>1324</v>
      </c>
      <c r="L2026" s="1" t="s">
        <v>895</v>
      </c>
      <c r="N2026" s="1" t="s">
        <v>6540</v>
      </c>
      <c r="P2026" s="1" t="s">
        <v>10477</v>
      </c>
      <c r="Q2026" s="3">
        <v>0</v>
      </c>
      <c r="R2026" s="23" t="s">
        <v>6854</v>
      </c>
      <c r="S2026" s="23" t="s">
        <v>6849</v>
      </c>
      <c r="T2026" s="23" t="s">
        <v>4866</v>
      </c>
      <c r="U2026" s="3">
        <v>35</v>
      </c>
      <c r="V2026" s="3" t="s">
        <v>9563</v>
      </c>
      <c r="W2026" s="45" t="str">
        <f>HYPERLINK("http://ictvonline.org/taxonomy/p/taxonomy-history?taxnode_id=201901347","ICTVonline=201901347")</f>
        <v>ICTVonline=201901347</v>
      </c>
      <c r="Y2026" s="1" t="s">
        <v>10478</v>
      </c>
      <c r="AA2026" s="1">
        <v>201900000</v>
      </c>
      <c r="AB2026" s="1">
        <v>35</v>
      </c>
    </row>
    <row r="2027" spans="1:28" x14ac:dyDescent="0.2">
      <c r="A2027" s="1">
        <v>5499</v>
      </c>
      <c r="B2027" s="1" t="s">
        <v>6850</v>
      </c>
      <c r="D2027" s="1" t="s">
        <v>6851</v>
      </c>
      <c r="F2027" s="1" t="s">
        <v>6914</v>
      </c>
      <c r="H2027" s="1" t="s">
        <v>6915</v>
      </c>
      <c r="J2027" s="1" t="s">
        <v>1324</v>
      </c>
      <c r="L2027" s="1" t="s">
        <v>895</v>
      </c>
      <c r="N2027" s="1" t="s">
        <v>6540</v>
      </c>
      <c r="P2027" s="1" t="s">
        <v>3391</v>
      </c>
      <c r="Q2027" s="3">
        <v>0</v>
      </c>
      <c r="R2027" s="23" t="s">
        <v>6854</v>
      </c>
      <c r="S2027" s="23" t="s">
        <v>6845</v>
      </c>
      <c r="T2027" s="23" t="s">
        <v>4866</v>
      </c>
      <c r="U2027" s="3">
        <v>35</v>
      </c>
      <c r="W2027" s="45" t="str">
        <f>HYPERLINK("http://ictvonline.org/taxonomy/p/taxonomy-history?taxnode_id=201901348","ICTVonline=201901348")</f>
        <v>ICTVonline=201901348</v>
      </c>
      <c r="Y2027" s="1" t="s">
        <v>10479</v>
      </c>
      <c r="AA2027" s="1">
        <v>201900000</v>
      </c>
      <c r="AB2027" s="1">
        <v>35</v>
      </c>
    </row>
    <row r="2028" spans="1:28" x14ac:dyDescent="0.2">
      <c r="A2028" s="1">
        <v>5501</v>
      </c>
      <c r="B2028" s="1" t="s">
        <v>6850</v>
      </c>
      <c r="D2028" s="1" t="s">
        <v>6851</v>
      </c>
      <c r="F2028" s="1" t="s">
        <v>6914</v>
      </c>
      <c r="H2028" s="1" t="s">
        <v>6915</v>
      </c>
      <c r="J2028" s="1" t="s">
        <v>1324</v>
      </c>
      <c r="L2028" s="1" t="s">
        <v>895</v>
      </c>
      <c r="N2028" s="1" t="s">
        <v>6540</v>
      </c>
      <c r="P2028" s="1" t="s">
        <v>10480</v>
      </c>
      <c r="Q2028" s="3">
        <v>0</v>
      </c>
      <c r="R2028" s="23" t="s">
        <v>6854</v>
      </c>
      <c r="S2028" s="23" t="s">
        <v>6849</v>
      </c>
      <c r="T2028" s="23" t="s">
        <v>4866</v>
      </c>
      <c r="U2028" s="3">
        <v>35</v>
      </c>
      <c r="V2028" s="3" t="s">
        <v>9563</v>
      </c>
      <c r="W2028" s="45" t="str">
        <f>HYPERLINK("http://ictvonline.org/taxonomy/p/taxonomy-history?taxnode_id=201901349","ICTVonline=201901349")</f>
        <v>ICTVonline=201901349</v>
      </c>
      <c r="Y2028" s="1" t="s">
        <v>10481</v>
      </c>
      <c r="AA2028" s="1">
        <v>201900000</v>
      </c>
      <c r="AB2028" s="1">
        <v>35</v>
      </c>
    </row>
    <row r="2029" spans="1:28" x14ac:dyDescent="0.2">
      <c r="A2029" s="1">
        <v>5503</v>
      </c>
      <c r="B2029" s="1" t="s">
        <v>6850</v>
      </c>
      <c r="D2029" s="1" t="s">
        <v>6851</v>
      </c>
      <c r="F2029" s="1" t="s">
        <v>6914</v>
      </c>
      <c r="H2029" s="1" t="s">
        <v>6915</v>
      </c>
      <c r="J2029" s="1" t="s">
        <v>1324</v>
      </c>
      <c r="L2029" s="1" t="s">
        <v>895</v>
      </c>
      <c r="N2029" s="1" t="s">
        <v>6540</v>
      </c>
      <c r="P2029" s="1" t="s">
        <v>3392</v>
      </c>
      <c r="Q2029" s="3">
        <v>0</v>
      </c>
      <c r="R2029" s="23" t="s">
        <v>6854</v>
      </c>
      <c r="S2029" s="23" t="s">
        <v>6845</v>
      </c>
      <c r="T2029" s="23" t="s">
        <v>4866</v>
      </c>
      <c r="U2029" s="3">
        <v>35</v>
      </c>
      <c r="W2029" s="45" t="str">
        <f>HYPERLINK("http://ictvonline.org/taxonomy/p/taxonomy-history?taxnode_id=201901350","ICTVonline=201901350")</f>
        <v>ICTVonline=201901350</v>
      </c>
      <c r="Y2029" s="1" t="s">
        <v>10482</v>
      </c>
      <c r="AA2029" s="1">
        <v>201900000</v>
      </c>
      <c r="AB2029" s="1">
        <v>35</v>
      </c>
    </row>
    <row r="2030" spans="1:28" x14ac:dyDescent="0.2">
      <c r="A2030" s="1">
        <v>5505</v>
      </c>
      <c r="B2030" s="1" t="s">
        <v>6850</v>
      </c>
      <c r="D2030" s="1" t="s">
        <v>6851</v>
      </c>
      <c r="F2030" s="1" t="s">
        <v>6914</v>
      </c>
      <c r="H2030" s="1" t="s">
        <v>6915</v>
      </c>
      <c r="J2030" s="1" t="s">
        <v>1324</v>
      </c>
      <c r="L2030" s="1" t="s">
        <v>895</v>
      </c>
      <c r="N2030" s="1" t="s">
        <v>6540</v>
      </c>
      <c r="P2030" s="1" t="s">
        <v>3393</v>
      </c>
      <c r="Q2030" s="3">
        <v>1</v>
      </c>
      <c r="R2030" s="23" t="s">
        <v>6854</v>
      </c>
      <c r="S2030" s="23" t="s">
        <v>6845</v>
      </c>
      <c r="T2030" s="23" t="s">
        <v>4866</v>
      </c>
      <c r="U2030" s="3">
        <v>35</v>
      </c>
      <c r="W2030" s="45" t="str">
        <f>HYPERLINK("http://ictvonline.org/taxonomy/p/taxonomy-history?taxnode_id=201901351","ICTVonline=201901351")</f>
        <v>ICTVonline=201901351</v>
      </c>
      <c r="Y2030" s="1" t="s">
        <v>10483</v>
      </c>
      <c r="AA2030" s="1">
        <v>201900000</v>
      </c>
      <c r="AB2030" s="1">
        <v>35</v>
      </c>
    </row>
    <row r="2031" spans="1:28" x14ac:dyDescent="0.2">
      <c r="A2031" s="1">
        <v>5509</v>
      </c>
      <c r="B2031" s="1" t="s">
        <v>6850</v>
      </c>
      <c r="D2031" s="1" t="s">
        <v>6851</v>
      </c>
      <c r="F2031" s="1" t="s">
        <v>6914</v>
      </c>
      <c r="H2031" s="1" t="s">
        <v>6915</v>
      </c>
      <c r="J2031" s="1" t="s">
        <v>1324</v>
      </c>
      <c r="L2031" s="1" t="s">
        <v>895</v>
      </c>
      <c r="N2031" s="1" t="s">
        <v>6542</v>
      </c>
      <c r="P2031" s="1" t="s">
        <v>4436</v>
      </c>
      <c r="Q2031" s="3">
        <v>1</v>
      </c>
      <c r="R2031" s="23" t="s">
        <v>6854</v>
      </c>
      <c r="S2031" s="23" t="s">
        <v>6845</v>
      </c>
      <c r="T2031" s="23" t="s">
        <v>4866</v>
      </c>
      <c r="U2031" s="3">
        <v>35</v>
      </c>
      <c r="W2031" s="45" t="str">
        <f>HYPERLINK("http://ictvonline.org/taxonomy/p/taxonomy-history?taxnode_id=201901336","ICTVonline=201901336")</f>
        <v>ICTVonline=201901336</v>
      </c>
      <c r="Y2031" s="1" t="s">
        <v>10484</v>
      </c>
      <c r="Z2031" s="1" t="s">
        <v>10485</v>
      </c>
      <c r="AA2031" s="1">
        <v>201900000</v>
      </c>
      <c r="AB2031" s="1">
        <v>35</v>
      </c>
    </row>
    <row r="2032" spans="1:28" x14ac:dyDescent="0.2">
      <c r="A2032" s="1">
        <v>5511</v>
      </c>
      <c r="B2032" s="1" t="s">
        <v>6850</v>
      </c>
      <c r="D2032" s="1" t="s">
        <v>6851</v>
      </c>
      <c r="F2032" s="1" t="s">
        <v>6914</v>
      </c>
      <c r="H2032" s="1" t="s">
        <v>6915</v>
      </c>
      <c r="J2032" s="1" t="s">
        <v>1324</v>
      </c>
      <c r="L2032" s="1" t="s">
        <v>895</v>
      </c>
      <c r="N2032" s="1" t="s">
        <v>6542</v>
      </c>
      <c r="P2032" s="1" t="s">
        <v>4437</v>
      </c>
      <c r="Q2032" s="3">
        <v>0</v>
      </c>
      <c r="R2032" s="23" t="s">
        <v>6854</v>
      </c>
      <c r="S2032" s="23" t="s">
        <v>6845</v>
      </c>
      <c r="T2032" s="23" t="s">
        <v>4866</v>
      </c>
      <c r="U2032" s="3">
        <v>35</v>
      </c>
      <c r="W2032" s="45" t="str">
        <f>HYPERLINK("http://ictvonline.org/taxonomy/p/taxonomy-history?taxnode_id=201901337","ICTVonline=201901337")</f>
        <v>ICTVonline=201901337</v>
      </c>
      <c r="Y2032" s="1" t="s">
        <v>10486</v>
      </c>
      <c r="Z2032" s="1" t="s">
        <v>10487</v>
      </c>
      <c r="AA2032" s="1">
        <v>201900000</v>
      </c>
      <c r="AB2032" s="1">
        <v>35</v>
      </c>
    </row>
    <row r="2033" spans="1:28" x14ac:dyDescent="0.2">
      <c r="A2033" s="1">
        <v>5513</v>
      </c>
      <c r="B2033" s="1" t="s">
        <v>6850</v>
      </c>
      <c r="D2033" s="1" t="s">
        <v>6851</v>
      </c>
      <c r="F2033" s="1" t="s">
        <v>6914</v>
      </c>
      <c r="H2033" s="1" t="s">
        <v>6915</v>
      </c>
      <c r="J2033" s="1" t="s">
        <v>1324</v>
      </c>
      <c r="L2033" s="1" t="s">
        <v>895</v>
      </c>
      <c r="N2033" s="1" t="s">
        <v>6542</v>
      </c>
      <c r="P2033" s="1" t="s">
        <v>4438</v>
      </c>
      <c r="Q2033" s="3">
        <v>0</v>
      </c>
      <c r="R2033" s="23" t="s">
        <v>6854</v>
      </c>
      <c r="S2033" s="23" t="s">
        <v>6845</v>
      </c>
      <c r="T2033" s="23" t="s">
        <v>4866</v>
      </c>
      <c r="U2033" s="3">
        <v>35</v>
      </c>
      <c r="W2033" s="45" t="str">
        <f>HYPERLINK("http://ictvonline.org/taxonomy/p/taxonomy-history?taxnode_id=201901338","ICTVonline=201901338")</f>
        <v>ICTVonline=201901338</v>
      </c>
      <c r="Y2033" s="1" t="s">
        <v>10488</v>
      </c>
      <c r="Z2033" s="1" t="s">
        <v>10489</v>
      </c>
      <c r="AA2033" s="1">
        <v>201900000</v>
      </c>
      <c r="AB2033" s="1">
        <v>35</v>
      </c>
    </row>
    <row r="2034" spans="1:28" x14ac:dyDescent="0.2">
      <c r="A2034" s="1">
        <v>5517</v>
      </c>
      <c r="B2034" s="1" t="s">
        <v>6850</v>
      </c>
      <c r="D2034" s="1" t="s">
        <v>6851</v>
      </c>
      <c r="F2034" s="1" t="s">
        <v>6914</v>
      </c>
      <c r="H2034" s="1" t="s">
        <v>6915</v>
      </c>
      <c r="J2034" s="1" t="s">
        <v>1324</v>
      </c>
      <c r="L2034" s="1" t="s">
        <v>895</v>
      </c>
      <c r="N2034" s="1" t="s">
        <v>4439</v>
      </c>
      <c r="P2034" s="1" t="s">
        <v>4440</v>
      </c>
      <c r="Q2034" s="3">
        <v>0</v>
      </c>
      <c r="R2034" s="23" t="s">
        <v>6854</v>
      </c>
      <c r="S2034" s="23" t="s">
        <v>6845</v>
      </c>
      <c r="T2034" s="23" t="s">
        <v>4866</v>
      </c>
      <c r="U2034" s="3">
        <v>35</v>
      </c>
      <c r="W2034" s="45" t="str">
        <f>HYPERLINK("http://ictvonline.org/taxonomy/p/taxonomy-history?taxnode_id=201901340","ICTVonline=201901340")</f>
        <v>ICTVonline=201901340</v>
      </c>
      <c r="Y2034" s="1" t="s">
        <v>10490</v>
      </c>
      <c r="Z2034" s="1" t="s">
        <v>10491</v>
      </c>
      <c r="AA2034" s="1">
        <v>201900000</v>
      </c>
      <c r="AB2034" s="1">
        <v>35</v>
      </c>
    </row>
    <row r="2035" spans="1:28" x14ac:dyDescent="0.2">
      <c r="A2035" s="1">
        <v>5519</v>
      </c>
      <c r="B2035" s="1" t="s">
        <v>6850</v>
      </c>
      <c r="D2035" s="1" t="s">
        <v>6851</v>
      </c>
      <c r="F2035" s="1" t="s">
        <v>6914</v>
      </c>
      <c r="H2035" s="1" t="s">
        <v>6915</v>
      </c>
      <c r="J2035" s="1" t="s">
        <v>1324</v>
      </c>
      <c r="L2035" s="1" t="s">
        <v>895</v>
      </c>
      <c r="N2035" s="1" t="s">
        <v>4439</v>
      </c>
      <c r="P2035" s="1" t="s">
        <v>4441</v>
      </c>
      <c r="Q2035" s="3">
        <v>1</v>
      </c>
      <c r="R2035" s="23" t="s">
        <v>6854</v>
      </c>
      <c r="S2035" s="23" t="s">
        <v>6845</v>
      </c>
      <c r="T2035" s="23" t="s">
        <v>4866</v>
      </c>
      <c r="U2035" s="3">
        <v>35</v>
      </c>
      <c r="W2035" s="45" t="str">
        <f>HYPERLINK("http://ictvonline.org/taxonomy/p/taxonomy-history?taxnode_id=201901341","ICTVonline=201901341")</f>
        <v>ICTVonline=201901341</v>
      </c>
      <c r="Y2035" s="1" t="s">
        <v>10492</v>
      </c>
      <c r="Z2035" s="1" t="s">
        <v>10493</v>
      </c>
      <c r="AA2035" s="1">
        <v>201900000</v>
      </c>
      <c r="AB2035" s="1">
        <v>35</v>
      </c>
    </row>
    <row r="2036" spans="1:28" x14ac:dyDescent="0.2">
      <c r="A2036" s="1">
        <v>5523</v>
      </c>
      <c r="B2036" s="1" t="s">
        <v>6850</v>
      </c>
      <c r="D2036" s="1" t="s">
        <v>6851</v>
      </c>
      <c r="F2036" s="1" t="s">
        <v>6914</v>
      </c>
      <c r="H2036" s="1" t="s">
        <v>6915</v>
      </c>
      <c r="J2036" s="1" t="s">
        <v>1324</v>
      </c>
      <c r="L2036" s="1" t="s">
        <v>895</v>
      </c>
      <c r="N2036" s="1" t="s">
        <v>6543</v>
      </c>
      <c r="P2036" s="1" t="s">
        <v>6544</v>
      </c>
      <c r="Q2036" s="3">
        <v>1</v>
      </c>
      <c r="R2036" s="23" t="s">
        <v>6854</v>
      </c>
      <c r="S2036" s="23" t="s">
        <v>6845</v>
      </c>
      <c r="T2036" s="23" t="s">
        <v>4866</v>
      </c>
      <c r="U2036" s="3">
        <v>35</v>
      </c>
      <c r="W2036" s="45" t="str">
        <f>HYPERLINK("http://ictvonline.org/taxonomy/p/taxonomy-history?taxnode_id=201906722","ICTVonline=201906722")</f>
        <v>ICTVonline=201906722</v>
      </c>
      <c r="Y2036" s="1" t="s">
        <v>10494</v>
      </c>
      <c r="Z2036" s="1" t="s">
        <v>10495</v>
      </c>
      <c r="AA2036" s="1">
        <v>201900000</v>
      </c>
      <c r="AB2036" s="1">
        <v>35</v>
      </c>
    </row>
    <row r="2037" spans="1:28" x14ac:dyDescent="0.2">
      <c r="A2037" s="1">
        <v>5527</v>
      </c>
      <c r="B2037" s="1" t="s">
        <v>6850</v>
      </c>
      <c r="D2037" s="1" t="s">
        <v>6851</v>
      </c>
      <c r="F2037" s="1" t="s">
        <v>6914</v>
      </c>
      <c r="H2037" s="1" t="s">
        <v>6915</v>
      </c>
      <c r="J2037" s="1" t="s">
        <v>1324</v>
      </c>
      <c r="L2037" s="1" t="s">
        <v>895</v>
      </c>
      <c r="N2037" s="1" t="s">
        <v>3396</v>
      </c>
      <c r="P2037" s="1" t="s">
        <v>3397</v>
      </c>
      <c r="Q2037" s="3">
        <v>0</v>
      </c>
      <c r="R2037" s="23" t="s">
        <v>6854</v>
      </c>
      <c r="S2037" s="23" t="s">
        <v>6845</v>
      </c>
      <c r="T2037" s="23" t="s">
        <v>4866</v>
      </c>
      <c r="U2037" s="3">
        <v>35</v>
      </c>
      <c r="W2037" s="45" t="str">
        <f>HYPERLINK("http://ictvonline.org/taxonomy/p/taxonomy-history?taxnode_id=201901356","ICTVonline=201901356")</f>
        <v>ICTVonline=201901356</v>
      </c>
      <c r="Y2037" s="1" t="s">
        <v>10496</v>
      </c>
      <c r="AA2037" s="1">
        <v>201900000</v>
      </c>
      <c r="AB2037" s="1">
        <v>35</v>
      </c>
    </row>
    <row r="2038" spans="1:28" x14ac:dyDescent="0.2">
      <c r="A2038" s="1">
        <v>5529</v>
      </c>
      <c r="B2038" s="1" t="s">
        <v>6850</v>
      </c>
      <c r="D2038" s="1" t="s">
        <v>6851</v>
      </c>
      <c r="F2038" s="1" t="s">
        <v>6914</v>
      </c>
      <c r="H2038" s="1" t="s">
        <v>6915</v>
      </c>
      <c r="J2038" s="1" t="s">
        <v>1324</v>
      </c>
      <c r="L2038" s="1" t="s">
        <v>895</v>
      </c>
      <c r="N2038" s="1" t="s">
        <v>3396</v>
      </c>
      <c r="P2038" s="1" t="s">
        <v>3398</v>
      </c>
      <c r="Q2038" s="3">
        <v>1</v>
      </c>
      <c r="R2038" s="23" t="s">
        <v>6854</v>
      </c>
      <c r="S2038" s="23" t="s">
        <v>6845</v>
      </c>
      <c r="T2038" s="23" t="s">
        <v>4866</v>
      </c>
      <c r="U2038" s="3">
        <v>35</v>
      </c>
      <c r="W2038" s="45" t="str">
        <f>HYPERLINK("http://ictvonline.org/taxonomy/p/taxonomy-history?taxnode_id=201901357","ICTVonline=201901357")</f>
        <v>ICTVonline=201901357</v>
      </c>
      <c r="Y2038" s="1" t="s">
        <v>10497</v>
      </c>
      <c r="AA2038" s="1">
        <v>201900000</v>
      </c>
      <c r="AB2038" s="1">
        <v>35</v>
      </c>
    </row>
    <row r="2039" spans="1:28" x14ac:dyDescent="0.2">
      <c r="A2039" s="1">
        <v>5531</v>
      </c>
      <c r="B2039" s="1" t="s">
        <v>6850</v>
      </c>
      <c r="D2039" s="1" t="s">
        <v>6851</v>
      </c>
      <c r="F2039" s="1" t="s">
        <v>6914</v>
      </c>
      <c r="H2039" s="1" t="s">
        <v>6915</v>
      </c>
      <c r="J2039" s="1" t="s">
        <v>1324</v>
      </c>
      <c r="L2039" s="1" t="s">
        <v>895</v>
      </c>
      <c r="N2039" s="1" t="s">
        <v>3396</v>
      </c>
      <c r="P2039" s="1" t="s">
        <v>3399</v>
      </c>
      <c r="Q2039" s="3">
        <v>0</v>
      </c>
      <c r="R2039" s="23" t="s">
        <v>6854</v>
      </c>
      <c r="S2039" s="23" t="s">
        <v>6845</v>
      </c>
      <c r="T2039" s="23" t="s">
        <v>4866</v>
      </c>
      <c r="U2039" s="3">
        <v>35</v>
      </c>
      <c r="W2039" s="45" t="str">
        <f>HYPERLINK("http://ictvonline.org/taxonomy/p/taxonomy-history?taxnode_id=201901358","ICTVonline=201901358")</f>
        <v>ICTVonline=201901358</v>
      </c>
      <c r="Y2039" s="1" t="s">
        <v>10498</v>
      </c>
      <c r="AA2039" s="1">
        <v>201900000</v>
      </c>
      <c r="AB2039" s="1">
        <v>35</v>
      </c>
    </row>
    <row r="2040" spans="1:28" x14ac:dyDescent="0.2">
      <c r="A2040" s="1">
        <v>5533</v>
      </c>
      <c r="B2040" s="1" t="s">
        <v>6850</v>
      </c>
      <c r="D2040" s="1" t="s">
        <v>6851</v>
      </c>
      <c r="F2040" s="1" t="s">
        <v>6914</v>
      </c>
      <c r="H2040" s="1" t="s">
        <v>6915</v>
      </c>
      <c r="J2040" s="1" t="s">
        <v>1324</v>
      </c>
      <c r="L2040" s="1" t="s">
        <v>895</v>
      </c>
      <c r="N2040" s="1" t="s">
        <v>3396</v>
      </c>
      <c r="P2040" s="1" t="s">
        <v>3400</v>
      </c>
      <c r="Q2040" s="3">
        <v>0</v>
      </c>
      <c r="R2040" s="23" t="s">
        <v>6854</v>
      </c>
      <c r="S2040" s="23" t="s">
        <v>6845</v>
      </c>
      <c r="T2040" s="23" t="s">
        <v>4866</v>
      </c>
      <c r="U2040" s="3">
        <v>35</v>
      </c>
      <c r="W2040" s="45" t="str">
        <f>HYPERLINK("http://ictvonline.org/taxonomy/p/taxonomy-history?taxnode_id=201901359","ICTVonline=201901359")</f>
        <v>ICTVonline=201901359</v>
      </c>
      <c r="Y2040" s="1" t="s">
        <v>10499</v>
      </c>
      <c r="AA2040" s="1">
        <v>201900000</v>
      </c>
      <c r="AB2040" s="1">
        <v>35</v>
      </c>
    </row>
    <row r="2041" spans="1:28" x14ac:dyDescent="0.2">
      <c r="A2041" s="1">
        <v>5535</v>
      </c>
      <c r="B2041" s="1" t="s">
        <v>6850</v>
      </c>
      <c r="D2041" s="1" t="s">
        <v>6851</v>
      </c>
      <c r="F2041" s="1" t="s">
        <v>6914</v>
      </c>
      <c r="H2041" s="1" t="s">
        <v>6915</v>
      </c>
      <c r="J2041" s="1" t="s">
        <v>1324</v>
      </c>
      <c r="L2041" s="1" t="s">
        <v>895</v>
      </c>
      <c r="N2041" s="1" t="s">
        <v>3396</v>
      </c>
      <c r="P2041" s="1" t="s">
        <v>3401</v>
      </c>
      <c r="Q2041" s="3">
        <v>0</v>
      </c>
      <c r="R2041" s="23" t="s">
        <v>6854</v>
      </c>
      <c r="S2041" s="23" t="s">
        <v>6845</v>
      </c>
      <c r="T2041" s="23" t="s">
        <v>4866</v>
      </c>
      <c r="U2041" s="3">
        <v>35</v>
      </c>
      <c r="W2041" s="45" t="str">
        <f>HYPERLINK("http://ictvonline.org/taxonomy/p/taxonomy-history?taxnode_id=201901360","ICTVonline=201901360")</f>
        <v>ICTVonline=201901360</v>
      </c>
      <c r="Y2041" s="1" t="s">
        <v>10500</v>
      </c>
      <c r="AA2041" s="1">
        <v>201900000</v>
      </c>
      <c r="AB2041" s="1">
        <v>35</v>
      </c>
    </row>
    <row r="2042" spans="1:28" x14ac:dyDescent="0.2">
      <c r="A2042" s="1">
        <v>5537</v>
      </c>
      <c r="B2042" s="1" t="s">
        <v>6850</v>
      </c>
      <c r="D2042" s="1" t="s">
        <v>6851</v>
      </c>
      <c r="F2042" s="1" t="s">
        <v>6914</v>
      </c>
      <c r="H2042" s="1" t="s">
        <v>6915</v>
      </c>
      <c r="J2042" s="1" t="s">
        <v>1324</v>
      </c>
      <c r="L2042" s="1" t="s">
        <v>895</v>
      </c>
      <c r="N2042" s="1" t="s">
        <v>3396</v>
      </c>
      <c r="P2042" s="1" t="s">
        <v>3402</v>
      </c>
      <c r="Q2042" s="3">
        <v>0</v>
      </c>
      <c r="R2042" s="23" t="s">
        <v>6854</v>
      </c>
      <c r="S2042" s="23" t="s">
        <v>6845</v>
      </c>
      <c r="T2042" s="23" t="s">
        <v>4866</v>
      </c>
      <c r="U2042" s="3">
        <v>35</v>
      </c>
      <c r="W2042" s="45" t="str">
        <f>HYPERLINK("http://ictvonline.org/taxonomy/p/taxonomy-history?taxnode_id=201901361","ICTVonline=201901361")</f>
        <v>ICTVonline=201901361</v>
      </c>
      <c r="Y2042" s="1" t="s">
        <v>10501</v>
      </c>
      <c r="AA2042" s="1">
        <v>201900000</v>
      </c>
      <c r="AB2042" s="1">
        <v>35</v>
      </c>
    </row>
    <row r="2043" spans="1:28" x14ac:dyDescent="0.2">
      <c r="A2043" s="1">
        <v>5541</v>
      </c>
      <c r="B2043" s="1" t="s">
        <v>6850</v>
      </c>
      <c r="D2043" s="1" t="s">
        <v>6851</v>
      </c>
      <c r="F2043" s="1" t="s">
        <v>6914</v>
      </c>
      <c r="H2043" s="1" t="s">
        <v>6915</v>
      </c>
      <c r="J2043" s="1" t="s">
        <v>1324</v>
      </c>
      <c r="L2043" s="1" t="s">
        <v>895</v>
      </c>
      <c r="N2043" s="1" t="s">
        <v>5019</v>
      </c>
      <c r="P2043" s="1" t="s">
        <v>5020</v>
      </c>
      <c r="Q2043" s="3">
        <v>1</v>
      </c>
      <c r="R2043" s="23" t="s">
        <v>6854</v>
      </c>
      <c r="S2043" s="23" t="s">
        <v>6845</v>
      </c>
      <c r="T2043" s="23" t="s">
        <v>4866</v>
      </c>
      <c r="U2043" s="3">
        <v>35</v>
      </c>
      <c r="W2043" s="45" t="str">
        <f>HYPERLINK("http://ictvonline.org/taxonomy/p/taxonomy-history?taxnode_id=201905565","ICTVonline=201905565")</f>
        <v>ICTVonline=201905565</v>
      </c>
      <c r="AA2043" s="1">
        <v>201900000</v>
      </c>
      <c r="AB2043" s="1">
        <v>35</v>
      </c>
    </row>
    <row r="2044" spans="1:28" x14ac:dyDescent="0.2">
      <c r="A2044" s="1">
        <v>5545</v>
      </c>
      <c r="B2044" s="1" t="s">
        <v>6850</v>
      </c>
      <c r="D2044" s="1" t="s">
        <v>6851</v>
      </c>
      <c r="F2044" s="1" t="s">
        <v>6914</v>
      </c>
      <c r="H2044" s="1" t="s">
        <v>6915</v>
      </c>
      <c r="J2044" s="1" t="s">
        <v>1324</v>
      </c>
      <c r="L2044" s="1" t="s">
        <v>895</v>
      </c>
      <c r="N2044" s="1" t="s">
        <v>6545</v>
      </c>
      <c r="P2044" s="1" t="s">
        <v>6546</v>
      </c>
      <c r="Q2044" s="3">
        <v>1</v>
      </c>
      <c r="R2044" s="23" t="s">
        <v>6854</v>
      </c>
      <c r="S2044" s="23" t="s">
        <v>6845</v>
      </c>
      <c r="T2044" s="23" t="s">
        <v>4866</v>
      </c>
      <c r="U2044" s="3">
        <v>35</v>
      </c>
      <c r="W2044" s="45" t="str">
        <f>HYPERLINK("http://ictvonline.org/taxonomy/p/taxonomy-history?taxnode_id=201906789","ICTVonline=201906789")</f>
        <v>ICTVonline=201906789</v>
      </c>
      <c r="Y2044" s="1" t="s">
        <v>10502</v>
      </c>
      <c r="Z2044" s="1" t="s">
        <v>10503</v>
      </c>
      <c r="AA2044" s="1">
        <v>201900000</v>
      </c>
      <c r="AB2044" s="1">
        <v>35</v>
      </c>
    </row>
    <row r="2045" spans="1:28" x14ac:dyDescent="0.2">
      <c r="A2045" s="1">
        <v>5549</v>
      </c>
      <c r="B2045" s="1" t="s">
        <v>6850</v>
      </c>
      <c r="D2045" s="1" t="s">
        <v>6851</v>
      </c>
      <c r="F2045" s="1" t="s">
        <v>6914</v>
      </c>
      <c r="H2045" s="1" t="s">
        <v>6915</v>
      </c>
      <c r="J2045" s="1" t="s">
        <v>1324</v>
      </c>
      <c r="L2045" s="1" t="s">
        <v>895</v>
      </c>
      <c r="N2045" s="1" t="s">
        <v>10504</v>
      </c>
      <c r="P2045" s="1" t="s">
        <v>10505</v>
      </c>
      <c r="Q2045" s="3">
        <v>1</v>
      </c>
      <c r="R2045" s="23" t="s">
        <v>6854</v>
      </c>
      <c r="S2045" s="23" t="s">
        <v>6849</v>
      </c>
      <c r="T2045" s="23" t="s">
        <v>4864</v>
      </c>
      <c r="U2045" s="3">
        <v>35</v>
      </c>
      <c r="V2045" s="3" t="s">
        <v>10506</v>
      </c>
      <c r="W2045" s="45" t="str">
        <f>HYPERLINK("http://ictvonline.org/taxonomy/p/taxonomy-history?taxnode_id=201907708","ICTVonline=201907708")</f>
        <v>ICTVonline=201907708</v>
      </c>
      <c r="Y2045" s="1" t="s">
        <v>10507</v>
      </c>
      <c r="AA2045" s="1">
        <v>201900000</v>
      </c>
      <c r="AB2045" s="1">
        <v>35</v>
      </c>
    </row>
    <row r="2046" spans="1:28" x14ac:dyDescent="0.2">
      <c r="A2046" s="1">
        <v>5553</v>
      </c>
      <c r="B2046" s="1" t="s">
        <v>6850</v>
      </c>
      <c r="D2046" s="1" t="s">
        <v>6851</v>
      </c>
      <c r="F2046" s="1" t="s">
        <v>6914</v>
      </c>
      <c r="H2046" s="1" t="s">
        <v>6915</v>
      </c>
      <c r="J2046" s="1" t="s">
        <v>1324</v>
      </c>
      <c r="L2046" s="1" t="s">
        <v>895</v>
      </c>
      <c r="N2046" s="1" t="s">
        <v>6547</v>
      </c>
      <c r="P2046" s="1" t="s">
        <v>6548</v>
      </c>
      <c r="Q2046" s="3">
        <v>1</v>
      </c>
      <c r="R2046" s="23" t="s">
        <v>6854</v>
      </c>
      <c r="S2046" s="23" t="s">
        <v>6845</v>
      </c>
      <c r="T2046" s="23" t="s">
        <v>4866</v>
      </c>
      <c r="U2046" s="3">
        <v>35</v>
      </c>
      <c r="W2046" s="45" t="str">
        <f>HYPERLINK("http://ictvonline.org/taxonomy/p/taxonomy-history?taxnode_id=201906895","ICTVonline=201906895")</f>
        <v>ICTVonline=201906895</v>
      </c>
      <c r="Y2046" s="1" t="s">
        <v>10508</v>
      </c>
      <c r="Z2046" s="1" t="s">
        <v>10509</v>
      </c>
      <c r="AA2046" s="1">
        <v>201900000</v>
      </c>
      <c r="AB2046" s="1">
        <v>35</v>
      </c>
    </row>
    <row r="2047" spans="1:28" x14ac:dyDescent="0.2">
      <c r="A2047" s="1">
        <v>5557</v>
      </c>
      <c r="B2047" s="1" t="s">
        <v>6850</v>
      </c>
      <c r="D2047" s="1" t="s">
        <v>6851</v>
      </c>
      <c r="F2047" s="1" t="s">
        <v>6914</v>
      </c>
      <c r="H2047" s="1" t="s">
        <v>6915</v>
      </c>
      <c r="J2047" s="1" t="s">
        <v>1324</v>
      </c>
      <c r="L2047" s="1" t="s">
        <v>895</v>
      </c>
      <c r="N2047" s="1" t="s">
        <v>6549</v>
      </c>
      <c r="P2047" s="1" t="s">
        <v>6550</v>
      </c>
      <c r="Q2047" s="3">
        <v>1</v>
      </c>
      <c r="R2047" s="23" t="s">
        <v>6854</v>
      </c>
      <c r="S2047" s="23" t="s">
        <v>6845</v>
      </c>
      <c r="T2047" s="23" t="s">
        <v>4866</v>
      </c>
      <c r="U2047" s="3">
        <v>35</v>
      </c>
      <c r="W2047" s="45" t="str">
        <f>HYPERLINK("http://ictvonline.org/taxonomy/p/taxonomy-history?taxnode_id=201907073","ICTVonline=201907073")</f>
        <v>ICTVonline=201907073</v>
      </c>
      <c r="Y2047" s="1" t="s">
        <v>10510</v>
      </c>
      <c r="Z2047" s="1" t="s">
        <v>10511</v>
      </c>
      <c r="AA2047" s="1">
        <v>201900000</v>
      </c>
      <c r="AB2047" s="1">
        <v>35</v>
      </c>
    </row>
    <row r="2048" spans="1:28" x14ac:dyDescent="0.2">
      <c r="A2048" s="1">
        <v>5559</v>
      </c>
      <c r="B2048" s="1" t="s">
        <v>6850</v>
      </c>
      <c r="D2048" s="1" t="s">
        <v>6851</v>
      </c>
      <c r="F2048" s="1" t="s">
        <v>6914</v>
      </c>
      <c r="H2048" s="1" t="s">
        <v>6915</v>
      </c>
      <c r="J2048" s="1" t="s">
        <v>1324</v>
      </c>
      <c r="L2048" s="1" t="s">
        <v>895</v>
      </c>
      <c r="N2048" s="1" t="s">
        <v>6549</v>
      </c>
      <c r="P2048" s="1" t="s">
        <v>6551</v>
      </c>
      <c r="Q2048" s="3">
        <v>0</v>
      </c>
      <c r="R2048" s="23" t="s">
        <v>6854</v>
      </c>
      <c r="S2048" s="23" t="s">
        <v>6845</v>
      </c>
      <c r="T2048" s="23" t="s">
        <v>4866</v>
      </c>
      <c r="U2048" s="3">
        <v>35</v>
      </c>
      <c r="W2048" s="45" t="str">
        <f>HYPERLINK("http://ictvonline.org/taxonomy/p/taxonomy-history?taxnode_id=201907076","ICTVonline=201907076")</f>
        <v>ICTVonline=201907076</v>
      </c>
      <c r="Y2048" s="1" t="s">
        <v>10512</v>
      </c>
      <c r="Z2048" s="1" t="s">
        <v>10513</v>
      </c>
      <c r="AA2048" s="1">
        <v>201900000</v>
      </c>
      <c r="AB2048" s="1">
        <v>35</v>
      </c>
    </row>
    <row r="2049" spans="1:28" x14ac:dyDescent="0.2">
      <c r="A2049" s="1">
        <v>5561</v>
      </c>
      <c r="B2049" s="1" t="s">
        <v>6850</v>
      </c>
      <c r="D2049" s="1" t="s">
        <v>6851</v>
      </c>
      <c r="F2049" s="1" t="s">
        <v>6914</v>
      </c>
      <c r="H2049" s="1" t="s">
        <v>6915</v>
      </c>
      <c r="J2049" s="1" t="s">
        <v>1324</v>
      </c>
      <c r="L2049" s="1" t="s">
        <v>895</v>
      </c>
      <c r="N2049" s="1" t="s">
        <v>6549</v>
      </c>
      <c r="P2049" s="1" t="s">
        <v>6552</v>
      </c>
      <c r="Q2049" s="3">
        <v>0</v>
      </c>
      <c r="R2049" s="23" t="s">
        <v>6854</v>
      </c>
      <c r="S2049" s="23" t="s">
        <v>6845</v>
      </c>
      <c r="T2049" s="23" t="s">
        <v>4866</v>
      </c>
      <c r="U2049" s="3">
        <v>35</v>
      </c>
      <c r="W2049" s="45" t="str">
        <f>HYPERLINK("http://ictvonline.org/taxonomy/p/taxonomy-history?taxnode_id=201907075","ICTVonline=201907075")</f>
        <v>ICTVonline=201907075</v>
      </c>
      <c r="Y2049" s="1" t="s">
        <v>10514</v>
      </c>
      <c r="Z2049" s="1" t="s">
        <v>10515</v>
      </c>
      <c r="AA2049" s="1">
        <v>201900000</v>
      </c>
      <c r="AB2049" s="1">
        <v>35</v>
      </c>
    </row>
    <row r="2050" spans="1:28" x14ac:dyDescent="0.2">
      <c r="A2050" s="1">
        <v>5563</v>
      </c>
      <c r="B2050" s="1" t="s">
        <v>6850</v>
      </c>
      <c r="D2050" s="1" t="s">
        <v>6851</v>
      </c>
      <c r="F2050" s="1" t="s">
        <v>6914</v>
      </c>
      <c r="H2050" s="1" t="s">
        <v>6915</v>
      </c>
      <c r="J2050" s="1" t="s">
        <v>1324</v>
      </c>
      <c r="L2050" s="1" t="s">
        <v>895</v>
      </c>
      <c r="N2050" s="1" t="s">
        <v>6549</v>
      </c>
      <c r="P2050" s="1" t="s">
        <v>6553</v>
      </c>
      <c r="Q2050" s="3">
        <v>0</v>
      </c>
      <c r="R2050" s="23" t="s">
        <v>6854</v>
      </c>
      <c r="S2050" s="23" t="s">
        <v>6845</v>
      </c>
      <c r="T2050" s="23" t="s">
        <v>4866</v>
      </c>
      <c r="U2050" s="3">
        <v>35</v>
      </c>
      <c r="W2050" s="45" t="str">
        <f>HYPERLINK("http://ictvonline.org/taxonomy/p/taxonomy-history?taxnode_id=201907074","ICTVonline=201907074")</f>
        <v>ICTVonline=201907074</v>
      </c>
      <c r="Y2050" s="1" t="s">
        <v>10516</v>
      </c>
      <c r="Z2050" s="1" t="s">
        <v>10517</v>
      </c>
      <c r="AA2050" s="1">
        <v>201900000</v>
      </c>
      <c r="AB2050" s="1">
        <v>35</v>
      </c>
    </row>
    <row r="2051" spans="1:28" x14ac:dyDescent="0.2">
      <c r="A2051" s="1">
        <v>5567</v>
      </c>
      <c r="B2051" s="1" t="s">
        <v>6850</v>
      </c>
      <c r="D2051" s="1" t="s">
        <v>6851</v>
      </c>
      <c r="F2051" s="1" t="s">
        <v>6914</v>
      </c>
      <c r="H2051" s="1" t="s">
        <v>6915</v>
      </c>
      <c r="J2051" s="1" t="s">
        <v>1324</v>
      </c>
      <c r="L2051" s="1" t="s">
        <v>895</v>
      </c>
      <c r="N2051" s="1" t="s">
        <v>10518</v>
      </c>
      <c r="P2051" s="1" t="s">
        <v>10519</v>
      </c>
      <c r="Q2051" s="3">
        <v>0</v>
      </c>
      <c r="R2051" s="23" t="s">
        <v>6854</v>
      </c>
      <c r="S2051" s="23" t="s">
        <v>6849</v>
      </c>
      <c r="T2051" s="23" t="s">
        <v>4864</v>
      </c>
      <c r="U2051" s="3">
        <v>35</v>
      </c>
      <c r="V2051" s="3" t="s">
        <v>10520</v>
      </c>
      <c r="W2051" s="45" t="str">
        <f>HYPERLINK("http://ictvonline.org/taxonomy/p/taxonomy-history?taxnode_id=201908191","ICTVonline=201908191")</f>
        <v>ICTVonline=201908191</v>
      </c>
      <c r="Y2051" s="1" t="s">
        <v>10521</v>
      </c>
      <c r="AA2051" s="1">
        <v>201900000</v>
      </c>
      <c r="AB2051" s="1">
        <v>35</v>
      </c>
    </row>
    <row r="2052" spans="1:28" x14ac:dyDescent="0.2">
      <c r="A2052" s="1">
        <v>5569</v>
      </c>
      <c r="B2052" s="1" t="s">
        <v>6850</v>
      </c>
      <c r="D2052" s="1" t="s">
        <v>6851</v>
      </c>
      <c r="F2052" s="1" t="s">
        <v>6914</v>
      </c>
      <c r="H2052" s="1" t="s">
        <v>6915</v>
      </c>
      <c r="J2052" s="1" t="s">
        <v>1324</v>
      </c>
      <c r="L2052" s="1" t="s">
        <v>895</v>
      </c>
      <c r="N2052" s="1" t="s">
        <v>10518</v>
      </c>
      <c r="P2052" s="1" t="s">
        <v>10522</v>
      </c>
      <c r="Q2052" s="3">
        <v>1</v>
      </c>
      <c r="R2052" s="23" t="s">
        <v>6854</v>
      </c>
      <c r="S2052" s="23" t="s">
        <v>6849</v>
      </c>
      <c r="T2052" s="23" t="s">
        <v>4864</v>
      </c>
      <c r="U2052" s="3">
        <v>35</v>
      </c>
      <c r="V2052" s="3" t="s">
        <v>10520</v>
      </c>
      <c r="W2052" s="45" t="str">
        <f>HYPERLINK("http://ictvonline.org/taxonomy/p/taxonomy-history?taxnode_id=201908190","ICTVonline=201908190")</f>
        <v>ICTVonline=201908190</v>
      </c>
      <c r="Y2052" s="1" t="s">
        <v>10523</v>
      </c>
      <c r="AA2052" s="1">
        <v>201900000</v>
      </c>
      <c r="AB2052" s="1">
        <v>35</v>
      </c>
    </row>
    <row r="2053" spans="1:28" x14ac:dyDescent="0.2">
      <c r="A2053" s="1">
        <v>5573</v>
      </c>
      <c r="B2053" s="1" t="s">
        <v>6850</v>
      </c>
      <c r="D2053" s="1" t="s">
        <v>6851</v>
      </c>
      <c r="F2053" s="1" t="s">
        <v>6914</v>
      </c>
      <c r="H2053" s="1" t="s">
        <v>6915</v>
      </c>
      <c r="J2053" s="1" t="s">
        <v>1324</v>
      </c>
      <c r="L2053" s="1" t="s">
        <v>895</v>
      </c>
      <c r="N2053" s="1" t="s">
        <v>4442</v>
      </c>
      <c r="P2053" s="1" t="s">
        <v>4443</v>
      </c>
      <c r="Q2053" s="3">
        <v>1</v>
      </c>
      <c r="R2053" s="23" t="s">
        <v>6854</v>
      </c>
      <c r="S2053" s="23" t="s">
        <v>6845</v>
      </c>
      <c r="T2053" s="23" t="s">
        <v>4866</v>
      </c>
      <c r="U2053" s="3">
        <v>35</v>
      </c>
      <c r="W2053" s="45" t="str">
        <f>HYPERLINK("http://ictvonline.org/taxonomy/p/taxonomy-history?taxnode_id=201901365","ICTVonline=201901365")</f>
        <v>ICTVonline=201901365</v>
      </c>
      <c r="Y2053" s="1" t="s">
        <v>10524</v>
      </c>
      <c r="Z2053" s="1" t="s">
        <v>10525</v>
      </c>
      <c r="AA2053" s="1">
        <v>201900000</v>
      </c>
      <c r="AB2053" s="1">
        <v>35</v>
      </c>
    </row>
    <row r="2054" spans="1:28" x14ac:dyDescent="0.2">
      <c r="A2054" s="1">
        <v>5577</v>
      </c>
      <c r="B2054" s="1" t="s">
        <v>6850</v>
      </c>
      <c r="D2054" s="1" t="s">
        <v>6851</v>
      </c>
      <c r="F2054" s="1" t="s">
        <v>6914</v>
      </c>
      <c r="H2054" s="1" t="s">
        <v>6915</v>
      </c>
      <c r="J2054" s="1" t="s">
        <v>1324</v>
      </c>
      <c r="L2054" s="1" t="s">
        <v>895</v>
      </c>
      <c r="N2054" s="1" t="s">
        <v>4444</v>
      </c>
      <c r="P2054" s="1" t="s">
        <v>4445</v>
      </c>
      <c r="Q2054" s="3">
        <v>1</v>
      </c>
      <c r="R2054" s="23" t="s">
        <v>6854</v>
      </c>
      <c r="S2054" s="23" t="s">
        <v>6845</v>
      </c>
      <c r="T2054" s="23" t="s">
        <v>4866</v>
      </c>
      <c r="U2054" s="3">
        <v>35</v>
      </c>
      <c r="W2054" s="45" t="str">
        <f>HYPERLINK("http://ictvonline.org/taxonomy/p/taxonomy-history?taxnode_id=201901367","ICTVonline=201901367")</f>
        <v>ICTVonline=201901367</v>
      </c>
      <c r="Y2054" s="1" t="s">
        <v>10526</v>
      </c>
      <c r="Z2054" s="1" t="s">
        <v>10527</v>
      </c>
      <c r="AA2054" s="1">
        <v>201900000</v>
      </c>
      <c r="AB2054" s="1">
        <v>35</v>
      </c>
    </row>
    <row r="2055" spans="1:28" x14ac:dyDescent="0.2">
      <c r="A2055" s="1">
        <v>5581</v>
      </c>
      <c r="B2055" s="1" t="s">
        <v>6850</v>
      </c>
      <c r="D2055" s="1" t="s">
        <v>6851</v>
      </c>
      <c r="F2055" s="1" t="s">
        <v>6914</v>
      </c>
      <c r="H2055" s="1" t="s">
        <v>6915</v>
      </c>
      <c r="J2055" s="1" t="s">
        <v>1324</v>
      </c>
      <c r="L2055" s="1" t="s">
        <v>895</v>
      </c>
      <c r="N2055" s="1" t="s">
        <v>6554</v>
      </c>
      <c r="P2055" s="1" t="s">
        <v>6555</v>
      </c>
      <c r="Q2055" s="3">
        <v>1</v>
      </c>
      <c r="R2055" s="23" t="s">
        <v>6854</v>
      </c>
      <c r="S2055" s="23" t="s">
        <v>6845</v>
      </c>
      <c r="T2055" s="23" t="s">
        <v>4866</v>
      </c>
      <c r="U2055" s="3">
        <v>35</v>
      </c>
      <c r="W2055" s="45" t="str">
        <f>HYPERLINK("http://ictvonline.org/taxonomy/p/taxonomy-history?taxnode_id=201906994","ICTVonline=201906994")</f>
        <v>ICTVonline=201906994</v>
      </c>
      <c r="Y2055" s="1" t="s">
        <v>10528</v>
      </c>
      <c r="Z2055" s="1" t="s">
        <v>10529</v>
      </c>
      <c r="AA2055" s="1">
        <v>201900000</v>
      </c>
      <c r="AB2055" s="1">
        <v>35</v>
      </c>
    </row>
    <row r="2056" spans="1:28" x14ac:dyDescent="0.2">
      <c r="A2056" s="1">
        <v>5585</v>
      </c>
      <c r="B2056" s="1" t="s">
        <v>6850</v>
      </c>
      <c r="D2056" s="1" t="s">
        <v>6851</v>
      </c>
      <c r="F2056" s="1" t="s">
        <v>6914</v>
      </c>
      <c r="H2056" s="1" t="s">
        <v>6915</v>
      </c>
      <c r="J2056" s="1" t="s">
        <v>1324</v>
      </c>
      <c r="L2056" s="1" t="s">
        <v>895</v>
      </c>
      <c r="N2056" s="1" t="s">
        <v>6556</v>
      </c>
      <c r="P2056" s="1" t="s">
        <v>6557</v>
      </c>
      <c r="Q2056" s="3">
        <v>1</v>
      </c>
      <c r="R2056" s="23" t="s">
        <v>6854</v>
      </c>
      <c r="S2056" s="23" t="s">
        <v>6845</v>
      </c>
      <c r="T2056" s="23" t="s">
        <v>4866</v>
      </c>
      <c r="U2056" s="3">
        <v>35</v>
      </c>
      <c r="W2056" s="45" t="str">
        <f>HYPERLINK("http://ictvonline.org/taxonomy/p/taxonomy-history?taxnode_id=201906756","ICTVonline=201906756")</f>
        <v>ICTVonline=201906756</v>
      </c>
      <c r="Y2056" s="1" t="s">
        <v>10530</v>
      </c>
      <c r="Z2056" s="1" t="s">
        <v>10531</v>
      </c>
      <c r="AA2056" s="1">
        <v>201900000</v>
      </c>
      <c r="AB2056" s="1">
        <v>35</v>
      </c>
    </row>
    <row r="2057" spans="1:28" x14ac:dyDescent="0.2">
      <c r="A2057" s="1">
        <v>5589</v>
      </c>
      <c r="B2057" s="1" t="s">
        <v>6850</v>
      </c>
      <c r="D2057" s="1" t="s">
        <v>6851</v>
      </c>
      <c r="F2057" s="1" t="s">
        <v>6914</v>
      </c>
      <c r="H2057" s="1" t="s">
        <v>6915</v>
      </c>
      <c r="J2057" s="1" t="s">
        <v>1324</v>
      </c>
      <c r="L2057" s="1" t="s">
        <v>895</v>
      </c>
      <c r="N2057" s="1" t="s">
        <v>6558</v>
      </c>
      <c r="P2057" s="1" t="s">
        <v>6559</v>
      </c>
      <c r="Q2057" s="3">
        <v>1</v>
      </c>
      <c r="R2057" s="23" t="s">
        <v>6854</v>
      </c>
      <c r="S2057" s="23" t="s">
        <v>6845</v>
      </c>
      <c r="T2057" s="23" t="s">
        <v>4866</v>
      </c>
      <c r="U2057" s="3">
        <v>35</v>
      </c>
      <c r="W2057" s="45" t="str">
        <f>HYPERLINK("http://ictvonline.org/taxonomy/p/taxonomy-history?taxnode_id=201906929","ICTVonline=201906929")</f>
        <v>ICTVonline=201906929</v>
      </c>
      <c r="Z2057" s="1" t="s">
        <v>10532</v>
      </c>
      <c r="AA2057" s="1">
        <v>201900000</v>
      </c>
      <c r="AB2057" s="1">
        <v>35</v>
      </c>
    </row>
    <row r="2058" spans="1:28" x14ac:dyDescent="0.2">
      <c r="A2058" s="1">
        <v>5591</v>
      </c>
      <c r="B2058" s="1" t="s">
        <v>6850</v>
      </c>
      <c r="D2058" s="1" t="s">
        <v>6851</v>
      </c>
      <c r="F2058" s="1" t="s">
        <v>6914</v>
      </c>
      <c r="H2058" s="1" t="s">
        <v>6915</v>
      </c>
      <c r="J2058" s="1" t="s">
        <v>1324</v>
      </c>
      <c r="L2058" s="1" t="s">
        <v>895</v>
      </c>
      <c r="N2058" s="1" t="s">
        <v>6558</v>
      </c>
      <c r="P2058" s="1" t="s">
        <v>6560</v>
      </c>
      <c r="Q2058" s="3">
        <v>0</v>
      </c>
      <c r="R2058" s="23" t="s">
        <v>6854</v>
      </c>
      <c r="S2058" s="23" t="s">
        <v>6845</v>
      </c>
      <c r="T2058" s="23" t="s">
        <v>4866</v>
      </c>
      <c r="U2058" s="3">
        <v>35</v>
      </c>
      <c r="W2058" s="45" t="str">
        <f>HYPERLINK("http://ictvonline.org/taxonomy/p/taxonomy-history?taxnode_id=201906930","ICTVonline=201906930")</f>
        <v>ICTVonline=201906930</v>
      </c>
      <c r="Z2058" s="1" t="s">
        <v>10533</v>
      </c>
      <c r="AA2058" s="1">
        <v>201900000</v>
      </c>
      <c r="AB2058" s="1">
        <v>35</v>
      </c>
    </row>
    <row r="2059" spans="1:28" x14ac:dyDescent="0.2">
      <c r="A2059" s="1">
        <v>5595</v>
      </c>
      <c r="B2059" s="1" t="s">
        <v>6850</v>
      </c>
      <c r="D2059" s="1" t="s">
        <v>6851</v>
      </c>
      <c r="F2059" s="1" t="s">
        <v>6914</v>
      </c>
      <c r="H2059" s="1" t="s">
        <v>6915</v>
      </c>
      <c r="J2059" s="1" t="s">
        <v>1324</v>
      </c>
      <c r="L2059" s="1" t="s">
        <v>895</v>
      </c>
      <c r="N2059" s="1" t="s">
        <v>6561</v>
      </c>
      <c r="P2059" s="1" t="s">
        <v>6562</v>
      </c>
      <c r="Q2059" s="3">
        <v>0</v>
      </c>
      <c r="R2059" s="23" t="s">
        <v>6854</v>
      </c>
      <c r="S2059" s="23" t="s">
        <v>6845</v>
      </c>
      <c r="T2059" s="23" t="s">
        <v>4866</v>
      </c>
      <c r="U2059" s="3">
        <v>35</v>
      </c>
      <c r="W2059" s="45" t="str">
        <f>HYPERLINK("http://ictvonline.org/taxonomy/p/taxonomy-history?taxnode_id=201906792","ICTVonline=201906792")</f>
        <v>ICTVonline=201906792</v>
      </c>
      <c r="Y2059" s="1" t="s">
        <v>10534</v>
      </c>
      <c r="Z2059" s="1" t="s">
        <v>10535</v>
      </c>
      <c r="AA2059" s="1">
        <v>201900000</v>
      </c>
      <c r="AB2059" s="1">
        <v>35</v>
      </c>
    </row>
    <row r="2060" spans="1:28" x14ac:dyDescent="0.2">
      <c r="A2060" s="1">
        <v>5597</v>
      </c>
      <c r="B2060" s="1" t="s">
        <v>6850</v>
      </c>
      <c r="D2060" s="1" t="s">
        <v>6851</v>
      </c>
      <c r="F2060" s="1" t="s">
        <v>6914</v>
      </c>
      <c r="H2060" s="1" t="s">
        <v>6915</v>
      </c>
      <c r="J2060" s="1" t="s">
        <v>1324</v>
      </c>
      <c r="L2060" s="1" t="s">
        <v>895</v>
      </c>
      <c r="N2060" s="1" t="s">
        <v>6561</v>
      </c>
      <c r="P2060" s="1" t="s">
        <v>6563</v>
      </c>
      <c r="Q2060" s="3">
        <v>0</v>
      </c>
      <c r="R2060" s="23" t="s">
        <v>6854</v>
      </c>
      <c r="S2060" s="23" t="s">
        <v>6845</v>
      </c>
      <c r="T2060" s="23" t="s">
        <v>4866</v>
      </c>
      <c r="U2060" s="3">
        <v>35</v>
      </c>
      <c r="W2060" s="45" t="str">
        <f>HYPERLINK("http://ictvonline.org/taxonomy/p/taxonomy-history?taxnode_id=201906793","ICTVonline=201906793")</f>
        <v>ICTVonline=201906793</v>
      </c>
      <c r="Y2060" s="1" t="s">
        <v>10536</v>
      </c>
      <c r="Z2060" s="1" t="s">
        <v>10537</v>
      </c>
      <c r="AA2060" s="1">
        <v>201900000</v>
      </c>
      <c r="AB2060" s="1">
        <v>35</v>
      </c>
    </row>
    <row r="2061" spans="1:28" x14ac:dyDescent="0.2">
      <c r="A2061" s="1">
        <v>5599</v>
      </c>
      <c r="B2061" s="1" t="s">
        <v>6850</v>
      </c>
      <c r="D2061" s="1" t="s">
        <v>6851</v>
      </c>
      <c r="F2061" s="1" t="s">
        <v>6914</v>
      </c>
      <c r="H2061" s="1" t="s">
        <v>6915</v>
      </c>
      <c r="J2061" s="1" t="s">
        <v>1324</v>
      </c>
      <c r="L2061" s="1" t="s">
        <v>895</v>
      </c>
      <c r="N2061" s="1" t="s">
        <v>6561</v>
      </c>
      <c r="P2061" s="1" t="s">
        <v>6564</v>
      </c>
      <c r="Q2061" s="3">
        <v>1</v>
      </c>
      <c r="R2061" s="23" t="s">
        <v>6854</v>
      </c>
      <c r="S2061" s="23" t="s">
        <v>6845</v>
      </c>
      <c r="T2061" s="23" t="s">
        <v>4866</v>
      </c>
      <c r="U2061" s="3">
        <v>35</v>
      </c>
      <c r="W2061" s="45" t="str">
        <f>HYPERLINK("http://ictvonline.org/taxonomy/p/taxonomy-history?taxnode_id=201906791","ICTVonline=201906791")</f>
        <v>ICTVonline=201906791</v>
      </c>
      <c r="Y2061" s="1" t="s">
        <v>10538</v>
      </c>
      <c r="Z2061" s="1" t="s">
        <v>10539</v>
      </c>
      <c r="AA2061" s="1">
        <v>201900000</v>
      </c>
      <c r="AB2061" s="1">
        <v>35</v>
      </c>
    </row>
    <row r="2062" spans="1:28" x14ac:dyDescent="0.2">
      <c r="A2062" s="1">
        <v>5603</v>
      </c>
      <c r="B2062" s="1" t="s">
        <v>6850</v>
      </c>
      <c r="D2062" s="1" t="s">
        <v>6851</v>
      </c>
      <c r="F2062" s="1" t="s">
        <v>6914</v>
      </c>
      <c r="H2062" s="1" t="s">
        <v>6915</v>
      </c>
      <c r="J2062" s="1" t="s">
        <v>1324</v>
      </c>
      <c r="L2062" s="1" t="s">
        <v>895</v>
      </c>
      <c r="N2062" s="1" t="s">
        <v>10540</v>
      </c>
      <c r="P2062" s="1" t="s">
        <v>10541</v>
      </c>
      <c r="Q2062" s="3">
        <v>0</v>
      </c>
      <c r="R2062" s="23" t="s">
        <v>6854</v>
      </c>
      <c r="S2062" s="23" t="s">
        <v>6849</v>
      </c>
      <c r="T2062" s="23" t="s">
        <v>4864</v>
      </c>
      <c r="U2062" s="3">
        <v>35</v>
      </c>
      <c r="V2062" s="3" t="s">
        <v>10542</v>
      </c>
      <c r="W2062" s="45" t="str">
        <f>HYPERLINK("http://ictvonline.org/taxonomy/p/taxonomy-history?taxnode_id=201908070","ICTVonline=201908070")</f>
        <v>ICTVonline=201908070</v>
      </c>
      <c r="Y2062" s="1" t="s">
        <v>10543</v>
      </c>
      <c r="AA2062" s="1">
        <v>201900000</v>
      </c>
      <c r="AB2062" s="1">
        <v>35</v>
      </c>
    </row>
    <row r="2063" spans="1:28" x14ac:dyDescent="0.2">
      <c r="A2063" s="1">
        <v>5605</v>
      </c>
      <c r="B2063" s="1" t="s">
        <v>6850</v>
      </c>
      <c r="D2063" s="1" t="s">
        <v>6851</v>
      </c>
      <c r="F2063" s="1" t="s">
        <v>6914</v>
      </c>
      <c r="H2063" s="1" t="s">
        <v>6915</v>
      </c>
      <c r="J2063" s="1" t="s">
        <v>1324</v>
      </c>
      <c r="L2063" s="1" t="s">
        <v>895</v>
      </c>
      <c r="N2063" s="1" t="s">
        <v>10540</v>
      </c>
      <c r="P2063" s="1" t="s">
        <v>10544</v>
      </c>
      <c r="Q2063" s="3">
        <v>1</v>
      </c>
      <c r="R2063" s="23" t="s">
        <v>6854</v>
      </c>
      <c r="S2063" s="23" t="s">
        <v>6849</v>
      </c>
      <c r="T2063" s="23" t="s">
        <v>4864</v>
      </c>
      <c r="U2063" s="3">
        <v>35</v>
      </c>
      <c r="V2063" s="3" t="s">
        <v>10542</v>
      </c>
      <c r="W2063" s="45" t="str">
        <f>HYPERLINK("http://ictvonline.org/taxonomy/p/taxonomy-history?taxnode_id=201908067","ICTVonline=201908067")</f>
        <v>ICTVonline=201908067</v>
      </c>
      <c r="Y2063" s="1" t="s">
        <v>10545</v>
      </c>
      <c r="AA2063" s="1">
        <v>201900000</v>
      </c>
      <c r="AB2063" s="1">
        <v>35</v>
      </c>
    </row>
    <row r="2064" spans="1:28" x14ac:dyDescent="0.2">
      <c r="A2064" s="1">
        <v>5607</v>
      </c>
      <c r="B2064" s="1" t="s">
        <v>6850</v>
      </c>
      <c r="D2064" s="1" t="s">
        <v>6851</v>
      </c>
      <c r="F2064" s="1" t="s">
        <v>6914</v>
      </c>
      <c r="H2064" s="1" t="s">
        <v>6915</v>
      </c>
      <c r="J2064" s="1" t="s">
        <v>1324</v>
      </c>
      <c r="L2064" s="1" t="s">
        <v>895</v>
      </c>
      <c r="N2064" s="1" t="s">
        <v>10540</v>
      </c>
      <c r="P2064" s="1" t="s">
        <v>10546</v>
      </c>
      <c r="Q2064" s="3">
        <v>0</v>
      </c>
      <c r="R2064" s="23" t="s">
        <v>6854</v>
      </c>
      <c r="S2064" s="23" t="s">
        <v>6849</v>
      </c>
      <c r="T2064" s="23" t="s">
        <v>4864</v>
      </c>
      <c r="U2064" s="3">
        <v>35</v>
      </c>
      <c r="V2064" s="3" t="s">
        <v>10542</v>
      </c>
      <c r="W2064" s="45" t="str">
        <f>HYPERLINK("http://ictvonline.org/taxonomy/p/taxonomy-history?taxnode_id=201908068","ICTVonline=201908068")</f>
        <v>ICTVonline=201908068</v>
      </c>
      <c r="Y2064" s="1" t="s">
        <v>10547</v>
      </c>
      <c r="AA2064" s="1">
        <v>201900000</v>
      </c>
      <c r="AB2064" s="1">
        <v>35</v>
      </c>
    </row>
    <row r="2065" spans="1:28" x14ac:dyDescent="0.2">
      <c r="A2065" s="1">
        <v>5609</v>
      </c>
      <c r="B2065" s="1" t="s">
        <v>6850</v>
      </c>
      <c r="D2065" s="1" t="s">
        <v>6851</v>
      </c>
      <c r="F2065" s="1" t="s">
        <v>6914</v>
      </c>
      <c r="H2065" s="1" t="s">
        <v>6915</v>
      </c>
      <c r="J2065" s="1" t="s">
        <v>1324</v>
      </c>
      <c r="L2065" s="1" t="s">
        <v>895</v>
      </c>
      <c r="N2065" s="1" t="s">
        <v>10540</v>
      </c>
      <c r="P2065" s="1" t="s">
        <v>10548</v>
      </c>
      <c r="Q2065" s="3">
        <v>0</v>
      </c>
      <c r="R2065" s="23" t="s">
        <v>6854</v>
      </c>
      <c r="S2065" s="23" t="s">
        <v>6849</v>
      </c>
      <c r="T2065" s="23" t="s">
        <v>4864</v>
      </c>
      <c r="U2065" s="3">
        <v>35</v>
      </c>
      <c r="V2065" s="3" t="s">
        <v>10542</v>
      </c>
      <c r="W2065" s="45" t="str">
        <f>HYPERLINK("http://ictvonline.org/taxonomy/p/taxonomy-history?taxnode_id=201908069","ICTVonline=201908069")</f>
        <v>ICTVonline=201908069</v>
      </c>
      <c r="Y2065" s="1" t="s">
        <v>10549</v>
      </c>
      <c r="AA2065" s="1">
        <v>201900000</v>
      </c>
      <c r="AB2065" s="1">
        <v>35</v>
      </c>
    </row>
    <row r="2066" spans="1:28" x14ac:dyDescent="0.2">
      <c r="A2066" s="1">
        <v>5613</v>
      </c>
      <c r="B2066" s="1" t="s">
        <v>6850</v>
      </c>
      <c r="D2066" s="1" t="s">
        <v>6851</v>
      </c>
      <c r="F2066" s="1" t="s">
        <v>6914</v>
      </c>
      <c r="H2066" s="1" t="s">
        <v>6915</v>
      </c>
      <c r="J2066" s="1" t="s">
        <v>1324</v>
      </c>
      <c r="L2066" s="1" t="s">
        <v>895</v>
      </c>
      <c r="N2066" s="1" t="s">
        <v>3403</v>
      </c>
      <c r="P2066" s="1" t="s">
        <v>3404</v>
      </c>
      <c r="Q2066" s="3">
        <v>1</v>
      </c>
      <c r="R2066" s="23" t="s">
        <v>6854</v>
      </c>
      <c r="S2066" s="23" t="s">
        <v>6845</v>
      </c>
      <c r="T2066" s="23" t="s">
        <v>4866</v>
      </c>
      <c r="U2066" s="3">
        <v>35</v>
      </c>
      <c r="W2066" s="45" t="str">
        <f>HYPERLINK("http://ictvonline.org/taxonomy/p/taxonomy-history?taxnode_id=201901369","ICTVonline=201901369")</f>
        <v>ICTVonline=201901369</v>
      </c>
      <c r="Y2066" s="1" t="s">
        <v>10550</v>
      </c>
      <c r="AA2066" s="1">
        <v>201900000</v>
      </c>
      <c r="AB2066" s="1">
        <v>35</v>
      </c>
    </row>
    <row r="2067" spans="1:28" x14ac:dyDescent="0.2">
      <c r="A2067" s="1">
        <v>5617</v>
      </c>
      <c r="B2067" s="1" t="s">
        <v>6850</v>
      </c>
      <c r="D2067" s="1" t="s">
        <v>6851</v>
      </c>
      <c r="F2067" s="1" t="s">
        <v>6914</v>
      </c>
      <c r="H2067" s="1" t="s">
        <v>6915</v>
      </c>
      <c r="J2067" s="1" t="s">
        <v>1324</v>
      </c>
      <c r="L2067" s="1" t="s">
        <v>895</v>
      </c>
      <c r="N2067" s="1" t="s">
        <v>6565</v>
      </c>
      <c r="P2067" s="1" t="s">
        <v>6566</v>
      </c>
      <c r="Q2067" s="3">
        <v>1</v>
      </c>
      <c r="R2067" s="23" t="s">
        <v>6854</v>
      </c>
      <c r="S2067" s="23" t="s">
        <v>6845</v>
      </c>
      <c r="T2067" s="23" t="s">
        <v>4866</v>
      </c>
      <c r="U2067" s="3">
        <v>35</v>
      </c>
      <c r="W2067" s="45" t="str">
        <f>HYPERLINK("http://ictvonline.org/taxonomy/p/taxonomy-history?taxnode_id=201906795","ICTVonline=201906795")</f>
        <v>ICTVonline=201906795</v>
      </c>
      <c r="Y2067" s="1" t="s">
        <v>10551</v>
      </c>
      <c r="Z2067" s="1" t="s">
        <v>10552</v>
      </c>
      <c r="AA2067" s="1">
        <v>201900000</v>
      </c>
      <c r="AB2067" s="1">
        <v>35</v>
      </c>
    </row>
    <row r="2068" spans="1:28" x14ac:dyDescent="0.2">
      <c r="A2068" s="1">
        <v>5621</v>
      </c>
      <c r="B2068" s="1" t="s">
        <v>6850</v>
      </c>
      <c r="D2068" s="1" t="s">
        <v>6851</v>
      </c>
      <c r="F2068" s="1" t="s">
        <v>6914</v>
      </c>
      <c r="H2068" s="1" t="s">
        <v>6915</v>
      </c>
      <c r="J2068" s="1" t="s">
        <v>1324</v>
      </c>
      <c r="L2068" s="1" t="s">
        <v>895</v>
      </c>
      <c r="N2068" s="1" t="s">
        <v>4446</v>
      </c>
      <c r="P2068" s="1" t="s">
        <v>4447</v>
      </c>
      <c r="Q2068" s="3">
        <v>1</v>
      </c>
      <c r="R2068" s="23" t="s">
        <v>6854</v>
      </c>
      <c r="S2068" s="23" t="s">
        <v>6845</v>
      </c>
      <c r="T2068" s="23" t="s">
        <v>4866</v>
      </c>
      <c r="U2068" s="3">
        <v>35</v>
      </c>
      <c r="W2068" s="45" t="str">
        <f>HYPERLINK("http://ictvonline.org/taxonomy/p/taxonomy-history?taxnode_id=201901371","ICTVonline=201901371")</f>
        <v>ICTVonline=201901371</v>
      </c>
      <c r="Y2068" s="1" t="s">
        <v>10553</v>
      </c>
      <c r="Z2068" s="1" t="s">
        <v>10554</v>
      </c>
      <c r="AA2068" s="1">
        <v>201900000</v>
      </c>
      <c r="AB2068" s="1">
        <v>35</v>
      </c>
    </row>
    <row r="2069" spans="1:28" x14ac:dyDescent="0.2">
      <c r="A2069" s="1">
        <v>5625</v>
      </c>
      <c r="B2069" s="1" t="s">
        <v>6850</v>
      </c>
      <c r="D2069" s="1" t="s">
        <v>6851</v>
      </c>
      <c r="F2069" s="1" t="s">
        <v>6914</v>
      </c>
      <c r="H2069" s="1" t="s">
        <v>6915</v>
      </c>
      <c r="J2069" s="1" t="s">
        <v>1324</v>
      </c>
      <c r="L2069" s="1" t="s">
        <v>895</v>
      </c>
      <c r="N2069" s="1" t="s">
        <v>6567</v>
      </c>
      <c r="P2069" s="1" t="s">
        <v>6568</v>
      </c>
      <c r="Q2069" s="3">
        <v>1</v>
      </c>
      <c r="R2069" s="23" t="s">
        <v>6854</v>
      </c>
      <c r="S2069" s="23" t="s">
        <v>6845</v>
      </c>
      <c r="T2069" s="23" t="s">
        <v>4866</v>
      </c>
      <c r="U2069" s="3">
        <v>35</v>
      </c>
      <c r="W2069" s="45" t="str">
        <f>HYPERLINK("http://ictvonline.org/taxonomy/p/taxonomy-history?taxnode_id=201906797","ICTVonline=201906797")</f>
        <v>ICTVonline=201906797</v>
      </c>
      <c r="Y2069" s="1" t="s">
        <v>10555</v>
      </c>
      <c r="Z2069" s="1" t="s">
        <v>10556</v>
      </c>
      <c r="AA2069" s="1">
        <v>201900000</v>
      </c>
      <c r="AB2069" s="1">
        <v>35</v>
      </c>
    </row>
    <row r="2070" spans="1:28" x14ac:dyDescent="0.2">
      <c r="A2070" s="1">
        <v>5629</v>
      </c>
      <c r="B2070" s="1" t="s">
        <v>6850</v>
      </c>
      <c r="D2070" s="1" t="s">
        <v>6851</v>
      </c>
      <c r="F2070" s="1" t="s">
        <v>6914</v>
      </c>
      <c r="H2070" s="1" t="s">
        <v>6915</v>
      </c>
      <c r="J2070" s="1" t="s">
        <v>1324</v>
      </c>
      <c r="L2070" s="1" t="s">
        <v>895</v>
      </c>
      <c r="N2070" s="1" t="s">
        <v>5021</v>
      </c>
      <c r="P2070" s="1" t="s">
        <v>5022</v>
      </c>
      <c r="Q2070" s="3">
        <v>0</v>
      </c>
      <c r="R2070" s="23" t="s">
        <v>6854</v>
      </c>
      <c r="S2070" s="23" t="s">
        <v>6845</v>
      </c>
      <c r="T2070" s="23" t="s">
        <v>4866</v>
      </c>
      <c r="U2070" s="3">
        <v>35</v>
      </c>
      <c r="W2070" s="45" t="str">
        <f>HYPERLINK("http://ictvonline.org/taxonomy/p/taxonomy-history?taxnode_id=201905567","ICTVonline=201905567")</f>
        <v>ICTVonline=201905567</v>
      </c>
      <c r="AA2070" s="1">
        <v>201900000</v>
      </c>
      <c r="AB2070" s="1">
        <v>35</v>
      </c>
    </row>
    <row r="2071" spans="1:28" x14ac:dyDescent="0.2">
      <c r="A2071" s="1">
        <v>5631</v>
      </c>
      <c r="B2071" s="1" t="s">
        <v>6850</v>
      </c>
      <c r="D2071" s="1" t="s">
        <v>6851</v>
      </c>
      <c r="F2071" s="1" t="s">
        <v>6914</v>
      </c>
      <c r="H2071" s="1" t="s">
        <v>6915</v>
      </c>
      <c r="J2071" s="1" t="s">
        <v>1324</v>
      </c>
      <c r="L2071" s="1" t="s">
        <v>895</v>
      </c>
      <c r="N2071" s="1" t="s">
        <v>5021</v>
      </c>
      <c r="P2071" s="1" t="s">
        <v>5023</v>
      </c>
      <c r="Q2071" s="3">
        <v>1</v>
      </c>
      <c r="R2071" s="23" t="s">
        <v>6854</v>
      </c>
      <c r="S2071" s="23" t="s">
        <v>6845</v>
      </c>
      <c r="T2071" s="23" t="s">
        <v>4866</v>
      </c>
      <c r="U2071" s="3">
        <v>35</v>
      </c>
      <c r="W2071" s="45" t="str">
        <f>HYPERLINK("http://ictvonline.org/taxonomy/p/taxonomy-history?taxnode_id=201905568","ICTVonline=201905568")</f>
        <v>ICTVonline=201905568</v>
      </c>
      <c r="AA2071" s="1">
        <v>201900000</v>
      </c>
      <c r="AB2071" s="1">
        <v>35</v>
      </c>
    </row>
    <row r="2072" spans="1:28" x14ac:dyDescent="0.2">
      <c r="A2072" s="1">
        <v>5635</v>
      </c>
      <c r="B2072" s="1" t="s">
        <v>6850</v>
      </c>
      <c r="D2072" s="1" t="s">
        <v>6851</v>
      </c>
      <c r="F2072" s="1" t="s">
        <v>6914</v>
      </c>
      <c r="H2072" s="1" t="s">
        <v>6915</v>
      </c>
      <c r="J2072" s="1" t="s">
        <v>1324</v>
      </c>
      <c r="L2072" s="1" t="s">
        <v>895</v>
      </c>
      <c r="N2072" s="1" t="s">
        <v>4448</v>
      </c>
      <c r="P2072" s="1" t="s">
        <v>4449</v>
      </c>
      <c r="Q2072" s="3">
        <v>0</v>
      </c>
      <c r="R2072" s="23" t="s">
        <v>6854</v>
      </c>
      <c r="S2072" s="23" t="s">
        <v>6845</v>
      </c>
      <c r="T2072" s="23" t="s">
        <v>4866</v>
      </c>
      <c r="U2072" s="3">
        <v>35</v>
      </c>
      <c r="W2072" s="45" t="str">
        <f>HYPERLINK("http://ictvonline.org/taxonomy/p/taxonomy-history?taxnode_id=201901373","ICTVonline=201901373")</f>
        <v>ICTVonline=201901373</v>
      </c>
      <c r="Y2072" s="1" t="s">
        <v>10557</v>
      </c>
      <c r="Z2072" s="1" t="s">
        <v>10558</v>
      </c>
      <c r="AA2072" s="1">
        <v>201900000</v>
      </c>
      <c r="AB2072" s="1">
        <v>35</v>
      </c>
    </row>
    <row r="2073" spans="1:28" x14ac:dyDescent="0.2">
      <c r="A2073" s="1">
        <v>5637</v>
      </c>
      <c r="B2073" s="1" t="s">
        <v>6850</v>
      </c>
      <c r="D2073" s="1" t="s">
        <v>6851</v>
      </c>
      <c r="F2073" s="1" t="s">
        <v>6914</v>
      </c>
      <c r="H2073" s="1" t="s">
        <v>6915</v>
      </c>
      <c r="J2073" s="1" t="s">
        <v>1324</v>
      </c>
      <c r="L2073" s="1" t="s">
        <v>895</v>
      </c>
      <c r="N2073" s="1" t="s">
        <v>4448</v>
      </c>
      <c r="P2073" s="1" t="s">
        <v>4451</v>
      </c>
      <c r="Q2073" s="3">
        <v>1</v>
      </c>
      <c r="R2073" s="23" t="s">
        <v>6854</v>
      </c>
      <c r="S2073" s="23" t="s">
        <v>6845</v>
      </c>
      <c r="T2073" s="23" t="s">
        <v>4866</v>
      </c>
      <c r="U2073" s="3">
        <v>35</v>
      </c>
      <c r="W2073" s="45" t="str">
        <f>HYPERLINK("http://ictvonline.org/taxonomy/p/taxonomy-history?taxnode_id=201901375","ICTVonline=201901375")</f>
        <v>ICTVonline=201901375</v>
      </c>
      <c r="Y2073" s="1" t="s">
        <v>10559</v>
      </c>
      <c r="Z2073" s="1" t="s">
        <v>10560</v>
      </c>
      <c r="AA2073" s="1">
        <v>201900000</v>
      </c>
      <c r="AB2073" s="1">
        <v>35</v>
      </c>
    </row>
    <row r="2074" spans="1:28" x14ac:dyDescent="0.2">
      <c r="A2074" s="1">
        <v>5641</v>
      </c>
      <c r="B2074" s="1" t="s">
        <v>6850</v>
      </c>
      <c r="D2074" s="1" t="s">
        <v>6851</v>
      </c>
      <c r="F2074" s="1" t="s">
        <v>6914</v>
      </c>
      <c r="H2074" s="1" t="s">
        <v>6915</v>
      </c>
      <c r="J2074" s="1" t="s">
        <v>1324</v>
      </c>
      <c r="L2074" s="1" t="s">
        <v>895</v>
      </c>
      <c r="N2074" s="1" t="s">
        <v>6569</v>
      </c>
      <c r="P2074" s="1" t="s">
        <v>4452</v>
      </c>
      <c r="Q2074" s="3">
        <v>0</v>
      </c>
      <c r="R2074" s="23" t="s">
        <v>6854</v>
      </c>
      <c r="S2074" s="23" t="s">
        <v>6845</v>
      </c>
      <c r="T2074" s="23" t="s">
        <v>4866</v>
      </c>
      <c r="U2074" s="3">
        <v>35</v>
      </c>
      <c r="W2074" s="45" t="str">
        <f>HYPERLINK("http://ictvonline.org/taxonomy/p/taxonomy-history?taxnode_id=201901383","ICTVonline=201901383")</f>
        <v>ICTVonline=201901383</v>
      </c>
      <c r="Y2074" s="1" t="s">
        <v>10561</v>
      </c>
      <c r="Z2074" s="1" t="s">
        <v>10562</v>
      </c>
      <c r="AA2074" s="1">
        <v>201900000</v>
      </c>
      <c r="AB2074" s="1">
        <v>35</v>
      </c>
    </row>
    <row r="2075" spans="1:28" x14ac:dyDescent="0.2">
      <c r="A2075" s="1">
        <v>5643</v>
      </c>
      <c r="B2075" s="1" t="s">
        <v>6850</v>
      </c>
      <c r="D2075" s="1" t="s">
        <v>6851</v>
      </c>
      <c r="F2075" s="1" t="s">
        <v>6914</v>
      </c>
      <c r="H2075" s="1" t="s">
        <v>6915</v>
      </c>
      <c r="J2075" s="1" t="s">
        <v>1324</v>
      </c>
      <c r="L2075" s="1" t="s">
        <v>895</v>
      </c>
      <c r="N2075" s="1" t="s">
        <v>6569</v>
      </c>
      <c r="P2075" s="1" t="s">
        <v>4453</v>
      </c>
      <c r="Q2075" s="3">
        <v>1</v>
      </c>
      <c r="R2075" s="23" t="s">
        <v>6854</v>
      </c>
      <c r="S2075" s="23" t="s">
        <v>6845</v>
      </c>
      <c r="T2075" s="23" t="s">
        <v>4866</v>
      </c>
      <c r="U2075" s="3">
        <v>35</v>
      </c>
      <c r="W2075" s="45" t="str">
        <f>HYPERLINK("http://ictvonline.org/taxonomy/p/taxonomy-history?taxnode_id=201901384","ICTVonline=201901384")</f>
        <v>ICTVonline=201901384</v>
      </c>
      <c r="Y2075" s="1" t="s">
        <v>10563</v>
      </c>
      <c r="Z2075" s="1" t="s">
        <v>10564</v>
      </c>
      <c r="AA2075" s="1">
        <v>201900000</v>
      </c>
      <c r="AB2075" s="1">
        <v>35</v>
      </c>
    </row>
    <row r="2076" spans="1:28" x14ac:dyDescent="0.2">
      <c r="A2076" s="1">
        <v>5647</v>
      </c>
      <c r="B2076" s="1" t="s">
        <v>6850</v>
      </c>
      <c r="D2076" s="1" t="s">
        <v>6851</v>
      </c>
      <c r="F2076" s="1" t="s">
        <v>6914</v>
      </c>
      <c r="H2076" s="1" t="s">
        <v>6915</v>
      </c>
      <c r="J2076" s="1" t="s">
        <v>1324</v>
      </c>
      <c r="L2076" s="1" t="s">
        <v>895</v>
      </c>
      <c r="N2076" s="1" t="s">
        <v>6570</v>
      </c>
      <c r="P2076" s="1" t="s">
        <v>4420</v>
      </c>
      <c r="Q2076" s="3">
        <v>1</v>
      </c>
      <c r="R2076" s="23" t="s">
        <v>6854</v>
      </c>
      <c r="S2076" s="23" t="s">
        <v>6845</v>
      </c>
      <c r="T2076" s="23" t="s">
        <v>4866</v>
      </c>
      <c r="U2076" s="3">
        <v>35</v>
      </c>
      <c r="W2076" s="45" t="str">
        <f>HYPERLINK("http://ictvonline.org/taxonomy/p/taxonomy-history?taxnode_id=201901242","ICTVonline=201901242")</f>
        <v>ICTVonline=201901242</v>
      </c>
      <c r="Y2076" s="1" t="s">
        <v>10565</v>
      </c>
      <c r="Z2076" s="1" t="s">
        <v>10566</v>
      </c>
      <c r="AA2076" s="1">
        <v>201900000</v>
      </c>
      <c r="AB2076" s="1">
        <v>35</v>
      </c>
    </row>
    <row r="2077" spans="1:28" x14ac:dyDescent="0.2">
      <c r="A2077" s="1">
        <v>5649</v>
      </c>
      <c r="B2077" s="1" t="s">
        <v>6850</v>
      </c>
      <c r="D2077" s="1" t="s">
        <v>6851</v>
      </c>
      <c r="F2077" s="1" t="s">
        <v>6914</v>
      </c>
      <c r="H2077" s="1" t="s">
        <v>6915</v>
      </c>
      <c r="J2077" s="1" t="s">
        <v>1324</v>
      </c>
      <c r="L2077" s="1" t="s">
        <v>895</v>
      </c>
      <c r="N2077" s="1" t="s">
        <v>6570</v>
      </c>
      <c r="P2077" s="1" t="s">
        <v>4421</v>
      </c>
      <c r="Q2077" s="3">
        <v>0</v>
      </c>
      <c r="R2077" s="23" t="s">
        <v>6854</v>
      </c>
      <c r="S2077" s="23" t="s">
        <v>6845</v>
      </c>
      <c r="T2077" s="23" t="s">
        <v>4866</v>
      </c>
      <c r="U2077" s="3">
        <v>35</v>
      </c>
      <c r="W2077" s="45" t="str">
        <f>HYPERLINK("http://ictvonline.org/taxonomy/p/taxonomy-history?taxnode_id=201901243","ICTVonline=201901243")</f>
        <v>ICTVonline=201901243</v>
      </c>
      <c r="Y2077" s="1" t="s">
        <v>10567</v>
      </c>
      <c r="Z2077" s="1" t="s">
        <v>10568</v>
      </c>
      <c r="AA2077" s="1">
        <v>201900000</v>
      </c>
      <c r="AB2077" s="1">
        <v>35</v>
      </c>
    </row>
    <row r="2078" spans="1:28" x14ac:dyDescent="0.2">
      <c r="A2078" s="1">
        <v>5653</v>
      </c>
      <c r="B2078" s="1" t="s">
        <v>6850</v>
      </c>
      <c r="D2078" s="1" t="s">
        <v>6851</v>
      </c>
      <c r="F2078" s="1" t="s">
        <v>6914</v>
      </c>
      <c r="H2078" s="1" t="s">
        <v>6915</v>
      </c>
      <c r="J2078" s="1" t="s">
        <v>1324</v>
      </c>
      <c r="L2078" s="1" t="s">
        <v>895</v>
      </c>
      <c r="N2078" s="1" t="s">
        <v>6571</v>
      </c>
      <c r="P2078" s="1" t="s">
        <v>3406</v>
      </c>
      <c r="Q2078" s="3">
        <v>0</v>
      </c>
      <c r="R2078" s="23" t="s">
        <v>6854</v>
      </c>
      <c r="S2078" s="23" t="s">
        <v>6845</v>
      </c>
      <c r="T2078" s="23" t="s">
        <v>4866</v>
      </c>
      <c r="U2078" s="3">
        <v>35</v>
      </c>
      <c r="W2078" s="45" t="str">
        <f>HYPERLINK("http://ictvonline.org/taxonomy/p/taxonomy-history?taxnode_id=201901378","ICTVonline=201901378")</f>
        <v>ICTVonline=201901378</v>
      </c>
      <c r="Y2078" s="1" t="s">
        <v>10569</v>
      </c>
      <c r="AA2078" s="1">
        <v>201900000</v>
      </c>
      <c r="AB2078" s="1">
        <v>35</v>
      </c>
    </row>
    <row r="2079" spans="1:28" x14ac:dyDescent="0.2">
      <c r="A2079" s="1">
        <v>5655</v>
      </c>
      <c r="B2079" s="1" t="s">
        <v>6850</v>
      </c>
      <c r="D2079" s="1" t="s">
        <v>6851</v>
      </c>
      <c r="F2079" s="1" t="s">
        <v>6914</v>
      </c>
      <c r="H2079" s="1" t="s">
        <v>6915</v>
      </c>
      <c r="J2079" s="1" t="s">
        <v>1324</v>
      </c>
      <c r="L2079" s="1" t="s">
        <v>895</v>
      </c>
      <c r="N2079" s="1" t="s">
        <v>6571</v>
      </c>
      <c r="P2079" s="1" t="s">
        <v>3407</v>
      </c>
      <c r="Q2079" s="3">
        <v>0</v>
      </c>
      <c r="R2079" s="23" t="s">
        <v>6854</v>
      </c>
      <c r="S2079" s="23" t="s">
        <v>6845</v>
      </c>
      <c r="T2079" s="23" t="s">
        <v>4866</v>
      </c>
      <c r="U2079" s="3">
        <v>35</v>
      </c>
      <c r="W2079" s="45" t="str">
        <f>HYPERLINK("http://ictvonline.org/taxonomy/p/taxonomy-history?taxnode_id=201901380","ICTVonline=201901380")</f>
        <v>ICTVonline=201901380</v>
      </c>
      <c r="Y2079" s="1" t="s">
        <v>10570</v>
      </c>
      <c r="AA2079" s="1">
        <v>201900000</v>
      </c>
      <c r="AB2079" s="1">
        <v>35</v>
      </c>
    </row>
    <row r="2080" spans="1:28" x14ac:dyDescent="0.2">
      <c r="A2080" s="1">
        <v>5657</v>
      </c>
      <c r="B2080" s="1" t="s">
        <v>6850</v>
      </c>
      <c r="D2080" s="1" t="s">
        <v>6851</v>
      </c>
      <c r="F2080" s="1" t="s">
        <v>6914</v>
      </c>
      <c r="H2080" s="1" t="s">
        <v>6915</v>
      </c>
      <c r="J2080" s="1" t="s">
        <v>1324</v>
      </c>
      <c r="L2080" s="1" t="s">
        <v>895</v>
      </c>
      <c r="N2080" s="1" t="s">
        <v>6571</v>
      </c>
      <c r="P2080" s="1" t="s">
        <v>3408</v>
      </c>
      <c r="Q2080" s="3">
        <v>1</v>
      </c>
      <c r="R2080" s="23" t="s">
        <v>6854</v>
      </c>
      <c r="S2080" s="23" t="s">
        <v>6845</v>
      </c>
      <c r="T2080" s="23" t="s">
        <v>4866</v>
      </c>
      <c r="U2080" s="3">
        <v>35</v>
      </c>
      <c r="W2080" s="45" t="str">
        <f>HYPERLINK("http://ictvonline.org/taxonomy/p/taxonomy-history?taxnode_id=201901381","ICTVonline=201901381")</f>
        <v>ICTVonline=201901381</v>
      </c>
      <c r="Y2080" s="1" t="s">
        <v>10571</v>
      </c>
      <c r="AA2080" s="1">
        <v>201900000</v>
      </c>
      <c r="AB2080" s="1">
        <v>35</v>
      </c>
    </row>
    <row r="2081" spans="1:28" x14ac:dyDescent="0.2">
      <c r="A2081" s="1">
        <v>5661</v>
      </c>
      <c r="B2081" s="1" t="s">
        <v>6850</v>
      </c>
      <c r="D2081" s="1" t="s">
        <v>6851</v>
      </c>
      <c r="F2081" s="1" t="s">
        <v>6914</v>
      </c>
      <c r="H2081" s="1" t="s">
        <v>6915</v>
      </c>
      <c r="J2081" s="1" t="s">
        <v>1324</v>
      </c>
      <c r="L2081" s="1" t="s">
        <v>895</v>
      </c>
      <c r="N2081" s="1" t="s">
        <v>10572</v>
      </c>
      <c r="P2081" s="1" t="s">
        <v>10573</v>
      </c>
      <c r="Q2081" s="3">
        <v>1</v>
      </c>
      <c r="R2081" s="23" t="s">
        <v>6854</v>
      </c>
      <c r="S2081" s="23" t="s">
        <v>6849</v>
      </c>
      <c r="T2081" s="23" t="s">
        <v>4864</v>
      </c>
      <c r="U2081" s="3">
        <v>35</v>
      </c>
      <c r="V2081" s="3" t="s">
        <v>9975</v>
      </c>
      <c r="W2081" s="45" t="str">
        <f>HYPERLINK("http://ictvonline.org/taxonomy/p/taxonomy-history?taxnode_id=201908061","ICTVonline=201908061")</f>
        <v>ICTVonline=201908061</v>
      </c>
      <c r="Y2081" s="1" t="s">
        <v>10574</v>
      </c>
      <c r="AA2081" s="1">
        <v>201900000</v>
      </c>
      <c r="AB2081" s="1">
        <v>35</v>
      </c>
    </row>
    <row r="2082" spans="1:28" x14ac:dyDescent="0.2">
      <c r="A2082" s="1">
        <v>5665</v>
      </c>
      <c r="B2082" s="1" t="s">
        <v>6850</v>
      </c>
      <c r="D2082" s="1" t="s">
        <v>6851</v>
      </c>
      <c r="F2082" s="1" t="s">
        <v>6914</v>
      </c>
      <c r="H2082" s="1" t="s">
        <v>6915</v>
      </c>
      <c r="J2082" s="1" t="s">
        <v>1324</v>
      </c>
      <c r="L2082" s="1" t="s">
        <v>895</v>
      </c>
      <c r="N2082" s="1" t="s">
        <v>3409</v>
      </c>
      <c r="P2082" s="1" t="s">
        <v>3410</v>
      </c>
      <c r="Q2082" s="3">
        <v>0</v>
      </c>
      <c r="R2082" s="23" t="s">
        <v>6854</v>
      </c>
      <c r="S2082" s="23" t="s">
        <v>6845</v>
      </c>
      <c r="T2082" s="23" t="s">
        <v>4866</v>
      </c>
      <c r="U2082" s="3">
        <v>35</v>
      </c>
      <c r="W2082" s="45" t="str">
        <f>HYPERLINK("http://ictvonline.org/taxonomy/p/taxonomy-history?taxnode_id=201901386","ICTVonline=201901386")</f>
        <v>ICTVonline=201901386</v>
      </c>
      <c r="AA2082" s="1">
        <v>201900000</v>
      </c>
      <c r="AB2082" s="1">
        <v>35</v>
      </c>
    </row>
    <row r="2083" spans="1:28" x14ac:dyDescent="0.2">
      <c r="A2083" s="1">
        <v>5667</v>
      </c>
      <c r="B2083" s="1" t="s">
        <v>6850</v>
      </c>
      <c r="D2083" s="1" t="s">
        <v>6851</v>
      </c>
      <c r="F2083" s="1" t="s">
        <v>6914</v>
      </c>
      <c r="H2083" s="1" t="s">
        <v>6915</v>
      </c>
      <c r="J2083" s="1" t="s">
        <v>1324</v>
      </c>
      <c r="L2083" s="1" t="s">
        <v>895</v>
      </c>
      <c r="N2083" s="1" t="s">
        <v>3409</v>
      </c>
      <c r="P2083" s="1" t="s">
        <v>4454</v>
      </c>
      <c r="Q2083" s="3">
        <v>0</v>
      </c>
      <c r="R2083" s="23" t="s">
        <v>6854</v>
      </c>
      <c r="S2083" s="23" t="s">
        <v>6845</v>
      </c>
      <c r="T2083" s="23" t="s">
        <v>4866</v>
      </c>
      <c r="U2083" s="3">
        <v>35</v>
      </c>
      <c r="W2083" s="45" t="str">
        <f>HYPERLINK("http://ictvonline.org/taxonomy/p/taxonomy-history?taxnode_id=201901387","ICTVonline=201901387")</f>
        <v>ICTVonline=201901387</v>
      </c>
      <c r="Y2083" s="1" t="s">
        <v>10575</v>
      </c>
      <c r="Z2083" s="1" t="s">
        <v>10576</v>
      </c>
      <c r="AA2083" s="1">
        <v>201900000</v>
      </c>
      <c r="AB2083" s="1">
        <v>35</v>
      </c>
    </row>
    <row r="2084" spans="1:28" x14ac:dyDescent="0.2">
      <c r="A2084" s="1">
        <v>5669</v>
      </c>
      <c r="B2084" s="1" t="s">
        <v>6850</v>
      </c>
      <c r="D2084" s="1" t="s">
        <v>6851</v>
      </c>
      <c r="F2084" s="1" t="s">
        <v>6914</v>
      </c>
      <c r="H2084" s="1" t="s">
        <v>6915</v>
      </c>
      <c r="J2084" s="1" t="s">
        <v>1324</v>
      </c>
      <c r="L2084" s="1" t="s">
        <v>895</v>
      </c>
      <c r="N2084" s="1" t="s">
        <v>3409</v>
      </c>
      <c r="P2084" s="1" t="s">
        <v>3411</v>
      </c>
      <c r="Q2084" s="3">
        <v>0</v>
      </c>
      <c r="R2084" s="23" t="s">
        <v>6854</v>
      </c>
      <c r="S2084" s="23" t="s">
        <v>6845</v>
      </c>
      <c r="T2084" s="23" t="s">
        <v>4866</v>
      </c>
      <c r="U2084" s="3">
        <v>35</v>
      </c>
      <c r="W2084" s="45" t="str">
        <f>HYPERLINK("http://ictvonline.org/taxonomy/p/taxonomy-history?taxnode_id=201901388","ICTVonline=201901388")</f>
        <v>ICTVonline=201901388</v>
      </c>
      <c r="AA2084" s="1">
        <v>201900000</v>
      </c>
      <c r="AB2084" s="1">
        <v>35</v>
      </c>
    </row>
    <row r="2085" spans="1:28" x14ac:dyDescent="0.2">
      <c r="A2085" s="1">
        <v>5671</v>
      </c>
      <c r="B2085" s="1" t="s">
        <v>6850</v>
      </c>
      <c r="D2085" s="1" t="s">
        <v>6851</v>
      </c>
      <c r="F2085" s="1" t="s">
        <v>6914</v>
      </c>
      <c r="H2085" s="1" t="s">
        <v>6915</v>
      </c>
      <c r="J2085" s="1" t="s">
        <v>1324</v>
      </c>
      <c r="L2085" s="1" t="s">
        <v>895</v>
      </c>
      <c r="N2085" s="1" t="s">
        <v>3409</v>
      </c>
      <c r="P2085" s="1" t="s">
        <v>4455</v>
      </c>
      <c r="Q2085" s="3">
        <v>0</v>
      </c>
      <c r="R2085" s="23" t="s">
        <v>6854</v>
      </c>
      <c r="S2085" s="23" t="s">
        <v>6845</v>
      </c>
      <c r="T2085" s="23" t="s">
        <v>4866</v>
      </c>
      <c r="U2085" s="3">
        <v>35</v>
      </c>
      <c r="W2085" s="45" t="str">
        <f>HYPERLINK("http://ictvonline.org/taxonomy/p/taxonomy-history?taxnode_id=201901389","ICTVonline=201901389")</f>
        <v>ICTVonline=201901389</v>
      </c>
      <c r="Y2085" s="1" t="s">
        <v>10577</v>
      </c>
      <c r="Z2085" s="1" t="s">
        <v>10578</v>
      </c>
      <c r="AA2085" s="1">
        <v>201900000</v>
      </c>
      <c r="AB2085" s="1">
        <v>35</v>
      </c>
    </row>
    <row r="2086" spans="1:28" x14ac:dyDescent="0.2">
      <c r="A2086" s="1">
        <v>5673</v>
      </c>
      <c r="B2086" s="1" t="s">
        <v>6850</v>
      </c>
      <c r="D2086" s="1" t="s">
        <v>6851</v>
      </c>
      <c r="F2086" s="1" t="s">
        <v>6914</v>
      </c>
      <c r="H2086" s="1" t="s">
        <v>6915</v>
      </c>
      <c r="J2086" s="1" t="s">
        <v>1324</v>
      </c>
      <c r="L2086" s="1" t="s">
        <v>895</v>
      </c>
      <c r="N2086" s="1" t="s">
        <v>3409</v>
      </c>
      <c r="P2086" s="1" t="s">
        <v>4456</v>
      </c>
      <c r="Q2086" s="3">
        <v>0</v>
      </c>
      <c r="R2086" s="23" t="s">
        <v>6854</v>
      </c>
      <c r="S2086" s="23" t="s">
        <v>6845</v>
      </c>
      <c r="T2086" s="23" t="s">
        <v>4866</v>
      </c>
      <c r="U2086" s="3">
        <v>35</v>
      </c>
      <c r="W2086" s="45" t="str">
        <f>HYPERLINK("http://ictvonline.org/taxonomy/p/taxonomy-history?taxnode_id=201901390","ICTVonline=201901390")</f>
        <v>ICTVonline=201901390</v>
      </c>
      <c r="Y2086" s="1" t="s">
        <v>10579</v>
      </c>
      <c r="Z2086" s="1" t="s">
        <v>10580</v>
      </c>
      <c r="AA2086" s="1">
        <v>201900000</v>
      </c>
      <c r="AB2086" s="1">
        <v>35</v>
      </c>
    </row>
    <row r="2087" spans="1:28" x14ac:dyDescent="0.2">
      <c r="A2087" s="1">
        <v>5675</v>
      </c>
      <c r="B2087" s="1" t="s">
        <v>6850</v>
      </c>
      <c r="D2087" s="1" t="s">
        <v>6851</v>
      </c>
      <c r="F2087" s="1" t="s">
        <v>6914</v>
      </c>
      <c r="H2087" s="1" t="s">
        <v>6915</v>
      </c>
      <c r="J2087" s="1" t="s">
        <v>1324</v>
      </c>
      <c r="L2087" s="1" t="s">
        <v>895</v>
      </c>
      <c r="N2087" s="1" t="s">
        <v>3409</v>
      </c>
      <c r="P2087" s="1" t="s">
        <v>3412</v>
      </c>
      <c r="Q2087" s="3">
        <v>1</v>
      </c>
      <c r="R2087" s="23" t="s">
        <v>6854</v>
      </c>
      <c r="S2087" s="23" t="s">
        <v>6845</v>
      </c>
      <c r="T2087" s="23" t="s">
        <v>4866</v>
      </c>
      <c r="U2087" s="3">
        <v>35</v>
      </c>
      <c r="W2087" s="45" t="str">
        <f>HYPERLINK("http://ictvonline.org/taxonomy/p/taxonomy-history?taxnode_id=201901391","ICTVonline=201901391")</f>
        <v>ICTVonline=201901391</v>
      </c>
      <c r="AA2087" s="1">
        <v>201900000</v>
      </c>
      <c r="AB2087" s="1">
        <v>35</v>
      </c>
    </row>
    <row r="2088" spans="1:28" x14ac:dyDescent="0.2">
      <c r="A2088" s="1">
        <v>5679</v>
      </c>
      <c r="B2088" s="1" t="s">
        <v>6850</v>
      </c>
      <c r="D2088" s="1" t="s">
        <v>6851</v>
      </c>
      <c r="F2088" s="1" t="s">
        <v>6914</v>
      </c>
      <c r="H2088" s="1" t="s">
        <v>6915</v>
      </c>
      <c r="J2088" s="1" t="s">
        <v>1324</v>
      </c>
      <c r="L2088" s="1" t="s">
        <v>895</v>
      </c>
      <c r="N2088" s="1" t="s">
        <v>6572</v>
      </c>
      <c r="P2088" s="1" t="s">
        <v>6573</v>
      </c>
      <c r="Q2088" s="3">
        <v>1</v>
      </c>
      <c r="R2088" s="23" t="s">
        <v>6854</v>
      </c>
      <c r="S2088" s="23" t="s">
        <v>6845</v>
      </c>
      <c r="T2088" s="23" t="s">
        <v>4866</v>
      </c>
      <c r="U2088" s="3">
        <v>35</v>
      </c>
      <c r="W2088" s="45" t="str">
        <f>HYPERLINK("http://ictvonline.org/taxonomy/p/taxonomy-history?taxnode_id=201906617","ICTVonline=201906617")</f>
        <v>ICTVonline=201906617</v>
      </c>
      <c r="Y2088" s="1" t="s">
        <v>10581</v>
      </c>
      <c r="Z2088" s="1" t="s">
        <v>10582</v>
      </c>
      <c r="AA2088" s="1">
        <v>201900000</v>
      </c>
      <c r="AB2088" s="1">
        <v>35</v>
      </c>
    </row>
    <row r="2089" spans="1:28" x14ac:dyDescent="0.2">
      <c r="A2089" s="1">
        <v>5683</v>
      </c>
      <c r="B2089" s="1" t="s">
        <v>6850</v>
      </c>
      <c r="D2089" s="1" t="s">
        <v>6851</v>
      </c>
      <c r="F2089" s="1" t="s">
        <v>6914</v>
      </c>
      <c r="H2089" s="1" t="s">
        <v>6915</v>
      </c>
      <c r="J2089" s="1" t="s">
        <v>1324</v>
      </c>
      <c r="L2089" s="1" t="s">
        <v>895</v>
      </c>
      <c r="N2089" s="1" t="s">
        <v>10583</v>
      </c>
      <c r="P2089" s="1" t="s">
        <v>10584</v>
      </c>
      <c r="Q2089" s="3">
        <v>1</v>
      </c>
      <c r="R2089" s="23" t="s">
        <v>6854</v>
      </c>
      <c r="S2089" s="23" t="s">
        <v>6849</v>
      </c>
      <c r="T2089" s="23" t="s">
        <v>4864</v>
      </c>
      <c r="U2089" s="3">
        <v>35</v>
      </c>
      <c r="V2089" s="3" t="s">
        <v>10585</v>
      </c>
      <c r="W2089" s="45" t="str">
        <f>HYPERLINK("http://ictvonline.org/taxonomy/p/taxonomy-history?taxnode_id=201908079","ICTVonline=201908079")</f>
        <v>ICTVonline=201908079</v>
      </c>
      <c r="Y2089" s="1" t="s">
        <v>10586</v>
      </c>
      <c r="AA2089" s="1">
        <v>201900000</v>
      </c>
      <c r="AB2089" s="1">
        <v>35</v>
      </c>
    </row>
    <row r="2090" spans="1:28" x14ac:dyDescent="0.2">
      <c r="A2090" s="1">
        <v>5686</v>
      </c>
      <c r="B2090" s="1" t="s">
        <v>6850</v>
      </c>
      <c r="D2090" s="1" t="s">
        <v>6851</v>
      </c>
      <c r="F2090" s="1" t="s">
        <v>6914</v>
      </c>
      <c r="H2090" s="1" t="s">
        <v>6915</v>
      </c>
      <c r="J2090" s="1" t="s">
        <v>1324</v>
      </c>
      <c r="L2090" s="1" t="s">
        <v>895</v>
      </c>
      <c r="P2090" s="1" t="s">
        <v>3229</v>
      </c>
      <c r="Q2090" s="3">
        <v>0</v>
      </c>
      <c r="R2090" s="23" t="s">
        <v>6854</v>
      </c>
      <c r="S2090" s="23" t="s">
        <v>6845</v>
      </c>
      <c r="T2090" s="23" t="s">
        <v>4866</v>
      </c>
      <c r="U2090" s="3">
        <v>35</v>
      </c>
      <c r="W2090" s="45" t="str">
        <f>HYPERLINK("http://ictvonline.org/taxonomy/p/taxonomy-history?taxnode_id=201901363","ICTVonline=201901363")</f>
        <v>ICTVonline=201901363</v>
      </c>
      <c r="Y2090" s="1" t="s">
        <v>10587</v>
      </c>
      <c r="AA2090" s="1">
        <v>201900000</v>
      </c>
      <c r="AB2090" s="1">
        <v>35</v>
      </c>
    </row>
    <row r="2091" spans="1:28" x14ac:dyDescent="0.2">
      <c r="A2091" s="1">
        <v>5690</v>
      </c>
      <c r="B2091" s="1" t="s">
        <v>6850</v>
      </c>
      <c r="D2091" s="1" t="s">
        <v>6851</v>
      </c>
      <c r="F2091" s="1" t="s">
        <v>6914</v>
      </c>
      <c r="H2091" s="1" t="s">
        <v>6915</v>
      </c>
      <c r="J2091" s="1" t="s">
        <v>1324</v>
      </c>
      <c r="N2091" s="1" t="s">
        <v>6462</v>
      </c>
      <c r="P2091" s="1" t="s">
        <v>6463</v>
      </c>
      <c r="Q2091" s="3">
        <v>1</v>
      </c>
      <c r="R2091" s="23" t="s">
        <v>6854</v>
      </c>
      <c r="S2091" s="23" t="s">
        <v>6845</v>
      </c>
      <c r="T2091" s="23" t="s">
        <v>4866</v>
      </c>
      <c r="U2091" s="3">
        <v>35</v>
      </c>
      <c r="W2091" s="45" t="str">
        <f>HYPERLINK("http://ictvonline.org/taxonomy/p/taxonomy-history?taxnode_id=201906774","ICTVonline=201906774")</f>
        <v>ICTVonline=201906774</v>
      </c>
      <c r="Y2091" s="1" t="s">
        <v>10588</v>
      </c>
      <c r="Z2091" s="1" t="s">
        <v>10589</v>
      </c>
      <c r="AA2091" s="1">
        <v>201900000</v>
      </c>
      <c r="AB2091" s="1">
        <v>35</v>
      </c>
    </row>
    <row r="2092" spans="1:28" x14ac:dyDescent="0.2">
      <c r="A2092" s="1">
        <v>5705</v>
      </c>
      <c r="B2092" s="1" t="s">
        <v>10590</v>
      </c>
      <c r="D2092" s="1" t="s">
        <v>10591</v>
      </c>
      <c r="F2092" s="1" t="s">
        <v>10592</v>
      </c>
      <c r="H2092" s="1" t="s">
        <v>10593</v>
      </c>
      <c r="J2092" s="1" t="s">
        <v>10594</v>
      </c>
      <c r="L2092" s="1" t="s">
        <v>1668</v>
      </c>
      <c r="N2092" s="1" t="s">
        <v>10595</v>
      </c>
      <c r="P2092" s="1" t="s">
        <v>3783</v>
      </c>
      <c r="Q2092" s="3">
        <v>1</v>
      </c>
      <c r="R2092" s="23" t="s">
        <v>10596</v>
      </c>
      <c r="S2092" s="23" t="s">
        <v>6849</v>
      </c>
      <c r="T2092" s="23" t="s">
        <v>6395</v>
      </c>
      <c r="U2092" s="3">
        <v>35</v>
      </c>
      <c r="V2092" s="3" t="s">
        <v>10597</v>
      </c>
      <c r="W2092" s="45" t="str">
        <f>HYPERLINK("http://ictvonline.org/taxonomy/p/taxonomy-history?taxnode_id=201903715","ICTVonline=201903715")</f>
        <v>ICTVonline=201903715</v>
      </c>
      <c r="Y2092" s="1" t="s">
        <v>10598</v>
      </c>
      <c r="AA2092" s="1">
        <v>201900000</v>
      </c>
      <c r="AB2092" s="1">
        <v>35</v>
      </c>
    </row>
    <row r="2093" spans="1:28" x14ac:dyDescent="0.2">
      <c r="A2093" s="1">
        <v>5709</v>
      </c>
      <c r="B2093" s="1" t="s">
        <v>10590</v>
      </c>
      <c r="D2093" s="1" t="s">
        <v>10591</v>
      </c>
      <c r="F2093" s="1" t="s">
        <v>10592</v>
      </c>
      <c r="H2093" s="1" t="s">
        <v>10593</v>
      </c>
      <c r="J2093" s="1" t="s">
        <v>10594</v>
      </c>
      <c r="L2093" s="1" t="s">
        <v>1668</v>
      </c>
      <c r="N2093" s="1" t="s">
        <v>10599</v>
      </c>
      <c r="P2093" s="1" t="s">
        <v>4742</v>
      </c>
      <c r="Q2093" s="3">
        <v>1</v>
      </c>
      <c r="R2093" s="23" t="s">
        <v>10596</v>
      </c>
      <c r="S2093" s="23" t="s">
        <v>6849</v>
      </c>
      <c r="T2093" s="23" t="s">
        <v>6395</v>
      </c>
      <c r="U2093" s="3">
        <v>35</v>
      </c>
      <c r="V2093" s="3" t="s">
        <v>10597</v>
      </c>
      <c r="W2093" s="45" t="str">
        <f>HYPERLINK("http://ictvonline.org/taxonomy/p/taxonomy-history?taxnode_id=201903705","ICTVonline=201903705")</f>
        <v>ICTVonline=201903705</v>
      </c>
      <c r="Y2093" s="1" t="s">
        <v>10600</v>
      </c>
      <c r="AA2093" s="1">
        <v>201900000</v>
      </c>
      <c r="AB2093" s="1">
        <v>35</v>
      </c>
    </row>
    <row r="2094" spans="1:28" x14ac:dyDescent="0.2">
      <c r="A2094" s="1">
        <v>5713</v>
      </c>
      <c r="B2094" s="1" t="s">
        <v>10590</v>
      </c>
      <c r="D2094" s="1" t="s">
        <v>10591</v>
      </c>
      <c r="F2094" s="1" t="s">
        <v>10592</v>
      </c>
      <c r="H2094" s="1" t="s">
        <v>10593</v>
      </c>
      <c r="J2094" s="1" t="s">
        <v>10594</v>
      </c>
      <c r="L2094" s="1" t="s">
        <v>1668</v>
      </c>
      <c r="N2094" s="1" t="s">
        <v>10601</v>
      </c>
      <c r="P2094" s="1" t="s">
        <v>4750</v>
      </c>
      <c r="Q2094" s="3">
        <v>1</v>
      </c>
      <c r="R2094" s="23" t="s">
        <v>10596</v>
      </c>
      <c r="S2094" s="23" t="s">
        <v>6849</v>
      </c>
      <c r="T2094" s="23" t="s">
        <v>6395</v>
      </c>
      <c r="U2094" s="3">
        <v>35</v>
      </c>
      <c r="V2094" s="3" t="s">
        <v>10597</v>
      </c>
      <c r="W2094" s="45" t="str">
        <f>HYPERLINK("http://ictvonline.org/taxonomy/p/taxonomy-history?taxnode_id=201903716","ICTVonline=201903716")</f>
        <v>ICTVonline=201903716</v>
      </c>
      <c r="Y2094" s="1" t="s">
        <v>10602</v>
      </c>
      <c r="AA2094" s="1">
        <v>201900000</v>
      </c>
      <c r="AB2094" s="1">
        <v>35</v>
      </c>
    </row>
    <row r="2095" spans="1:28" x14ac:dyDescent="0.2">
      <c r="A2095" s="1">
        <v>5717</v>
      </c>
      <c r="B2095" s="1" t="s">
        <v>10590</v>
      </c>
      <c r="D2095" s="1" t="s">
        <v>10591</v>
      </c>
      <c r="F2095" s="1" t="s">
        <v>10592</v>
      </c>
      <c r="H2095" s="1" t="s">
        <v>10593</v>
      </c>
      <c r="J2095" s="1" t="s">
        <v>10594</v>
      </c>
      <c r="L2095" s="1" t="s">
        <v>1668</v>
      </c>
      <c r="N2095" s="1" t="s">
        <v>10603</v>
      </c>
      <c r="P2095" s="1" t="s">
        <v>3787</v>
      </c>
      <c r="Q2095" s="3">
        <v>1</v>
      </c>
      <c r="R2095" s="23" t="s">
        <v>10596</v>
      </c>
      <c r="S2095" s="23" t="s">
        <v>6849</v>
      </c>
      <c r="T2095" s="23" t="s">
        <v>6395</v>
      </c>
      <c r="U2095" s="3">
        <v>35</v>
      </c>
      <c r="V2095" s="3" t="s">
        <v>10597</v>
      </c>
      <c r="W2095" s="45" t="str">
        <f>HYPERLINK("http://ictvonline.org/taxonomy/p/taxonomy-history?taxnode_id=201903720","ICTVonline=201903720")</f>
        <v>ICTVonline=201903720</v>
      </c>
      <c r="Y2095" s="1" t="s">
        <v>10604</v>
      </c>
      <c r="AA2095" s="1">
        <v>201900000</v>
      </c>
      <c r="AB2095" s="1">
        <v>35</v>
      </c>
    </row>
    <row r="2096" spans="1:28" x14ac:dyDescent="0.2">
      <c r="A2096" s="1">
        <v>5721</v>
      </c>
      <c r="B2096" s="1" t="s">
        <v>10590</v>
      </c>
      <c r="D2096" s="1" t="s">
        <v>10591</v>
      </c>
      <c r="F2096" s="1" t="s">
        <v>10592</v>
      </c>
      <c r="H2096" s="1" t="s">
        <v>10593</v>
      </c>
      <c r="J2096" s="1" t="s">
        <v>10594</v>
      </c>
      <c r="L2096" s="1" t="s">
        <v>1668</v>
      </c>
      <c r="N2096" s="1" t="s">
        <v>4077</v>
      </c>
      <c r="P2096" s="1" t="s">
        <v>3784</v>
      </c>
      <c r="Q2096" s="3">
        <v>1</v>
      </c>
      <c r="R2096" s="23" t="s">
        <v>10605</v>
      </c>
      <c r="S2096" s="23" t="s">
        <v>6847</v>
      </c>
      <c r="T2096" s="23" t="s">
        <v>4866</v>
      </c>
      <c r="U2096" s="3">
        <v>35</v>
      </c>
      <c r="W2096" s="45" t="str">
        <f>HYPERLINK("http://ictvonline.org/taxonomy/p/taxonomy-history?taxnode_id=201903687","ICTVonline=201903687")</f>
        <v>ICTVonline=201903687</v>
      </c>
      <c r="Y2096" s="1" t="s">
        <v>10606</v>
      </c>
      <c r="Z2096" s="1" t="s">
        <v>10607</v>
      </c>
      <c r="AA2096" s="1">
        <v>201900000</v>
      </c>
      <c r="AB2096" s="1">
        <v>35</v>
      </c>
    </row>
    <row r="2097" spans="1:28" x14ac:dyDescent="0.2">
      <c r="A2097" s="1">
        <v>5723</v>
      </c>
      <c r="B2097" s="1" t="s">
        <v>10590</v>
      </c>
      <c r="D2097" s="1" t="s">
        <v>10591</v>
      </c>
      <c r="F2097" s="1" t="s">
        <v>10592</v>
      </c>
      <c r="H2097" s="1" t="s">
        <v>10593</v>
      </c>
      <c r="J2097" s="1" t="s">
        <v>10594</v>
      </c>
      <c r="L2097" s="1" t="s">
        <v>1668</v>
      </c>
      <c r="N2097" s="1" t="s">
        <v>4077</v>
      </c>
      <c r="P2097" s="1" t="s">
        <v>4736</v>
      </c>
      <c r="Q2097" s="3">
        <v>0</v>
      </c>
      <c r="R2097" s="23" t="s">
        <v>10605</v>
      </c>
      <c r="S2097" s="23" t="s">
        <v>6847</v>
      </c>
      <c r="T2097" s="23" t="s">
        <v>4866</v>
      </c>
      <c r="U2097" s="3">
        <v>35</v>
      </c>
      <c r="W2097" s="45" t="str">
        <f>HYPERLINK("http://ictvonline.org/taxonomy/p/taxonomy-history?taxnode_id=201903688","ICTVonline=201903688")</f>
        <v>ICTVonline=201903688</v>
      </c>
      <c r="Y2097" s="1" t="s">
        <v>10608</v>
      </c>
      <c r="Z2097" s="1" t="s">
        <v>10609</v>
      </c>
      <c r="AA2097" s="1">
        <v>201900000</v>
      </c>
      <c r="AB2097" s="1">
        <v>35</v>
      </c>
    </row>
    <row r="2098" spans="1:28" x14ac:dyDescent="0.2">
      <c r="A2098" s="1">
        <v>5727</v>
      </c>
      <c r="B2098" s="1" t="s">
        <v>10590</v>
      </c>
      <c r="D2098" s="1" t="s">
        <v>10591</v>
      </c>
      <c r="F2098" s="1" t="s">
        <v>10592</v>
      </c>
      <c r="H2098" s="1" t="s">
        <v>10593</v>
      </c>
      <c r="J2098" s="1" t="s">
        <v>10594</v>
      </c>
      <c r="L2098" s="1" t="s">
        <v>1668</v>
      </c>
      <c r="N2098" s="1" t="s">
        <v>4737</v>
      </c>
      <c r="P2098" s="1" t="s">
        <v>10610</v>
      </c>
      <c r="Q2098" s="3">
        <v>0</v>
      </c>
      <c r="R2098" s="23" t="s">
        <v>10596</v>
      </c>
      <c r="S2098" s="23" t="s">
        <v>6849</v>
      </c>
      <c r="T2098" s="23" t="s">
        <v>4864</v>
      </c>
      <c r="U2098" s="3">
        <v>35</v>
      </c>
      <c r="V2098" s="3" t="s">
        <v>10597</v>
      </c>
      <c r="W2098" s="45" t="str">
        <f>HYPERLINK("http://ictvonline.org/taxonomy/p/taxonomy-history?taxnode_id=201907856","ICTVonline=201907856")</f>
        <v>ICTVonline=201907856</v>
      </c>
      <c r="Y2098" s="1" t="s">
        <v>10611</v>
      </c>
      <c r="AA2098" s="1">
        <v>201900000</v>
      </c>
      <c r="AB2098" s="1">
        <v>35</v>
      </c>
    </row>
    <row r="2099" spans="1:28" x14ac:dyDescent="0.2">
      <c r="A2099" s="1">
        <v>5729</v>
      </c>
      <c r="B2099" s="1" t="s">
        <v>10590</v>
      </c>
      <c r="D2099" s="1" t="s">
        <v>10591</v>
      </c>
      <c r="F2099" s="1" t="s">
        <v>10592</v>
      </c>
      <c r="H2099" s="1" t="s">
        <v>10593</v>
      </c>
      <c r="J2099" s="1" t="s">
        <v>10594</v>
      </c>
      <c r="L2099" s="1" t="s">
        <v>1668</v>
      </c>
      <c r="N2099" s="1" t="s">
        <v>4737</v>
      </c>
      <c r="P2099" s="1" t="s">
        <v>4738</v>
      </c>
      <c r="Q2099" s="3">
        <v>0</v>
      </c>
      <c r="R2099" s="23" t="s">
        <v>10605</v>
      </c>
      <c r="S2099" s="23" t="s">
        <v>6847</v>
      </c>
      <c r="T2099" s="23" t="s">
        <v>4866</v>
      </c>
      <c r="U2099" s="3">
        <v>35</v>
      </c>
      <c r="W2099" s="45" t="str">
        <f>HYPERLINK("http://ictvonline.org/taxonomy/p/taxonomy-history?taxnode_id=201903690","ICTVonline=201903690")</f>
        <v>ICTVonline=201903690</v>
      </c>
      <c r="Y2099" s="1" t="s">
        <v>10612</v>
      </c>
      <c r="Z2099" s="1" t="s">
        <v>10613</v>
      </c>
      <c r="AA2099" s="1">
        <v>201900000</v>
      </c>
      <c r="AB2099" s="1">
        <v>35</v>
      </c>
    </row>
    <row r="2100" spans="1:28" x14ac:dyDescent="0.2">
      <c r="A2100" s="1">
        <v>5731</v>
      </c>
      <c r="B2100" s="1" t="s">
        <v>10590</v>
      </c>
      <c r="D2100" s="1" t="s">
        <v>10591</v>
      </c>
      <c r="F2100" s="1" t="s">
        <v>10592</v>
      </c>
      <c r="H2100" s="1" t="s">
        <v>10593</v>
      </c>
      <c r="J2100" s="1" t="s">
        <v>10594</v>
      </c>
      <c r="L2100" s="1" t="s">
        <v>1668</v>
      </c>
      <c r="N2100" s="1" t="s">
        <v>4737</v>
      </c>
      <c r="P2100" s="1" t="s">
        <v>4739</v>
      </c>
      <c r="Q2100" s="3">
        <v>1</v>
      </c>
      <c r="R2100" s="23" t="s">
        <v>10605</v>
      </c>
      <c r="S2100" s="23" t="s">
        <v>6847</v>
      </c>
      <c r="T2100" s="23" t="s">
        <v>4866</v>
      </c>
      <c r="U2100" s="3">
        <v>35</v>
      </c>
      <c r="W2100" s="45" t="str">
        <f>HYPERLINK("http://ictvonline.org/taxonomy/p/taxonomy-history?taxnode_id=201903691","ICTVonline=201903691")</f>
        <v>ICTVonline=201903691</v>
      </c>
      <c r="Y2100" s="1" t="s">
        <v>10614</v>
      </c>
      <c r="Z2100" s="1" t="s">
        <v>10615</v>
      </c>
      <c r="AA2100" s="1">
        <v>201900000</v>
      </c>
      <c r="AB2100" s="1">
        <v>35</v>
      </c>
    </row>
    <row r="2101" spans="1:28" x14ac:dyDescent="0.2">
      <c r="A2101" s="1">
        <v>5733</v>
      </c>
      <c r="B2101" s="1" t="s">
        <v>10590</v>
      </c>
      <c r="D2101" s="1" t="s">
        <v>10591</v>
      </c>
      <c r="F2101" s="1" t="s">
        <v>10592</v>
      </c>
      <c r="H2101" s="1" t="s">
        <v>10593</v>
      </c>
      <c r="J2101" s="1" t="s">
        <v>10594</v>
      </c>
      <c r="L2101" s="1" t="s">
        <v>1668</v>
      </c>
      <c r="N2101" s="1" t="s">
        <v>4737</v>
      </c>
      <c r="P2101" s="1" t="s">
        <v>4740</v>
      </c>
      <c r="Q2101" s="3">
        <v>0</v>
      </c>
      <c r="R2101" s="23" t="s">
        <v>10605</v>
      </c>
      <c r="S2101" s="23" t="s">
        <v>6847</v>
      </c>
      <c r="T2101" s="23" t="s">
        <v>4866</v>
      </c>
      <c r="U2101" s="3">
        <v>35</v>
      </c>
      <c r="W2101" s="45" t="str">
        <f>HYPERLINK("http://ictvonline.org/taxonomy/p/taxonomy-history?taxnode_id=201903692","ICTVonline=201903692")</f>
        <v>ICTVonline=201903692</v>
      </c>
      <c r="Y2101" s="1" t="s">
        <v>10616</v>
      </c>
      <c r="Z2101" s="1" t="s">
        <v>10617</v>
      </c>
      <c r="AA2101" s="1">
        <v>201900000</v>
      </c>
      <c r="AB2101" s="1">
        <v>35</v>
      </c>
    </row>
    <row r="2102" spans="1:28" x14ac:dyDescent="0.2">
      <c r="A2102" s="1">
        <v>5737</v>
      </c>
      <c r="B2102" s="1" t="s">
        <v>10590</v>
      </c>
      <c r="D2102" s="1" t="s">
        <v>10591</v>
      </c>
      <c r="F2102" s="1" t="s">
        <v>10592</v>
      </c>
      <c r="H2102" s="1" t="s">
        <v>10593</v>
      </c>
      <c r="J2102" s="1" t="s">
        <v>10594</v>
      </c>
      <c r="L2102" s="1" t="s">
        <v>1668</v>
      </c>
      <c r="N2102" s="1" t="s">
        <v>10618</v>
      </c>
      <c r="P2102" s="1" t="s">
        <v>3778</v>
      </c>
      <c r="Q2102" s="3">
        <v>1</v>
      </c>
      <c r="R2102" s="23" t="s">
        <v>10596</v>
      </c>
      <c r="S2102" s="23" t="s">
        <v>6849</v>
      </c>
      <c r="T2102" s="23" t="s">
        <v>6395</v>
      </c>
      <c r="U2102" s="3">
        <v>35</v>
      </c>
      <c r="V2102" s="3" t="s">
        <v>10597</v>
      </c>
      <c r="W2102" s="45" t="str">
        <f>HYPERLINK("http://ictvonline.org/taxonomy/p/taxonomy-history?taxnode_id=201903704","ICTVonline=201903704")</f>
        <v>ICTVonline=201903704</v>
      </c>
      <c r="Y2102" s="1" t="s">
        <v>10619</v>
      </c>
      <c r="AA2102" s="1">
        <v>201900000</v>
      </c>
      <c r="AB2102" s="1">
        <v>35</v>
      </c>
    </row>
    <row r="2103" spans="1:28" x14ac:dyDescent="0.2">
      <c r="A2103" s="1">
        <v>5741</v>
      </c>
      <c r="B2103" s="1" t="s">
        <v>10590</v>
      </c>
      <c r="D2103" s="1" t="s">
        <v>10591</v>
      </c>
      <c r="F2103" s="1" t="s">
        <v>10592</v>
      </c>
      <c r="H2103" s="1" t="s">
        <v>10593</v>
      </c>
      <c r="J2103" s="1" t="s">
        <v>10594</v>
      </c>
      <c r="L2103" s="1" t="s">
        <v>1668</v>
      </c>
      <c r="N2103" s="1" t="s">
        <v>1669</v>
      </c>
      <c r="P2103" s="1" t="s">
        <v>3779</v>
      </c>
      <c r="Q2103" s="3">
        <v>1</v>
      </c>
      <c r="R2103" s="23" t="s">
        <v>10605</v>
      </c>
      <c r="S2103" s="23" t="s">
        <v>6847</v>
      </c>
      <c r="T2103" s="23" t="s">
        <v>4866</v>
      </c>
      <c r="U2103" s="3">
        <v>35</v>
      </c>
      <c r="W2103" s="45" t="str">
        <f>HYPERLINK("http://ictvonline.org/taxonomy/p/taxonomy-history?taxnode_id=201903694","ICTVonline=201903694")</f>
        <v>ICTVonline=201903694</v>
      </c>
      <c r="AA2103" s="1">
        <v>201900000</v>
      </c>
      <c r="AB2103" s="1">
        <v>35</v>
      </c>
    </row>
    <row r="2104" spans="1:28" x14ac:dyDescent="0.2">
      <c r="A2104" s="1">
        <v>5745</v>
      </c>
      <c r="B2104" s="1" t="s">
        <v>10590</v>
      </c>
      <c r="D2104" s="1" t="s">
        <v>10591</v>
      </c>
      <c r="F2104" s="1" t="s">
        <v>10592</v>
      </c>
      <c r="H2104" s="1" t="s">
        <v>10593</v>
      </c>
      <c r="J2104" s="1" t="s">
        <v>10594</v>
      </c>
      <c r="L2104" s="1" t="s">
        <v>1668</v>
      </c>
      <c r="N2104" s="1" t="s">
        <v>4078</v>
      </c>
      <c r="P2104" s="1" t="s">
        <v>3777</v>
      </c>
      <c r="Q2104" s="3">
        <v>0</v>
      </c>
      <c r="R2104" s="23" t="s">
        <v>10605</v>
      </c>
      <c r="S2104" s="23" t="s">
        <v>6847</v>
      </c>
      <c r="T2104" s="23" t="s">
        <v>4866</v>
      </c>
      <c r="U2104" s="3">
        <v>35</v>
      </c>
      <c r="W2104" s="45" t="str">
        <f>HYPERLINK("http://ictvonline.org/taxonomy/p/taxonomy-history?taxnode_id=201903696","ICTVonline=201903696")</f>
        <v>ICTVonline=201903696</v>
      </c>
      <c r="Y2104" s="1" t="s">
        <v>10620</v>
      </c>
      <c r="Z2104" s="1" t="s">
        <v>10621</v>
      </c>
      <c r="AA2104" s="1">
        <v>201900000</v>
      </c>
      <c r="AB2104" s="1">
        <v>35</v>
      </c>
    </row>
    <row r="2105" spans="1:28" x14ac:dyDescent="0.2">
      <c r="A2105" s="1">
        <v>5747</v>
      </c>
      <c r="B2105" s="1" t="s">
        <v>10590</v>
      </c>
      <c r="D2105" s="1" t="s">
        <v>10591</v>
      </c>
      <c r="F2105" s="1" t="s">
        <v>10592</v>
      </c>
      <c r="H2105" s="1" t="s">
        <v>10593</v>
      </c>
      <c r="J2105" s="1" t="s">
        <v>10594</v>
      </c>
      <c r="L2105" s="1" t="s">
        <v>1668</v>
      </c>
      <c r="N2105" s="1" t="s">
        <v>4078</v>
      </c>
      <c r="P2105" s="1" t="s">
        <v>3782</v>
      </c>
      <c r="Q2105" s="3">
        <v>1</v>
      </c>
      <c r="R2105" s="23" t="s">
        <v>10605</v>
      </c>
      <c r="S2105" s="23" t="s">
        <v>6847</v>
      </c>
      <c r="T2105" s="23" t="s">
        <v>4866</v>
      </c>
      <c r="U2105" s="3">
        <v>35</v>
      </c>
      <c r="W2105" s="45" t="str">
        <f>HYPERLINK("http://ictvonline.org/taxonomy/p/taxonomy-history?taxnode_id=201903697","ICTVonline=201903697")</f>
        <v>ICTVonline=201903697</v>
      </c>
      <c r="Y2105" s="1" t="s">
        <v>10622</v>
      </c>
      <c r="Z2105" s="1" t="s">
        <v>10623</v>
      </c>
      <c r="AA2105" s="1">
        <v>201900000</v>
      </c>
      <c r="AB2105" s="1">
        <v>35</v>
      </c>
    </row>
    <row r="2106" spans="1:28" x14ac:dyDescent="0.2">
      <c r="A2106" s="1">
        <v>5751</v>
      </c>
      <c r="B2106" s="1" t="s">
        <v>10590</v>
      </c>
      <c r="D2106" s="1" t="s">
        <v>10591</v>
      </c>
      <c r="F2106" s="1" t="s">
        <v>10592</v>
      </c>
      <c r="H2106" s="1" t="s">
        <v>10593</v>
      </c>
      <c r="J2106" s="1" t="s">
        <v>10594</v>
      </c>
      <c r="L2106" s="1" t="s">
        <v>1668</v>
      </c>
      <c r="N2106" s="1" t="s">
        <v>10624</v>
      </c>
      <c r="P2106" s="1" t="s">
        <v>4743</v>
      </c>
      <c r="Q2106" s="3">
        <v>1</v>
      </c>
      <c r="R2106" s="23" t="s">
        <v>10596</v>
      </c>
      <c r="S2106" s="23" t="s">
        <v>6849</v>
      </c>
      <c r="T2106" s="23" t="s">
        <v>6395</v>
      </c>
      <c r="U2106" s="3">
        <v>35</v>
      </c>
      <c r="V2106" s="3" t="s">
        <v>10597</v>
      </c>
      <c r="W2106" s="45" t="str">
        <f>HYPERLINK("http://ictvonline.org/taxonomy/p/taxonomy-history?taxnode_id=201903708","ICTVonline=201903708")</f>
        <v>ICTVonline=201903708</v>
      </c>
      <c r="Y2106" s="1" t="s">
        <v>10625</v>
      </c>
      <c r="AA2106" s="1">
        <v>201900000</v>
      </c>
      <c r="AB2106" s="1">
        <v>35</v>
      </c>
    </row>
    <row r="2107" spans="1:28" x14ac:dyDescent="0.2">
      <c r="A2107" s="1">
        <v>5755</v>
      </c>
      <c r="B2107" s="1" t="s">
        <v>10590</v>
      </c>
      <c r="D2107" s="1" t="s">
        <v>10591</v>
      </c>
      <c r="F2107" s="1" t="s">
        <v>10592</v>
      </c>
      <c r="H2107" s="1" t="s">
        <v>10593</v>
      </c>
      <c r="J2107" s="1" t="s">
        <v>10594</v>
      </c>
      <c r="L2107" s="1" t="s">
        <v>1668</v>
      </c>
      <c r="N2107" s="1" t="s">
        <v>10626</v>
      </c>
      <c r="P2107" s="1" t="s">
        <v>3780</v>
      </c>
      <c r="Q2107" s="3">
        <v>1</v>
      </c>
      <c r="R2107" s="23" t="s">
        <v>10596</v>
      </c>
      <c r="S2107" s="23" t="s">
        <v>6849</v>
      </c>
      <c r="T2107" s="23" t="s">
        <v>6395</v>
      </c>
      <c r="U2107" s="3">
        <v>35</v>
      </c>
      <c r="V2107" s="3" t="s">
        <v>10597</v>
      </c>
      <c r="W2107" s="45" t="str">
        <f>HYPERLINK("http://ictvonline.org/taxonomy/p/taxonomy-history?taxnode_id=201903706","ICTVonline=201903706")</f>
        <v>ICTVonline=201903706</v>
      </c>
      <c r="Y2107" s="1" t="s">
        <v>10627</v>
      </c>
      <c r="AA2107" s="1">
        <v>201900000</v>
      </c>
      <c r="AB2107" s="1">
        <v>35</v>
      </c>
    </row>
    <row r="2108" spans="1:28" x14ac:dyDescent="0.2">
      <c r="A2108" s="1">
        <v>5759</v>
      </c>
      <c r="B2108" s="1" t="s">
        <v>10590</v>
      </c>
      <c r="D2108" s="1" t="s">
        <v>10591</v>
      </c>
      <c r="F2108" s="1" t="s">
        <v>10592</v>
      </c>
      <c r="H2108" s="1" t="s">
        <v>10593</v>
      </c>
      <c r="J2108" s="1" t="s">
        <v>10594</v>
      </c>
      <c r="L2108" s="1" t="s">
        <v>1668</v>
      </c>
      <c r="N2108" s="1" t="s">
        <v>10628</v>
      </c>
      <c r="P2108" s="1" t="s">
        <v>4746</v>
      </c>
      <c r="Q2108" s="3">
        <v>1</v>
      </c>
      <c r="R2108" s="23" t="s">
        <v>10596</v>
      </c>
      <c r="S2108" s="23" t="s">
        <v>6849</v>
      </c>
      <c r="T2108" s="23" t="s">
        <v>6395</v>
      </c>
      <c r="U2108" s="3">
        <v>35</v>
      </c>
      <c r="V2108" s="3" t="s">
        <v>10597</v>
      </c>
      <c r="W2108" s="45" t="str">
        <f>HYPERLINK("http://ictvonline.org/taxonomy/p/taxonomy-history?taxnode_id=201903711","ICTVonline=201903711")</f>
        <v>ICTVonline=201903711</v>
      </c>
      <c r="Y2108" s="1" t="s">
        <v>10629</v>
      </c>
      <c r="AA2108" s="1">
        <v>201900000</v>
      </c>
      <c r="AB2108" s="1">
        <v>35</v>
      </c>
    </row>
    <row r="2109" spans="1:28" x14ac:dyDescent="0.2">
      <c r="A2109" s="1">
        <v>5763</v>
      </c>
      <c r="B2109" s="1" t="s">
        <v>10590</v>
      </c>
      <c r="D2109" s="1" t="s">
        <v>10591</v>
      </c>
      <c r="F2109" s="1" t="s">
        <v>10592</v>
      </c>
      <c r="H2109" s="1" t="s">
        <v>10593</v>
      </c>
      <c r="J2109" s="1" t="s">
        <v>10594</v>
      </c>
      <c r="L2109" s="1" t="s">
        <v>1668</v>
      </c>
      <c r="N2109" s="1" t="s">
        <v>10630</v>
      </c>
      <c r="P2109" s="1" t="s">
        <v>4744</v>
      </c>
      <c r="Q2109" s="3">
        <v>1</v>
      </c>
      <c r="R2109" s="23" t="s">
        <v>10596</v>
      </c>
      <c r="S2109" s="23" t="s">
        <v>6849</v>
      </c>
      <c r="T2109" s="23" t="s">
        <v>6395</v>
      </c>
      <c r="U2109" s="3">
        <v>35</v>
      </c>
      <c r="V2109" s="3" t="s">
        <v>10597</v>
      </c>
      <c r="W2109" s="45" t="str">
        <f>HYPERLINK("http://ictvonline.org/taxonomy/p/taxonomy-history?taxnode_id=201903709","ICTVonline=201903709")</f>
        <v>ICTVonline=201903709</v>
      </c>
      <c r="Y2109" s="1" t="s">
        <v>10631</v>
      </c>
      <c r="AA2109" s="1">
        <v>201900000</v>
      </c>
      <c r="AB2109" s="1">
        <v>35</v>
      </c>
    </row>
    <row r="2110" spans="1:28" x14ac:dyDescent="0.2">
      <c r="A2110" s="1">
        <v>5767</v>
      </c>
      <c r="B2110" s="1" t="s">
        <v>10590</v>
      </c>
      <c r="D2110" s="1" t="s">
        <v>10591</v>
      </c>
      <c r="F2110" s="1" t="s">
        <v>10592</v>
      </c>
      <c r="H2110" s="1" t="s">
        <v>10593</v>
      </c>
      <c r="J2110" s="1" t="s">
        <v>10594</v>
      </c>
      <c r="L2110" s="1" t="s">
        <v>1668</v>
      </c>
      <c r="N2110" s="1" t="s">
        <v>4079</v>
      </c>
      <c r="P2110" s="1" t="s">
        <v>3785</v>
      </c>
      <c r="Q2110" s="3">
        <v>1</v>
      </c>
      <c r="R2110" s="23" t="s">
        <v>10605</v>
      </c>
      <c r="S2110" s="23" t="s">
        <v>6847</v>
      </c>
      <c r="T2110" s="23" t="s">
        <v>4866</v>
      </c>
      <c r="U2110" s="3">
        <v>35</v>
      </c>
      <c r="W2110" s="45" t="str">
        <f>HYPERLINK("http://ictvonline.org/taxonomy/p/taxonomy-history?taxnode_id=201903701","ICTVonline=201903701")</f>
        <v>ICTVonline=201903701</v>
      </c>
      <c r="Y2110" s="1" t="s">
        <v>10632</v>
      </c>
      <c r="Z2110" s="1" t="s">
        <v>10633</v>
      </c>
      <c r="AA2110" s="1">
        <v>201900000</v>
      </c>
      <c r="AB2110" s="1">
        <v>35</v>
      </c>
    </row>
    <row r="2111" spans="1:28" x14ac:dyDescent="0.2">
      <c r="A2111" s="1">
        <v>5769</v>
      </c>
      <c r="B2111" s="1" t="s">
        <v>10590</v>
      </c>
      <c r="D2111" s="1" t="s">
        <v>10591</v>
      </c>
      <c r="F2111" s="1" t="s">
        <v>10592</v>
      </c>
      <c r="H2111" s="1" t="s">
        <v>10593</v>
      </c>
      <c r="J2111" s="1" t="s">
        <v>10594</v>
      </c>
      <c r="L2111" s="1" t="s">
        <v>1668</v>
      </c>
      <c r="N2111" s="1" t="s">
        <v>4079</v>
      </c>
      <c r="P2111" s="1" t="s">
        <v>4741</v>
      </c>
      <c r="Q2111" s="3">
        <v>0</v>
      </c>
      <c r="R2111" s="23" t="s">
        <v>10605</v>
      </c>
      <c r="S2111" s="23" t="s">
        <v>6847</v>
      </c>
      <c r="T2111" s="23" t="s">
        <v>4866</v>
      </c>
      <c r="U2111" s="3">
        <v>35</v>
      </c>
      <c r="W2111" s="45" t="str">
        <f>HYPERLINK("http://ictvonline.org/taxonomy/p/taxonomy-history?taxnode_id=201903702","ICTVonline=201903702")</f>
        <v>ICTVonline=201903702</v>
      </c>
      <c r="Y2111" s="1" t="s">
        <v>10634</v>
      </c>
      <c r="Z2111" s="1" t="s">
        <v>10635</v>
      </c>
      <c r="AA2111" s="1">
        <v>201900000</v>
      </c>
      <c r="AB2111" s="1">
        <v>35</v>
      </c>
    </row>
    <row r="2112" spans="1:28" x14ac:dyDescent="0.2">
      <c r="A2112" s="1">
        <v>5773</v>
      </c>
      <c r="B2112" s="1" t="s">
        <v>10590</v>
      </c>
      <c r="D2112" s="1" t="s">
        <v>10591</v>
      </c>
      <c r="F2112" s="1" t="s">
        <v>10592</v>
      </c>
      <c r="H2112" s="1" t="s">
        <v>10593</v>
      </c>
      <c r="J2112" s="1" t="s">
        <v>10594</v>
      </c>
      <c r="L2112" s="1" t="s">
        <v>1668</v>
      </c>
      <c r="N2112" s="1" t="s">
        <v>10636</v>
      </c>
      <c r="P2112" s="1" t="s">
        <v>4747</v>
      </c>
      <c r="Q2112" s="3">
        <v>1</v>
      </c>
      <c r="R2112" s="23" t="s">
        <v>10596</v>
      </c>
      <c r="S2112" s="23" t="s">
        <v>6849</v>
      </c>
      <c r="T2112" s="23" t="s">
        <v>6395</v>
      </c>
      <c r="U2112" s="3">
        <v>35</v>
      </c>
      <c r="V2112" s="3" t="s">
        <v>10597</v>
      </c>
      <c r="W2112" s="45" t="str">
        <f>HYPERLINK("http://ictvonline.org/taxonomy/p/taxonomy-history?taxnode_id=201903712","ICTVonline=201903712")</f>
        <v>ICTVonline=201903712</v>
      </c>
      <c r="Y2112" s="1" t="s">
        <v>10637</v>
      </c>
      <c r="AA2112" s="1">
        <v>201900000</v>
      </c>
      <c r="AB2112" s="1">
        <v>35</v>
      </c>
    </row>
    <row r="2113" spans="1:28" x14ac:dyDescent="0.2">
      <c r="A2113" s="1">
        <v>5777</v>
      </c>
      <c r="B2113" s="1" t="s">
        <v>10590</v>
      </c>
      <c r="D2113" s="1" t="s">
        <v>10591</v>
      </c>
      <c r="F2113" s="1" t="s">
        <v>10592</v>
      </c>
      <c r="H2113" s="1" t="s">
        <v>10593</v>
      </c>
      <c r="J2113" s="1" t="s">
        <v>10594</v>
      </c>
      <c r="L2113" s="1" t="s">
        <v>1668</v>
      </c>
      <c r="N2113" s="1" t="s">
        <v>10638</v>
      </c>
      <c r="P2113" s="1" t="s">
        <v>4749</v>
      </c>
      <c r="Q2113" s="3">
        <v>1</v>
      </c>
      <c r="R2113" s="23" t="s">
        <v>10596</v>
      </c>
      <c r="S2113" s="23" t="s">
        <v>6849</v>
      </c>
      <c r="T2113" s="23" t="s">
        <v>6395</v>
      </c>
      <c r="U2113" s="3">
        <v>35</v>
      </c>
      <c r="V2113" s="3" t="s">
        <v>10597</v>
      </c>
      <c r="W2113" s="45" t="str">
        <f>HYPERLINK("http://ictvonline.org/taxonomy/p/taxonomy-history?taxnode_id=201903714","ICTVonline=201903714")</f>
        <v>ICTVonline=201903714</v>
      </c>
      <c r="Y2113" s="1" t="s">
        <v>10639</v>
      </c>
      <c r="AA2113" s="1">
        <v>201900000</v>
      </c>
      <c r="AB2113" s="1">
        <v>35</v>
      </c>
    </row>
    <row r="2114" spans="1:28" x14ac:dyDescent="0.2">
      <c r="A2114" s="1">
        <v>5781</v>
      </c>
      <c r="B2114" s="1" t="s">
        <v>10590</v>
      </c>
      <c r="D2114" s="1" t="s">
        <v>10591</v>
      </c>
      <c r="F2114" s="1" t="s">
        <v>10592</v>
      </c>
      <c r="H2114" s="1" t="s">
        <v>10593</v>
      </c>
      <c r="J2114" s="1" t="s">
        <v>10594</v>
      </c>
      <c r="L2114" s="1" t="s">
        <v>1668</v>
      </c>
      <c r="N2114" s="1" t="s">
        <v>10640</v>
      </c>
      <c r="P2114" s="1" t="s">
        <v>4748</v>
      </c>
      <c r="Q2114" s="3">
        <v>1</v>
      </c>
      <c r="R2114" s="23" t="s">
        <v>10596</v>
      </c>
      <c r="S2114" s="23" t="s">
        <v>6849</v>
      </c>
      <c r="T2114" s="23" t="s">
        <v>6395</v>
      </c>
      <c r="U2114" s="3">
        <v>35</v>
      </c>
      <c r="V2114" s="3" t="s">
        <v>10597</v>
      </c>
      <c r="W2114" s="45" t="str">
        <f>HYPERLINK("http://ictvonline.org/taxonomy/p/taxonomy-history?taxnode_id=201903713","ICTVonline=201903713")</f>
        <v>ICTVonline=201903713</v>
      </c>
      <c r="Y2114" s="1" t="s">
        <v>10641</v>
      </c>
      <c r="AA2114" s="1">
        <v>201900000</v>
      </c>
      <c r="AB2114" s="1">
        <v>35</v>
      </c>
    </row>
    <row r="2115" spans="1:28" x14ac:dyDescent="0.2">
      <c r="A2115" s="1">
        <v>5785</v>
      </c>
      <c r="B2115" s="1" t="s">
        <v>10590</v>
      </c>
      <c r="D2115" s="1" t="s">
        <v>10591</v>
      </c>
      <c r="F2115" s="1" t="s">
        <v>10592</v>
      </c>
      <c r="H2115" s="1" t="s">
        <v>10593</v>
      </c>
      <c r="J2115" s="1" t="s">
        <v>10594</v>
      </c>
      <c r="L2115" s="1" t="s">
        <v>1668</v>
      </c>
      <c r="N2115" s="1" t="s">
        <v>10642</v>
      </c>
      <c r="P2115" s="1" t="s">
        <v>3781</v>
      </c>
      <c r="Q2115" s="3">
        <v>1</v>
      </c>
      <c r="R2115" s="23" t="s">
        <v>10596</v>
      </c>
      <c r="S2115" s="23" t="s">
        <v>6849</v>
      </c>
      <c r="T2115" s="23" t="s">
        <v>6395</v>
      </c>
      <c r="U2115" s="3">
        <v>35</v>
      </c>
      <c r="V2115" s="3" t="s">
        <v>10597</v>
      </c>
      <c r="W2115" s="45" t="str">
        <f>HYPERLINK("http://ictvonline.org/taxonomy/p/taxonomy-history?taxnode_id=201903707","ICTVonline=201903707")</f>
        <v>ICTVonline=201903707</v>
      </c>
      <c r="Y2115" s="1" t="s">
        <v>10643</v>
      </c>
      <c r="AA2115" s="1">
        <v>201900000</v>
      </c>
      <c r="AB2115" s="1">
        <v>35</v>
      </c>
    </row>
    <row r="2116" spans="1:28" x14ac:dyDescent="0.2">
      <c r="A2116" s="1">
        <v>5789</v>
      </c>
      <c r="B2116" s="1" t="s">
        <v>10590</v>
      </c>
      <c r="D2116" s="1" t="s">
        <v>10591</v>
      </c>
      <c r="F2116" s="1" t="s">
        <v>10592</v>
      </c>
      <c r="H2116" s="1" t="s">
        <v>10593</v>
      </c>
      <c r="J2116" s="1" t="s">
        <v>10594</v>
      </c>
      <c r="L2116" s="1" t="s">
        <v>1668</v>
      </c>
      <c r="N2116" s="1" t="s">
        <v>10644</v>
      </c>
      <c r="P2116" s="1" t="s">
        <v>6779</v>
      </c>
      <c r="Q2116" s="3">
        <v>1</v>
      </c>
      <c r="R2116" s="23" t="s">
        <v>10596</v>
      </c>
      <c r="S2116" s="23" t="s">
        <v>6849</v>
      </c>
      <c r="T2116" s="23" t="s">
        <v>6395</v>
      </c>
      <c r="U2116" s="3">
        <v>35</v>
      </c>
      <c r="V2116" s="3" t="s">
        <v>10597</v>
      </c>
      <c r="W2116" s="45" t="str">
        <f>HYPERLINK("http://ictvonline.org/taxonomy/p/taxonomy-history?taxnode_id=201906877","ICTVonline=201906877")</f>
        <v>ICTVonline=201906877</v>
      </c>
      <c r="Y2116" s="1" t="s">
        <v>10645</v>
      </c>
      <c r="AA2116" s="1">
        <v>201900000</v>
      </c>
      <c r="AB2116" s="1">
        <v>35</v>
      </c>
    </row>
    <row r="2117" spans="1:28" x14ac:dyDescent="0.2">
      <c r="A2117" s="1">
        <v>5793</v>
      </c>
      <c r="B2117" s="1" t="s">
        <v>10590</v>
      </c>
      <c r="D2117" s="1" t="s">
        <v>10591</v>
      </c>
      <c r="F2117" s="1" t="s">
        <v>10592</v>
      </c>
      <c r="H2117" s="1" t="s">
        <v>10593</v>
      </c>
      <c r="J2117" s="1" t="s">
        <v>10594</v>
      </c>
      <c r="L2117" s="1" t="s">
        <v>1668</v>
      </c>
      <c r="N2117" s="1" t="s">
        <v>10646</v>
      </c>
      <c r="P2117" s="1" t="s">
        <v>4752</v>
      </c>
      <c r="Q2117" s="3">
        <v>1</v>
      </c>
      <c r="R2117" s="23" t="s">
        <v>10596</v>
      </c>
      <c r="S2117" s="23" t="s">
        <v>6849</v>
      </c>
      <c r="T2117" s="23" t="s">
        <v>6395</v>
      </c>
      <c r="U2117" s="3">
        <v>35</v>
      </c>
      <c r="V2117" s="3" t="s">
        <v>10597</v>
      </c>
      <c r="W2117" s="45" t="str">
        <f>HYPERLINK("http://ictvonline.org/taxonomy/p/taxonomy-history?taxnode_id=201903719","ICTVonline=201903719")</f>
        <v>ICTVonline=201903719</v>
      </c>
      <c r="Y2117" s="1" t="s">
        <v>10647</v>
      </c>
      <c r="AA2117" s="1">
        <v>201900000</v>
      </c>
      <c r="AB2117" s="1">
        <v>35</v>
      </c>
    </row>
    <row r="2118" spans="1:28" x14ac:dyDescent="0.2">
      <c r="A2118" s="1">
        <v>5797</v>
      </c>
      <c r="B2118" s="1" t="s">
        <v>10590</v>
      </c>
      <c r="D2118" s="1" t="s">
        <v>10591</v>
      </c>
      <c r="F2118" s="1" t="s">
        <v>10592</v>
      </c>
      <c r="H2118" s="1" t="s">
        <v>10593</v>
      </c>
      <c r="J2118" s="1" t="s">
        <v>10594</v>
      </c>
      <c r="L2118" s="1" t="s">
        <v>1668</v>
      </c>
      <c r="N2118" s="1" t="s">
        <v>10648</v>
      </c>
      <c r="P2118" s="1" t="s">
        <v>4751</v>
      </c>
      <c r="Q2118" s="3">
        <v>1</v>
      </c>
      <c r="R2118" s="23" t="s">
        <v>10596</v>
      </c>
      <c r="S2118" s="23" t="s">
        <v>6849</v>
      </c>
      <c r="T2118" s="23" t="s">
        <v>6395</v>
      </c>
      <c r="U2118" s="3">
        <v>35</v>
      </c>
      <c r="V2118" s="3" t="s">
        <v>10597</v>
      </c>
      <c r="W2118" s="45" t="str">
        <f>HYPERLINK("http://ictvonline.org/taxonomy/p/taxonomy-history?taxnode_id=201903717","ICTVonline=201903717")</f>
        <v>ICTVonline=201903717</v>
      </c>
      <c r="Y2118" s="1" t="s">
        <v>10649</v>
      </c>
      <c r="AA2118" s="1">
        <v>201900000</v>
      </c>
      <c r="AB2118" s="1">
        <v>35</v>
      </c>
    </row>
    <row r="2119" spans="1:28" x14ac:dyDescent="0.2">
      <c r="A2119" s="1">
        <v>5801</v>
      </c>
      <c r="B2119" s="1" t="s">
        <v>10590</v>
      </c>
      <c r="D2119" s="1" t="s">
        <v>10591</v>
      </c>
      <c r="F2119" s="1" t="s">
        <v>10592</v>
      </c>
      <c r="H2119" s="1" t="s">
        <v>10593</v>
      </c>
      <c r="J2119" s="1" t="s">
        <v>10594</v>
      </c>
      <c r="L2119" s="1" t="s">
        <v>1668</v>
      </c>
      <c r="N2119" s="1" t="s">
        <v>10650</v>
      </c>
      <c r="P2119" s="1" t="s">
        <v>3786</v>
      </c>
      <c r="Q2119" s="3">
        <v>1</v>
      </c>
      <c r="R2119" s="23" t="s">
        <v>10596</v>
      </c>
      <c r="S2119" s="23" t="s">
        <v>6849</v>
      </c>
      <c r="T2119" s="23" t="s">
        <v>6395</v>
      </c>
      <c r="U2119" s="3">
        <v>35</v>
      </c>
      <c r="V2119" s="3" t="s">
        <v>10597</v>
      </c>
      <c r="W2119" s="45" t="str">
        <f>HYPERLINK("http://ictvonline.org/taxonomy/p/taxonomy-history?taxnode_id=201903718","ICTVonline=201903718")</f>
        <v>ICTVonline=201903718</v>
      </c>
      <c r="Y2119" s="1" t="s">
        <v>10651</v>
      </c>
      <c r="AA2119" s="1">
        <v>201900000</v>
      </c>
      <c r="AB2119" s="1">
        <v>35</v>
      </c>
    </row>
    <row r="2120" spans="1:28" x14ac:dyDescent="0.2">
      <c r="A2120" s="1">
        <v>5805</v>
      </c>
      <c r="B2120" s="1" t="s">
        <v>10590</v>
      </c>
      <c r="D2120" s="1" t="s">
        <v>10591</v>
      </c>
      <c r="F2120" s="1" t="s">
        <v>10592</v>
      </c>
      <c r="H2120" s="1" t="s">
        <v>10593</v>
      </c>
      <c r="J2120" s="1" t="s">
        <v>10594</v>
      </c>
      <c r="L2120" s="1" t="s">
        <v>1668</v>
      </c>
      <c r="N2120" s="1" t="s">
        <v>10652</v>
      </c>
      <c r="P2120" s="1" t="s">
        <v>6780</v>
      </c>
      <c r="Q2120" s="3">
        <v>1</v>
      </c>
      <c r="R2120" s="23" t="s">
        <v>10596</v>
      </c>
      <c r="S2120" s="23" t="s">
        <v>6849</v>
      </c>
      <c r="T2120" s="23" t="s">
        <v>6395</v>
      </c>
      <c r="U2120" s="3">
        <v>35</v>
      </c>
      <c r="V2120" s="3" t="s">
        <v>10597</v>
      </c>
      <c r="W2120" s="45" t="str">
        <f>HYPERLINK("http://ictvonline.org/taxonomy/p/taxonomy-history?taxnode_id=201906876","ICTVonline=201906876")</f>
        <v>ICTVonline=201906876</v>
      </c>
      <c r="Y2120" s="1" t="s">
        <v>10653</v>
      </c>
      <c r="AA2120" s="1">
        <v>201900000</v>
      </c>
      <c r="AB2120" s="1">
        <v>35</v>
      </c>
    </row>
    <row r="2121" spans="1:28" x14ac:dyDescent="0.2">
      <c r="A2121" s="1">
        <v>5811</v>
      </c>
      <c r="B2121" s="1" t="s">
        <v>10590</v>
      </c>
      <c r="D2121" s="1" t="s">
        <v>10591</v>
      </c>
      <c r="F2121" s="1" t="s">
        <v>10592</v>
      </c>
      <c r="H2121" s="1" t="s">
        <v>10593</v>
      </c>
      <c r="J2121" s="1" t="s">
        <v>10594</v>
      </c>
      <c r="L2121" s="1" t="s">
        <v>10654</v>
      </c>
      <c r="N2121" s="1" t="s">
        <v>1008</v>
      </c>
      <c r="P2121" s="1" t="s">
        <v>5374</v>
      </c>
      <c r="Q2121" s="3">
        <v>1</v>
      </c>
      <c r="R2121" s="23" t="s">
        <v>10596</v>
      </c>
      <c r="S2121" s="23" t="s">
        <v>6848</v>
      </c>
      <c r="T2121" s="23" t="s">
        <v>4866</v>
      </c>
      <c r="U2121" s="3">
        <v>35</v>
      </c>
      <c r="W2121" s="45" t="str">
        <f>HYPERLINK("http://ictvonline.org/taxonomy/p/taxonomy-history?taxnode_id=201903699","ICTVonline=201903699")</f>
        <v>ICTVonline=201903699</v>
      </c>
      <c r="AA2121" s="1">
        <v>201900000</v>
      </c>
      <c r="AB2121" s="1">
        <v>35</v>
      </c>
    </row>
    <row r="2122" spans="1:28" x14ac:dyDescent="0.2">
      <c r="A2122" s="1">
        <v>5815</v>
      </c>
      <c r="B2122" s="1" t="s">
        <v>10590</v>
      </c>
      <c r="D2122" s="1" t="s">
        <v>10591</v>
      </c>
      <c r="F2122" s="1" t="s">
        <v>10592</v>
      </c>
      <c r="H2122" s="1" t="s">
        <v>10593</v>
      </c>
      <c r="J2122" s="1" t="s">
        <v>10594</v>
      </c>
      <c r="L2122" s="1" t="s">
        <v>10654</v>
      </c>
      <c r="N2122" s="1" t="s">
        <v>10655</v>
      </c>
      <c r="P2122" s="1" t="s">
        <v>4745</v>
      </c>
      <c r="Q2122" s="3">
        <v>1</v>
      </c>
      <c r="R2122" s="23" t="s">
        <v>10596</v>
      </c>
      <c r="S2122" s="23" t="s">
        <v>6849</v>
      </c>
      <c r="T2122" s="23" t="s">
        <v>6395</v>
      </c>
      <c r="U2122" s="3">
        <v>35</v>
      </c>
      <c r="V2122" s="3" t="s">
        <v>10597</v>
      </c>
      <c r="W2122" s="45" t="str">
        <f>HYPERLINK("http://ictvonline.org/taxonomy/p/taxonomy-history?taxnode_id=201903710","ICTVonline=201903710")</f>
        <v>ICTVonline=201903710</v>
      </c>
      <c r="Y2122" s="1" t="s">
        <v>10656</v>
      </c>
      <c r="AA2122" s="1">
        <v>201900000</v>
      </c>
      <c r="AB2122" s="1">
        <v>35</v>
      </c>
    </row>
    <row r="2123" spans="1:28" x14ac:dyDescent="0.2">
      <c r="A2123" s="1">
        <v>5819</v>
      </c>
      <c r="B2123" s="1" t="s">
        <v>10590</v>
      </c>
      <c r="D2123" s="1" t="s">
        <v>10591</v>
      </c>
      <c r="F2123" s="1" t="s">
        <v>10592</v>
      </c>
      <c r="H2123" s="1" t="s">
        <v>10593</v>
      </c>
      <c r="J2123" s="1" t="s">
        <v>10594</v>
      </c>
      <c r="L2123" s="1" t="s">
        <v>10654</v>
      </c>
      <c r="N2123" s="1" t="s">
        <v>4080</v>
      </c>
      <c r="P2123" s="1" t="s">
        <v>3788</v>
      </c>
      <c r="Q2123" s="3">
        <v>0</v>
      </c>
      <c r="R2123" s="23" t="s">
        <v>10596</v>
      </c>
      <c r="S2123" s="23" t="s">
        <v>6848</v>
      </c>
      <c r="T2123" s="23" t="s">
        <v>4866</v>
      </c>
      <c r="U2123" s="3">
        <v>35</v>
      </c>
      <c r="W2123" s="45" t="str">
        <f>HYPERLINK("http://ictvonline.org/taxonomy/p/taxonomy-history?taxnode_id=201903722","ICTVonline=201903722")</f>
        <v>ICTVonline=201903722</v>
      </c>
      <c r="Y2123" s="1" t="s">
        <v>10657</v>
      </c>
      <c r="Z2123" s="1" t="s">
        <v>10658</v>
      </c>
      <c r="AA2123" s="1">
        <v>201900000</v>
      </c>
      <c r="AB2123" s="1">
        <v>35</v>
      </c>
    </row>
    <row r="2124" spans="1:28" x14ac:dyDescent="0.2">
      <c r="A2124" s="1">
        <v>5821</v>
      </c>
      <c r="B2124" s="1" t="s">
        <v>10590</v>
      </c>
      <c r="D2124" s="1" t="s">
        <v>10591</v>
      </c>
      <c r="F2124" s="1" t="s">
        <v>10592</v>
      </c>
      <c r="H2124" s="1" t="s">
        <v>10593</v>
      </c>
      <c r="J2124" s="1" t="s">
        <v>10594</v>
      </c>
      <c r="L2124" s="1" t="s">
        <v>10654</v>
      </c>
      <c r="N2124" s="1" t="s">
        <v>4080</v>
      </c>
      <c r="P2124" s="1" t="s">
        <v>3789</v>
      </c>
      <c r="Q2124" s="3">
        <v>1</v>
      </c>
      <c r="R2124" s="23" t="s">
        <v>10596</v>
      </c>
      <c r="S2124" s="23" t="s">
        <v>6848</v>
      </c>
      <c r="T2124" s="23" t="s">
        <v>4866</v>
      </c>
      <c r="U2124" s="3">
        <v>35</v>
      </c>
      <c r="W2124" s="45" t="str">
        <f>HYPERLINK("http://ictvonline.org/taxonomy/p/taxonomy-history?taxnode_id=201903723","ICTVonline=201903723")</f>
        <v>ICTVonline=201903723</v>
      </c>
      <c r="Y2124" s="1" t="s">
        <v>10659</v>
      </c>
      <c r="Z2124" s="1" t="s">
        <v>10660</v>
      </c>
      <c r="AA2124" s="1">
        <v>201900000</v>
      </c>
      <c r="AB2124" s="1">
        <v>35</v>
      </c>
    </row>
    <row r="2125" spans="1:28" x14ac:dyDescent="0.2">
      <c r="A2125" s="1">
        <v>5823</v>
      </c>
      <c r="B2125" s="1" t="s">
        <v>10590</v>
      </c>
      <c r="D2125" s="1" t="s">
        <v>10591</v>
      </c>
      <c r="F2125" s="1" t="s">
        <v>10592</v>
      </c>
      <c r="H2125" s="1" t="s">
        <v>10593</v>
      </c>
      <c r="J2125" s="1" t="s">
        <v>10594</v>
      </c>
      <c r="L2125" s="1" t="s">
        <v>10654</v>
      </c>
      <c r="N2125" s="1" t="s">
        <v>4080</v>
      </c>
      <c r="P2125" s="1" t="s">
        <v>4753</v>
      </c>
      <c r="Q2125" s="3">
        <v>0</v>
      </c>
      <c r="R2125" s="23" t="s">
        <v>10596</v>
      </c>
      <c r="S2125" s="23" t="s">
        <v>6848</v>
      </c>
      <c r="T2125" s="23" t="s">
        <v>4866</v>
      </c>
      <c r="U2125" s="3">
        <v>35</v>
      </c>
      <c r="W2125" s="45" t="str">
        <f>HYPERLINK("http://ictvonline.org/taxonomy/p/taxonomy-history?taxnode_id=201903724","ICTVonline=201903724")</f>
        <v>ICTVonline=201903724</v>
      </c>
      <c r="Y2125" s="1" t="s">
        <v>10661</v>
      </c>
      <c r="Z2125" s="1" t="s">
        <v>10662</v>
      </c>
      <c r="AA2125" s="1">
        <v>201900000</v>
      </c>
      <c r="AB2125" s="1">
        <v>35</v>
      </c>
    </row>
    <row r="2126" spans="1:28" x14ac:dyDescent="0.2">
      <c r="A2126" s="1">
        <v>5840</v>
      </c>
      <c r="B2126" s="1" t="s">
        <v>10590</v>
      </c>
      <c r="D2126" s="1" t="s">
        <v>10663</v>
      </c>
      <c r="F2126" s="1" t="s">
        <v>10664</v>
      </c>
      <c r="H2126" s="1" t="s">
        <v>10665</v>
      </c>
      <c r="J2126" s="1" t="s">
        <v>10666</v>
      </c>
      <c r="L2126" s="1" t="s">
        <v>1671</v>
      </c>
      <c r="M2126" s="1" t="s">
        <v>3800</v>
      </c>
      <c r="N2126" s="1" t="s">
        <v>6803</v>
      </c>
      <c r="P2126" s="1" t="s">
        <v>3801</v>
      </c>
      <c r="Q2126" s="3">
        <v>1</v>
      </c>
      <c r="R2126" s="23" t="s">
        <v>10605</v>
      </c>
      <c r="S2126" s="23" t="s">
        <v>6847</v>
      </c>
      <c r="T2126" s="23" t="s">
        <v>4866</v>
      </c>
      <c r="U2126" s="3">
        <v>35</v>
      </c>
      <c r="W2126" s="45" t="str">
        <f>HYPERLINK("http://ictvonline.org/taxonomy/p/taxonomy-history?taxnode_id=201903858","ICTVonline=201903858")</f>
        <v>ICTVonline=201903858</v>
      </c>
      <c r="AA2126" s="1">
        <v>201900000</v>
      </c>
      <c r="AB2126" s="1">
        <v>35</v>
      </c>
    </row>
    <row r="2127" spans="1:28" x14ac:dyDescent="0.2">
      <c r="A2127" s="1">
        <v>5842</v>
      </c>
      <c r="B2127" s="1" t="s">
        <v>10590</v>
      </c>
      <c r="D2127" s="1" t="s">
        <v>10663</v>
      </c>
      <c r="F2127" s="1" t="s">
        <v>10664</v>
      </c>
      <c r="H2127" s="1" t="s">
        <v>10665</v>
      </c>
      <c r="J2127" s="1" t="s">
        <v>10666</v>
      </c>
      <c r="L2127" s="1" t="s">
        <v>1671</v>
      </c>
      <c r="M2127" s="1" t="s">
        <v>3800</v>
      </c>
      <c r="N2127" s="1" t="s">
        <v>6803</v>
      </c>
      <c r="P2127" s="1" t="s">
        <v>3802</v>
      </c>
      <c r="Q2127" s="3">
        <v>0</v>
      </c>
      <c r="R2127" s="23" t="s">
        <v>10605</v>
      </c>
      <c r="S2127" s="23" t="s">
        <v>6847</v>
      </c>
      <c r="T2127" s="23" t="s">
        <v>4866</v>
      </c>
      <c r="U2127" s="3">
        <v>35</v>
      </c>
      <c r="W2127" s="45" t="str">
        <f>HYPERLINK("http://ictvonline.org/taxonomy/p/taxonomy-history?taxnode_id=201903859","ICTVonline=201903859")</f>
        <v>ICTVonline=201903859</v>
      </c>
      <c r="Y2127" s="1" t="s">
        <v>10667</v>
      </c>
      <c r="Z2127" s="1" t="s">
        <v>10668</v>
      </c>
      <c r="AA2127" s="1">
        <v>201900000</v>
      </c>
      <c r="AB2127" s="1">
        <v>35</v>
      </c>
    </row>
    <row r="2128" spans="1:28" x14ac:dyDescent="0.2">
      <c r="A2128" s="1">
        <v>5844</v>
      </c>
      <c r="B2128" s="1" t="s">
        <v>10590</v>
      </c>
      <c r="D2128" s="1" t="s">
        <v>10663</v>
      </c>
      <c r="F2128" s="1" t="s">
        <v>10664</v>
      </c>
      <c r="H2128" s="1" t="s">
        <v>10665</v>
      </c>
      <c r="J2128" s="1" t="s">
        <v>10666</v>
      </c>
      <c r="L2128" s="1" t="s">
        <v>1671</v>
      </c>
      <c r="M2128" s="1" t="s">
        <v>3800</v>
      </c>
      <c r="N2128" s="1" t="s">
        <v>6803</v>
      </c>
      <c r="P2128" s="1" t="s">
        <v>3803</v>
      </c>
      <c r="Q2128" s="3">
        <v>0</v>
      </c>
      <c r="R2128" s="23" t="s">
        <v>10605</v>
      </c>
      <c r="S2128" s="23" t="s">
        <v>6847</v>
      </c>
      <c r="T2128" s="23" t="s">
        <v>4866</v>
      </c>
      <c r="U2128" s="3">
        <v>35</v>
      </c>
      <c r="W2128" s="45" t="str">
        <f>HYPERLINK("http://ictvonline.org/taxonomy/p/taxonomy-history?taxnode_id=201903860","ICTVonline=201903860")</f>
        <v>ICTVonline=201903860</v>
      </c>
      <c r="Y2128" s="1" t="s">
        <v>10669</v>
      </c>
      <c r="Z2128" s="1" t="s">
        <v>10670</v>
      </c>
      <c r="AA2128" s="1">
        <v>201900000</v>
      </c>
      <c r="AB2128" s="1">
        <v>35</v>
      </c>
    </row>
    <row r="2129" spans="1:28" x14ac:dyDescent="0.2">
      <c r="A2129" s="1">
        <v>5846</v>
      </c>
      <c r="B2129" s="1" t="s">
        <v>10590</v>
      </c>
      <c r="D2129" s="1" t="s">
        <v>10663</v>
      </c>
      <c r="F2129" s="1" t="s">
        <v>10664</v>
      </c>
      <c r="H2129" s="1" t="s">
        <v>10665</v>
      </c>
      <c r="J2129" s="1" t="s">
        <v>10666</v>
      </c>
      <c r="L2129" s="1" t="s">
        <v>1671</v>
      </c>
      <c r="M2129" s="1" t="s">
        <v>3800</v>
      </c>
      <c r="N2129" s="1" t="s">
        <v>6803</v>
      </c>
      <c r="P2129" s="1" t="s">
        <v>3804</v>
      </c>
      <c r="Q2129" s="3">
        <v>0</v>
      </c>
      <c r="R2129" s="23" t="s">
        <v>10605</v>
      </c>
      <c r="S2129" s="23" t="s">
        <v>6847</v>
      </c>
      <c r="T2129" s="23" t="s">
        <v>4866</v>
      </c>
      <c r="U2129" s="3">
        <v>35</v>
      </c>
      <c r="W2129" s="45" t="str">
        <f>HYPERLINK("http://ictvonline.org/taxonomy/p/taxonomy-history?taxnode_id=201903861","ICTVonline=201903861")</f>
        <v>ICTVonline=201903861</v>
      </c>
      <c r="Y2129" s="1" t="s">
        <v>10671</v>
      </c>
      <c r="Z2129" s="1" t="s">
        <v>10672</v>
      </c>
      <c r="AA2129" s="1">
        <v>201900000</v>
      </c>
      <c r="AB2129" s="1">
        <v>35</v>
      </c>
    </row>
    <row r="2130" spans="1:28" x14ac:dyDescent="0.2">
      <c r="A2130" s="1">
        <v>5848</v>
      </c>
      <c r="B2130" s="1" t="s">
        <v>10590</v>
      </c>
      <c r="D2130" s="1" t="s">
        <v>10663</v>
      </c>
      <c r="F2130" s="1" t="s">
        <v>10664</v>
      </c>
      <c r="H2130" s="1" t="s">
        <v>10665</v>
      </c>
      <c r="J2130" s="1" t="s">
        <v>10666</v>
      </c>
      <c r="L2130" s="1" t="s">
        <v>1671</v>
      </c>
      <c r="M2130" s="1" t="s">
        <v>3800</v>
      </c>
      <c r="N2130" s="1" t="s">
        <v>6803</v>
      </c>
      <c r="P2130" s="1" t="s">
        <v>3805</v>
      </c>
      <c r="Q2130" s="3">
        <v>0</v>
      </c>
      <c r="R2130" s="23" t="s">
        <v>10605</v>
      </c>
      <c r="S2130" s="23" t="s">
        <v>6847</v>
      </c>
      <c r="T2130" s="23" t="s">
        <v>4866</v>
      </c>
      <c r="U2130" s="3">
        <v>35</v>
      </c>
      <c r="W2130" s="45" t="str">
        <f>HYPERLINK("http://ictvonline.org/taxonomy/p/taxonomy-history?taxnode_id=201903862","ICTVonline=201903862")</f>
        <v>ICTVonline=201903862</v>
      </c>
      <c r="Y2130" s="1" t="s">
        <v>10673</v>
      </c>
      <c r="Z2130" s="1" t="s">
        <v>10674</v>
      </c>
      <c r="AA2130" s="1">
        <v>201900000</v>
      </c>
      <c r="AB2130" s="1">
        <v>35</v>
      </c>
    </row>
    <row r="2131" spans="1:28" x14ac:dyDescent="0.2">
      <c r="A2131" s="1">
        <v>5850</v>
      </c>
      <c r="B2131" s="1" t="s">
        <v>10590</v>
      </c>
      <c r="D2131" s="1" t="s">
        <v>10663</v>
      </c>
      <c r="F2131" s="1" t="s">
        <v>10664</v>
      </c>
      <c r="H2131" s="1" t="s">
        <v>10665</v>
      </c>
      <c r="J2131" s="1" t="s">
        <v>10666</v>
      </c>
      <c r="L2131" s="1" t="s">
        <v>1671</v>
      </c>
      <c r="M2131" s="1" t="s">
        <v>3800</v>
      </c>
      <c r="N2131" s="1" t="s">
        <v>6803</v>
      </c>
      <c r="P2131" s="1" t="s">
        <v>3806</v>
      </c>
      <c r="Q2131" s="3">
        <v>0</v>
      </c>
      <c r="R2131" s="23" t="s">
        <v>10605</v>
      </c>
      <c r="S2131" s="23" t="s">
        <v>6847</v>
      </c>
      <c r="T2131" s="23" t="s">
        <v>4866</v>
      </c>
      <c r="U2131" s="3">
        <v>35</v>
      </c>
      <c r="W2131" s="45" t="str">
        <f>HYPERLINK("http://ictvonline.org/taxonomy/p/taxonomy-history?taxnode_id=201903863","ICTVonline=201903863")</f>
        <v>ICTVonline=201903863</v>
      </c>
      <c r="Y2131" s="1" t="s">
        <v>10675</v>
      </c>
      <c r="Z2131" s="1" t="s">
        <v>10676</v>
      </c>
      <c r="AA2131" s="1">
        <v>201900000</v>
      </c>
      <c r="AB2131" s="1">
        <v>35</v>
      </c>
    </row>
    <row r="2132" spans="1:28" x14ac:dyDescent="0.2">
      <c r="A2132" s="1">
        <v>5852</v>
      </c>
      <c r="B2132" s="1" t="s">
        <v>10590</v>
      </c>
      <c r="D2132" s="1" t="s">
        <v>10663</v>
      </c>
      <c r="F2132" s="1" t="s">
        <v>10664</v>
      </c>
      <c r="H2132" s="1" t="s">
        <v>10665</v>
      </c>
      <c r="J2132" s="1" t="s">
        <v>10666</v>
      </c>
      <c r="L2132" s="1" t="s">
        <v>1671</v>
      </c>
      <c r="M2132" s="1" t="s">
        <v>3800</v>
      </c>
      <c r="N2132" s="1" t="s">
        <v>6803</v>
      </c>
      <c r="P2132" s="1" t="s">
        <v>3807</v>
      </c>
      <c r="Q2132" s="3">
        <v>0</v>
      </c>
      <c r="R2132" s="23" t="s">
        <v>10605</v>
      </c>
      <c r="S2132" s="23" t="s">
        <v>6847</v>
      </c>
      <c r="T2132" s="23" t="s">
        <v>4866</v>
      </c>
      <c r="U2132" s="3">
        <v>35</v>
      </c>
      <c r="W2132" s="45" t="str">
        <f>HYPERLINK("http://ictvonline.org/taxonomy/p/taxonomy-history?taxnode_id=201903864","ICTVonline=201903864")</f>
        <v>ICTVonline=201903864</v>
      </c>
      <c r="Y2132" s="1" t="s">
        <v>10677</v>
      </c>
      <c r="Z2132" s="1" t="s">
        <v>10678</v>
      </c>
      <c r="AA2132" s="1">
        <v>201900000</v>
      </c>
      <c r="AB2132" s="1">
        <v>35</v>
      </c>
    </row>
    <row r="2133" spans="1:28" x14ac:dyDescent="0.2">
      <c r="A2133" s="1">
        <v>5854</v>
      </c>
      <c r="B2133" s="1" t="s">
        <v>10590</v>
      </c>
      <c r="D2133" s="1" t="s">
        <v>10663</v>
      </c>
      <c r="F2133" s="1" t="s">
        <v>10664</v>
      </c>
      <c r="H2133" s="1" t="s">
        <v>10665</v>
      </c>
      <c r="J2133" s="1" t="s">
        <v>10666</v>
      </c>
      <c r="L2133" s="1" t="s">
        <v>1671</v>
      </c>
      <c r="M2133" s="1" t="s">
        <v>3800</v>
      </c>
      <c r="N2133" s="1" t="s">
        <v>6803</v>
      </c>
      <c r="P2133" s="1" t="s">
        <v>3808</v>
      </c>
      <c r="Q2133" s="3">
        <v>0</v>
      </c>
      <c r="R2133" s="23" t="s">
        <v>10605</v>
      </c>
      <c r="S2133" s="23" t="s">
        <v>6847</v>
      </c>
      <c r="T2133" s="23" t="s">
        <v>4866</v>
      </c>
      <c r="U2133" s="3">
        <v>35</v>
      </c>
      <c r="W2133" s="45" t="str">
        <f>HYPERLINK("http://ictvonline.org/taxonomy/p/taxonomy-history?taxnode_id=201903865","ICTVonline=201903865")</f>
        <v>ICTVonline=201903865</v>
      </c>
      <c r="AA2133" s="1">
        <v>201900000</v>
      </c>
      <c r="AB2133" s="1">
        <v>35</v>
      </c>
    </row>
    <row r="2134" spans="1:28" x14ac:dyDescent="0.2">
      <c r="A2134" s="1">
        <v>5856</v>
      </c>
      <c r="B2134" s="1" t="s">
        <v>10590</v>
      </c>
      <c r="D2134" s="1" t="s">
        <v>10663</v>
      </c>
      <c r="F2134" s="1" t="s">
        <v>10664</v>
      </c>
      <c r="H2134" s="1" t="s">
        <v>10665</v>
      </c>
      <c r="J2134" s="1" t="s">
        <v>10666</v>
      </c>
      <c r="L2134" s="1" t="s">
        <v>1671</v>
      </c>
      <c r="M2134" s="1" t="s">
        <v>3800</v>
      </c>
      <c r="N2134" s="1" t="s">
        <v>6803</v>
      </c>
      <c r="P2134" s="1" t="s">
        <v>3809</v>
      </c>
      <c r="Q2134" s="3">
        <v>0</v>
      </c>
      <c r="R2134" s="23" t="s">
        <v>10605</v>
      </c>
      <c r="S2134" s="23" t="s">
        <v>6847</v>
      </c>
      <c r="T2134" s="23" t="s">
        <v>4866</v>
      </c>
      <c r="U2134" s="3">
        <v>35</v>
      </c>
      <c r="W2134" s="45" t="str">
        <f>HYPERLINK("http://ictvonline.org/taxonomy/p/taxonomy-history?taxnode_id=201903866","ICTVonline=201903866")</f>
        <v>ICTVonline=201903866</v>
      </c>
      <c r="AA2134" s="1">
        <v>201900000</v>
      </c>
      <c r="AB2134" s="1">
        <v>35</v>
      </c>
    </row>
    <row r="2135" spans="1:28" x14ac:dyDescent="0.2">
      <c r="A2135" s="1">
        <v>5858</v>
      </c>
      <c r="B2135" s="1" t="s">
        <v>10590</v>
      </c>
      <c r="D2135" s="1" t="s">
        <v>10663</v>
      </c>
      <c r="F2135" s="1" t="s">
        <v>10664</v>
      </c>
      <c r="H2135" s="1" t="s">
        <v>10665</v>
      </c>
      <c r="J2135" s="1" t="s">
        <v>10666</v>
      </c>
      <c r="L2135" s="1" t="s">
        <v>1671</v>
      </c>
      <c r="M2135" s="1" t="s">
        <v>3800</v>
      </c>
      <c r="N2135" s="1" t="s">
        <v>6803</v>
      </c>
      <c r="P2135" s="1" t="s">
        <v>3810</v>
      </c>
      <c r="Q2135" s="3">
        <v>0</v>
      </c>
      <c r="R2135" s="23" t="s">
        <v>10605</v>
      </c>
      <c r="S2135" s="23" t="s">
        <v>6847</v>
      </c>
      <c r="T2135" s="23" t="s">
        <v>4866</v>
      </c>
      <c r="U2135" s="3">
        <v>35</v>
      </c>
      <c r="W2135" s="45" t="str">
        <f>HYPERLINK("http://ictvonline.org/taxonomy/p/taxonomy-history?taxnode_id=201903867","ICTVonline=201903867")</f>
        <v>ICTVonline=201903867</v>
      </c>
      <c r="Y2135" s="1" t="s">
        <v>10679</v>
      </c>
      <c r="Z2135" s="1" t="s">
        <v>10680</v>
      </c>
      <c r="AA2135" s="1">
        <v>201900000</v>
      </c>
      <c r="AB2135" s="1">
        <v>35</v>
      </c>
    </row>
    <row r="2136" spans="1:28" x14ac:dyDescent="0.2">
      <c r="A2136" s="1">
        <v>5862</v>
      </c>
      <c r="B2136" s="1" t="s">
        <v>10590</v>
      </c>
      <c r="D2136" s="1" t="s">
        <v>10663</v>
      </c>
      <c r="F2136" s="1" t="s">
        <v>10664</v>
      </c>
      <c r="H2136" s="1" t="s">
        <v>10665</v>
      </c>
      <c r="J2136" s="1" t="s">
        <v>10666</v>
      </c>
      <c r="L2136" s="1" t="s">
        <v>1671</v>
      </c>
      <c r="M2136" s="1" t="s">
        <v>3800</v>
      </c>
      <c r="N2136" s="1" t="s">
        <v>6804</v>
      </c>
      <c r="P2136" s="1" t="s">
        <v>3811</v>
      </c>
      <c r="Q2136" s="3">
        <v>1</v>
      </c>
      <c r="R2136" s="23" t="s">
        <v>10605</v>
      </c>
      <c r="S2136" s="23" t="s">
        <v>6847</v>
      </c>
      <c r="T2136" s="23" t="s">
        <v>4866</v>
      </c>
      <c r="U2136" s="3">
        <v>35</v>
      </c>
      <c r="W2136" s="45" t="str">
        <f>HYPERLINK("http://ictvonline.org/taxonomy/p/taxonomy-history?taxnode_id=201903869","ICTVonline=201903869")</f>
        <v>ICTVonline=201903869</v>
      </c>
      <c r="AA2136" s="1">
        <v>201900000</v>
      </c>
      <c r="AB2136" s="1">
        <v>35</v>
      </c>
    </row>
    <row r="2137" spans="1:28" x14ac:dyDescent="0.2">
      <c r="A2137" s="1">
        <v>5864</v>
      </c>
      <c r="B2137" s="1" t="s">
        <v>10590</v>
      </c>
      <c r="D2137" s="1" t="s">
        <v>10663</v>
      </c>
      <c r="F2137" s="1" t="s">
        <v>10664</v>
      </c>
      <c r="H2137" s="1" t="s">
        <v>10665</v>
      </c>
      <c r="J2137" s="1" t="s">
        <v>10666</v>
      </c>
      <c r="L2137" s="1" t="s">
        <v>1671</v>
      </c>
      <c r="M2137" s="1" t="s">
        <v>3800</v>
      </c>
      <c r="N2137" s="1" t="s">
        <v>6804</v>
      </c>
      <c r="P2137" s="1" t="s">
        <v>3812</v>
      </c>
      <c r="Q2137" s="3">
        <v>0</v>
      </c>
      <c r="R2137" s="23" t="s">
        <v>10605</v>
      </c>
      <c r="S2137" s="23" t="s">
        <v>6847</v>
      </c>
      <c r="T2137" s="23" t="s">
        <v>4866</v>
      </c>
      <c r="U2137" s="3">
        <v>35</v>
      </c>
      <c r="W2137" s="45" t="str">
        <f>HYPERLINK("http://ictvonline.org/taxonomy/p/taxonomy-history?taxnode_id=201903870","ICTVonline=201903870")</f>
        <v>ICTVonline=201903870</v>
      </c>
      <c r="Y2137" s="1" t="s">
        <v>10681</v>
      </c>
      <c r="Z2137" s="1" t="s">
        <v>10682</v>
      </c>
      <c r="AA2137" s="1">
        <v>201900000</v>
      </c>
      <c r="AB2137" s="1">
        <v>35</v>
      </c>
    </row>
    <row r="2138" spans="1:28" x14ac:dyDescent="0.2">
      <c r="A2138" s="1">
        <v>5866</v>
      </c>
      <c r="B2138" s="1" t="s">
        <v>10590</v>
      </c>
      <c r="D2138" s="1" t="s">
        <v>10663</v>
      </c>
      <c r="F2138" s="1" t="s">
        <v>10664</v>
      </c>
      <c r="H2138" s="1" t="s">
        <v>10665</v>
      </c>
      <c r="J2138" s="1" t="s">
        <v>10666</v>
      </c>
      <c r="L2138" s="1" t="s">
        <v>1671</v>
      </c>
      <c r="M2138" s="1" t="s">
        <v>3800</v>
      </c>
      <c r="N2138" s="1" t="s">
        <v>6804</v>
      </c>
      <c r="P2138" s="1" t="s">
        <v>3813</v>
      </c>
      <c r="Q2138" s="3">
        <v>0</v>
      </c>
      <c r="R2138" s="23" t="s">
        <v>10605</v>
      </c>
      <c r="S2138" s="23" t="s">
        <v>6847</v>
      </c>
      <c r="T2138" s="23" t="s">
        <v>4866</v>
      </c>
      <c r="U2138" s="3">
        <v>35</v>
      </c>
      <c r="W2138" s="45" t="str">
        <f>HYPERLINK("http://ictvonline.org/taxonomy/p/taxonomy-history?taxnode_id=201903871","ICTVonline=201903871")</f>
        <v>ICTVonline=201903871</v>
      </c>
      <c r="Y2138" s="1" t="s">
        <v>10683</v>
      </c>
      <c r="Z2138" s="1" t="s">
        <v>10684</v>
      </c>
      <c r="AA2138" s="1">
        <v>201900000</v>
      </c>
      <c r="AB2138" s="1">
        <v>35</v>
      </c>
    </row>
    <row r="2139" spans="1:28" x14ac:dyDescent="0.2">
      <c r="A2139" s="1">
        <v>5870</v>
      </c>
      <c r="B2139" s="1" t="s">
        <v>10590</v>
      </c>
      <c r="D2139" s="1" t="s">
        <v>10663</v>
      </c>
      <c r="F2139" s="1" t="s">
        <v>10664</v>
      </c>
      <c r="H2139" s="1" t="s">
        <v>10665</v>
      </c>
      <c r="J2139" s="1" t="s">
        <v>10666</v>
      </c>
      <c r="L2139" s="1" t="s">
        <v>1671</v>
      </c>
      <c r="M2139" s="1" t="s">
        <v>3800</v>
      </c>
      <c r="N2139" s="1" t="s">
        <v>6805</v>
      </c>
      <c r="P2139" s="1" t="s">
        <v>3814</v>
      </c>
      <c r="Q2139" s="3">
        <v>1</v>
      </c>
      <c r="R2139" s="23" t="s">
        <v>10605</v>
      </c>
      <c r="S2139" s="23" t="s">
        <v>6847</v>
      </c>
      <c r="T2139" s="23" t="s">
        <v>4866</v>
      </c>
      <c r="U2139" s="3">
        <v>35</v>
      </c>
      <c r="W2139" s="45" t="str">
        <f>HYPERLINK("http://ictvonline.org/taxonomy/p/taxonomy-history?taxnode_id=201903873","ICTVonline=201903873")</f>
        <v>ICTVonline=201903873</v>
      </c>
      <c r="AA2139" s="1">
        <v>201900000</v>
      </c>
      <c r="AB2139" s="1">
        <v>35</v>
      </c>
    </row>
    <row r="2140" spans="1:28" x14ac:dyDescent="0.2">
      <c r="A2140" s="1">
        <v>5876</v>
      </c>
      <c r="B2140" s="1" t="s">
        <v>10590</v>
      </c>
      <c r="D2140" s="1" t="s">
        <v>10663</v>
      </c>
      <c r="F2140" s="1" t="s">
        <v>10664</v>
      </c>
      <c r="H2140" s="1" t="s">
        <v>10665</v>
      </c>
      <c r="J2140" s="1" t="s">
        <v>10666</v>
      </c>
      <c r="L2140" s="1" t="s">
        <v>1671</v>
      </c>
      <c r="M2140" s="1" t="s">
        <v>1148</v>
      </c>
      <c r="N2140" s="1" t="s">
        <v>1929</v>
      </c>
      <c r="P2140" s="1" t="s">
        <v>3815</v>
      </c>
      <c r="Q2140" s="3">
        <v>1</v>
      </c>
      <c r="R2140" s="23" t="s">
        <v>10605</v>
      </c>
      <c r="S2140" s="23" t="s">
        <v>6847</v>
      </c>
      <c r="T2140" s="23" t="s">
        <v>4866</v>
      </c>
      <c r="U2140" s="3">
        <v>35</v>
      </c>
      <c r="W2140" s="45" t="str">
        <f>HYPERLINK("http://ictvonline.org/taxonomy/p/taxonomy-history?taxnode_id=201903876","ICTVonline=201903876")</f>
        <v>ICTVonline=201903876</v>
      </c>
      <c r="AA2140" s="1">
        <v>201900000</v>
      </c>
      <c r="AB2140" s="1">
        <v>35</v>
      </c>
    </row>
    <row r="2141" spans="1:28" x14ac:dyDescent="0.2">
      <c r="A2141" s="1">
        <v>5878</v>
      </c>
      <c r="B2141" s="1" t="s">
        <v>10590</v>
      </c>
      <c r="D2141" s="1" t="s">
        <v>10663</v>
      </c>
      <c r="F2141" s="1" t="s">
        <v>10664</v>
      </c>
      <c r="H2141" s="1" t="s">
        <v>10665</v>
      </c>
      <c r="J2141" s="1" t="s">
        <v>10666</v>
      </c>
      <c r="L2141" s="1" t="s">
        <v>1671</v>
      </c>
      <c r="M2141" s="1" t="s">
        <v>1148</v>
      </c>
      <c r="N2141" s="1" t="s">
        <v>1929</v>
      </c>
      <c r="P2141" s="1" t="s">
        <v>3816</v>
      </c>
      <c r="Q2141" s="3">
        <v>0</v>
      </c>
      <c r="R2141" s="23" t="s">
        <v>10605</v>
      </c>
      <c r="S2141" s="23" t="s">
        <v>6847</v>
      </c>
      <c r="T2141" s="23" t="s">
        <v>4866</v>
      </c>
      <c r="U2141" s="3">
        <v>35</v>
      </c>
      <c r="W2141" s="45" t="str">
        <f>HYPERLINK("http://ictvonline.org/taxonomy/p/taxonomy-history?taxnode_id=201903877","ICTVonline=201903877")</f>
        <v>ICTVonline=201903877</v>
      </c>
      <c r="AA2141" s="1">
        <v>201900000</v>
      </c>
      <c r="AB2141" s="1">
        <v>35</v>
      </c>
    </row>
    <row r="2142" spans="1:28" x14ac:dyDescent="0.2">
      <c r="A2142" s="1">
        <v>5882</v>
      </c>
      <c r="B2142" s="1" t="s">
        <v>10590</v>
      </c>
      <c r="D2142" s="1" t="s">
        <v>10663</v>
      </c>
      <c r="F2142" s="1" t="s">
        <v>10664</v>
      </c>
      <c r="H2142" s="1" t="s">
        <v>10665</v>
      </c>
      <c r="J2142" s="1" t="s">
        <v>10666</v>
      </c>
      <c r="L2142" s="1" t="s">
        <v>1671</v>
      </c>
      <c r="M2142" s="1" t="s">
        <v>1148</v>
      </c>
      <c r="N2142" s="1" t="s">
        <v>1930</v>
      </c>
      <c r="P2142" s="1" t="s">
        <v>3817</v>
      </c>
      <c r="Q2142" s="3">
        <v>1</v>
      </c>
      <c r="R2142" s="23" t="s">
        <v>10605</v>
      </c>
      <c r="S2142" s="23" t="s">
        <v>6847</v>
      </c>
      <c r="T2142" s="23" t="s">
        <v>4866</v>
      </c>
      <c r="U2142" s="3">
        <v>35</v>
      </c>
      <c r="W2142" s="45" t="str">
        <f>HYPERLINK("http://ictvonline.org/taxonomy/p/taxonomy-history?taxnode_id=201903879","ICTVonline=201903879")</f>
        <v>ICTVonline=201903879</v>
      </c>
      <c r="AA2142" s="1">
        <v>201900000</v>
      </c>
      <c r="AB2142" s="1">
        <v>35</v>
      </c>
    </row>
    <row r="2143" spans="1:28" x14ac:dyDescent="0.2">
      <c r="A2143" s="1">
        <v>5884</v>
      </c>
      <c r="B2143" s="1" t="s">
        <v>10590</v>
      </c>
      <c r="D2143" s="1" t="s">
        <v>10663</v>
      </c>
      <c r="F2143" s="1" t="s">
        <v>10664</v>
      </c>
      <c r="H2143" s="1" t="s">
        <v>10665</v>
      </c>
      <c r="J2143" s="1" t="s">
        <v>10666</v>
      </c>
      <c r="L2143" s="1" t="s">
        <v>1671</v>
      </c>
      <c r="M2143" s="1" t="s">
        <v>1148</v>
      </c>
      <c r="N2143" s="1" t="s">
        <v>1930</v>
      </c>
      <c r="P2143" s="1" t="s">
        <v>3818</v>
      </c>
      <c r="Q2143" s="3">
        <v>0</v>
      </c>
      <c r="R2143" s="23" t="s">
        <v>10605</v>
      </c>
      <c r="S2143" s="23" t="s">
        <v>6847</v>
      </c>
      <c r="T2143" s="23" t="s">
        <v>4866</v>
      </c>
      <c r="U2143" s="3">
        <v>35</v>
      </c>
      <c r="W2143" s="45" t="str">
        <f>HYPERLINK("http://ictvonline.org/taxonomy/p/taxonomy-history?taxnode_id=201903880","ICTVonline=201903880")</f>
        <v>ICTVonline=201903880</v>
      </c>
      <c r="AA2143" s="1">
        <v>201900000</v>
      </c>
      <c r="AB2143" s="1">
        <v>35</v>
      </c>
    </row>
    <row r="2144" spans="1:28" x14ac:dyDescent="0.2">
      <c r="A2144" s="1">
        <v>5886</v>
      </c>
      <c r="B2144" s="1" t="s">
        <v>10590</v>
      </c>
      <c r="D2144" s="1" t="s">
        <v>10663</v>
      </c>
      <c r="F2144" s="1" t="s">
        <v>10664</v>
      </c>
      <c r="H2144" s="1" t="s">
        <v>10665</v>
      </c>
      <c r="J2144" s="1" t="s">
        <v>10666</v>
      </c>
      <c r="L2144" s="1" t="s">
        <v>1671</v>
      </c>
      <c r="M2144" s="1" t="s">
        <v>1148</v>
      </c>
      <c r="N2144" s="1" t="s">
        <v>1930</v>
      </c>
      <c r="P2144" s="1" t="s">
        <v>3819</v>
      </c>
      <c r="Q2144" s="3">
        <v>0</v>
      </c>
      <c r="R2144" s="23" t="s">
        <v>10605</v>
      </c>
      <c r="S2144" s="23" t="s">
        <v>6847</v>
      </c>
      <c r="T2144" s="23" t="s">
        <v>4866</v>
      </c>
      <c r="U2144" s="3">
        <v>35</v>
      </c>
      <c r="W2144" s="45" t="str">
        <f>HYPERLINK("http://ictvonline.org/taxonomy/p/taxonomy-history?taxnode_id=201903881","ICTVonline=201903881")</f>
        <v>ICTVonline=201903881</v>
      </c>
      <c r="AA2144" s="1">
        <v>201900000</v>
      </c>
      <c r="AB2144" s="1">
        <v>35</v>
      </c>
    </row>
    <row r="2145" spans="1:28" x14ac:dyDescent="0.2">
      <c r="A2145" s="1">
        <v>5888</v>
      </c>
      <c r="B2145" s="1" t="s">
        <v>10590</v>
      </c>
      <c r="D2145" s="1" t="s">
        <v>10663</v>
      </c>
      <c r="F2145" s="1" t="s">
        <v>10664</v>
      </c>
      <c r="H2145" s="1" t="s">
        <v>10665</v>
      </c>
      <c r="J2145" s="1" t="s">
        <v>10666</v>
      </c>
      <c r="L2145" s="1" t="s">
        <v>1671</v>
      </c>
      <c r="M2145" s="1" t="s">
        <v>1148</v>
      </c>
      <c r="N2145" s="1" t="s">
        <v>1930</v>
      </c>
      <c r="P2145" s="1" t="s">
        <v>3820</v>
      </c>
      <c r="Q2145" s="3">
        <v>0</v>
      </c>
      <c r="R2145" s="23" t="s">
        <v>10605</v>
      </c>
      <c r="S2145" s="23" t="s">
        <v>6847</v>
      </c>
      <c r="T2145" s="23" t="s">
        <v>4866</v>
      </c>
      <c r="U2145" s="3">
        <v>35</v>
      </c>
      <c r="W2145" s="45" t="str">
        <f>HYPERLINK("http://ictvonline.org/taxonomy/p/taxonomy-history?taxnode_id=201903882","ICTVonline=201903882")</f>
        <v>ICTVonline=201903882</v>
      </c>
      <c r="AA2145" s="1">
        <v>201900000</v>
      </c>
      <c r="AB2145" s="1">
        <v>35</v>
      </c>
    </row>
    <row r="2146" spans="1:28" x14ac:dyDescent="0.2">
      <c r="A2146" s="1">
        <v>5892</v>
      </c>
      <c r="B2146" s="1" t="s">
        <v>10590</v>
      </c>
      <c r="D2146" s="1" t="s">
        <v>10663</v>
      </c>
      <c r="F2146" s="1" t="s">
        <v>10664</v>
      </c>
      <c r="H2146" s="1" t="s">
        <v>10665</v>
      </c>
      <c r="J2146" s="1" t="s">
        <v>10666</v>
      </c>
      <c r="L2146" s="1" t="s">
        <v>1671</v>
      </c>
      <c r="M2146" s="1" t="s">
        <v>1148</v>
      </c>
      <c r="N2146" s="1" t="s">
        <v>2015</v>
      </c>
      <c r="P2146" s="1" t="s">
        <v>3821</v>
      </c>
      <c r="Q2146" s="3">
        <v>1</v>
      </c>
      <c r="R2146" s="23" t="s">
        <v>10605</v>
      </c>
      <c r="S2146" s="23" t="s">
        <v>6847</v>
      </c>
      <c r="T2146" s="23" t="s">
        <v>4866</v>
      </c>
      <c r="U2146" s="3">
        <v>35</v>
      </c>
      <c r="W2146" s="45" t="str">
        <f>HYPERLINK("http://ictvonline.org/taxonomy/p/taxonomy-history?taxnode_id=201903884","ICTVonline=201903884")</f>
        <v>ICTVonline=201903884</v>
      </c>
      <c r="AA2146" s="1">
        <v>201900000</v>
      </c>
      <c r="AB2146" s="1">
        <v>35</v>
      </c>
    </row>
    <row r="2147" spans="1:28" x14ac:dyDescent="0.2">
      <c r="A2147" s="1">
        <v>5907</v>
      </c>
      <c r="B2147" s="1" t="s">
        <v>10590</v>
      </c>
      <c r="D2147" s="1" t="s">
        <v>10685</v>
      </c>
      <c r="F2147" s="1" t="s">
        <v>10686</v>
      </c>
      <c r="H2147" s="1" t="s">
        <v>10687</v>
      </c>
      <c r="J2147" s="1" t="s">
        <v>10688</v>
      </c>
      <c r="L2147" s="1" t="s">
        <v>66</v>
      </c>
      <c r="N2147" s="1" t="s">
        <v>67</v>
      </c>
      <c r="P2147" s="1" t="s">
        <v>68</v>
      </c>
      <c r="Q2147" s="3">
        <v>1</v>
      </c>
      <c r="R2147" s="23" t="s">
        <v>10605</v>
      </c>
      <c r="S2147" s="23" t="s">
        <v>6847</v>
      </c>
      <c r="T2147" s="23" t="s">
        <v>4866</v>
      </c>
      <c r="U2147" s="3">
        <v>35</v>
      </c>
      <c r="W2147" s="45" t="str">
        <f>HYPERLINK("http://ictvonline.org/taxonomy/p/taxonomy-history?taxnode_id=201902744","ICTVonline=201902744")</f>
        <v>ICTVonline=201902744</v>
      </c>
      <c r="AA2147" s="1">
        <v>201900000</v>
      </c>
      <c r="AB2147" s="1">
        <v>35</v>
      </c>
    </row>
    <row r="2148" spans="1:28" x14ac:dyDescent="0.2">
      <c r="A2148" s="1">
        <v>5917</v>
      </c>
      <c r="B2148" s="1" t="s">
        <v>10590</v>
      </c>
      <c r="D2148" s="1" t="s">
        <v>10685</v>
      </c>
      <c r="F2148" s="1" t="s">
        <v>10686</v>
      </c>
      <c r="H2148" s="1" t="s">
        <v>10689</v>
      </c>
      <c r="J2148" s="1" t="s">
        <v>10690</v>
      </c>
      <c r="L2148" s="1" t="s">
        <v>991</v>
      </c>
      <c r="N2148" s="1" t="s">
        <v>3863</v>
      </c>
      <c r="P2148" s="1" t="s">
        <v>3864</v>
      </c>
      <c r="Q2148" s="3">
        <v>0</v>
      </c>
      <c r="R2148" s="23" t="s">
        <v>10605</v>
      </c>
      <c r="S2148" s="23" t="s">
        <v>6847</v>
      </c>
      <c r="T2148" s="23" t="s">
        <v>4866</v>
      </c>
      <c r="U2148" s="3">
        <v>35</v>
      </c>
      <c r="W2148" s="45" t="str">
        <f>HYPERLINK("http://ictvonline.org/taxonomy/p/taxonomy-history?taxnode_id=201904412","ICTVonline=201904412")</f>
        <v>ICTVonline=201904412</v>
      </c>
      <c r="Y2148" s="1" t="s">
        <v>10691</v>
      </c>
      <c r="Z2148" s="1" t="s">
        <v>10692</v>
      </c>
      <c r="AA2148" s="1">
        <v>201900000</v>
      </c>
      <c r="AB2148" s="1">
        <v>35</v>
      </c>
    </row>
    <row r="2149" spans="1:28" x14ac:dyDescent="0.2">
      <c r="A2149" s="1">
        <v>5919</v>
      </c>
      <c r="B2149" s="1" t="s">
        <v>10590</v>
      </c>
      <c r="D2149" s="1" t="s">
        <v>10685</v>
      </c>
      <c r="F2149" s="1" t="s">
        <v>10686</v>
      </c>
      <c r="H2149" s="1" t="s">
        <v>10689</v>
      </c>
      <c r="J2149" s="1" t="s">
        <v>10690</v>
      </c>
      <c r="L2149" s="1" t="s">
        <v>991</v>
      </c>
      <c r="N2149" s="1" t="s">
        <v>3863</v>
      </c>
      <c r="P2149" s="1" t="s">
        <v>3865</v>
      </c>
      <c r="Q2149" s="3">
        <v>0</v>
      </c>
      <c r="R2149" s="23" t="s">
        <v>10605</v>
      </c>
      <c r="S2149" s="23" t="s">
        <v>6847</v>
      </c>
      <c r="T2149" s="23" t="s">
        <v>4866</v>
      </c>
      <c r="U2149" s="3">
        <v>35</v>
      </c>
      <c r="W2149" s="45" t="str">
        <f>HYPERLINK("http://ictvonline.org/taxonomy/p/taxonomy-history?taxnode_id=201904413","ICTVonline=201904413")</f>
        <v>ICTVonline=201904413</v>
      </c>
      <c r="Y2149" s="1" t="s">
        <v>10693</v>
      </c>
      <c r="Z2149" s="1" t="s">
        <v>10694</v>
      </c>
      <c r="AA2149" s="1">
        <v>201900000</v>
      </c>
      <c r="AB2149" s="1">
        <v>35</v>
      </c>
    </row>
    <row r="2150" spans="1:28" x14ac:dyDescent="0.2">
      <c r="A2150" s="1">
        <v>5921</v>
      </c>
      <c r="B2150" s="1" t="s">
        <v>10590</v>
      </c>
      <c r="D2150" s="1" t="s">
        <v>10685</v>
      </c>
      <c r="F2150" s="1" t="s">
        <v>10686</v>
      </c>
      <c r="H2150" s="1" t="s">
        <v>10689</v>
      </c>
      <c r="J2150" s="1" t="s">
        <v>10690</v>
      </c>
      <c r="L2150" s="1" t="s">
        <v>991</v>
      </c>
      <c r="N2150" s="1" t="s">
        <v>3863</v>
      </c>
      <c r="P2150" s="1" t="s">
        <v>3866</v>
      </c>
      <c r="Q2150" s="3">
        <v>0</v>
      </c>
      <c r="R2150" s="23" t="s">
        <v>10605</v>
      </c>
      <c r="S2150" s="23" t="s">
        <v>6847</v>
      </c>
      <c r="T2150" s="23" t="s">
        <v>4866</v>
      </c>
      <c r="U2150" s="3">
        <v>35</v>
      </c>
      <c r="W2150" s="45" t="str">
        <f>HYPERLINK("http://ictvonline.org/taxonomy/p/taxonomy-history?taxnode_id=201904414","ICTVonline=201904414")</f>
        <v>ICTVonline=201904414</v>
      </c>
      <c r="Y2150" s="1" t="s">
        <v>10695</v>
      </c>
      <c r="Z2150" s="1" t="s">
        <v>10696</v>
      </c>
      <c r="AA2150" s="1">
        <v>201900000</v>
      </c>
      <c r="AB2150" s="1">
        <v>35</v>
      </c>
    </row>
    <row r="2151" spans="1:28" x14ac:dyDescent="0.2">
      <c r="A2151" s="1">
        <v>5923</v>
      </c>
      <c r="B2151" s="1" t="s">
        <v>10590</v>
      </c>
      <c r="D2151" s="1" t="s">
        <v>10685</v>
      </c>
      <c r="F2151" s="1" t="s">
        <v>10686</v>
      </c>
      <c r="H2151" s="1" t="s">
        <v>10689</v>
      </c>
      <c r="J2151" s="1" t="s">
        <v>10690</v>
      </c>
      <c r="L2151" s="1" t="s">
        <v>991</v>
      </c>
      <c r="N2151" s="1" t="s">
        <v>3863</v>
      </c>
      <c r="P2151" s="1" t="s">
        <v>3867</v>
      </c>
      <c r="Q2151" s="3">
        <v>0</v>
      </c>
      <c r="R2151" s="23" t="s">
        <v>10605</v>
      </c>
      <c r="S2151" s="23" t="s">
        <v>6847</v>
      </c>
      <c r="T2151" s="23" t="s">
        <v>4866</v>
      </c>
      <c r="U2151" s="3">
        <v>35</v>
      </c>
      <c r="W2151" s="45" t="str">
        <f>HYPERLINK("http://ictvonline.org/taxonomy/p/taxonomy-history?taxnode_id=201904415","ICTVonline=201904415")</f>
        <v>ICTVonline=201904415</v>
      </c>
      <c r="Y2151" s="1" t="s">
        <v>10697</v>
      </c>
      <c r="Z2151" s="1" t="s">
        <v>10698</v>
      </c>
      <c r="AA2151" s="1">
        <v>201900000</v>
      </c>
      <c r="AB2151" s="1">
        <v>35</v>
      </c>
    </row>
    <row r="2152" spans="1:28" x14ac:dyDescent="0.2">
      <c r="A2152" s="1">
        <v>5925</v>
      </c>
      <c r="B2152" s="1" t="s">
        <v>10590</v>
      </c>
      <c r="D2152" s="1" t="s">
        <v>10685</v>
      </c>
      <c r="F2152" s="1" t="s">
        <v>10686</v>
      </c>
      <c r="H2152" s="1" t="s">
        <v>10689</v>
      </c>
      <c r="J2152" s="1" t="s">
        <v>10690</v>
      </c>
      <c r="L2152" s="1" t="s">
        <v>991</v>
      </c>
      <c r="N2152" s="1" t="s">
        <v>3863</v>
      </c>
      <c r="P2152" s="1" t="s">
        <v>3868</v>
      </c>
      <c r="Q2152" s="3">
        <v>0</v>
      </c>
      <c r="R2152" s="23" t="s">
        <v>10605</v>
      </c>
      <c r="S2152" s="23" t="s">
        <v>6847</v>
      </c>
      <c r="T2152" s="23" t="s">
        <v>4866</v>
      </c>
      <c r="U2152" s="3">
        <v>35</v>
      </c>
      <c r="W2152" s="45" t="str">
        <f>HYPERLINK("http://ictvonline.org/taxonomy/p/taxonomy-history?taxnode_id=201904416","ICTVonline=201904416")</f>
        <v>ICTVonline=201904416</v>
      </c>
      <c r="Y2152" s="1" t="s">
        <v>10699</v>
      </c>
      <c r="Z2152" s="1" t="s">
        <v>10700</v>
      </c>
      <c r="AA2152" s="1">
        <v>201900000</v>
      </c>
      <c r="AB2152" s="1">
        <v>35</v>
      </c>
    </row>
    <row r="2153" spans="1:28" x14ac:dyDescent="0.2">
      <c r="A2153" s="1">
        <v>5927</v>
      </c>
      <c r="B2153" s="1" t="s">
        <v>10590</v>
      </c>
      <c r="D2153" s="1" t="s">
        <v>10685</v>
      </c>
      <c r="F2153" s="1" t="s">
        <v>10686</v>
      </c>
      <c r="H2153" s="1" t="s">
        <v>10689</v>
      </c>
      <c r="J2153" s="1" t="s">
        <v>10690</v>
      </c>
      <c r="L2153" s="1" t="s">
        <v>991</v>
      </c>
      <c r="N2153" s="1" t="s">
        <v>3863</v>
      </c>
      <c r="P2153" s="1" t="s">
        <v>3869</v>
      </c>
      <c r="Q2153" s="3">
        <v>0</v>
      </c>
      <c r="R2153" s="23" t="s">
        <v>10605</v>
      </c>
      <c r="S2153" s="23" t="s">
        <v>6847</v>
      </c>
      <c r="T2153" s="23" t="s">
        <v>4866</v>
      </c>
      <c r="U2153" s="3">
        <v>35</v>
      </c>
      <c r="W2153" s="45" t="str">
        <f>HYPERLINK("http://ictvonline.org/taxonomy/p/taxonomy-history?taxnode_id=201904417","ICTVonline=201904417")</f>
        <v>ICTVonline=201904417</v>
      </c>
      <c r="Y2153" s="1" t="s">
        <v>10701</v>
      </c>
      <c r="Z2153" s="1" t="s">
        <v>10702</v>
      </c>
      <c r="AA2153" s="1">
        <v>201900000</v>
      </c>
      <c r="AB2153" s="1">
        <v>35</v>
      </c>
    </row>
    <row r="2154" spans="1:28" x14ac:dyDescent="0.2">
      <c r="A2154" s="1">
        <v>5929</v>
      </c>
      <c r="B2154" s="1" t="s">
        <v>10590</v>
      </c>
      <c r="D2154" s="1" t="s">
        <v>10685</v>
      </c>
      <c r="F2154" s="1" t="s">
        <v>10686</v>
      </c>
      <c r="H2154" s="1" t="s">
        <v>10689</v>
      </c>
      <c r="J2154" s="1" t="s">
        <v>10690</v>
      </c>
      <c r="L2154" s="1" t="s">
        <v>991</v>
      </c>
      <c r="N2154" s="1" t="s">
        <v>3863</v>
      </c>
      <c r="P2154" s="1" t="s">
        <v>3870</v>
      </c>
      <c r="Q2154" s="3">
        <v>0</v>
      </c>
      <c r="R2154" s="23" t="s">
        <v>10605</v>
      </c>
      <c r="S2154" s="23" t="s">
        <v>6847</v>
      </c>
      <c r="T2154" s="23" t="s">
        <v>4866</v>
      </c>
      <c r="U2154" s="3">
        <v>35</v>
      </c>
      <c r="W2154" s="45" t="str">
        <f>HYPERLINK("http://ictvonline.org/taxonomy/p/taxonomy-history?taxnode_id=201904418","ICTVonline=201904418")</f>
        <v>ICTVonline=201904418</v>
      </c>
      <c r="Y2154" s="1" t="s">
        <v>10703</v>
      </c>
      <c r="Z2154" s="1" t="s">
        <v>10704</v>
      </c>
      <c r="AA2154" s="1">
        <v>201900000</v>
      </c>
      <c r="AB2154" s="1">
        <v>35</v>
      </c>
    </row>
    <row r="2155" spans="1:28" x14ac:dyDescent="0.2">
      <c r="A2155" s="1">
        <v>5931</v>
      </c>
      <c r="B2155" s="1" t="s">
        <v>10590</v>
      </c>
      <c r="D2155" s="1" t="s">
        <v>10685</v>
      </c>
      <c r="F2155" s="1" t="s">
        <v>10686</v>
      </c>
      <c r="H2155" s="1" t="s">
        <v>10689</v>
      </c>
      <c r="J2155" s="1" t="s">
        <v>10690</v>
      </c>
      <c r="L2155" s="1" t="s">
        <v>991</v>
      </c>
      <c r="N2155" s="1" t="s">
        <v>3863</v>
      </c>
      <c r="P2155" s="1" t="s">
        <v>3871</v>
      </c>
      <c r="Q2155" s="3">
        <v>0</v>
      </c>
      <c r="R2155" s="23" t="s">
        <v>10605</v>
      </c>
      <c r="S2155" s="23" t="s">
        <v>6847</v>
      </c>
      <c r="T2155" s="23" t="s">
        <v>4866</v>
      </c>
      <c r="U2155" s="3">
        <v>35</v>
      </c>
      <c r="W2155" s="45" t="str">
        <f>HYPERLINK("http://ictvonline.org/taxonomy/p/taxonomy-history?taxnode_id=201904419","ICTVonline=201904419")</f>
        <v>ICTVonline=201904419</v>
      </c>
      <c r="Y2155" s="1" t="s">
        <v>10705</v>
      </c>
      <c r="Z2155" s="1" t="s">
        <v>10706</v>
      </c>
      <c r="AA2155" s="1">
        <v>201900000</v>
      </c>
      <c r="AB2155" s="1">
        <v>35</v>
      </c>
    </row>
    <row r="2156" spans="1:28" x14ac:dyDescent="0.2">
      <c r="A2156" s="1">
        <v>5933</v>
      </c>
      <c r="B2156" s="1" t="s">
        <v>10590</v>
      </c>
      <c r="D2156" s="1" t="s">
        <v>10685</v>
      </c>
      <c r="F2156" s="1" t="s">
        <v>10686</v>
      </c>
      <c r="H2156" s="1" t="s">
        <v>10689</v>
      </c>
      <c r="J2156" s="1" t="s">
        <v>10690</v>
      </c>
      <c r="L2156" s="1" t="s">
        <v>991</v>
      </c>
      <c r="N2156" s="1" t="s">
        <v>3863</v>
      </c>
      <c r="P2156" s="1" t="s">
        <v>3872</v>
      </c>
      <c r="Q2156" s="3">
        <v>0</v>
      </c>
      <c r="R2156" s="23" t="s">
        <v>10605</v>
      </c>
      <c r="S2156" s="23" t="s">
        <v>6847</v>
      </c>
      <c r="T2156" s="23" t="s">
        <v>4866</v>
      </c>
      <c r="U2156" s="3">
        <v>35</v>
      </c>
      <c r="W2156" s="45" t="str">
        <f>HYPERLINK("http://ictvonline.org/taxonomy/p/taxonomy-history?taxnode_id=201904420","ICTVonline=201904420")</f>
        <v>ICTVonline=201904420</v>
      </c>
      <c r="Y2156" s="1" t="s">
        <v>10707</v>
      </c>
      <c r="Z2156" s="1" t="s">
        <v>10708</v>
      </c>
      <c r="AA2156" s="1">
        <v>201900000</v>
      </c>
      <c r="AB2156" s="1">
        <v>35</v>
      </c>
    </row>
    <row r="2157" spans="1:28" x14ac:dyDescent="0.2">
      <c r="A2157" s="1">
        <v>5935</v>
      </c>
      <c r="B2157" s="1" t="s">
        <v>10590</v>
      </c>
      <c r="D2157" s="1" t="s">
        <v>10685</v>
      </c>
      <c r="F2157" s="1" t="s">
        <v>10686</v>
      </c>
      <c r="H2157" s="1" t="s">
        <v>10689</v>
      </c>
      <c r="J2157" s="1" t="s">
        <v>10690</v>
      </c>
      <c r="L2157" s="1" t="s">
        <v>991</v>
      </c>
      <c r="N2157" s="1" t="s">
        <v>3863</v>
      </c>
      <c r="P2157" s="1" t="s">
        <v>3873</v>
      </c>
      <c r="Q2157" s="3">
        <v>0</v>
      </c>
      <c r="R2157" s="23" t="s">
        <v>10605</v>
      </c>
      <c r="S2157" s="23" t="s">
        <v>6847</v>
      </c>
      <c r="T2157" s="23" t="s">
        <v>4866</v>
      </c>
      <c r="U2157" s="3">
        <v>35</v>
      </c>
      <c r="W2157" s="45" t="str">
        <f>HYPERLINK("http://ictvonline.org/taxonomy/p/taxonomy-history?taxnode_id=201904421","ICTVonline=201904421")</f>
        <v>ICTVonline=201904421</v>
      </c>
      <c r="Y2157" s="1" t="s">
        <v>10709</v>
      </c>
      <c r="Z2157" s="1" t="s">
        <v>10710</v>
      </c>
      <c r="AA2157" s="1">
        <v>201900000</v>
      </c>
      <c r="AB2157" s="1">
        <v>35</v>
      </c>
    </row>
    <row r="2158" spans="1:28" x14ac:dyDescent="0.2">
      <c r="A2158" s="1">
        <v>5937</v>
      </c>
      <c r="B2158" s="1" t="s">
        <v>10590</v>
      </c>
      <c r="D2158" s="1" t="s">
        <v>10685</v>
      </c>
      <c r="F2158" s="1" t="s">
        <v>10686</v>
      </c>
      <c r="H2158" s="1" t="s">
        <v>10689</v>
      </c>
      <c r="J2158" s="1" t="s">
        <v>10690</v>
      </c>
      <c r="L2158" s="1" t="s">
        <v>991</v>
      </c>
      <c r="N2158" s="1" t="s">
        <v>3863</v>
      </c>
      <c r="P2158" s="1" t="s">
        <v>3874</v>
      </c>
      <c r="Q2158" s="3">
        <v>0</v>
      </c>
      <c r="R2158" s="23" t="s">
        <v>10605</v>
      </c>
      <c r="S2158" s="23" t="s">
        <v>6847</v>
      </c>
      <c r="T2158" s="23" t="s">
        <v>4866</v>
      </c>
      <c r="U2158" s="3">
        <v>35</v>
      </c>
      <c r="W2158" s="45" t="str">
        <f>HYPERLINK("http://ictvonline.org/taxonomy/p/taxonomy-history?taxnode_id=201904422","ICTVonline=201904422")</f>
        <v>ICTVonline=201904422</v>
      </c>
      <c r="Y2158" s="1" t="s">
        <v>10711</v>
      </c>
      <c r="Z2158" s="1" t="s">
        <v>10712</v>
      </c>
      <c r="AA2158" s="1">
        <v>201900000</v>
      </c>
      <c r="AB2158" s="1">
        <v>35</v>
      </c>
    </row>
    <row r="2159" spans="1:28" x14ac:dyDescent="0.2">
      <c r="A2159" s="1">
        <v>5939</v>
      </c>
      <c r="B2159" s="1" t="s">
        <v>10590</v>
      </c>
      <c r="D2159" s="1" t="s">
        <v>10685</v>
      </c>
      <c r="F2159" s="1" t="s">
        <v>10686</v>
      </c>
      <c r="H2159" s="1" t="s">
        <v>10689</v>
      </c>
      <c r="J2159" s="1" t="s">
        <v>10690</v>
      </c>
      <c r="L2159" s="1" t="s">
        <v>991</v>
      </c>
      <c r="N2159" s="1" t="s">
        <v>3863</v>
      </c>
      <c r="P2159" s="1" t="s">
        <v>3875</v>
      </c>
      <c r="Q2159" s="3">
        <v>0</v>
      </c>
      <c r="R2159" s="23" t="s">
        <v>10605</v>
      </c>
      <c r="S2159" s="23" t="s">
        <v>6847</v>
      </c>
      <c r="T2159" s="23" t="s">
        <v>4866</v>
      </c>
      <c r="U2159" s="3">
        <v>35</v>
      </c>
      <c r="W2159" s="45" t="str">
        <f>HYPERLINK("http://ictvonline.org/taxonomy/p/taxonomy-history?taxnode_id=201904423","ICTVonline=201904423")</f>
        <v>ICTVonline=201904423</v>
      </c>
      <c r="Y2159" s="1" t="s">
        <v>10713</v>
      </c>
      <c r="Z2159" s="1" t="s">
        <v>10714</v>
      </c>
      <c r="AA2159" s="1">
        <v>201900000</v>
      </c>
      <c r="AB2159" s="1">
        <v>35</v>
      </c>
    </row>
    <row r="2160" spans="1:28" x14ac:dyDescent="0.2">
      <c r="A2160" s="1">
        <v>5941</v>
      </c>
      <c r="B2160" s="1" t="s">
        <v>10590</v>
      </c>
      <c r="D2160" s="1" t="s">
        <v>10685</v>
      </c>
      <c r="F2160" s="1" t="s">
        <v>10686</v>
      </c>
      <c r="H2160" s="1" t="s">
        <v>10689</v>
      </c>
      <c r="J2160" s="1" t="s">
        <v>10690</v>
      </c>
      <c r="L2160" s="1" t="s">
        <v>991</v>
      </c>
      <c r="N2160" s="1" t="s">
        <v>3863</v>
      </c>
      <c r="P2160" s="1" t="s">
        <v>3876</v>
      </c>
      <c r="Q2160" s="3">
        <v>0</v>
      </c>
      <c r="R2160" s="23" t="s">
        <v>10605</v>
      </c>
      <c r="S2160" s="23" t="s">
        <v>6847</v>
      </c>
      <c r="T2160" s="23" t="s">
        <v>4866</v>
      </c>
      <c r="U2160" s="3">
        <v>35</v>
      </c>
      <c r="W2160" s="45" t="str">
        <f>HYPERLINK("http://ictvonline.org/taxonomy/p/taxonomy-history?taxnode_id=201904424","ICTVonline=201904424")</f>
        <v>ICTVonline=201904424</v>
      </c>
      <c r="Y2160" s="1" t="s">
        <v>10715</v>
      </c>
      <c r="Z2160" s="1" t="s">
        <v>10716</v>
      </c>
      <c r="AA2160" s="1">
        <v>201900000</v>
      </c>
      <c r="AB2160" s="1">
        <v>35</v>
      </c>
    </row>
    <row r="2161" spans="1:28" x14ac:dyDescent="0.2">
      <c r="A2161" s="1">
        <v>5943</v>
      </c>
      <c r="B2161" s="1" t="s">
        <v>10590</v>
      </c>
      <c r="D2161" s="1" t="s">
        <v>10685</v>
      </c>
      <c r="F2161" s="1" t="s">
        <v>10686</v>
      </c>
      <c r="H2161" s="1" t="s">
        <v>10689</v>
      </c>
      <c r="J2161" s="1" t="s">
        <v>10690</v>
      </c>
      <c r="L2161" s="1" t="s">
        <v>991</v>
      </c>
      <c r="N2161" s="1" t="s">
        <v>3863</v>
      </c>
      <c r="P2161" s="1" t="s">
        <v>3877</v>
      </c>
      <c r="Q2161" s="3">
        <v>0</v>
      </c>
      <c r="R2161" s="23" t="s">
        <v>10605</v>
      </c>
      <c r="S2161" s="23" t="s">
        <v>6847</v>
      </c>
      <c r="T2161" s="23" t="s">
        <v>4866</v>
      </c>
      <c r="U2161" s="3">
        <v>35</v>
      </c>
      <c r="W2161" s="45" t="str">
        <f>HYPERLINK("http://ictvonline.org/taxonomy/p/taxonomy-history?taxnode_id=201904425","ICTVonline=201904425")</f>
        <v>ICTVonline=201904425</v>
      </c>
      <c r="Y2161" s="1" t="s">
        <v>10717</v>
      </c>
      <c r="Z2161" s="1" t="s">
        <v>10718</v>
      </c>
      <c r="AA2161" s="1">
        <v>201900000</v>
      </c>
      <c r="AB2161" s="1">
        <v>35</v>
      </c>
    </row>
    <row r="2162" spans="1:28" x14ac:dyDescent="0.2">
      <c r="A2162" s="1">
        <v>5945</v>
      </c>
      <c r="B2162" s="1" t="s">
        <v>10590</v>
      </c>
      <c r="D2162" s="1" t="s">
        <v>10685</v>
      </c>
      <c r="F2162" s="1" t="s">
        <v>10686</v>
      </c>
      <c r="H2162" s="1" t="s">
        <v>10689</v>
      </c>
      <c r="J2162" s="1" t="s">
        <v>10690</v>
      </c>
      <c r="L2162" s="1" t="s">
        <v>991</v>
      </c>
      <c r="N2162" s="1" t="s">
        <v>3863</v>
      </c>
      <c r="P2162" s="1" t="s">
        <v>3878</v>
      </c>
      <c r="Q2162" s="3">
        <v>0</v>
      </c>
      <c r="R2162" s="23" t="s">
        <v>10605</v>
      </c>
      <c r="S2162" s="23" t="s">
        <v>6847</v>
      </c>
      <c r="T2162" s="23" t="s">
        <v>4866</v>
      </c>
      <c r="U2162" s="3">
        <v>35</v>
      </c>
      <c r="W2162" s="45" t="str">
        <f>HYPERLINK("http://ictvonline.org/taxonomy/p/taxonomy-history?taxnode_id=201904427","ICTVonline=201904427")</f>
        <v>ICTVonline=201904427</v>
      </c>
      <c r="Y2162" s="1" t="s">
        <v>10719</v>
      </c>
      <c r="Z2162" s="1" t="s">
        <v>10720</v>
      </c>
      <c r="AA2162" s="1">
        <v>201900000</v>
      </c>
      <c r="AB2162" s="1">
        <v>35</v>
      </c>
    </row>
    <row r="2163" spans="1:28" x14ac:dyDescent="0.2">
      <c r="A2163" s="1">
        <v>5947</v>
      </c>
      <c r="B2163" s="1" t="s">
        <v>10590</v>
      </c>
      <c r="D2163" s="1" t="s">
        <v>10685</v>
      </c>
      <c r="F2163" s="1" t="s">
        <v>10686</v>
      </c>
      <c r="H2163" s="1" t="s">
        <v>10689</v>
      </c>
      <c r="J2163" s="1" t="s">
        <v>10690</v>
      </c>
      <c r="L2163" s="1" t="s">
        <v>991</v>
      </c>
      <c r="N2163" s="1" t="s">
        <v>3863</v>
      </c>
      <c r="P2163" s="1" t="s">
        <v>10721</v>
      </c>
      <c r="Q2163" s="3">
        <v>0</v>
      </c>
      <c r="R2163" s="23" t="s">
        <v>6854</v>
      </c>
      <c r="S2163" s="23" t="s">
        <v>6849</v>
      </c>
      <c r="T2163" s="23" t="s">
        <v>4864</v>
      </c>
      <c r="U2163" s="3">
        <v>35</v>
      </c>
      <c r="V2163" s="3" t="s">
        <v>10722</v>
      </c>
      <c r="W2163" s="45" t="str">
        <f>HYPERLINK("http://ictvonline.org/taxonomy/p/taxonomy-history?taxnode_id=201907113","ICTVonline=201907113")</f>
        <v>ICTVonline=201907113</v>
      </c>
      <c r="Y2163" s="1" t="s">
        <v>10723</v>
      </c>
      <c r="Z2163" s="1" t="s">
        <v>10724</v>
      </c>
      <c r="AA2163" s="1">
        <v>201900000</v>
      </c>
      <c r="AB2163" s="1">
        <v>35</v>
      </c>
    </row>
    <row r="2164" spans="1:28" x14ac:dyDescent="0.2">
      <c r="A2164" s="1">
        <v>5949</v>
      </c>
      <c r="B2164" s="1" t="s">
        <v>10590</v>
      </c>
      <c r="D2164" s="1" t="s">
        <v>10685</v>
      </c>
      <c r="F2164" s="1" t="s">
        <v>10686</v>
      </c>
      <c r="H2164" s="1" t="s">
        <v>10689</v>
      </c>
      <c r="J2164" s="1" t="s">
        <v>10690</v>
      </c>
      <c r="L2164" s="1" t="s">
        <v>991</v>
      </c>
      <c r="N2164" s="1" t="s">
        <v>3863</v>
      </c>
      <c r="P2164" s="1" t="s">
        <v>3879</v>
      </c>
      <c r="Q2164" s="3">
        <v>0</v>
      </c>
      <c r="R2164" s="23" t="s">
        <v>10605</v>
      </c>
      <c r="S2164" s="23" t="s">
        <v>6847</v>
      </c>
      <c r="T2164" s="23" t="s">
        <v>4866</v>
      </c>
      <c r="U2164" s="3">
        <v>35</v>
      </c>
      <c r="W2164" s="45" t="str">
        <f>HYPERLINK("http://ictvonline.org/taxonomy/p/taxonomy-history?taxnode_id=201904428","ICTVonline=201904428")</f>
        <v>ICTVonline=201904428</v>
      </c>
      <c r="Y2164" s="1" t="s">
        <v>10725</v>
      </c>
      <c r="Z2164" s="1" t="s">
        <v>10726</v>
      </c>
      <c r="AA2164" s="1">
        <v>201900000</v>
      </c>
      <c r="AB2164" s="1">
        <v>35</v>
      </c>
    </row>
    <row r="2165" spans="1:28" x14ac:dyDescent="0.2">
      <c r="A2165" s="1">
        <v>5951</v>
      </c>
      <c r="B2165" s="1" t="s">
        <v>10590</v>
      </c>
      <c r="D2165" s="1" t="s">
        <v>10685</v>
      </c>
      <c r="F2165" s="1" t="s">
        <v>10686</v>
      </c>
      <c r="H2165" s="1" t="s">
        <v>10689</v>
      </c>
      <c r="J2165" s="1" t="s">
        <v>10690</v>
      </c>
      <c r="L2165" s="1" t="s">
        <v>991</v>
      </c>
      <c r="N2165" s="1" t="s">
        <v>3863</v>
      </c>
      <c r="P2165" s="1" t="s">
        <v>3880</v>
      </c>
      <c r="Q2165" s="3">
        <v>0</v>
      </c>
      <c r="R2165" s="23" t="s">
        <v>10605</v>
      </c>
      <c r="S2165" s="23" t="s">
        <v>6847</v>
      </c>
      <c r="T2165" s="23" t="s">
        <v>4866</v>
      </c>
      <c r="U2165" s="3">
        <v>35</v>
      </c>
      <c r="W2165" s="45" t="str">
        <f>HYPERLINK("http://ictvonline.org/taxonomy/p/taxonomy-history?taxnode_id=201904429","ICTVonline=201904429")</f>
        <v>ICTVonline=201904429</v>
      </c>
      <c r="Z2165" s="1" t="s">
        <v>10727</v>
      </c>
      <c r="AA2165" s="1">
        <v>201900000</v>
      </c>
      <c r="AB2165" s="1">
        <v>35</v>
      </c>
    </row>
    <row r="2166" spans="1:28" x14ac:dyDescent="0.2">
      <c r="A2166" s="1">
        <v>5953</v>
      </c>
      <c r="B2166" s="1" t="s">
        <v>10590</v>
      </c>
      <c r="D2166" s="1" t="s">
        <v>10685</v>
      </c>
      <c r="F2166" s="1" t="s">
        <v>10686</v>
      </c>
      <c r="H2166" s="1" t="s">
        <v>10689</v>
      </c>
      <c r="J2166" s="1" t="s">
        <v>10690</v>
      </c>
      <c r="L2166" s="1" t="s">
        <v>991</v>
      </c>
      <c r="N2166" s="1" t="s">
        <v>3863</v>
      </c>
      <c r="P2166" s="1" t="s">
        <v>6810</v>
      </c>
      <c r="Q2166" s="3">
        <v>0</v>
      </c>
      <c r="R2166" s="23" t="s">
        <v>10605</v>
      </c>
      <c r="S2166" s="23" t="s">
        <v>6847</v>
      </c>
      <c r="T2166" s="23" t="s">
        <v>4866</v>
      </c>
      <c r="U2166" s="3">
        <v>35</v>
      </c>
      <c r="W2166" s="45" t="str">
        <f>HYPERLINK("http://ictvonline.org/taxonomy/p/taxonomy-history?taxnode_id=201906343","ICTVonline=201906343")</f>
        <v>ICTVonline=201906343</v>
      </c>
      <c r="X2166" s="1" t="s">
        <v>10728</v>
      </c>
      <c r="Y2166" s="1" t="s">
        <v>10729</v>
      </c>
      <c r="Z2166" s="1" t="s">
        <v>10730</v>
      </c>
      <c r="AA2166" s="1">
        <v>201900000</v>
      </c>
      <c r="AB2166" s="1">
        <v>35</v>
      </c>
    </row>
    <row r="2167" spans="1:28" x14ac:dyDescent="0.2">
      <c r="A2167" s="1">
        <v>5955</v>
      </c>
      <c r="B2167" s="1" t="s">
        <v>10590</v>
      </c>
      <c r="D2167" s="1" t="s">
        <v>10685</v>
      </c>
      <c r="F2167" s="1" t="s">
        <v>10686</v>
      </c>
      <c r="H2167" s="1" t="s">
        <v>10689</v>
      </c>
      <c r="J2167" s="1" t="s">
        <v>10690</v>
      </c>
      <c r="L2167" s="1" t="s">
        <v>991</v>
      </c>
      <c r="N2167" s="1" t="s">
        <v>3863</v>
      </c>
      <c r="P2167" s="1" t="s">
        <v>6811</v>
      </c>
      <c r="Q2167" s="3">
        <v>0</v>
      </c>
      <c r="R2167" s="23" t="s">
        <v>10605</v>
      </c>
      <c r="S2167" s="23" t="s">
        <v>6847</v>
      </c>
      <c r="T2167" s="23" t="s">
        <v>4866</v>
      </c>
      <c r="U2167" s="3">
        <v>35</v>
      </c>
      <c r="W2167" s="45" t="str">
        <f>HYPERLINK("http://ictvonline.org/taxonomy/p/taxonomy-history?taxnode_id=201906344","ICTVonline=201906344")</f>
        <v>ICTVonline=201906344</v>
      </c>
      <c r="X2167" s="1" t="s">
        <v>10731</v>
      </c>
      <c r="Y2167" s="1" t="s">
        <v>10732</v>
      </c>
      <c r="Z2167" s="1" t="s">
        <v>10733</v>
      </c>
      <c r="AA2167" s="1">
        <v>201900000</v>
      </c>
      <c r="AB2167" s="1">
        <v>35</v>
      </c>
    </row>
    <row r="2168" spans="1:28" x14ac:dyDescent="0.2">
      <c r="A2168" s="1">
        <v>5957</v>
      </c>
      <c r="B2168" s="1" t="s">
        <v>10590</v>
      </c>
      <c r="D2168" s="1" t="s">
        <v>10685</v>
      </c>
      <c r="F2168" s="1" t="s">
        <v>10686</v>
      </c>
      <c r="H2168" s="1" t="s">
        <v>10689</v>
      </c>
      <c r="J2168" s="1" t="s">
        <v>10690</v>
      </c>
      <c r="L2168" s="1" t="s">
        <v>991</v>
      </c>
      <c r="N2168" s="1" t="s">
        <v>3863</v>
      </c>
      <c r="P2168" s="1" t="s">
        <v>3881</v>
      </c>
      <c r="Q2168" s="3">
        <v>0</v>
      </c>
      <c r="R2168" s="23" t="s">
        <v>10605</v>
      </c>
      <c r="S2168" s="23" t="s">
        <v>6847</v>
      </c>
      <c r="T2168" s="23" t="s">
        <v>4866</v>
      </c>
      <c r="U2168" s="3">
        <v>35</v>
      </c>
      <c r="W2168" s="45" t="str">
        <f>HYPERLINK("http://ictvonline.org/taxonomy/p/taxonomy-history?taxnode_id=201904430","ICTVonline=201904430")</f>
        <v>ICTVonline=201904430</v>
      </c>
      <c r="Y2168" s="1" t="s">
        <v>10734</v>
      </c>
      <c r="Z2168" s="1" t="s">
        <v>10735</v>
      </c>
      <c r="AA2168" s="1">
        <v>201900000</v>
      </c>
      <c r="AB2168" s="1">
        <v>35</v>
      </c>
    </row>
    <row r="2169" spans="1:28" x14ac:dyDescent="0.2">
      <c r="A2169" s="1">
        <v>5959</v>
      </c>
      <c r="B2169" s="1" t="s">
        <v>10590</v>
      </c>
      <c r="D2169" s="1" t="s">
        <v>10685</v>
      </c>
      <c r="F2169" s="1" t="s">
        <v>10686</v>
      </c>
      <c r="H2169" s="1" t="s">
        <v>10689</v>
      </c>
      <c r="J2169" s="1" t="s">
        <v>10690</v>
      </c>
      <c r="L2169" s="1" t="s">
        <v>991</v>
      </c>
      <c r="N2169" s="1" t="s">
        <v>3863</v>
      </c>
      <c r="P2169" s="1" t="s">
        <v>3882</v>
      </c>
      <c r="Q2169" s="3">
        <v>1</v>
      </c>
      <c r="R2169" s="23" t="s">
        <v>10605</v>
      </c>
      <c r="S2169" s="23" t="s">
        <v>6847</v>
      </c>
      <c r="T2169" s="23" t="s">
        <v>4866</v>
      </c>
      <c r="U2169" s="3">
        <v>35</v>
      </c>
      <c r="W2169" s="45" t="str">
        <f>HYPERLINK("http://ictvonline.org/taxonomy/p/taxonomy-history?taxnode_id=201904431","ICTVonline=201904431")</f>
        <v>ICTVonline=201904431</v>
      </c>
      <c r="Z2169" s="1" t="s">
        <v>10736</v>
      </c>
      <c r="AA2169" s="1">
        <v>201900000</v>
      </c>
      <c r="AB2169" s="1">
        <v>35</v>
      </c>
    </row>
    <row r="2170" spans="1:28" x14ac:dyDescent="0.2">
      <c r="A2170" s="1">
        <v>5961</v>
      </c>
      <c r="B2170" s="1" t="s">
        <v>10590</v>
      </c>
      <c r="D2170" s="1" t="s">
        <v>10685</v>
      </c>
      <c r="F2170" s="1" t="s">
        <v>10686</v>
      </c>
      <c r="H2170" s="1" t="s">
        <v>10689</v>
      </c>
      <c r="J2170" s="1" t="s">
        <v>10690</v>
      </c>
      <c r="L2170" s="1" t="s">
        <v>991</v>
      </c>
      <c r="N2170" s="1" t="s">
        <v>3863</v>
      </c>
      <c r="P2170" s="1" t="s">
        <v>3883</v>
      </c>
      <c r="Q2170" s="3">
        <v>0</v>
      </c>
      <c r="R2170" s="23" t="s">
        <v>10605</v>
      </c>
      <c r="S2170" s="23" t="s">
        <v>6847</v>
      </c>
      <c r="T2170" s="23" t="s">
        <v>4866</v>
      </c>
      <c r="U2170" s="3">
        <v>35</v>
      </c>
      <c r="W2170" s="45" t="str">
        <f>HYPERLINK("http://ictvonline.org/taxonomy/p/taxonomy-history?taxnode_id=201904432","ICTVonline=201904432")</f>
        <v>ICTVonline=201904432</v>
      </c>
      <c r="Y2170" s="1" t="s">
        <v>10737</v>
      </c>
      <c r="Z2170" s="1" t="s">
        <v>10738</v>
      </c>
      <c r="AA2170" s="1">
        <v>201900000</v>
      </c>
      <c r="AB2170" s="1">
        <v>35</v>
      </c>
    </row>
    <row r="2171" spans="1:28" x14ac:dyDescent="0.2">
      <c r="A2171" s="1">
        <v>5963</v>
      </c>
      <c r="B2171" s="1" t="s">
        <v>10590</v>
      </c>
      <c r="D2171" s="1" t="s">
        <v>10685</v>
      </c>
      <c r="F2171" s="1" t="s">
        <v>10686</v>
      </c>
      <c r="H2171" s="1" t="s">
        <v>10689</v>
      </c>
      <c r="J2171" s="1" t="s">
        <v>10690</v>
      </c>
      <c r="L2171" s="1" t="s">
        <v>991</v>
      </c>
      <c r="N2171" s="1" t="s">
        <v>3863</v>
      </c>
      <c r="P2171" s="1" t="s">
        <v>3884</v>
      </c>
      <c r="Q2171" s="3">
        <v>0</v>
      </c>
      <c r="R2171" s="23" t="s">
        <v>10605</v>
      </c>
      <c r="S2171" s="23" t="s">
        <v>6847</v>
      </c>
      <c r="T2171" s="23" t="s">
        <v>4866</v>
      </c>
      <c r="U2171" s="3">
        <v>35</v>
      </c>
      <c r="W2171" s="45" t="str">
        <f>HYPERLINK("http://ictvonline.org/taxonomy/p/taxonomy-history?taxnode_id=201904433","ICTVonline=201904433")</f>
        <v>ICTVonline=201904433</v>
      </c>
      <c r="Y2171" s="1" t="s">
        <v>10739</v>
      </c>
      <c r="Z2171" s="1" t="s">
        <v>10740</v>
      </c>
      <c r="AA2171" s="1">
        <v>201900000</v>
      </c>
      <c r="AB2171" s="1">
        <v>35</v>
      </c>
    </row>
    <row r="2172" spans="1:28" x14ac:dyDescent="0.2">
      <c r="A2172" s="1">
        <v>5965</v>
      </c>
      <c r="B2172" s="1" t="s">
        <v>10590</v>
      </c>
      <c r="D2172" s="1" t="s">
        <v>10685</v>
      </c>
      <c r="F2172" s="1" t="s">
        <v>10686</v>
      </c>
      <c r="H2172" s="1" t="s">
        <v>10689</v>
      </c>
      <c r="J2172" s="1" t="s">
        <v>10690</v>
      </c>
      <c r="L2172" s="1" t="s">
        <v>991</v>
      </c>
      <c r="N2172" s="1" t="s">
        <v>3863</v>
      </c>
      <c r="P2172" s="1" t="s">
        <v>3885</v>
      </c>
      <c r="Q2172" s="3">
        <v>0</v>
      </c>
      <c r="R2172" s="23" t="s">
        <v>10605</v>
      </c>
      <c r="S2172" s="23" t="s">
        <v>6847</v>
      </c>
      <c r="T2172" s="23" t="s">
        <v>4866</v>
      </c>
      <c r="U2172" s="3">
        <v>35</v>
      </c>
      <c r="W2172" s="45" t="str">
        <f>HYPERLINK("http://ictvonline.org/taxonomy/p/taxonomy-history?taxnode_id=201904434","ICTVonline=201904434")</f>
        <v>ICTVonline=201904434</v>
      </c>
      <c r="Y2172" s="1" t="s">
        <v>10741</v>
      </c>
      <c r="Z2172" s="1" t="s">
        <v>10742</v>
      </c>
      <c r="AA2172" s="1">
        <v>201900000</v>
      </c>
      <c r="AB2172" s="1">
        <v>35</v>
      </c>
    </row>
    <row r="2173" spans="1:28" x14ac:dyDescent="0.2">
      <c r="A2173" s="1">
        <v>5967</v>
      </c>
      <c r="B2173" s="1" t="s">
        <v>10590</v>
      </c>
      <c r="D2173" s="1" t="s">
        <v>10685</v>
      </c>
      <c r="F2173" s="1" t="s">
        <v>10686</v>
      </c>
      <c r="H2173" s="1" t="s">
        <v>10689</v>
      </c>
      <c r="J2173" s="1" t="s">
        <v>10690</v>
      </c>
      <c r="L2173" s="1" t="s">
        <v>991</v>
      </c>
      <c r="N2173" s="1" t="s">
        <v>3863</v>
      </c>
      <c r="P2173" s="1" t="s">
        <v>3886</v>
      </c>
      <c r="Q2173" s="3">
        <v>0</v>
      </c>
      <c r="R2173" s="23" t="s">
        <v>10605</v>
      </c>
      <c r="S2173" s="23" t="s">
        <v>6847</v>
      </c>
      <c r="T2173" s="23" t="s">
        <v>4866</v>
      </c>
      <c r="U2173" s="3">
        <v>35</v>
      </c>
      <c r="W2173" s="45" t="str">
        <f>HYPERLINK("http://ictvonline.org/taxonomy/p/taxonomy-history?taxnode_id=201904435","ICTVonline=201904435")</f>
        <v>ICTVonline=201904435</v>
      </c>
      <c r="Y2173" s="1" t="s">
        <v>10743</v>
      </c>
      <c r="Z2173" s="1" t="s">
        <v>10744</v>
      </c>
      <c r="AA2173" s="1">
        <v>201900000</v>
      </c>
      <c r="AB2173" s="1">
        <v>35</v>
      </c>
    </row>
    <row r="2174" spans="1:28" x14ac:dyDescent="0.2">
      <c r="A2174" s="1">
        <v>5969</v>
      </c>
      <c r="B2174" s="1" t="s">
        <v>10590</v>
      </c>
      <c r="D2174" s="1" t="s">
        <v>10685</v>
      </c>
      <c r="F2174" s="1" t="s">
        <v>10686</v>
      </c>
      <c r="H2174" s="1" t="s">
        <v>10689</v>
      </c>
      <c r="J2174" s="1" t="s">
        <v>10690</v>
      </c>
      <c r="L2174" s="1" t="s">
        <v>991</v>
      </c>
      <c r="N2174" s="1" t="s">
        <v>3863</v>
      </c>
      <c r="P2174" s="1" t="s">
        <v>3887</v>
      </c>
      <c r="Q2174" s="3">
        <v>0</v>
      </c>
      <c r="R2174" s="23" t="s">
        <v>10605</v>
      </c>
      <c r="S2174" s="23" t="s">
        <v>6847</v>
      </c>
      <c r="T2174" s="23" t="s">
        <v>4866</v>
      </c>
      <c r="U2174" s="3">
        <v>35</v>
      </c>
      <c r="W2174" s="45" t="str">
        <f>HYPERLINK("http://ictvonline.org/taxonomy/p/taxonomy-history?taxnode_id=201904436","ICTVonline=201904436")</f>
        <v>ICTVonline=201904436</v>
      </c>
      <c r="Y2174" s="1" t="s">
        <v>10745</v>
      </c>
      <c r="Z2174" s="1" t="s">
        <v>10746</v>
      </c>
      <c r="AA2174" s="1">
        <v>201900000</v>
      </c>
      <c r="AB2174" s="1">
        <v>35</v>
      </c>
    </row>
    <row r="2175" spans="1:28" x14ac:dyDescent="0.2">
      <c r="A2175" s="1">
        <v>5971</v>
      </c>
      <c r="B2175" s="1" t="s">
        <v>10590</v>
      </c>
      <c r="D2175" s="1" t="s">
        <v>10685</v>
      </c>
      <c r="F2175" s="1" t="s">
        <v>10686</v>
      </c>
      <c r="H2175" s="1" t="s">
        <v>10689</v>
      </c>
      <c r="J2175" s="1" t="s">
        <v>10690</v>
      </c>
      <c r="L2175" s="1" t="s">
        <v>991</v>
      </c>
      <c r="N2175" s="1" t="s">
        <v>3863</v>
      </c>
      <c r="P2175" s="1" t="s">
        <v>3888</v>
      </c>
      <c r="Q2175" s="3">
        <v>0</v>
      </c>
      <c r="R2175" s="23" t="s">
        <v>10605</v>
      </c>
      <c r="S2175" s="23" t="s">
        <v>6847</v>
      </c>
      <c r="T2175" s="23" t="s">
        <v>4866</v>
      </c>
      <c r="U2175" s="3">
        <v>35</v>
      </c>
      <c r="W2175" s="45" t="str">
        <f>HYPERLINK("http://ictvonline.org/taxonomy/p/taxonomy-history?taxnode_id=201904437","ICTVonline=201904437")</f>
        <v>ICTVonline=201904437</v>
      </c>
      <c r="Y2175" s="1" t="s">
        <v>10747</v>
      </c>
      <c r="Z2175" s="1" t="s">
        <v>10748</v>
      </c>
      <c r="AA2175" s="1">
        <v>201900000</v>
      </c>
      <c r="AB2175" s="1">
        <v>35</v>
      </c>
    </row>
    <row r="2176" spans="1:28" x14ac:dyDescent="0.2">
      <c r="A2176" s="1">
        <v>5973</v>
      </c>
      <c r="B2176" s="1" t="s">
        <v>10590</v>
      </c>
      <c r="D2176" s="1" t="s">
        <v>10685</v>
      </c>
      <c r="F2176" s="1" t="s">
        <v>10686</v>
      </c>
      <c r="H2176" s="1" t="s">
        <v>10689</v>
      </c>
      <c r="J2176" s="1" t="s">
        <v>10690</v>
      </c>
      <c r="L2176" s="1" t="s">
        <v>991</v>
      </c>
      <c r="N2176" s="1" t="s">
        <v>3863</v>
      </c>
      <c r="P2176" s="1" t="s">
        <v>3889</v>
      </c>
      <c r="Q2176" s="3">
        <v>0</v>
      </c>
      <c r="R2176" s="23" t="s">
        <v>10605</v>
      </c>
      <c r="S2176" s="23" t="s">
        <v>6847</v>
      </c>
      <c r="T2176" s="23" t="s">
        <v>4866</v>
      </c>
      <c r="U2176" s="3">
        <v>35</v>
      </c>
      <c r="W2176" s="45" t="str">
        <f>HYPERLINK("http://ictvonline.org/taxonomy/p/taxonomy-history?taxnode_id=201904438","ICTVonline=201904438")</f>
        <v>ICTVonline=201904438</v>
      </c>
      <c r="Y2176" s="1" t="s">
        <v>10749</v>
      </c>
      <c r="Z2176" s="1" t="s">
        <v>10750</v>
      </c>
      <c r="AA2176" s="1">
        <v>201900000</v>
      </c>
      <c r="AB2176" s="1">
        <v>35</v>
      </c>
    </row>
    <row r="2177" spans="1:28" x14ac:dyDescent="0.2">
      <c r="A2177" s="1">
        <v>5975</v>
      </c>
      <c r="B2177" s="1" t="s">
        <v>10590</v>
      </c>
      <c r="D2177" s="1" t="s">
        <v>10685</v>
      </c>
      <c r="F2177" s="1" t="s">
        <v>10686</v>
      </c>
      <c r="H2177" s="1" t="s">
        <v>10689</v>
      </c>
      <c r="J2177" s="1" t="s">
        <v>10690</v>
      </c>
      <c r="L2177" s="1" t="s">
        <v>991</v>
      </c>
      <c r="N2177" s="1" t="s">
        <v>3863</v>
      </c>
      <c r="P2177" s="1" t="s">
        <v>3890</v>
      </c>
      <c r="Q2177" s="3">
        <v>0</v>
      </c>
      <c r="R2177" s="23" t="s">
        <v>10605</v>
      </c>
      <c r="S2177" s="23" t="s">
        <v>6847</v>
      </c>
      <c r="T2177" s="23" t="s">
        <v>4866</v>
      </c>
      <c r="U2177" s="3">
        <v>35</v>
      </c>
      <c r="W2177" s="45" t="str">
        <f>HYPERLINK("http://ictvonline.org/taxonomy/p/taxonomy-history?taxnode_id=201904439","ICTVonline=201904439")</f>
        <v>ICTVonline=201904439</v>
      </c>
      <c r="Y2177" s="1" t="s">
        <v>10751</v>
      </c>
      <c r="Z2177" s="1" t="s">
        <v>10752</v>
      </c>
      <c r="AA2177" s="1">
        <v>201900000</v>
      </c>
      <c r="AB2177" s="1">
        <v>35</v>
      </c>
    </row>
    <row r="2178" spans="1:28" x14ac:dyDescent="0.2">
      <c r="A2178" s="1">
        <v>5977</v>
      </c>
      <c r="B2178" s="1" t="s">
        <v>10590</v>
      </c>
      <c r="D2178" s="1" t="s">
        <v>10685</v>
      </c>
      <c r="F2178" s="1" t="s">
        <v>10686</v>
      </c>
      <c r="H2178" s="1" t="s">
        <v>10689</v>
      </c>
      <c r="J2178" s="1" t="s">
        <v>10690</v>
      </c>
      <c r="L2178" s="1" t="s">
        <v>991</v>
      </c>
      <c r="N2178" s="1" t="s">
        <v>3863</v>
      </c>
      <c r="P2178" s="1" t="s">
        <v>3891</v>
      </c>
      <c r="Q2178" s="3">
        <v>0</v>
      </c>
      <c r="R2178" s="23" t="s">
        <v>10605</v>
      </c>
      <c r="S2178" s="23" t="s">
        <v>6847</v>
      </c>
      <c r="T2178" s="23" t="s">
        <v>4866</v>
      </c>
      <c r="U2178" s="3">
        <v>35</v>
      </c>
      <c r="W2178" s="45" t="str">
        <f>HYPERLINK("http://ictvonline.org/taxonomy/p/taxonomy-history?taxnode_id=201904440","ICTVonline=201904440")</f>
        <v>ICTVonline=201904440</v>
      </c>
      <c r="Y2178" s="1" t="s">
        <v>10753</v>
      </c>
      <c r="Z2178" s="1" t="s">
        <v>10754</v>
      </c>
      <c r="AA2178" s="1">
        <v>201900000</v>
      </c>
      <c r="AB2178" s="1">
        <v>35</v>
      </c>
    </row>
    <row r="2179" spans="1:28" x14ac:dyDescent="0.2">
      <c r="A2179" s="1">
        <v>5979</v>
      </c>
      <c r="B2179" s="1" t="s">
        <v>10590</v>
      </c>
      <c r="D2179" s="1" t="s">
        <v>10685</v>
      </c>
      <c r="F2179" s="1" t="s">
        <v>10686</v>
      </c>
      <c r="H2179" s="1" t="s">
        <v>10689</v>
      </c>
      <c r="J2179" s="1" t="s">
        <v>10690</v>
      </c>
      <c r="L2179" s="1" t="s">
        <v>991</v>
      </c>
      <c r="N2179" s="1" t="s">
        <v>3863</v>
      </c>
      <c r="P2179" s="1" t="s">
        <v>3892</v>
      </c>
      <c r="Q2179" s="3">
        <v>0</v>
      </c>
      <c r="R2179" s="23" t="s">
        <v>10605</v>
      </c>
      <c r="S2179" s="23" t="s">
        <v>6847</v>
      </c>
      <c r="T2179" s="23" t="s">
        <v>4866</v>
      </c>
      <c r="U2179" s="3">
        <v>35</v>
      </c>
      <c r="W2179" s="45" t="str">
        <f>HYPERLINK("http://ictvonline.org/taxonomy/p/taxonomy-history?taxnode_id=201904441","ICTVonline=201904441")</f>
        <v>ICTVonline=201904441</v>
      </c>
      <c r="Y2179" s="1" t="s">
        <v>10755</v>
      </c>
      <c r="Z2179" s="1" t="s">
        <v>10756</v>
      </c>
      <c r="AA2179" s="1">
        <v>201900000</v>
      </c>
      <c r="AB2179" s="1">
        <v>35</v>
      </c>
    </row>
    <row r="2180" spans="1:28" x14ac:dyDescent="0.2">
      <c r="A2180" s="1">
        <v>5981</v>
      </c>
      <c r="B2180" s="1" t="s">
        <v>10590</v>
      </c>
      <c r="D2180" s="1" t="s">
        <v>10685</v>
      </c>
      <c r="F2180" s="1" t="s">
        <v>10686</v>
      </c>
      <c r="H2180" s="1" t="s">
        <v>10689</v>
      </c>
      <c r="J2180" s="1" t="s">
        <v>10690</v>
      </c>
      <c r="L2180" s="1" t="s">
        <v>991</v>
      </c>
      <c r="N2180" s="1" t="s">
        <v>3863</v>
      </c>
      <c r="P2180" s="1" t="s">
        <v>5440</v>
      </c>
      <c r="Q2180" s="3">
        <v>0</v>
      </c>
      <c r="R2180" s="23" t="s">
        <v>10605</v>
      </c>
      <c r="S2180" s="23" t="s">
        <v>6847</v>
      </c>
      <c r="T2180" s="23" t="s">
        <v>4866</v>
      </c>
      <c r="U2180" s="3">
        <v>35</v>
      </c>
      <c r="W2180" s="45" t="str">
        <f>HYPERLINK("http://ictvonline.org/taxonomy/p/taxonomy-history?taxnode_id=201905904","ICTVonline=201905904")</f>
        <v>ICTVonline=201905904</v>
      </c>
      <c r="AA2180" s="1">
        <v>201900000</v>
      </c>
      <c r="AB2180" s="1">
        <v>35</v>
      </c>
    </row>
    <row r="2181" spans="1:28" x14ac:dyDescent="0.2">
      <c r="A2181" s="1">
        <v>5983</v>
      </c>
      <c r="B2181" s="1" t="s">
        <v>10590</v>
      </c>
      <c r="D2181" s="1" t="s">
        <v>10685</v>
      </c>
      <c r="F2181" s="1" t="s">
        <v>10686</v>
      </c>
      <c r="H2181" s="1" t="s">
        <v>10689</v>
      </c>
      <c r="J2181" s="1" t="s">
        <v>10690</v>
      </c>
      <c r="L2181" s="1" t="s">
        <v>991</v>
      </c>
      <c r="N2181" s="1" t="s">
        <v>3863</v>
      </c>
      <c r="P2181" s="1" t="s">
        <v>3893</v>
      </c>
      <c r="Q2181" s="3">
        <v>0</v>
      </c>
      <c r="R2181" s="23" t="s">
        <v>10605</v>
      </c>
      <c r="S2181" s="23" t="s">
        <v>6847</v>
      </c>
      <c r="T2181" s="23" t="s">
        <v>4866</v>
      </c>
      <c r="U2181" s="3">
        <v>35</v>
      </c>
      <c r="W2181" s="45" t="str">
        <f>HYPERLINK("http://ictvonline.org/taxonomy/p/taxonomy-history?taxnode_id=201904442","ICTVonline=201904442")</f>
        <v>ICTVonline=201904442</v>
      </c>
      <c r="Y2181" s="1" t="s">
        <v>10757</v>
      </c>
      <c r="Z2181" s="1" t="s">
        <v>10758</v>
      </c>
      <c r="AA2181" s="1">
        <v>201900000</v>
      </c>
      <c r="AB2181" s="1">
        <v>35</v>
      </c>
    </row>
    <row r="2182" spans="1:28" x14ac:dyDescent="0.2">
      <c r="A2182" s="1">
        <v>5985</v>
      </c>
      <c r="B2182" s="1" t="s">
        <v>10590</v>
      </c>
      <c r="D2182" s="1" t="s">
        <v>10685</v>
      </c>
      <c r="F2182" s="1" t="s">
        <v>10686</v>
      </c>
      <c r="H2182" s="1" t="s">
        <v>10689</v>
      </c>
      <c r="J2182" s="1" t="s">
        <v>10690</v>
      </c>
      <c r="L2182" s="1" t="s">
        <v>991</v>
      </c>
      <c r="N2182" s="1" t="s">
        <v>3863</v>
      </c>
      <c r="P2182" s="1" t="s">
        <v>3894</v>
      </c>
      <c r="Q2182" s="3">
        <v>0</v>
      </c>
      <c r="R2182" s="23" t="s">
        <v>10605</v>
      </c>
      <c r="S2182" s="23" t="s">
        <v>6847</v>
      </c>
      <c r="T2182" s="23" t="s">
        <v>4866</v>
      </c>
      <c r="U2182" s="3">
        <v>35</v>
      </c>
      <c r="W2182" s="45" t="str">
        <f>HYPERLINK("http://ictvonline.org/taxonomy/p/taxonomy-history?taxnode_id=201904443","ICTVonline=201904443")</f>
        <v>ICTVonline=201904443</v>
      </c>
      <c r="Y2182" s="1" t="s">
        <v>10759</v>
      </c>
      <c r="Z2182" s="1" t="s">
        <v>10760</v>
      </c>
      <c r="AA2182" s="1">
        <v>201900000</v>
      </c>
      <c r="AB2182" s="1">
        <v>35</v>
      </c>
    </row>
    <row r="2183" spans="1:28" x14ac:dyDescent="0.2">
      <c r="A2183" s="1">
        <v>5987</v>
      </c>
      <c r="B2183" s="1" t="s">
        <v>10590</v>
      </c>
      <c r="D2183" s="1" t="s">
        <v>10685</v>
      </c>
      <c r="F2183" s="1" t="s">
        <v>10686</v>
      </c>
      <c r="H2183" s="1" t="s">
        <v>10689</v>
      </c>
      <c r="J2183" s="1" t="s">
        <v>10690</v>
      </c>
      <c r="L2183" s="1" t="s">
        <v>991</v>
      </c>
      <c r="N2183" s="1" t="s">
        <v>3863</v>
      </c>
      <c r="P2183" s="1" t="s">
        <v>3895</v>
      </c>
      <c r="Q2183" s="3">
        <v>0</v>
      </c>
      <c r="R2183" s="23" t="s">
        <v>10605</v>
      </c>
      <c r="S2183" s="23" t="s">
        <v>6847</v>
      </c>
      <c r="T2183" s="23" t="s">
        <v>4866</v>
      </c>
      <c r="U2183" s="3">
        <v>35</v>
      </c>
      <c r="W2183" s="45" t="str">
        <f>HYPERLINK("http://ictvonline.org/taxonomy/p/taxonomy-history?taxnode_id=201904444","ICTVonline=201904444")</f>
        <v>ICTVonline=201904444</v>
      </c>
      <c r="Y2183" s="1" t="s">
        <v>10761</v>
      </c>
      <c r="Z2183" s="1" t="s">
        <v>10762</v>
      </c>
      <c r="AA2183" s="1">
        <v>201900000</v>
      </c>
      <c r="AB2183" s="1">
        <v>35</v>
      </c>
    </row>
    <row r="2184" spans="1:28" x14ac:dyDescent="0.2">
      <c r="A2184" s="1">
        <v>5989</v>
      </c>
      <c r="B2184" s="1" t="s">
        <v>10590</v>
      </c>
      <c r="D2184" s="1" t="s">
        <v>10685</v>
      </c>
      <c r="F2184" s="1" t="s">
        <v>10686</v>
      </c>
      <c r="H2184" s="1" t="s">
        <v>10689</v>
      </c>
      <c r="J2184" s="1" t="s">
        <v>10690</v>
      </c>
      <c r="L2184" s="1" t="s">
        <v>991</v>
      </c>
      <c r="N2184" s="1" t="s">
        <v>3863</v>
      </c>
      <c r="P2184" s="1" t="s">
        <v>3896</v>
      </c>
      <c r="Q2184" s="3">
        <v>0</v>
      </c>
      <c r="R2184" s="23" t="s">
        <v>10605</v>
      </c>
      <c r="S2184" s="23" t="s">
        <v>6847</v>
      </c>
      <c r="T2184" s="23" t="s">
        <v>4866</v>
      </c>
      <c r="U2184" s="3">
        <v>35</v>
      </c>
      <c r="W2184" s="45" t="str">
        <f>HYPERLINK("http://ictvonline.org/taxonomy/p/taxonomy-history?taxnode_id=201904445","ICTVonline=201904445")</f>
        <v>ICTVonline=201904445</v>
      </c>
      <c r="Y2184" s="1" t="s">
        <v>10763</v>
      </c>
      <c r="Z2184" s="1" t="s">
        <v>10764</v>
      </c>
      <c r="AA2184" s="1">
        <v>201900000</v>
      </c>
      <c r="AB2184" s="1">
        <v>35</v>
      </c>
    </row>
    <row r="2185" spans="1:28" x14ac:dyDescent="0.2">
      <c r="A2185" s="1">
        <v>5991</v>
      </c>
      <c r="B2185" s="1" t="s">
        <v>10590</v>
      </c>
      <c r="D2185" s="1" t="s">
        <v>10685</v>
      </c>
      <c r="F2185" s="1" t="s">
        <v>10686</v>
      </c>
      <c r="H2185" s="1" t="s">
        <v>10689</v>
      </c>
      <c r="J2185" s="1" t="s">
        <v>10690</v>
      </c>
      <c r="L2185" s="1" t="s">
        <v>991</v>
      </c>
      <c r="N2185" s="1" t="s">
        <v>3863</v>
      </c>
      <c r="P2185" s="1" t="s">
        <v>3897</v>
      </c>
      <c r="Q2185" s="3">
        <v>0</v>
      </c>
      <c r="R2185" s="23" t="s">
        <v>10605</v>
      </c>
      <c r="S2185" s="23" t="s">
        <v>6847</v>
      </c>
      <c r="T2185" s="23" t="s">
        <v>4866</v>
      </c>
      <c r="U2185" s="3">
        <v>35</v>
      </c>
      <c r="W2185" s="45" t="str">
        <f>HYPERLINK("http://ictvonline.org/taxonomy/p/taxonomy-history?taxnode_id=201904446","ICTVonline=201904446")</f>
        <v>ICTVonline=201904446</v>
      </c>
      <c r="Y2185" s="1" t="s">
        <v>10765</v>
      </c>
      <c r="Z2185" s="1" t="s">
        <v>10766</v>
      </c>
      <c r="AA2185" s="1">
        <v>201900000</v>
      </c>
      <c r="AB2185" s="1">
        <v>35</v>
      </c>
    </row>
    <row r="2186" spans="1:28" x14ac:dyDescent="0.2">
      <c r="A2186" s="1">
        <v>5993</v>
      </c>
      <c r="B2186" s="1" t="s">
        <v>10590</v>
      </c>
      <c r="D2186" s="1" t="s">
        <v>10685</v>
      </c>
      <c r="F2186" s="1" t="s">
        <v>10686</v>
      </c>
      <c r="H2186" s="1" t="s">
        <v>10689</v>
      </c>
      <c r="J2186" s="1" t="s">
        <v>10690</v>
      </c>
      <c r="L2186" s="1" t="s">
        <v>991</v>
      </c>
      <c r="N2186" s="1" t="s">
        <v>3863</v>
      </c>
      <c r="P2186" s="1" t="s">
        <v>4757</v>
      </c>
      <c r="Q2186" s="3">
        <v>0</v>
      </c>
      <c r="R2186" s="23" t="s">
        <v>10605</v>
      </c>
      <c r="S2186" s="23" t="s">
        <v>6847</v>
      </c>
      <c r="T2186" s="23" t="s">
        <v>4866</v>
      </c>
      <c r="U2186" s="3">
        <v>35</v>
      </c>
      <c r="W2186" s="45" t="str">
        <f>HYPERLINK("http://ictvonline.org/taxonomy/p/taxonomy-history?taxnode_id=201904447","ICTVonline=201904447")</f>
        <v>ICTVonline=201904447</v>
      </c>
      <c r="Y2186" s="1" t="s">
        <v>10767</v>
      </c>
      <c r="Z2186" s="1" t="s">
        <v>10768</v>
      </c>
      <c r="AA2186" s="1">
        <v>201900000</v>
      </c>
      <c r="AB2186" s="1">
        <v>35</v>
      </c>
    </row>
    <row r="2187" spans="1:28" x14ac:dyDescent="0.2">
      <c r="A2187" s="1">
        <v>5995</v>
      </c>
      <c r="B2187" s="1" t="s">
        <v>10590</v>
      </c>
      <c r="D2187" s="1" t="s">
        <v>10685</v>
      </c>
      <c r="F2187" s="1" t="s">
        <v>10686</v>
      </c>
      <c r="H2187" s="1" t="s">
        <v>10689</v>
      </c>
      <c r="J2187" s="1" t="s">
        <v>10690</v>
      </c>
      <c r="L2187" s="1" t="s">
        <v>991</v>
      </c>
      <c r="N2187" s="1" t="s">
        <v>3863</v>
      </c>
      <c r="P2187" s="1" t="s">
        <v>6812</v>
      </c>
      <c r="Q2187" s="3">
        <v>0</v>
      </c>
      <c r="R2187" s="23" t="s">
        <v>10605</v>
      </c>
      <c r="S2187" s="23" t="s">
        <v>6847</v>
      </c>
      <c r="T2187" s="23" t="s">
        <v>4866</v>
      </c>
      <c r="U2187" s="3">
        <v>35</v>
      </c>
      <c r="W2187" s="45" t="str">
        <f>HYPERLINK("http://ictvonline.org/taxonomy/p/taxonomy-history?taxnode_id=201904426","ICTVonline=201904426")</f>
        <v>ICTVonline=201904426</v>
      </c>
      <c r="Y2187" s="1" t="s">
        <v>10769</v>
      </c>
      <c r="Z2187" s="1" t="s">
        <v>10770</v>
      </c>
      <c r="AA2187" s="1">
        <v>201900000</v>
      </c>
      <c r="AB2187" s="1">
        <v>35</v>
      </c>
    </row>
    <row r="2188" spans="1:28" x14ac:dyDescent="0.2">
      <c r="A2188" s="1">
        <v>5997</v>
      </c>
      <c r="B2188" s="1" t="s">
        <v>10590</v>
      </c>
      <c r="D2188" s="1" t="s">
        <v>10685</v>
      </c>
      <c r="F2188" s="1" t="s">
        <v>10686</v>
      </c>
      <c r="H2188" s="1" t="s">
        <v>10689</v>
      </c>
      <c r="J2188" s="1" t="s">
        <v>10690</v>
      </c>
      <c r="L2188" s="1" t="s">
        <v>991</v>
      </c>
      <c r="N2188" s="1" t="s">
        <v>3863</v>
      </c>
      <c r="P2188" s="1" t="s">
        <v>6813</v>
      </c>
      <c r="Q2188" s="3">
        <v>0</v>
      </c>
      <c r="R2188" s="23" t="s">
        <v>10605</v>
      </c>
      <c r="S2188" s="23" t="s">
        <v>6847</v>
      </c>
      <c r="T2188" s="23" t="s">
        <v>4866</v>
      </c>
      <c r="U2188" s="3">
        <v>35</v>
      </c>
      <c r="W2188" s="45" t="str">
        <f>HYPERLINK("http://ictvonline.org/taxonomy/p/taxonomy-history?taxnode_id=201906345","ICTVonline=201906345")</f>
        <v>ICTVonline=201906345</v>
      </c>
      <c r="X2188" s="1" t="s">
        <v>10771</v>
      </c>
      <c r="Y2188" s="1" t="s">
        <v>10772</v>
      </c>
      <c r="Z2188" s="1" t="s">
        <v>10773</v>
      </c>
      <c r="AA2188" s="1">
        <v>201900000</v>
      </c>
      <c r="AB2188" s="1">
        <v>35</v>
      </c>
    </row>
    <row r="2189" spans="1:28" x14ac:dyDescent="0.2">
      <c r="A2189" s="1">
        <v>5999</v>
      </c>
      <c r="B2189" s="1" t="s">
        <v>10590</v>
      </c>
      <c r="D2189" s="1" t="s">
        <v>10685</v>
      </c>
      <c r="F2189" s="1" t="s">
        <v>10686</v>
      </c>
      <c r="H2189" s="1" t="s">
        <v>10689</v>
      </c>
      <c r="J2189" s="1" t="s">
        <v>10690</v>
      </c>
      <c r="L2189" s="1" t="s">
        <v>991</v>
      </c>
      <c r="N2189" s="1" t="s">
        <v>3863</v>
      </c>
      <c r="P2189" s="1" t="s">
        <v>6814</v>
      </c>
      <c r="Q2189" s="3">
        <v>0</v>
      </c>
      <c r="R2189" s="23" t="s">
        <v>10605</v>
      </c>
      <c r="S2189" s="23" t="s">
        <v>6847</v>
      </c>
      <c r="T2189" s="23" t="s">
        <v>4866</v>
      </c>
      <c r="U2189" s="3">
        <v>35</v>
      </c>
      <c r="W2189" s="45" t="str">
        <f>HYPERLINK("http://ictvonline.org/taxonomy/p/taxonomy-history?taxnode_id=201906346","ICTVonline=201906346")</f>
        <v>ICTVonline=201906346</v>
      </c>
      <c r="X2189" s="1" t="s">
        <v>10774</v>
      </c>
      <c r="Y2189" s="1" t="s">
        <v>10775</v>
      </c>
      <c r="Z2189" s="1" t="s">
        <v>10776</v>
      </c>
      <c r="AA2189" s="1">
        <v>201900000</v>
      </c>
      <c r="AB2189" s="1">
        <v>35</v>
      </c>
    </row>
    <row r="2190" spans="1:28" x14ac:dyDescent="0.2">
      <c r="A2190" s="1">
        <v>6001</v>
      </c>
      <c r="B2190" s="1" t="s">
        <v>10590</v>
      </c>
      <c r="D2190" s="1" t="s">
        <v>10685</v>
      </c>
      <c r="F2190" s="1" t="s">
        <v>10686</v>
      </c>
      <c r="H2190" s="1" t="s">
        <v>10689</v>
      </c>
      <c r="J2190" s="1" t="s">
        <v>10690</v>
      </c>
      <c r="L2190" s="1" t="s">
        <v>991</v>
      </c>
      <c r="N2190" s="1" t="s">
        <v>3863</v>
      </c>
      <c r="P2190" s="1" t="s">
        <v>3898</v>
      </c>
      <c r="Q2190" s="3">
        <v>0</v>
      </c>
      <c r="R2190" s="23" t="s">
        <v>10605</v>
      </c>
      <c r="S2190" s="23" t="s">
        <v>6847</v>
      </c>
      <c r="T2190" s="23" t="s">
        <v>4866</v>
      </c>
      <c r="U2190" s="3">
        <v>35</v>
      </c>
      <c r="W2190" s="45" t="str">
        <f>HYPERLINK("http://ictvonline.org/taxonomy/p/taxonomy-history?taxnode_id=201904448","ICTVonline=201904448")</f>
        <v>ICTVonline=201904448</v>
      </c>
      <c r="Y2190" s="1" t="s">
        <v>10777</v>
      </c>
      <c r="Z2190" s="1" t="s">
        <v>10778</v>
      </c>
      <c r="AA2190" s="1">
        <v>201900000</v>
      </c>
      <c r="AB2190" s="1">
        <v>35</v>
      </c>
    </row>
    <row r="2191" spans="1:28" x14ac:dyDescent="0.2">
      <c r="A2191" s="1">
        <v>6003</v>
      </c>
      <c r="B2191" s="1" t="s">
        <v>10590</v>
      </c>
      <c r="D2191" s="1" t="s">
        <v>10685</v>
      </c>
      <c r="F2191" s="1" t="s">
        <v>10686</v>
      </c>
      <c r="H2191" s="1" t="s">
        <v>10689</v>
      </c>
      <c r="J2191" s="1" t="s">
        <v>10690</v>
      </c>
      <c r="L2191" s="1" t="s">
        <v>991</v>
      </c>
      <c r="N2191" s="1" t="s">
        <v>3863</v>
      </c>
      <c r="P2191" s="1" t="s">
        <v>10779</v>
      </c>
      <c r="Q2191" s="3">
        <v>0</v>
      </c>
      <c r="R2191" s="23" t="s">
        <v>6854</v>
      </c>
      <c r="S2191" s="23" t="s">
        <v>6849</v>
      </c>
      <c r="T2191" s="23" t="s">
        <v>4864</v>
      </c>
      <c r="U2191" s="3">
        <v>35</v>
      </c>
      <c r="V2191" s="3" t="s">
        <v>10722</v>
      </c>
      <c r="W2191" s="45" t="str">
        <f>HYPERLINK("http://ictvonline.org/taxonomy/p/taxonomy-history?taxnode_id=201907114","ICTVonline=201907114")</f>
        <v>ICTVonline=201907114</v>
      </c>
      <c r="Y2191" s="1" t="s">
        <v>10780</v>
      </c>
      <c r="AA2191" s="1">
        <v>201900000</v>
      </c>
      <c r="AB2191" s="1">
        <v>35</v>
      </c>
    </row>
    <row r="2192" spans="1:28" x14ac:dyDescent="0.2">
      <c r="A2192" s="1">
        <v>6007</v>
      </c>
      <c r="B2192" s="1" t="s">
        <v>10590</v>
      </c>
      <c r="D2192" s="1" t="s">
        <v>10685</v>
      </c>
      <c r="F2192" s="1" t="s">
        <v>10686</v>
      </c>
      <c r="H2192" s="1" t="s">
        <v>10689</v>
      </c>
      <c r="J2192" s="1" t="s">
        <v>10690</v>
      </c>
      <c r="L2192" s="1" t="s">
        <v>991</v>
      </c>
      <c r="N2192" s="1" t="s">
        <v>3899</v>
      </c>
      <c r="P2192" s="1" t="s">
        <v>3900</v>
      </c>
      <c r="Q2192" s="3">
        <v>0</v>
      </c>
      <c r="R2192" s="23" t="s">
        <v>10605</v>
      </c>
      <c r="S2192" s="23" t="s">
        <v>6847</v>
      </c>
      <c r="T2192" s="23" t="s">
        <v>4866</v>
      </c>
      <c r="U2192" s="3">
        <v>35</v>
      </c>
      <c r="W2192" s="45" t="str">
        <f>HYPERLINK("http://ictvonline.org/taxonomy/p/taxonomy-history?taxnode_id=201904450","ICTVonline=201904450")</f>
        <v>ICTVonline=201904450</v>
      </c>
      <c r="Y2192" s="1" t="s">
        <v>10781</v>
      </c>
      <c r="Z2192" s="1" t="s">
        <v>10782</v>
      </c>
      <c r="AA2192" s="1">
        <v>201900000</v>
      </c>
      <c r="AB2192" s="1">
        <v>35</v>
      </c>
    </row>
    <row r="2193" spans="1:28" x14ac:dyDescent="0.2">
      <c r="A2193" s="1">
        <v>6009</v>
      </c>
      <c r="B2193" s="1" t="s">
        <v>10590</v>
      </c>
      <c r="D2193" s="1" t="s">
        <v>10685</v>
      </c>
      <c r="F2193" s="1" t="s">
        <v>10686</v>
      </c>
      <c r="H2193" s="1" t="s">
        <v>10689</v>
      </c>
      <c r="J2193" s="1" t="s">
        <v>10690</v>
      </c>
      <c r="L2193" s="1" t="s">
        <v>991</v>
      </c>
      <c r="N2193" s="1" t="s">
        <v>3899</v>
      </c>
      <c r="P2193" s="1" t="s">
        <v>3901</v>
      </c>
      <c r="Q2193" s="3">
        <v>0</v>
      </c>
      <c r="R2193" s="23" t="s">
        <v>10605</v>
      </c>
      <c r="S2193" s="23" t="s">
        <v>6847</v>
      </c>
      <c r="T2193" s="23" t="s">
        <v>4866</v>
      </c>
      <c r="U2193" s="3">
        <v>35</v>
      </c>
      <c r="W2193" s="45" t="str">
        <f>HYPERLINK("http://ictvonline.org/taxonomy/p/taxonomy-history?taxnode_id=201904451","ICTVonline=201904451")</f>
        <v>ICTVonline=201904451</v>
      </c>
      <c r="Y2193" s="1" t="s">
        <v>10783</v>
      </c>
      <c r="Z2193" s="1" t="s">
        <v>10784</v>
      </c>
      <c r="AA2193" s="1">
        <v>201900000</v>
      </c>
      <c r="AB2193" s="1">
        <v>35</v>
      </c>
    </row>
    <row r="2194" spans="1:28" x14ac:dyDescent="0.2">
      <c r="A2194" s="1">
        <v>6011</v>
      </c>
      <c r="B2194" s="1" t="s">
        <v>10590</v>
      </c>
      <c r="D2194" s="1" t="s">
        <v>10685</v>
      </c>
      <c r="F2194" s="1" t="s">
        <v>10686</v>
      </c>
      <c r="H2194" s="1" t="s">
        <v>10689</v>
      </c>
      <c r="J2194" s="1" t="s">
        <v>10690</v>
      </c>
      <c r="L2194" s="1" t="s">
        <v>991</v>
      </c>
      <c r="N2194" s="1" t="s">
        <v>3899</v>
      </c>
      <c r="P2194" s="1" t="s">
        <v>6815</v>
      </c>
      <c r="Q2194" s="3">
        <v>0</v>
      </c>
      <c r="R2194" s="23" t="s">
        <v>10605</v>
      </c>
      <c r="S2194" s="23" t="s">
        <v>6847</v>
      </c>
      <c r="T2194" s="23" t="s">
        <v>4866</v>
      </c>
      <c r="U2194" s="3">
        <v>35</v>
      </c>
      <c r="W2194" s="45" t="str">
        <f>HYPERLINK("http://ictvonline.org/taxonomy/p/taxonomy-history?taxnode_id=201906347","ICTVonline=201906347")</f>
        <v>ICTVonline=201906347</v>
      </c>
      <c r="X2194" s="1" t="s">
        <v>10785</v>
      </c>
      <c r="Y2194" s="1" t="s">
        <v>10786</v>
      </c>
      <c r="Z2194" s="1" t="s">
        <v>10787</v>
      </c>
      <c r="AA2194" s="1">
        <v>201900000</v>
      </c>
      <c r="AB2194" s="1">
        <v>35</v>
      </c>
    </row>
    <row r="2195" spans="1:28" x14ac:dyDescent="0.2">
      <c r="A2195" s="1">
        <v>6013</v>
      </c>
      <c r="B2195" s="1" t="s">
        <v>10590</v>
      </c>
      <c r="D2195" s="1" t="s">
        <v>10685</v>
      </c>
      <c r="F2195" s="1" t="s">
        <v>10686</v>
      </c>
      <c r="H2195" s="1" t="s">
        <v>10689</v>
      </c>
      <c r="J2195" s="1" t="s">
        <v>10690</v>
      </c>
      <c r="L2195" s="1" t="s">
        <v>991</v>
      </c>
      <c r="N2195" s="1" t="s">
        <v>3899</v>
      </c>
      <c r="P2195" s="1" t="s">
        <v>3902</v>
      </c>
      <c r="Q2195" s="3">
        <v>0</v>
      </c>
      <c r="R2195" s="23" t="s">
        <v>10605</v>
      </c>
      <c r="S2195" s="23" t="s">
        <v>6847</v>
      </c>
      <c r="T2195" s="23" t="s">
        <v>4866</v>
      </c>
      <c r="U2195" s="3">
        <v>35</v>
      </c>
      <c r="W2195" s="45" t="str">
        <f>HYPERLINK("http://ictvonline.org/taxonomy/p/taxonomy-history?taxnode_id=201904452","ICTVonline=201904452")</f>
        <v>ICTVonline=201904452</v>
      </c>
      <c r="Y2195" s="1" t="s">
        <v>10788</v>
      </c>
      <c r="Z2195" s="1" t="s">
        <v>10789</v>
      </c>
      <c r="AA2195" s="1">
        <v>201900000</v>
      </c>
      <c r="AB2195" s="1">
        <v>35</v>
      </c>
    </row>
    <row r="2196" spans="1:28" x14ac:dyDescent="0.2">
      <c r="A2196" s="1">
        <v>6015</v>
      </c>
      <c r="B2196" s="1" t="s">
        <v>10590</v>
      </c>
      <c r="D2196" s="1" t="s">
        <v>10685</v>
      </c>
      <c r="F2196" s="1" t="s">
        <v>10686</v>
      </c>
      <c r="H2196" s="1" t="s">
        <v>10689</v>
      </c>
      <c r="J2196" s="1" t="s">
        <v>10690</v>
      </c>
      <c r="L2196" s="1" t="s">
        <v>991</v>
      </c>
      <c r="N2196" s="1" t="s">
        <v>3899</v>
      </c>
      <c r="P2196" s="1" t="s">
        <v>3903</v>
      </c>
      <c r="Q2196" s="3">
        <v>0</v>
      </c>
      <c r="R2196" s="23" t="s">
        <v>10605</v>
      </c>
      <c r="S2196" s="23" t="s">
        <v>6847</v>
      </c>
      <c r="T2196" s="23" t="s">
        <v>4866</v>
      </c>
      <c r="U2196" s="3">
        <v>35</v>
      </c>
      <c r="W2196" s="45" t="str">
        <f>HYPERLINK("http://ictvonline.org/taxonomy/p/taxonomy-history?taxnode_id=201904453","ICTVonline=201904453")</f>
        <v>ICTVonline=201904453</v>
      </c>
      <c r="Y2196" s="1" t="s">
        <v>10790</v>
      </c>
      <c r="Z2196" s="1" t="s">
        <v>10791</v>
      </c>
      <c r="AA2196" s="1">
        <v>201900000</v>
      </c>
      <c r="AB2196" s="1">
        <v>35</v>
      </c>
    </row>
    <row r="2197" spans="1:28" x14ac:dyDescent="0.2">
      <c r="A2197" s="1">
        <v>6017</v>
      </c>
      <c r="B2197" s="1" t="s">
        <v>10590</v>
      </c>
      <c r="D2197" s="1" t="s">
        <v>10685</v>
      </c>
      <c r="F2197" s="1" t="s">
        <v>10686</v>
      </c>
      <c r="H2197" s="1" t="s">
        <v>10689</v>
      </c>
      <c r="J2197" s="1" t="s">
        <v>10690</v>
      </c>
      <c r="L2197" s="1" t="s">
        <v>991</v>
      </c>
      <c r="N2197" s="1" t="s">
        <v>3899</v>
      </c>
      <c r="P2197" s="1" t="s">
        <v>3904</v>
      </c>
      <c r="Q2197" s="3">
        <v>0</v>
      </c>
      <c r="R2197" s="23" t="s">
        <v>10605</v>
      </c>
      <c r="S2197" s="23" t="s">
        <v>6847</v>
      </c>
      <c r="T2197" s="23" t="s">
        <v>4866</v>
      </c>
      <c r="U2197" s="3">
        <v>35</v>
      </c>
      <c r="W2197" s="45" t="str">
        <f>HYPERLINK("http://ictvonline.org/taxonomy/p/taxonomy-history?taxnode_id=201904454","ICTVonline=201904454")</f>
        <v>ICTVonline=201904454</v>
      </c>
      <c r="Y2197" s="1" t="s">
        <v>10792</v>
      </c>
      <c r="Z2197" s="1" t="s">
        <v>10793</v>
      </c>
      <c r="AA2197" s="1">
        <v>201900000</v>
      </c>
      <c r="AB2197" s="1">
        <v>35</v>
      </c>
    </row>
    <row r="2198" spans="1:28" x14ac:dyDescent="0.2">
      <c r="A2198" s="1">
        <v>6019</v>
      </c>
      <c r="B2198" s="1" t="s">
        <v>10590</v>
      </c>
      <c r="D2198" s="1" t="s">
        <v>10685</v>
      </c>
      <c r="F2198" s="1" t="s">
        <v>10686</v>
      </c>
      <c r="H2198" s="1" t="s">
        <v>10689</v>
      </c>
      <c r="J2198" s="1" t="s">
        <v>10690</v>
      </c>
      <c r="L2198" s="1" t="s">
        <v>991</v>
      </c>
      <c r="N2198" s="1" t="s">
        <v>3899</v>
      </c>
      <c r="P2198" s="1" t="s">
        <v>3905</v>
      </c>
      <c r="Q2198" s="3">
        <v>0</v>
      </c>
      <c r="R2198" s="23" t="s">
        <v>10605</v>
      </c>
      <c r="S2198" s="23" t="s">
        <v>6847</v>
      </c>
      <c r="T2198" s="23" t="s">
        <v>4866</v>
      </c>
      <c r="U2198" s="3">
        <v>35</v>
      </c>
      <c r="W2198" s="45" t="str">
        <f>HYPERLINK("http://ictvonline.org/taxonomy/p/taxonomy-history?taxnode_id=201904455","ICTVonline=201904455")</f>
        <v>ICTVonline=201904455</v>
      </c>
      <c r="Y2198" s="1" t="s">
        <v>10794</v>
      </c>
      <c r="Z2198" s="1" t="s">
        <v>10795</v>
      </c>
      <c r="AA2198" s="1">
        <v>201900000</v>
      </c>
      <c r="AB2198" s="1">
        <v>35</v>
      </c>
    </row>
    <row r="2199" spans="1:28" x14ac:dyDescent="0.2">
      <c r="A2199" s="1">
        <v>6021</v>
      </c>
      <c r="B2199" s="1" t="s">
        <v>10590</v>
      </c>
      <c r="D2199" s="1" t="s">
        <v>10685</v>
      </c>
      <c r="F2199" s="1" t="s">
        <v>10686</v>
      </c>
      <c r="H2199" s="1" t="s">
        <v>10689</v>
      </c>
      <c r="J2199" s="1" t="s">
        <v>10690</v>
      </c>
      <c r="L2199" s="1" t="s">
        <v>991</v>
      </c>
      <c r="N2199" s="1" t="s">
        <v>3899</v>
      </c>
      <c r="P2199" s="1" t="s">
        <v>3906</v>
      </c>
      <c r="Q2199" s="3">
        <v>0</v>
      </c>
      <c r="R2199" s="23" t="s">
        <v>10605</v>
      </c>
      <c r="S2199" s="23" t="s">
        <v>6847</v>
      </c>
      <c r="T2199" s="23" t="s">
        <v>4866</v>
      </c>
      <c r="U2199" s="3">
        <v>35</v>
      </c>
      <c r="W2199" s="45" t="str">
        <f>HYPERLINK("http://ictvonline.org/taxonomy/p/taxonomy-history?taxnode_id=201904456","ICTVonline=201904456")</f>
        <v>ICTVonline=201904456</v>
      </c>
      <c r="Y2199" s="1" t="s">
        <v>10796</v>
      </c>
      <c r="Z2199" s="1" t="s">
        <v>10797</v>
      </c>
      <c r="AA2199" s="1">
        <v>201900000</v>
      </c>
      <c r="AB2199" s="1">
        <v>35</v>
      </c>
    </row>
    <row r="2200" spans="1:28" x14ac:dyDescent="0.2">
      <c r="A2200" s="1">
        <v>6023</v>
      </c>
      <c r="B2200" s="1" t="s">
        <v>10590</v>
      </c>
      <c r="D2200" s="1" t="s">
        <v>10685</v>
      </c>
      <c r="F2200" s="1" t="s">
        <v>10686</v>
      </c>
      <c r="H2200" s="1" t="s">
        <v>10689</v>
      </c>
      <c r="J2200" s="1" t="s">
        <v>10690</v>
      </c>
      <c r="L2200" s="1" t="s">
        <v>991</v>
      </c>
      <c r="N2200" s="1" t="s">
        <v>3899</v>
      </c>
      <c r="P2200" s="1" t="s">
        <v>3907</v>
      </c>
      <c r="Q2200" s="3">
        <v>0</v>
      </c>
      <c r="R2200" s="23" t="s">
        <v>10605</v>
      </c>
      <c r="S2200" s="23" t="s">
        <v>6847</v>
      </c>
      <c r="T2200" s="23" t="s">
        <v>4866</v>
      </c>
      <c r="U2200" s="3">
        <v>35</v>
      </c>
      <c r="W2200" s="45" t="str">
        <f>HYPERLINK("http://ictvonline.org/taxonomy/p/taxonomy-history?taxnode_id=201904457","ICTVonline=201904457")</f>
        <v>ICTVonline=201904457</v>
      </c>
      <c r="Y2200" s="1" t="s">
        <v>10798</v>
      </c>
      <c r="Z2200" s="1" t="s">
        <v>10799</v>
      </c>
      <c r="AA2200" s="1">
        <v>201900000</v>
      </c>
      <c r="AB2200" s="1">
        <v>35</v>
      </c>
    </row>
    <row r="2201" spans="1:28" x14ac:dyDescent="0.2">
      <c r="A2201" s="1">
        <v>6025</v>
      </c>
      <c r="B2201" s="1" t="s">
        <v>10590</v>
      </c>
      <c r="D2201" s="1" t="s">
        <v>10685</v>
      </c>
      <c r="F2201" s="1" t="s">
        <v>10686</v>
      </c>
      <c r="H2201" s="1" t="s">
        <v>10689</v>
      </c>
      <c r="J2201" s="1" t="s">
        <v>10690</v>
      </c>
      <c r="L2201" s="1" t="s">
        <v>991</v>
      </c>
      <c r="N2201" s="1" t="s">
        <v>3899</v>
      </c>
      <c r="P2201" s="1" t="s">
        <v>10800</v>
      </c>
      <c r="Q2201" s="3">
        <v>0</v>
      </c>
      <c r="R2201" s="23" t="s">
        <v>6854</v>
      </c>
      <c r="S2201" s="23" t="s">
        <v>6849</v>
      </c>
      <c r="T2201" s="23" t="s">
        <v>4864</v>
      </c>
      <c r="U2201" s="3">
        <v>35</v>
      </c>
      <c r="V2201" s="3" t="s">
        <v>10722</v>
      </c>
      <c r="W2201" s="45" t="str">
        <f>HYPERLINK("http://ictvonline.org/taxonomy/p/taxonomy-history?taxnode_id=201907115","ICTVonline=201907115")</f>
        <v>ICTVonline=201907115</v>
      </c>
      <c r="Y2201" s="1" t="s">
        <v>10801</v>
      </c>
      <c r="Z2201" s="1" t="s">
        <v>10802</v>
      </c>
      <c r="AA2201" s="1">
        <v>201900000</v>
      </c>
      <c r="AB2201" s="1">
        <v>35</v>
      </c>
    </row>
    <row r="2202" spans="1:28" x14ac:dyDescent="0.2">
      <c r="A2202" s="1">
        <v>6027</v>
      </c>
      <c r="B2202" s="1" t="s">
        <v>10590</v>
      </c>
      <c r="D2202" s="1" t="s">
        <v>10685</v>
      </c>
      <c r="F2202" s="1" t="s">
        <v>10686</v>
      </c>
      <c r="H2202" s="1" t="s">
        <v>10689</v>
      </c>
      <c r="J2202" s="1" t="s">
        <v>10690</v>
      </c>
      <c r="L2202" s="1" t="s">
        <v>991</v>
      </c>
      <c r="N2202" s="1" t="s">
        <v>3899</v>
      </c>
      <c r="P2202" s="1" t="s">
        <v>3908</v>
      </c>
      <c r="Q2202" s="3">
        <v>0</v>
      </c>
      <c r="R2202" s="23" t="s">
        <v>10605</v>
      </c>
      <c r="S2202" s="23" t="s">
        <v>6847</v>
      </c>
      <c r="T2202" s="23" t="s">
        <v>4866</v>
      </c>
      <c r="U2202" s="3">
        <v>35</v>
      </c>
      <c r="W2202" s="45" t="str">
        <f>HYPERLINK("http://ictvonline.org/taxonomy/p/taxonomy-history?taxnode_id=201904458","ICTVonline=201904458")</f>
        <v>ICTVonline=201904458</v>
      </c>
      <c r="Y2202" s="1" t="s">
        <v>10803</v>
      </c>
      <c r="Z2202" s="1" t="s">
        <v>10804</v>
      </c>
      <c r="AA2202" s="1">
        <v>201900000</v>
      </c>
      <c r="AB2202" s="1">
        <v>35</v>
      </c>
    </row>
    <row r="2203" spans="1:28" x14ac:dyDescent="0.2">
      <c r="A2203" s="1">
        <v>6029</v>
      </c>
      <c r="B2203" s="1" t="s">
        <v>10590</v>
      </c>
      <c r="D2203" s="1" t="s">
        <v>10685</v>
      </c>
      <c r="F2203" s="1" t="s">
        <v>10686</v>
      </c>
      <c r="H2203" s="1" t="s">
        <v>10689</v>
      </c>
      <c r="J2203" s="1" t="s">
        <v>10690</v>
      </c>
      <c r="L2203" s="1" t="s">
        <v>991</v>
      </c>
      <c r="N2203" s="1" t="s">
        <v>3899</v>
      </c>
      <c r="P2203" s="1" t="s">
        <v>3909</v>
      </c>
      <c r="Q2203" s="3">
        <v>0</v>
      </c>
      <c r="R2203" s="23" t="s">
        <v>10605</v>
      </c>
      <c r="S2203" s="23" t="s">
        <v>6847</v>
      </c>
      <c r="T2203" s="23" t="s">
        <v>4866</v>
      </c>
      <c r="U2203" s="3">
        <v>35</v>
      </c>
      <c r="W2203" s="45" t="str">
        <f>HYPERLINK("http://ictvonline.org/taxonomy/p/taxonomy-history?taxnode_id=201904459","ICTVonline=201904459")</f>
        <v>ICTVonline=201904459</v>
      </c>
      <c r="Z2203" s="1" t="s">
        <v>10805</v>
      </c>
      <c r="AA2203" s="1">
        <v>201900000</v>
      </c>
      <c r="AB2203" s="1">
        <v>35</v>
      </c>
    </row>
    <row r="2204" spans="1:28" x14ac:dyDescent="0.2">
      <c r="A2204" s="1">
        <v>6031</v>
      </c>
      <c r="B2204" s="1" t="s">
        <v>10590</v>
      </c>
      <c r="D2204" s="1" t="s">
        <v>10685</v>
      </c>
      <c r="F2204" s="1" t="s">
        <v>10686</v>
      </c>
      <c r="H2204" s="1" t="s">
        <v>10689</v>
      </c>
      <c r="J2204" s="1" t="s">
        <v>10690</v>
      </c>
      <c r="L2204" s="1" t="s">
        <v>991</v>
      </c>
      <c r="N2204" s="1" t="s">
        <v>3899</v>
      </c>
      <c r="P2204" s="1" t="s">
        <v>3910</v>
      </c>
      <c r="Q2204" s="3">
        <v>0</v>
      </c>
      <c r="R2204" s="23" t="s">
        <v>10605</v>
      </c>
      <c r="S2204" s="23" t="s">
        <v>6847</v>
      </c>
      <c r="T2204" s="23" t="s">
        <v>4866</v>
      </c>
      <c r="U2204" s="3">
        <v>35</v>
      </c>
      <c r="W2204" s="45" t="str">
        <f>HYPERLINK("http://ictvonline.org/taxonomy/p/taxonomy-history?taxnode_id=201904460","ICTVonline=201904460")</f>
        <v>ICTVonline=201904460</v>
      </c>
      <c r="Z2204" s="1" t="s">
        <v>10806</v>
      </c>
      <c r="AA2204" s="1">
        <v>201900000</v>
      </c>
      <c r="AB2204" s="1">
        <v>35</v>
      </c>
    </row>
    <row r="2205" spans="1:28" x14ac:dyDescent="0.2">
      <c r="A2205" s="1">
        <v>6033</v>
      </c>
      <c r="B2205" s="1" t="s">
        <v>10590</v>
      </c>
      <c r="D2205" s="1" t="s">
        <v>10685</v>
      </c>
      <c r="F2205" s="1" t="s">
        <v>10686</v>
      </c>
      <c r="H2205" s="1" t="s">
        <v>10689</v>
      </c>
      <c r="J2205" s="1" t="s">
        <v>10690</v>
      </c>
      <c r="L2205" s="1" t="s">
        <v>991</v>
      </c>
      <c r="N2205" s="1" t="s">
        <v>3899</v>
      </c>
      <c r="P2205" s="1" t="s">
        <v>3911</v>
      </c>
      <c r="Q2205" s="3">
        <v>0</v>
      </c>
      <c r="R2205" s="23" t="s">
        <v>10605</v>
      </c>
      <c r="S2205" s="23" t="s">
        <v>6847</v>
      </c>
      <c r="T2205" s="23" t="s">
        <v>4866</v>
      </c>
      <c r="U2205" s="3">
        <v>35</v>
      </c>
      <c r="W2205" s="45" t="str">
        <f>HYPERLINK("http://ictvonline.org/taxonomy/p/taxonomy-history?taxnode_id=201904461","ICTVonline=201904461")</f>
        <v>ICTVonline=201904461</v>
      </c>
      <c r="Y2205" s="1" t="s">
        <v>10807</v>
      </c>
      <c r="Z2205" s="1" t="s">
        <v>10808</v>
      </c>
      <c r="AA2205" s="1">
        <v>201900000</v>
      </c>
      <c r="AB2205" s="1">
        <v>35</v>
      </c>
    </row>
    <row r="2206" spans="1:28" x14ac:dyDescent="0.2">
      <c r="A2206" s="1">
        <v>6035</v>
      </c>
      <c r="B2206" s="1" t="s">
        <v>10590</v>
      </c>
      <c r="D2206" s="1" t="s">
        <v>10685</v>
      </c>
      <c r="F2206" s="1" t="s">
        <v>10686</v>
      </c>
      <c r="H2206" s="1" t="s">
        <v>10689</v>
      </c>
      <c r="J2206" s="1" t="s">
        <v>10690</v>
      </c>
      <c r="L2206" s="1" t="s">
        <v>991</v>
      </c>
      <c r="N2206" s="1" t="s">
        <v>3899</v>
      </c>
      <c r="P2206" s="1" t="s">
        <v>3912</v>
      </c>
      <c r="Q2206" s="3">
        <v>0</v>
      </c>
      <c r="R2206" s="23" t="s">
        <v>10605</v>
      </c>
      <c r="S2206" s="23" t="s">
        <v>6847</v>
      </c>
      <c r="T2206" s="23" t="s">
        <v>4866</v>
      </c>
      <c r="U2206" s="3">
        <v>35</v>
      </c>
      <c r="W2206" s="45" t="str">
        <f>HYPERLINK("http://ictvonline.org/taxonomy/p/taxonomy-history?taxnode_id=201904462","ICTVonline=201904462")</f>
        <v>ICTVonline=201904462</v>
      </c>
      <c r="Y2206" s="1" t="s">
        <v>10809</v>
      </c>
      <c r="Z2206" s="1" t="s">
        <v>10810</v>
      </c>
      <c r="AA2206" s="1">
        <v>201900000</v>
      </c>
      <c r="AB2206" s="1">
        <v>35</v>
      </c>
    </row>
    <row r="2207" spans="1:28" x14ac:dyDescent="0.2">
      <c r="A2207" s="1">
        <v>6037</v>
      </c>
      <c r="B2207" s="1" t="s">
        <v>10590</v>
      </c>
      <c r="D2207" s="1" t="s">
        <v>10685</v>
      </c>
      <c r="F2207" s="1" t="s">
        <v>10686</v>
      </c>
      <c r="H2207" s="1" t="s">
        <v>10689</v>
      </c>
      <c r="J2207" s="1" t="s">
        <v>10690</v>
      </c>
      <c r="L2207" s="1" t="s">
        <v>991</v>
      </c>
      <c r="N2207" s="1" t="s">
        <v>3899</v>
      </c>
      <c r="P2207" s="1" t="s">
        <v>5441</v>
      </c>
      <c r="Q2207" s="3">
        <v>0</v>
      </c>
      <c r="R2207" s="23" t="s">
        <v>10605</v>
      </c>
      <c r="S2207" s="23" t="s">
        <v>6847</v>
      </c>
      <c r="T2207" s="23" t="s">
        <v>4866</v>
      </c>
      <c r="U2207" s="3">
        <v>35</v>
      </c>
      <c r="W2207" s="45" t="str">
        <f>HYPERLINK("http://ictvonline.org/taxonomy/p/taxonomy-history?taxnode_id=201905905","ICTVonline=201905905")</f>
        <v>ICTVonline=201905905</v>
      </c>
      <c r="AA2207" s="1">
        <v>201900000</v>
      </c>
      <c r="AB2207" s="1">
        <v>35</v>
      </c>
    </row>
    <row r="2208" spans="1:28" x14ac:dyDescent="0.2">
      <c r="A2208" s="1">
        <v>6039</v>
      </c>
      <c r="B2208" s="1" t="s">
        <v>10590</v>
      </c>
      <c r="D2208" s="1" t="s">
        <v>10685</v>
      </c>
      <c r="F2208" s="1" t="s">
        <v>10686</v>
      </c>
      <c r="H2208" s="1" t="s">
        <v>10689</v>
      </c>
      <c r="J2208" s="1" t="s">
        <v>10690</v>
      </c>
      <c r="L2208" s="1" t="s">
        <v>991</v>
      </c>
      <c r="N2208" s="1" t="s">
        <v>3899</v>
      </c>
      <c r="P2208" s="1" t="s">
        <v>3913</v>
      </c>
      <c r="Q2208" s="3">
        <v>0</v>
      </c>
      <c r="R2208" s="23" t="s">
        <v>10605</v>
      </c>
      <c r="S2208" s="23" t="s">
        <v>6847</v>
      </c>
      <c r="T2208" s="23" t="s">
        <v>4866</v>
      </c>
      <c r="U2208" s="3">
        <v>35</v>
      </c>
      <c r="W2208" s="45" t="str">
        <f>HYPERLINK("http://ictvonline.org/taxonomy/p/taxonomy-history?taxnode_id=201904463","ICTVonline=201904463")</f>
        <v>ICTVonline=201904463</v>
      </c>
      <c r="Y2208" s="1" t="s">
        <v>10811</v>
      </c>
      <c r="Z2208" s="1" t="s">
        <v>10812</v>
      </c>
      <c r="AA2208" s="1">
        <v>201900000</v>
      </c>
      <c r="AB2208" s="1">
        <v>35</v>
      </c>
    </row>
    <row r="2209" spans="1:28" x14ac:dyDescent="0.2">
      <c r="A2209" s="1">
        <v>6041</v>
      </c>
      <c r="B2209" s="1" t="s">
        <v>10590</v>
      </c>
      <c r="D2209" s="1" t="s">
        <v>10685</v>
      </c>
      <c r="F2209" s="1" t="s">
        <v>10686</v>
      </c>
      <c r="H2209" s="1" t="s">
        <v>10689</v>
      </c>
      <c r="J2209" s="1" t="s">
        <v>10690</v>
      </c>
      <c r="L2209" s="1" t="s">
        <v>991</v>
      </c>
      <c r="N2209" s="1" t="s">
        <v>3899</v>
      </c>
      <c r="P2209" s="1" t="s">
        <v>3914</v>
      </c>
      <c r="Q2209" s="3">
        <v>1</v>
      </c>
      <c r="R2209" s="23" t="s">
        <v>10605</v>
      </c>
      <c r="S2209" s="23" t="s">
        <v>6847</v>
      </c>
      <c r="T2209" s="23" t="s">
        <v>4866</v>
      </c>
      <c r="U2209" s="3">
        <v>35</v>
      </c>
      <c r="W2209" s="45" t="str">
        <f>HYPERLINK("http://ictvonline.org/taxonomy/p/taxonomy-history?taxnode_id=201904464","ICTVonline=201904464")</f>
        <v>ICTVonline=201904464</v>
      </c>
      <c r="Z2209" s="1" t="s">
        <v>10813</v>
      </c>
      <c r="AA2209" s="1">
        <v>201900000</v>
      </c>
      <c r="AB2209" s="1">
        <v>35</v>
      </c>
    </row>
    <row r="2210" spans="1:28" x14ac:dyDescent="0.2">
      <c r="A2210" s="1">
        <v>6043</v>
      </c>
      <c r="B2210" s="1" t="s">
        <v>10590</v>
      </c>
      <c r="D2210" s="1" t="s">
        <v>10685</v>
      </c>
      <c r="F2210" s="1" t="s">
        <v>10686</v>
      </c>
      <c r="H2210" s="1" t="s">
        <v>10689</v>
      </c>
      <c r="J2210" s="1" t="s">
        <v>10690</v>
      </c>
      <c r="L2210" s="1" t="s">
        <v>991</v>
      </c>
      <c r="N2210" s="1" t="s">
        <v>3899</v>
      </c>
      <c r="P2210" s="1" t="s">
        <v>3915</v>
      </c>
      <c r="Q2210" s="3">
        <v>0</v>
      </c>
      <c r="R2210" s="23" t="s">
        <v>10605</v>
      </c>
      <c r="S2210" s="23" t="s">
        <v>6847</v>
      </c>
      <c r="T2210" s="23" t="s">
        <v>4866</v>
      </c>
      <c r="U2210" s="3">
        <v>35</v>
      </c>
      <c r="W2210" s="45" t="str">
        <f>HYPERLINK("http://ictvonline.org/taxonomy/p/taxonomy-history?taxnode_id=201904465","ICTVonline=201904465")</f>
        <v>ICTVonline=201904465</v>
      </c>
      <c r="Y2210" s="1" t="s">
        <v>10814</v>
      </c>
      <c r="Z2210" s="1" t="s">
        <v>10815</v>
      </c>
      <c r="AA2210" s="1">
        <v>201900000</v>
      </c>
      <c r="AB2210" s="1">
        <v>35</v>
      </c>
    </row>
    <row r="2211" spans="1:28" x14ac:dyDescent="0.2">
      <c r="A2211" s="1">
        <v>6045</v>
      </c>
      <c r="B2211" s="1" t="s">
        <v>10590</v>
      </c>
      <c r="D2211" s="1" t="s">
        <v>10685</v>
      </c>
      <c r="F2211" s="1" t="s">
        <v>10686</v>
      </c>
      <c r="H2211" s="1" t="s">
        <v>10689</v>
      </c>
      <c r="J2211" s="1" t="s">
        <v>10690</v>
      </c>
      <c r="L2211" s="1" t="s">
        <v>991</v>
      </c>
      <c r="N2211" s="1" t="s">
        <v>3899</v>
      </c>
      <c r="P2211" s="1" t="s">
        <v>3916</v>
      </c>
      <c r="Q2211" s="3">
        <v>0</v>
      </c>
      <c r="R2211" s="23" t="s">
        <v>10605</v>
      </c>
      <c r="S2211" s="23" t="s">
        <v>6847</v>
      </c>
      <c r="T2211" s="23" t="s">
        <v>4866</v>
      </c>
      <c r="U2211" s="3">
        <v>35</v>
      </c>
      <c r="W2211" s="45" t="str">
        <f>HYPERLINK("http://ictvonline.org/taxonomy/p/taxonomy-history?taxnode_id=201904466","ICTVonline=201904466")</f>
        <v>ICTVonline=201904466</v>
      </c>
      <c r="Y2211" s="1" t="s">
        <v>10816</v>
      </c>
      <c r="Z2211" s="1" t="s">
        <v>10817</v>
      </c>
      <c r="AA2211" s="1">
        <v>201900000</v>
      </c>
      <c r="AB2211" s="1">
        <v>35</v>
      </c>
    </row>
    <row r="2212" spans="1:28" x14ac:dyDescent="0.2">
      <c r="A2212" s="1">
        <v>6047</v>
      </c>
      <c r="B2212" s="1" t="s">
        <v>10590</v>
      </c>
      <c r="D2212" s="1" t="s">
        <v>10685</v>
      </c>
      <c r="F2212" s="1" t="s">
        <v>10686</v>
      </c>
      <c r="H2212" s="1" t="s">
        <v>10689</v>
      </c>
      <c r="J2212" s="1" t="s">
        <v>10690</v>
      </c>
      <c r="L2212" s="1" t="s">
        <v>991</v>
      </c>
      <c r="N2212" s="1" t="s">
        <v>3899</v>
      </c>
      <c r="P2212" s="1" t="s">
        <v>4758</v>
      </c>
      <c r="Q2212" s="3">
        <v>0</v>
      </c>
      <c r="R2212" s="23" t="s">
        <v>10605</v>
      </c>
      <c r="S2212" s="23" t="s">
        <v>6847</v>
      </c>
      <c r="T2212" s="23" t="s">
        <v>4866</v>
      </c>
      <c r="U2212" s="3">
        <v>35</v>
      </c>
      <c r="W2212" s="45" t="str">
        <f>HYPERLINK("http://ictvonline.org/taxonomy/p/taxonomy-history?taxnode_id=201904467","ICTVonline=201904467")</f>
        <v>ICTVonline=201904467</v>
      </c>
      <c r="Y2212" s="1" t="s">
        <v>10818</v>
      </c>
      <c r="Z2212" s="1" t="s">
        <v>10819</v>
      </c>
      <c r="AA2212" s="1">
        <v>201900000</v>
      </c>
      <c r="AB2212" s="1">
        <v>35</v>
      </c>
    </row>
    <row r="2213" spans="1:28" x14ac:dyDescent="0.2">
      <c r="A2213" s="1">
        <v>6049</v>
      </c>
      <c r="B2213" s="1" t="s">
        <v>10590</v>
      </c>
      <c r="D2213" s="1" t="s">
        <v>10685</v>
      </c>
      <c r="F2213" s="1" t="s">
        <v>10686</v>
      </c>
      <c r="H2213" s="1" t="s">
        <v>10689</v>
      </c>
      <c r="J2213" s="1" t="s">
        <v>10690</v>
      </c>
      <c r="L2213" s="1" t="s">
        <v>991</v>
      </c>
      <c r="N2213" s="1" t="s">
        <v>3899</v>
      </c>
      <c r="P2213" s="1" t="s">
        <v>3917</v>
      </c>
      <c r="Q2213" s="3">
        <v>0</v>
      </c>
      <c r="R2213" s="23" t="s">
        <v>10605</v>
      </c>
      <c r="S2213" s="23" t="s">
        <v>6847</v>
      </c>
      <c r="T2213" s="23" t="s">
        <v>4866</v>
      </c>
      <c r="U2213" s="3">
        <v>35</v>
      </c>
      <c r="W2213" s="45" t="str">
        <f>HYPERLINK("http://ictvonline.org/taxonomy/p/taxonomy-history?taxnode_id=201904468","ICTVonline=201904468")</f>
        <v>ICTVonline=201904468</v>
      </c>
      <c r="Y2213" s="1" t="s">
        <v>10820</v>
      </c>
      <c r="Z2213" s="1" t="s">
        <v>10821</v>
      </c>
      <c r="AA2213" s="1">
        <v>201900000</v>
      </c>
      <c r="AB2213" s="1">
        <v>35</v>
      </c>
    </row>
    <row r="2214" spans="1:28" x14ac:dyDescent="0.2">
      <c r="A2214" s="1">
        <v>6051</v>
      </c>
      <c r="B2214" s="1" t="s">
        <v>10590</v>
      </c>
      <c r="D2214" s="1" t="s">
        <v>10685</v>
      </c>
      <c r="F2214" s="1" t="s">
        <v>10686</v>
      </c>
      <c r="H2214" s="1" t="s">
        <v>10689</v>
      </c>
      <c r="J2214" s="1" t="s">
        <v>10690</v>
      </c>
      <c r="L2214" s="1" t="s">
        <v>991</v>
      </c>
      <c r="N2214" s="1" t="s">
        <v>3899</v>
      </c>
      <c r="P2214" s="1" t="s">
        <v>3918</v>
      </c>
      <c r="Q2214" s="3">
        <v>0</v>
      </c>
      <c r="R2214" s="23" t="s">
        <v>10605</v>
      </c>
      <c r="S2214" s="23" t="s">
        <v>6847</v>
      </c>
      <c r="T2214" s="23" t="s">
        <v>4866</v>
      </c>
      <c r="U2214" s="3">
        <v>35</v>
      </c>
      <c r="W2214" s="45" t="str">
        <f>HYPERLINK("http://ictvonline.org/taxonomy/p/taxonomy-history?taxnode_id=201904469","ICTVonline=201904469")</f>
        <v>ICTVonline=201904469</v>
      </c>
      <c r="Z2214" s="1" t="s">
        <v>10822</v>
      </c>
      <c r="AA2214" s="1">
        <v>201900000</v>
      </c>
      <c r="AB2214" s="1">
        <v>35</v>
      </c>
    </row>
    <row r="2215" spans="1:28" x14ac:dyDescent="0.2">
      <c r="A2215" s="1">
        <v>6053</v>
      </c>
      <c r="B2215" s="1" t="s">
        <v>10590</v>
      </c>
      <c r="D2215" s="1" t="s">
        <v>10685</v>
      </c>
      <c r="F2215" s="1" t="s">
        <v>10686</v>
      </c>
      <c r="H2215" s="1" t="s">
        <v>10689</v>
      </c>
      <c r="J2215" s="1" t="s">
        <v>10690</v>
      </c>
      <c r="L2215" s="1" t="s">
        <v>991</v>
      </c>
      <c r="N2215" s="1" t="s">
        <v>3899</v>
      </c>
      <c r="P2215" s="1" t="s">
        <v>10823</v>
      </c>
      <c r="Q2215" s="3">
        <v>0</v>
      </c>
      <c r="R2215" s="23" t="s">
        <v>6854</v>
      </c>
      <c r="S2215" s="23" t="s">
        <v>6849</v>
      </c>
      <c r="T2215" s="23" t="s">
        <v>4864</v>
      </c>
      <c r="U2215" s="3">
        <v>35</v>
      </c>
      <c r="V2215" s="3" t="s">
        <v>10722</v>
      </c>
      <c r="W2215" s="45" t="str">
        <f>HYPERLINK("http://ictvonline.org/taxonomy/p/taxonomy-history?taxnode_id=201907116","ICTVonline=201907116")</f>
        <v>ICTVonline=201907116</v>
      </c>
      <c r="Y2215" s="1" t="s">
        <v>10824</v>
      </c>
      <c r="Z2215" s="1" t="s">
        <v>10825</v>
      </c>
      <c r="AA2215" s="1">
        <v>201900000</v>
      </c>
      <c r="AB2215" s="1">
        <v>35</v>
      </c>
    </row>
    <row r="2216" spans="1:28" x14ac:dyDescent="0.2">
      <c r="A2216" s="1">
        <v>6055</v>
      </c>
      <c r="B2216" s="1" t="s">
        <v>10590</v>
      </c>
      <c r="D2216" s="1" t="s">
        <v>10685</v>
      </c>
      <c r="F2216" s="1" t="s">
        <v>10686</v>
      </c>
      <c r="H2216" s="1" t="s">
        <v>10689</v>
      </c>
      <c r="J2216" s="1" t="s">
        <v>10690</v>
      </c>
      <c r="L2216" s="1" t="s">
        <v>991</v>
      </c>
      <c r="N2216" s="1" t="s">
        <v>3899</v>
      </c>
      <c r="P2216" s="1" t="s">
        <v>4759</v>
      </c>
      <c r="Q2216" s="3">
        <v>0</v>
      </c>
      <c r="R2216" s="23" t="s">
        <v>10605</v>
      </c>
      <c r="S2216" s="23" t="s">
        <v>6847</v>
      </c>
      <c r="T2216" s="23" t="s">
        <v>4866</v>
      </c>
      <c r="U2216" s="3">
        <v>35</v>
      </c>
      <c r="W2216" s="45" t="str">
        <f>HYPERLINK("http://ictvonline.org/taxonomy/p/taxonomy-history?taxnode_id=201904470","ICTVonline=201904470")</f>
        <v>ICTVonline=201904470</v>
      </c>
      <c r="Y2216" s="1" t="s">
        <v>10826</v>
      </c>
      <c r="Z2216" s="1" t="s">
        <v>10827</v>
      </c>
      <c r="AA2216" s="1">
        <v>201900000</v>
      </c>
      <c r="AB2216" s="1">
        <v>35</v>
      </c>
    </row>
    <row r="2217" spans="1:28" x14ac:dyDescent="0.2">
      <c r="A2217" s="1">
        <v>6057</v>
      </c>
      <c r="B2217" s="1" t="s">
        <v>10590</v>
      </c>
      <c r="D2217" s="1" t="s">
        <v>10685</v>
      </c>
      <c r="F2217" s="1" t="s">
        <v>10686</v>
      </c>
      <c r="H2217" s="1" t="s">
        <v>10689</v>
      </c>
      <c r="J2217" s="1" t="s">
        <v>10690</v>
      </c>
      <c r="L2217" s="1" t="s">
        <v>991</v>
      </c>
      <c r="N2217" s="1" t="s">
        <v>3899</v>
      </c>
      <c r="P2217" s="1" t="s">
        <v>3919</v>
      </c>
      <c r="Q2217" s="3">
        <v>0</v>
      </c>
      <c r="R2217" s="23" t="s">
        <v>10605</v>
      </c>
      <c r="S2217" s="23" t="s">
        <v>6847</v>
      </c>
      <c r="T2217" s="23" t="s">
        <v>4866</v>
      </c>
      <c r="U2217" s="3">
        <v>35</v>
      </c>
      <c r="W2217" s="45" t="str">
        <f>HYPERLINK("http://ictvonline.org/taxonomy/p/taxonomy-history?taxnode_id=201904471","ICTVonline=201904471")</f>
        <v>ICTVonline=201904471</v>
      </c>
      <c r="Y2217" s="1" t="s">
        <v>10828</v>
      </c>
      <c r="Z2217" s="1" t="s">
        <v>10829</v>
      </c>
      <c r="AA2217" s="1">
        <v>201900000</v>
      </c>
      <c r="AB2217" s="1">
        <v>35</v>
      </c>
    </row>
    <row r="2218" spans="1:28" x14ac:dyDescent="0.2">
      <c r="A2218" s="1">
        <v>6059</v>
      </c>
      <c r="B2218" s="1" t="s">
        <v>10590</v>
      </c>
      <c r="D2218" s="1" t="s">
        <v>10685</v>
      </c>
      <c r="F2218" s="1" t="s">
        <v>10686</v>
      </c>
      <c r="H2218" s="1" t="s">
        <v>10689</v>
      </c>
      <c r="J2218" s="1" t="s">
        <v>10690</v>
      </c>
      <c r="L2218" s="1" t="s">
        <v>991</v>
      </c>
      <c r="N2218" s="1" t="s">
        <v>3899</v>
      </c>
      <c r="P2218" s="1" t="s">
        <v>4760</v>
      </c>
      <c r="Q2218" s="3">
        <v>0</v>
      </c>
      <c r="R2218" s="23" t="s">
        <v>10605</v>
      </c>
      <c r="S2218" s="23" t="s">
        <v>6847</v>
      </c>
      <c r="T2218" s="23" t="s">
        <v>4866</v>
      </c>
      <c r="U2218" s="3">
        <v>35</v>
      </c>
      <c r="W2218" s="45" t="str">
        <f>HYPERLINK("http://ictvonline.org/taxonomy/p/taxonomy-history?taxnode_id=201904472","ICTVonline=201904472")</f>
        <v>ICTVonline=201904472</v>
      </c>
      <c r="Y2218" s="1" t="s">
        <v>10830</v>
      </c>
      <c r="Z2218" s="1" t="s">
        <v>10831</v>
      </c>
      <c r="AA2218" s="1">
        <v>201900000</v>
      </c>
      <c r="AB2218" s="1">
        <v>35</v>
      </c>
    </row>
    <row r="2219" spans="1:28" x14ac:dyDescent="0.2">
      <c r="A2219" s="1">
        <v>6061</v>
      </c>
      <c r="B2219" s="1" t="s">
        <v>10590</v>
      </c>
      <c r="D2219" s="1" t="s">
        <v>10685</v>
      </c>
      <c r="F2219" s="1" t="s">
        <v>10686</v>
      </c>
      <c r="H2219" s="1" t="s">
        <v>10689</v>
      </c>
      <c r="J2219" s="1" t="s">
        <v>10690</v>
      </c>
      <c r="L2219" s="1" t="s">
        <v>991</v>
      </c>
      <c r="N2219" s="1" t="s">
        <v>3899</v>
      </c>
      <c r="P2219" s="1" t="s">
        <v>3920</v>
      </c>
      <c r="Q2219" s="3">
        <v>0</v>
      </c>
      <c r="R2219" s="23" t="s">
        <v>10605</v>
      </c>
      <c r="S2219" s="23" t="s">
        <v>6847</v>
      </c>
      <c r="T2219" s="23" t="s">
        <v>4866</v>
      </c>
      <c r="U2219" s="3">
        <v>35</v>
      </c>
      <c r="W2219" s="45" t="str">
        <f>HYPERLINK("http://ictvonline.org/taxonomy/p/taxonomy-history?taxnode_id=201904473","ICTVonline=201904473")</f>
        <v>ICTVonline=201904473</v>
      </c>
      <c r="Y2219" s="1" t="s">
        <v>10832</v>
      </c>
      <c r="Z2219" s="1" t="s">
        <v>10833</v>
      </c>
      <c r="AA2219" s="1">
        <v>201900000</v>
      </c>
      <c r="AB2219" s="1">
        <v>35</v>
      </c>
    </row>
    <row r="2220" spans="1:28" x14ac:dyDescent="0.2">
      <c r="A2220" s="1">
        <v>6063</v>
      </c>
      <c r="B2220" s="1" t="s">
        <v>10590</v>
      </c>
      <c r="D2220" s="1" t="s">
        <v>10685</v>
      </c>
      <c r="F2220" s="1" t="s">
        <v>10686</v>
      </c>
      <c r="H2220" s="1" t="s">
        <v>10689</v>
      </c>
      <c r="J2220" s="1" t="s">
        <v>10690</v>
      </c>
      <c r="L2220" s="1" t="s">
        <v>991</v>
      </c>
      <c r="N2220" s="1" t="s">
        <v>3899</v>
      </c>
      <c r="P2220" s="1" t="s">
        <v>3921</v>
      </c>
      <c r="Q2220" s="3">
        <v>0</v>
      </c>
      <c r="R2220" s="23" t="s">
        <v>10605</v>
      </c>
      <c r="S2220" s="23" t="s">
        <v>6847</v>
      </c>
      <c r="T2220" s="23" t="s">
        <v>4866</v>
      </c>
      <c r="U2220" s="3">
        <v>35</v>
      </c>
      <c r="W2220" s="45" t="str">
        <f>HYPERLINK("http://ictvonline.org/taxonomy/p/taxonomy-history?taxnode_id=201904474","ICTVonline=201904474")</f>
        <v>ICTVonline=201904474</v>
      </c>
      <c r="Y2220" s="1" t="s">
        <v>10834</v>
      </c>
      <c r="Z2220" s="1" t="s">
        <v>10835</v>
      </c>
      <c r="AA2220" s="1">
        <v>201900000</v>
      </c>
      <c r="AB2220" s="1">
        <v>35</v>
      </c>
    </row>
    <row r="2221" spans="1:28" x14ac:dyDescent="0.2">
      <c r="A2221" s="1">
        <v>6065</v>
      </c>
      <c r="B2221" s="1" t="s">
        <v>10590</v>
      </c>
      <c r="D2221" s="1" t="s">
        <v>10685</v>
      </c>
      <c r="F2221" s="1" t="s">
        <v>10686</v>
      </c>
      <c r="H2221" s="1" t="s">
        <v>10689</v>
      </c>
      <c r="J2221" s="1" t="s">
        <v>10690</v>
      </c>
      <c r="L2221" s="1" t="s">
        <v>991</v>
      </c>
      <c r="N2221" s="1" t="s">
        <v>3899</v>
      </c>
      <c r="P2221" s="1" t="s">
        <v>3922</v>
      </c>
      <c r="Q2221" s="3">
        <v>0</v>
      </c>
      <c r="R2221" s="23" t="s">
        <v>10605</v>
      </c>
      <c r="S2221" s="23" t="s">
        <v>6847</v>
      </c>
      <c r="T2221" s="23" t="s">
        <v>4866</v>
      </c>
      <c r="U2221" s="3">
        <v>35</v>
      </c>
      <c r="W2221" s="45" t="str">
        <f>HYPERLINK("http://ictvonline.org/taxonomy/p/taxonomy-history?taxnode_id=201904475","ICTVonline=201904475")</f>
        <v>ICTVonline=201904475</v>
      </c>
      <c r="Y2221" s="1" t="s">
        <v>10836</v>
      </c>
      <c r="Z2221" s="1" t="s">
        <v>10837</v>
      </c>
      <c r="AA2221" s="1">
        <v>201900000</v>
      </c>
      <c r="AB2221" s="1">
        <v>35</v>
      </c>
    </row>
    <row r="2222" spans="1:28" x14ac:dyDescent="0.2">
      <c r="A2222" s="1">
        <v>6067</v>
      </c>
      <c r="B2222" s="1" t="s">
        <v>10590</v>
      </c>
      <c r="D2222" s="1" t="s">
        <v>10685</v>
      </c>
      <c r="F2222" s="1" t="s">
        <v>10686</v>
      </c>
      <c r="H2222" s="1" t="s">
        <v>10689</v>
      </c>
      <c r="J2222" s="1" t="s">
        <v>10690</v>
      </c>
      <c r="L2222" s="1" t="s">
        <v>991</v>
      </c>
      <c r="N2222" s="1" t="s">
        <v>3899</v>
      </c>
      <c r="P2222" s="1" t="s">
        <v>5442</v>
      </c>
      <c r="Q2222" s="3">
        <v>0</v>
      </c>
      <c r="R2222" s="23" t="s">
        <v>10605</v>
      </c>
      <c r="S2222" s="23" t="s">
        <v>6847</v>
      </c>
      <c r="T2222" s="23" t="s">
        <v>4866</v>
      </c>
      <c r="U2222" s="3">
        <v>35</v>
      </c>
      <c r="W2222" s="45" t="str">
        <f>HYPERLINK("http://ictvonline.org/taxonomy/p/taxonomy-history?taxnode_id=201905906","ICTVonline=201905906")</f>
        <v>ICTVonline=201905906</v>
      </c>
      <c r="AA2222" s="1">
        <v>201900000</v>
      </c>
      <c r="AB2222" s="1">
        <v>35</v>
      </c>
    </row>
    <row r="2223" spans="1:28" x14ac:dyDescent="0.2">
      <c r="A2223" s="1">
        <v>6069</v>
      </c>
      <c r="B2223" s="1" t="s">
        <v>10590</v>
      </c>
      <c r="D2223" s="1" t="s">
        <v>10685</v>
      </c>
      <c r="F2223" s="1" t="s">
        <v>10686</v>
      </c>
      <c r="H2223" s="1" t="s">
        <v>10689</v>
      </c>
      <c r="J2223" s="1" t="s">
        <v>10690</v>
      </c>
      <c r="L2223" s="1" t="s">
        <v>991</v>
      </c>
      <c r="N2223" s="1" t="s">
        <v>3899</v>
      </c>
      <c r="P2223" s="1" t="s">
        <v>6816</v>
      </c>
      <c r="Q2223" s="3">
        <v>0</v>
      </c>
      <c r="R2223" s="23" t="s">
        <v>10605</v>
      </c>
      <c r="S2223" s="23" t="s">
        <v>6847</v>
      </c>
      <c r="T2223" s="23" t="s">
        <v>4866</v>
      </c>
      <c r="U2223" s="3">
        <v>35</v>
      </c>
      <c r="W2223" s="45" t="str">
        <f>HYPERLINK("http://ictvonline.org/taxonomy/p/taxonomy-history?taxnode_id=201906348","ICTVonline=201906348")</f>
        <v>ICTVonline=201906348</v>
      </c>
      <c r="X2223" s="1" t="s">
        <v>10838</v>
      </c>
      <c r="Y2223" s="1" t="s">
        <v>10839</v>
      </c>
      <c r="Z2223" s="1" t="s">
        <v>10840</v>
      </c>
      <c r="AA2223" s="1">
        <v>201900000</v>
      </c>
      <c r="AB2223" s="1">
        <v>35</v>
      </c>
    </row>
    <row r="2224" spans="1:28" x14ac:dyDescent="0.2">
      <c r="A2224" s="1">
        <v>6071</v>
      </c>
      <c r="B2224" s="1" t="s">
        <v>10590</v>
      </c>
      <c r="D2224" s="1" t="s">
        <v>10685</v>
      </c>
      <c r="F2224" s="1" t="s">
        <v>10686</v>
      </c>
      <c r="H2224" s="1" t="s">
        <v>10689</v>
      </c>
      <c r="J2224" s="1" t="s">
        <v>10690</v>
      </c>
      <c r="L2224" s="1" t="s">
        <v>991</v>
      </c>
      <c r="N2224" s="1" t="s">
        <v>3899</v>
      </c>
      <c r="P2224" s="1" t="s">
        <v>3923</v>
      </c>
      <c r="Q2224" s="3">
        <v>0</v>
      </c>
      <c r="R2224" s="23" t="s">
        <v>10605</v>
      </c>
      <c r="S2224" s="23" t="s">
        <v>6847</v>
      </c>
      <c r="T2224" s="23" t="s">
        <v>4866</v>
      </c>
      <c r="U2224" s="3">
        <v>35</v>
      </c>
      <c r="W2224" s="45" t="str">
        <f>HYPERLINK("http://ictvonline.org/taxonomy/p/taxonomy-history?taxnode_id=201904476","ICTVonline=201904476")</f>
        <v>ICTVonline=201904476</v>
      </c>
      <c r="Y2224" s="1" t="s">
        <v>10841</v>
      </c>
      <c r="Z2224" s="1" t="s">
        <v>10842</v>
      </c>
      <c r="AA2224" s="1">
        <v>201900000</v>
      </c>
      <c r="AB2224" s="1">
        <v>35</v>
      </c>
    </row>
    <row r="2225" spans="1:28" x14ac:dyDescent="0.2">
      <c r="A2225" s="1">
        <v>6073</v>
      </c>
      <c r="B2225" s="1" t="s">
        <v>10590</v>
      </c>
      <c r="D2225" s="1" t="s">
        <v>10685</v>
      </c>
      <c r="F2225" s="1" t="s">
        <v>10686</v>
      </c>
      <c r="H2225" s="1" t="s">
        <v>10689</v>
      </c>
      <c r="J2225" s="1" t="s">
        <v>10690</v>
      </c>
      <c r="L2225" s="1" t="s">
        <v>991</v>
      </c>
      <c r="N2225" s="1" t="s">
        <v>3899</v>
      </c>
      <c r="P2225" s="1" t="s">
        <v>3924</v>
      </c>
      <c r="Q2225" s="3">
        <v>0</v>
      </c>
      <c r="R2225" s="23" t="s">
        <v>10605</v>
      </c>
      <c r="S2225" s="23" t="s">
        <v>6847</v>
      </c>
      <c r="T2225" s="23" t="s">
        <v>4866</v>
      </c>
      <c r="U2225" s="3">
        <v>35</v>
      </c>
      <c r="W2225" s="45" t="str">
        <f>HYPERLINK("http://ictvonline.org/taxonomy/p/taxonomy-history?taxnode_id=201904477","ICTVonline=201904477")</f>
        <v>ICTVonline=201904477</v>
      </c>
      <c r="Y2225" s="1" t="s">
        <v>10843</v>
      </c>
      <c r="Z2225" s="1" t="s">
        <v>10844</v>
      </c>
      <c r="AA2225" s="1">
        <v>201900000</v>
      </c>
      <c r="AB2225" s="1">
        <v>35</v>
      </c>
    </row>
    <row r="2226" spans="1:28" x14ac:dyDescent="0.2">
      <c r="A2226" s="1">
        <v>6075</v>
      </c>
      <c r="B2226" s="1" t="s">
        <v>10590</v>
      </c>
      <c r="D2226" s="1" t="s">
        <v>10685</v>
      </c>
      <c r="F2226" s="1" t="s">
        <v>10686</v>
      </c>
      <c r="H2226" s="1" t="s">
        <v>10689</v>
      </c>
      <c r="J2226" s="1" t="s">
        <v>10690</v>
      </c>
      <c r="L2226" s="1" t="s">
        <v>991</v>
      </c>
      <c r="N2226" s="1" t="s">
        <v>3899</v>
      </c>
      <c r="P2226" s="1" t="s">
        <v>5443</v>
      </c>
      <c r="Q2226" s="3">
        <v>0</v>
      </c>
      <c r="R2226" s="23" t="s">
        <v>10605</v>
      </c>
      <c r="S2226" s="23" t="s">
        <v>6847</v>
      </c>
      <c r="T2226" s="23" t="s">
        <v>4866</v>
      </c>
      <c r="U2226" s="3">
        <v>35</v>
      </c>
      <c r="W2226" s="45" t="str">
        <f>HYPERLINK("http://ictvonline.org/taxonomy/p/taxonomy-history?taxnode_id=201905907","ICTVonline=201905907")</f>
        <v>ICTVonline=201905907</v>
      </c>
      <c r="AA2226" s="1">
        <v>201900000</v>
      </c>
      <c r="AB2226" s="1">
        <v>35</v>
      </c>
    </row>
    <row r="2227" spans="1:28" x14ac:dyDescent="0.2">
      <c r="A2227" s="1">
        <v>6077</v>
      </c>
      <c r="B2227" s="1" t="s">
        <v>10590</v>
      </c>
      <c r="D2227" s="1" t="s">
        <v>10685</v>
      </c>
      <c r="F2227" s="1" t="s">
        <v>10686</v>
      </c>
      <c r="H2227" s="1" t="s">
        <v>10689</v>
      </c>
      <c r="J2227" s="1" t="s">
        <v>10690</v>
      </c>
      <c r="L2227" s="1" t="s">
        <v>991</v>
      </c>
      <c r="N2227" s="1" t="s">
        <v>3899</v>
      </c>
      <c r="P2227" s="1" t="s">
        <v>3925</v>
      </c>
      <c r="Q2227" s="3">
        <v>0</v>
      </c>
      <c r="R2227" s="23" t="s">
        <v>10605</v>
      </c>
      <c r="S2227" s="23" t="s">
        <v>6847</v>
      </c>
      <c r="T2227" s="23" t="s">
        <v>4866</v>
      </c>
      <c r="U2227" s="3">
        <v>35</v>
      </c>
      <c r="W2227" s="45" t="str">
        <f>HYPERLINK("http://ictvonline.org/taxonomy/p/taxonomy-history?taxnode_id=201904478","ICTVonline=201904478")</f>
        <v>ICTVonline=201904478</v>
      </c>
      <c r="Y2227" s="1" t="s">
        <v>10845</v>
      </c>
      <c r="Z2227" s="1" t="s">
        <v>10846</v>
      </c>
      <c r="AA2227" s="1">
        <v>201900000</v>
      </c>
      <c r="AB2227" s="1">
        <v>35</v>
      </c>
    </row>
    <row r="2228" spans="1:28" x14ac:dyDescent="0.2">
      <c r="A2228" s="1">
        <v>6081</v>
      </c>
      <c r="B2228" s="1" t="s">
        <v>10590</v>
      </c>
      <c r="D2228" s="1" t="s">
        <v>10685</v>
      </c>
      <c r="F2228" s="1" t="s">
        <v>10686</v>
      </c>
      <c r="H2228" s="1" t="s">
        <v>10689</v>
      </c>
      <c r="J2228" s="1" t="s">
        <v>10690</v>
      </c>
      <c r="L2228" s="1" t="s">
        <v>991</v>
      </c>
      <c r="N2228" s="1" t="s">
        <v>3926</v>
      </c>
      <c r="P2228" s="1" t="s">
        <v>3927</v>
      </c>
      <c r="Q2228" s="3">
        <v>1</v>
      </c>
      <c r="R2228" s="23" t="s">
        <v>10605</v>
      </c>
      <c r="S2228" s="23" t="s">
        <v>6847</v>
      </c>
      <c r="T2228" s="23" t="s">
        <v>4866</v>
      </c>
      <c r="U2228" s="3">
        <v>35</v>
      </c>
      <c r="W2228" s="45" t="str">
        <f>HYPERLINK("http://ictvonline.org/taxonomy/p/taxonomy-history?taxnode_id=201904480","ICTVonline=201904480")</f>
        <v>ICTVonline=201904480</v>
      </c>
      <c r="Y2228" s="1" t="s">
        <v>10847</v>
      </c>
      <c r="Z2228" s="1" t="s">
        <v>10848</v>
      </c>
      <c r="AA2228" s="1">
        <v>201900000</v>
      </c>
      <c r="AB2228" s="1">
        <v>35</v>
      </c>
    </row>
    <row r="2229" spans="1:28" x14ac:dyDescent="0.2">
      <c r="A2229" s="1">
        <v>6083</v>
      </c>
      <c r="B2229" s="1" t="s">
        <v>10590</v>
      </c>
      <c r="D2229" s="1" t="s">
        <v>10685</v>
      </c>
      <c r="F2229" s="1" t="s">
        <v>10686</v>
      </c>
      <c r="H2229" s="1" t="s">
        <v>10689</v>
      </c>
      <c r="J2229" s="1" t="s">
        <v>10690</v>
      </c>
      <c r="L2229" s="1" t="s">
        <v>991</v>
      </c>
      <c r="N2229" s="1" t="s">
        <v>3926</v>
      </c>
      <c r="P2229" s="1" t="s">
        <v>3928</v>
      </c>
      <c r="Q2229" s="3">
        <v>0</v>
      </c>
      <c r="R2229" s="23" t="s">
        <v>10605</v>
      </c>
      <c r="S2229" s="23" t="s">
        <v>6847</v>
      </c>
      <c r="T2229" s="23" t="s">
        <v>4866</v>
      </c>
      <c r="U2229" s="3">
        <v>35</v>
      </c>
      <c r="W2229" s="45" t="str">
        <f>HYPERLINK("http://ictvonline.org/taxonomy/p/taxonomy-history?taxnode_id=201904481","ICTVonline=201904481")</f>
        <v>ICTVonline=201904481</v>
      </c>
      <c r="Y2229" s="1" t="s">
        <v>10849</v>
      </c>
      <c r="Z2229" s="1" t="s">
        <v>10850</v>
      </c>
      <c r="AA2229" s="1">
        <v>201900000</v>
      </c>
      <c r="AB2229" s="1">
        <v>35</v>
      </c>
    </row>
    <row r="2230" spans="1:28" x14ac:dyDescent="0.2">
      <c r="A2230" s="1">
        <v>6085</v>
      </c>
      <c r="B2230" s="1" t="s">
        <v>10590</v>
      </c>
      <c r="D2230" s="1" t="s">
        <v>10685</v>
      </c>
      <c r="F2230" s="1" t="s">
        <v>10686</v>
      </c>
      <c r="H2230" s="1" t="s">
        <v>10689</v>
      </c>
      <c r="J2230" s="1" t="s">
        <v>10690</v>
      </c>
      <c r="L2230" s="1" t="s">
        <v>991</v>
      </c>
      <c r="N2230" s="1" t="s">
        <v>3926</v>
      </c>
      <c r="P2230" s="1" t="s">
        <v>3929</v>
      </c>
      <c r="Q2230" s="3">
        <v>0</v>
      </c>
      <c r="R2230" s="23" t="s">
        <v>10605</v>
      </c>
      <c r="S2230" s="23" t="s">
        <v>6847</v>
      </c>
      <c r="T2230" s="23" t="s">
        <v>4866</v>
      </c>
      <c r="U2230" s="3">
        <v>35</v>
      </c>
      <c r="W2230" s="45" t="str">
        <f>HYPERLINK("http://ictvonline.org/taxonomy/p/taxonomy-history?taxnode_id=201904482","ICTVonline=201904482")</f>
        <v>ICTVonline=201904482</v>
      </c>
      <c r="Y2230" s="1" t="s">
        <v>10851</v>
      </c>
      <c r="Z2230" s="1" t="s">
        <v>10852</v>
      </c>
      <c r="AA2230" s="1">
        <v>201900000</v>
      </c>
      <c r="AB2230" s="1">
        <v>35</v>
      </c>
    </row>
    <row r="2231" spans="1:28" x14ac:dyDescent="0.2">
      <c r="A2231" s="1">
        <v>6087</v>
      </c>
      <c r="B2231" s="1" t="s">
        <v>10590</v>
      </c>
      <c r="D2231" s="1" t="s">
        <v>10685</v>
      </c>
      <c r="F2231" s="1" t="s">
        <v>10686</v>
      </c>
      <c r="H2231" s="1" t="s">
        <v>10689</v>
      </c>
      <c r="J2231" s="1" t="s">
        <v>10690</v>
      </c>
      <c r="L2231" s="1" t="s">
        <v>991</v>
      </c>
      <c r="N2231" s="1" t="s">
        <v>3926</v>
      </c>
      <c r="P2231" s="1" t="s">
        <v>3930</v>
      </c>
      <c r="Q2231" s="3">
        <v>0</v>
      </c>
      <c r="R2231" s="23" t="s">
        <v>10605</v>
      </c>
      <c r="S2231" s="23" t="s">
        <v>6847</v>
      </c>
      <c r="T2231" s="23" t="s">
        <v>4866</v>
      </c>
      <c r="U2231" s="3">
        <v>35</v>
      </c>
      <c r="W2231" s="45" t="str">
        <f>HYPERLINK("http://ictvonline.org/taxonomy/p/taxonomy-history?taxnode_id=201904483","ICTVonline=201904483")</f>
        <v>ICTVonline=201904483</v>
      </c>
      <c r="Y2231" s="1" t="s">
        <v>10853</v>
      </c>
      <c r="Z2231" s="1" t="s">
        <v>10854</v>
      </c>
      <c r="AA2231" s="1">
        <v>201900000</v>
      </c>
      <c r="AB2231" s="1">
        <v>35</v>
      </c>
    </row>
    <row r="2232" spans="1:28" x14ac:dyDescent="0.2">
      <c r="A2232" s="1">
        <v>6091</v>
      </c>
      <c r="B2232" s="1" t="s">
        <v>10590</v>
      </c>
      <c r="D2232" s="1" t="s">
        <v>10685</v>
      </c>
      <c r="F2232" s="1" t="s">
        <v>10686</v>
      </c>
      <c r="H2232" s="1" t="s">
        <v>10689</v>
      </c>
      <c r="J2232" s="1" t="s">
        <v>10690</v>
      </c>
      <c r="L2232" s="1" t="s">
        <v>991</v>
      </c>
      <c r="N2232" s="1" t="s">
        <v>3931</v>
      </c>
      <c r="P2232" s="1" t="s">
        <v>3932</v>
      </c>
      <c r="Q2232" s="3">
        <v>0</v>
      </c>
      <c r="R2232" s="23" t="s">
        <v>10605</v>
      </c>
      <c r="S2232" s="23" t="s">
        <v>6847</v>
      </c>
      <c r="T2232" s="23" t="s">
        <v>4866</v>
      </c>
      <c r="U2232" s="3">
        <v>35</v>
      </c>
      <c r="W2232" s="45" t="str">
        <f>HYPERLINK("http://ictvonline.org/taxonomy/p/taxonomy-history?taxnode_id=201904485","ICTVonline=201904485")</f>
        <v>ICTVonline=201904485</v>
      </c>
      <c r="Y2232" s="1" t="s">
        <v>10855</v>
      </c>
      <c r="Z2232" s="1" t="s">
        <v>10856</v>
      </c>
      <c r="AA2232" s="1">
        <v>201900000</v>
      </c>
      <c r="AB2232" s="1">
        <v>35</v>
      </c>
    </row>
    <row r="2233" spans="1:28" x14ac:dyDescent="0.2">
      <c r="A2233" s="1">
        <v>6093</v>
      </c>
      <c r="B2233" s="1" t="s">
        <v>10590</v>
      </c>
      <c r="D2233" s="1" t="s">
        <v>10685</v>
      </c>
      <c r="F2233" s="1" t="s">
        <v>10686</v>
      </c>
      <c r="H2233" s="1" t="s">
        <v>10689</v>
      </c>
      <c r="J2233" s="1" t="s">
        <v>10690</v>
      </c>
      <c r="L2233" s="1" t="s">
        <v>991</v>
      </c>
      <c r="N2233" s="1" t="s">
        <v>3931</v>
      </c>
      <c r="P2233" s="1" t="s">
        <v>3933</v>
      </c>
      <c r="Q2233" s="3">
        <v>1</v>
      </c>
      <c r="R2233" s="23" t="s">
        <v>10605</v>
      </c>
      <c r="S2233" s="23" t="s">
        <v>6847</v>
      </c>
      <c r="T2233" s="23" t="s">
        <v>4866</v>
      </c>
      <c r="U2233" s="3">
        <v>35</v>
      </c>
      <c r="W2233" s="45" t="str">
        <f>HYPERLINK("http://ictvonline.org/taxonomy/p/taxonomy-history?taxnode_id=201904486","ICTVonline=201904486")</f>
        <v>ICTVonline=201904486</v>
      </c>
      <c r="Z2233" s="1" t="s">
        <v>10857</v>
      </c>
      <c r="AA2233" s="1">
        <v>201900000</v>
      </c>
      <c r="AB2233" s="1">
        <v>35</v>
      </c>
    </row>
    <row r="2234" spans="1:28" x14ac:dyDescent="0.2">
      <c r="A2234" s="1">
        <v>6095</v>
      </c>
      <c r="B2234" s="1" t="s">
        <v>10590</v>
      </c>
      <c r="D2234" s="1" t="s">
        <v>10685</v>
      </c>
      <c r="F2234" s="1" t="s">
        <v>10686</v>
      </c>
      <c r="H2234" s="1" t="s">
        <v>10689</v>
      </c>
      <c r="J2234" s="1" t="s">
        <v>10690</v>
      </c>
      <c r="L2234" s="1" t="s">
        <v>991</v>
      </c>
      <c r="N2234" s="1" t="s">
        <v>3931</v>
      </c>
      <c r="P2234" s="1" t="s">
        <v>3934</v>
      </c>
      <c r="Q2234" s="3">
        <v>0</v>
      </c>
      <c r="R2234" s="23" t="s">
        <v>10605</v>
      </c>
      <c r="S2234" s="23" t="s">
        <v>6847</v>
      </c>
      <c r="T2234" s="23" t="s">
        <v>4866</v>
      </c>
      <c r="U2234" s="3">
        <v>35</v>
      </c>
      <c r="W2234" s="45" t="str">
        <f>HYPERLINK("http://ictvonline.org/taxonomy/p/taxonomy-history?taxnode_id=201904487","ICTVonline=201904487")</f>
        <v>ICTVonline=201904487</v>
      </c>
      <c r="Y2234" s="1" t="s">
        <v>10858</v>
      </c>
      <c r="Z2234" s="1" t="s">
        <v>10859</v>
      </c>
      <c r="AA2234" s="1">
        <v>201900000</v>
      </c>
      <c r="AB2234" s="1">
        <v>35</v>
      </c>
    </row>
    <row r="2235" spans="1:28" x14ac:dyDescent="0.2">
      <c r="A2235" s="1">
        <v>6097</v>
      </c>
      <c r="B2235" s="1" t="s">
        <v>10590</v>
      </c>
      <c r="D2235" s="1" t="s">
        <v>10685</v>
      </c>
      <c r="F2235" s="1" t="s">
        <v>10686</v>
      </c>
      <c r="H2235" s="1" t="s">
        <v>10689</v>
      </c>
      <c r="J2235" s="1" t="s">
        <v>10690</v>
      </c>
      <c r="L2235" s="1" t="s">
        <v>991</v>
      </c>
      <c r="N2235" s="1" t="s">
        <v>3931</v>
      </c>
      <c r="P2235" s="1" t="s">
        <v>3935</v>
      </c>
      <c r="Q2235" s="3">
        <v>0</v>
      </c>
      <c r="R2235" s="23" t="s">
        <v>10605</v>
      </c>
      <c r="S2235" s="23" t="s">
        <v>6847</v>
      </c>
      <c r="T2235" s="23" t="s">
        <v>4866</v>
      </c>
      <c r="U2235" s="3">
        <v>35</v>
      </c>
      <c r="W2235" s="45" t="str">
        <f>HYPERLINK("http://ictvonline.org/taxonomy/p/taxonomy-history?taxnode_id=201904488","ICTVonline=201904488")</f>
        <v>ICTVonline=201904488</v>
      </c>
      <c r="Y2235" s="1" t="s">
        <v>10860</v>
      </c>
      <c r="Z2235" s="1" t="s">
        <v>10861</v>
      </c>
      <c r="AA2235" s="1">
        <v>201900000</v>
      </c>
      <c r="AB2235" s="1">
        <v>35</v>
      </c>
    </row>
    <row r="2236" spans="1:28" x14ac:dyDescent="0.2">
      <c r="A2236" s="1">
        <v>6099</v>
      </c>
      <c r="B2236" s="1" t="s">
        <v>10590</v>
      </c>
      <c r="D2236" s="1" t="s">
        <v>10685</v>
      </c>
      <c r="F2236" s="1" t="s">
        <v>10686</v>
      </c>
      <c r="H2236" s="1" t="s">
        <v>10689</v>
      </c>
      <c r="J2236" s="1" t="s">
        <v>10690</v>
      </c>
      <c r="L2236" s="1" t="s">
        <v>991</v>
      </c>
      <c r="N2236" s="1" t="s">
        <v>3931</v>
      </c>
      <c r="P2236" s="1" t="s">
        <v>5444</v>
      </c>
      <c r="Q2236" s="3">
        <v>0</v>
      </c>
      <c r="R2236" s="23" t="s">
        <v>10605</v>
      </c>
      <c r="S2236" s="23" t="s">
        <v>6847</v>
      </c>
      <c r="T2236" s="23" t="s">
        <v>4866</v>
      </c>
      <c r="U2236" s="3">
        <v>35</v>
      </c>
      <c r="W2236" s="45" t="str">
        <f>HYPERLINK("http://ictvonline.org/taxonomy/p/taxonomy-history?taxnode_id=201905908","ICTVonline=201905908")</f>
        <v>ICTVonline=201905908</v>
      </c>
      <c r="AA2236" s="1">
        <v>201900000</v>
      </c>
      <c r="AB2236" s="1">
        <v>35</v>
      </c>
    </row>
    <row r="2237" spans="1:28" x14ac:dyDescent="0.2">
      <c r="A2237" s="1">
        <v>6101</v>
      </c>
      <c r="B2237" s="1" t="s">
        <v>10590</v>
      </c>
      <c r="D2237" s="1" t="s">
        <v>10685</v>
      </c>
      <c r="F2237" s="1" t="s">
        <v>10686</v>
      </c>
      <c r="H2237" s="1" t="s">
        <v>10689</v>
      </c>
      <c r="J2237" s="1" t="s">
        <v>10690</v>
      </c>
      <c r="L2237" s="1" t="s">
        <v>991</v>
      </c>
      <c r="N2237" s="1" t="s">
        <v>3931</v>
      </c>
      <c r="P2237" s="1" t="s">
        <v>5445</v>
      </c>
      <c r="Q2237" s="3">
        <v>0</v>
      </c>
      <c r="R2237" s="23" t="s">
        <v>10605</v>
      </c>
      <c r="S2237" s="23" t="s">
        <v>6847</v>
      </c>
      <c r="T2237" s="23" t="s">
        <v>4866</v>
      </c>
      <c r="U2237" s="3">
        <v>35</v>
      </c>
      <c r="W2237" s="45" t="str">
        <f>HYPERLINK("http://ictvonline.org/taxonomy/p/taxonomy-history?taxnode_id=201905909","ICTVonline=201905909")</f>
        <v>ICTVonline=201905909</v>
      </c>
      <c r="AA2237" s="1">
        <v>201900000</v>
      </c>
      <c r="AB2237" s="1">
        <v>35</v>
      </c>
    </row>
    <row r="2238" spans="1:28" x14ac:dyDescent="0.2">
      <c r="A2238" s="1">
        <v>6103</v>
      </c>
      <c r="B2238" s="1" t="s">
        <v>10590</v>
      </c>
      <c r="D2238" s="1" t="s">
        <v>10685</v>
      </c>
      <c r="F2238" s="1" t="s">
        <v>10686</v>
      </c>
      <c r="H2238" s="1" t="s">
        <v>10689</v>
      </c>
      <c r="J2238" s="1" t="s">
        <v>10690</v>
      </c>
      <c r="L2238" s="1" t="s">
        <v>991</v>
      </c>
      <c r="N2238" s="1" t="s">
        <v>3931</v>
      </c>
      <c r="P2238" s="1" t="s">
        <v>3936</v>
      </c>
      <c r="Q2238" s="3">
        <v>0</v>
      </c>
      <c r="R2238" s="23" t="s">
        <v>10605</v>
      </c>
      <c r="S2238" s="23" t="s">
        <v>6847</v>
      </c>
      <c r="T2238" s="23" t="s">
        <v>4866</v>
      </c>
      <c r="U2238" s="3">
        <v>35</v>
      </c>
      <c r="W2238" s="45" t="str">
        <f>HYPERLINK("http://ictvonline.org/taxonomy/p/taxonomy-history?taxnode_id=201904489","ICTVonline=201904489")</f>
        <v>ICTVonline=201904489</v>
      </c>
      <c r="Y2238" s="1" t="s">
        <v>10862</v>
      </c>
      <c r="Z2238" s="1" t="s">
        <v>10863</v>
      </c>
      <c r="AA2238" s="1">
        <v>201900000</v>
      </c>
      <c r="AB2238" s="1">
        <v>35</v>
      </c>
    </row>
    <row r="2239" spans="1:28" x14ac:dyDescent="0.2">
      <c r="A2239" s="1">
        <v>6105</v>
      </c>
      <c r="B2239" s="1" t="s">
        <v>10590</v>
      </c>
      <c r="D2239" s="1" t="s">
        <v>10685</v>
      </c>
      <c r="F2239" s="1" t="s">
        <v>10686</v>
      </c>
      <c r="H2239" s="1" t="s">
        <v>10689</v>
      </c>
      <c r="J2239" s="1" t="s">
        <v>10690</v>
      </c>
      <c r="L2239" s="1" t="s">
        <v>991</v>
      </c>
      <c r="N2239" s="1" t="s">
        <v>3931</v>
      </c>
      <c r="P2239" s="1" t="s">
        <v>3937</v>
      </c>
      <c r="Q2239" s="3">
        <v>0</v>
      </c>
      <c r="R2239" s="23" t="s">
        <v>10605</v>
      </c>
      <c r="S2239" s="23" t="s">
        <v>6847</v>
      </c>
      <c r="T2239" s="23" t="s">
        <v>4866</v>
      </c>
      <c r="U2239" s="3">
        <v>35</v>
      </c>
      <c r="W2239" s="45" t="str">
        <f>HYPERLINK("http://ictvonline.org/taxonomy/p/taxonomy-history?taxnode_id=201904490","ICTVonline=201904490")</f>
        <v>ICTVonline=201904490</v>
      </c>
      <c r="Y2239" s="1" t="s">
        <v>10864</v>
      </c>
      <c r="Z2239" s="1" t="s">
        <v>10865</v>
      </c>
      <c r="AA2239" s="1">
        <v>201900000</v>
      </c>
      <c r="AB2239" s="1">
        <v>35</v>
      </c>
    </row>
    <row r="2240" spans="1:28" x14ac:dyDescent="0.2">
      <c r="A2240" s="1">
        <v>6107</v>
      </c>
      <c r="B2240" s="1" t="s">
        <v>10590</v>
      </c>
      <c r="D2240" s="1" t="s">
        <v>10685</v>
      </c>
      <c r="F2240" s="1" t="s">
        <v>10686</v>
      </c>
      <c r="H2240" s="1" t="s">
        <v>10689</v>
      </c>
      <c r="J2240" s="1" t="s">
        <v>10690</v>
      </c>
      <c r="L2240" s="1" t="s">
        <v>991</v>
      </c>
      <c r="N2240" s="1" t="s">
        <v>3931</v>
      </c>
      <c r="P2240" s="1" t="s">
        <v>3938</v>
      </c>
      <c r="Q2240" s="3">
        <v>0</v>
      </c>
      <c r="R2240" s="23" t="s">
        <v>10605</v>
      </c>
      <c r="S2240" s="23" t="s">
        <v>6847</v>
      </c>
      <c r="T2240" s="23" t="s">
        <v>4866</v>
      </c>
      <c r="U2240" s="3">
        <v>35</v>
      </c>
      <c r="W2240" s="45" t="str">
        <f>HYPERLINK("http://ictvonline.org/taxonomy/p/taxonomy-history?taxnode_id=201904491","ICTVonline=201904491")</f>
        <v>ICTVonline=201904491</v>
      </c>
      <c r="Y2240" s="1" t="s">
        <v>10866</v>
      </c>
      <c r="Z2240" s="1" t="s">
        <v>10867</v>
      </c>
      <c r="AA2240" s="1">
        <v>201900000</v>
      </c>
      <c r="AB2240" s="1">
        <v>35</v>
      </c>
    </row>
    <row r="2241" spans="1:28" x14ac:dyDescent="0.2">
      <c r="A2241" s="1">
        <v>6110</v>
      </c>
      <c r="B2241" s="1" t="s">
        <v>10590</v>
      </c>
      <c r="D2241" s="1" t="s">
        <v>10685</v>
      </c>
      <c r="F2241" s="1" t="s">
        <v>10686</v>
      </c>
      <c r="H2241" s="1" t="s">
        <v>10689</v>
      </c>
      <c r="J2241" s="1" t="s">
        <v>10690</v>
      </c>
      <c r="L2241" s="1" t="s">
        <v>991</v>
      </c>
      <c r="P2241" s="1" t="s">
        <v>6817</v>
      </c>
      <c r="Q2241" s="3">
        <v>0</v>
      </c>
      <c r="R2241" s="23" t="s">
        <v>10605</v>
      </c>
      <c r="S2241" s="23" t="s">
        <v>6847</v>
      </c>
      <c r="T2241" s="23" t="s">
        <v>4866</v>
      </c>
      <c r="U2241" s="3">
        <v>35</v>
      </c>
      <c r="W2241" s="45" t="str">
        <f>HYPERLINK("http://ictvonline.org/taxonomy/p/taxonomy-history?taxnode_id=201906349","ICTVonline=201906349")</f>
        <v>ICTVonline=201906349</v>
      </c>
      <c r="X2241" s="1" t="s">
        <v>10868</v>
      </c>
      <c r="Y2241" s="1" t="s">
        <v>10869</v>
      </c>
      <c r="Z2241" s="1" t="s">
        <v>10870</v>
      </c>
      <c r="AA2241" s="1">
        <v>201900000</v>
      </c>
      <c r="AB2241" s="1">
        <v>35</v>
      </c>
    </row>
    <row r="2242" spans="1:28" x14ac:dyDescent="0.2">
      <c r="A2242" s="1">
        <v>6112</v>
      </c>
      <c r="B2242" s="1" t="s">
        <v>10590</v>
      </c>
      <c r="D2242" s="1" t="s">
        <v>10685</v>
      </c>
      <c r="F2242" s="1" t="s">
        <v>10686</v>
      </c>
      <c r="H2242" s="1" t="s">
        <v>10689</v>
      </c>
      <c r="J2242" s="1" t="s">
        <v>10690</v>
      </c>
      <c r="L2242" s="1" t="s">
        <v>991</v>
      </c>
      <c r="P2242" s="1" t="s">
        <v>3939</v>
      </c>
      <c r="Q2242" s="3">
        <v>0</v>
      </c>
      <c r="R2242" s="23" t="s">
        <v>10605</v>
      </c>
      <c r="S2242" s="23" t="s">
        <v>6847</v>
      </c>
      <c r="T2242" s="23" t="s">
        <v>4866</v>
      </c>
      <c r="U2242" s="3">
        <v>35</v>
      </c>
      <c r="W2242" s="45" t="str">
        <f>HYPERLINK("http://ictvonline.org/taxonomy/p/taxonomy-history?taxnode_id=201904493","ICTVonline=201904493")</f>
        <v>ICTVonline=201904493</v>
      </c>
      <c r="Z2242" s="1" t="s">
        <v>10871</v>
      </c>
      <c r="AA2242" s="1">
        <v>201900000</v>
      </c>
      <c r="AB2242" s="1">
        <v>35</v>
      </c>
    </row>
    <row r="2243" spans="1:28" x14ac:dyDescent="0.2">
      <c r="A2243" s="1">
        <v>6114</v>
      </c>
      <c r="B2243" s="1" t="s">
        <v>10590</v>
      </c>
      <c r="D2243" s="1" t="s">
        <v>10685</v>
      </c>
      <c r="F2243" s="1" t="s">
        <v>10686</v>
      </c>
      <c r="H2243" s="1" t="s">
        <v>10689</v>
      </c>
      <c r="J2243" s="1" t="s">
        <v>10690</v>
      </c>
      <c r="L2243" s="1" t="s">
        <v>991</v>
      </c>
      <c r="P2243" s="1" t="s">
        <v>3940</v>
      </c>
      <c r="Q2243" s="3">
        <v>0</v>
      </c>
      <c r="R2243" s="23" t="s">
        <v>10605</v>
      </c>
      <c r="S2243" s="23" t="s">
        <v>6847</v>
      </c>
      <c r="T2243" s="23" t="s">
        <v>4866</v>
      </c>
      <c r="U2243" s="3">
        <v>35</v>
      </c>
      <c r="W2243" s="45" t="str">
        <f>HYPERLINK("http://ictvonline.org/taxonomy/p/taxonomy-history?taxnode_id=201904494","ICTVonline=201904494")</f>
        <v>ICTVonline=201904494</v>
      </c>
      <c r="Y2243" s="1" t="s">
        <v>10872</v>
      </c>
      <c r="Z2243" s="1" t="s">
        <v>10873</v>
      </c>
      <c r="AA2243" s="1">
        <v>201900000</v>
      </c>
      <c r="AB2243" s="1">
        <v>35</v>
      </c>
    </row>
    <row r="2244" spans="1:28" x14ac:dyDescent="0.2">
      <c r="A2244" s="1">
        <v>6116</v>
      </c>
      <c r="B2244" s="1" t="s">
        <v>10590</v>
      </c>
      <c r="D2244" s="1" t="s">
        <v>10685</v>
      </c>
      <c r="F2244" s="1" t="s">
        <v>10686</v>
      </c>
      <c r="H2244" s="1" t="s">
        <v>10689</v>
      </c>
      <c r="J2244" s="1" t="s">
        <v>10690</v>
      </c>
      <c r="L2244" s="1" t="s">
        <v>991</v>
      </c>
      <c r="P2244" s="1" t="s">
        <v>3941</v>
      </c>
      <c r="Q2244" s="3">
        <v>0</v>
      </c>
      <c r="R2244" s="23" t="s">
        <v>10605</v>
      </c>
      <c r="S2244" s="23" t="s">
        <v>6847</v>
      </c>
      <c r="T2244" s="23" t="s">
        <v>4866</v>
      </c>
      <c r="U2244" s="3">
        <v>35</v>
      </c>
      <c r="W2244" s="45" t="str">
        <f>HYPERLINK("http://ictvonline.org/taxonomy/p/taxonomy-history?taxnode_id=201904495","ICTVonline=201904495")</f>
        <v>ICTVonline=201904495</v>
      </c>
      <c r="Y2244" s="1" t="s">
        <v>10874</v>
      </c>
      <c r="Z2244" s="1" t="s">
        <v>3941</v>
      </c>
      <c r="AA2244" s="1">
        <v>201900000</v>
      </c>
      <c r="AB2244" s="1">
        <v>35</v>
      </c>
    </row>
    <row r="2245" spans="1:28" x14ac:dyDescent="0.2">
      <c r="A2245" s="1">
        <v>6118</v>
      </c>
      <c r="B2245" s="1" t="s">
        <v>10590</v>
      </c>
      <c r="D2245" s="1" t="s">
        <v>10685</v>
      </c>
      <c r="F2245" s="1" t="s">
        <v>10686</v>
      </c>
      <c r="H2245" s="1" t="s">
        <v>10689</v>
      </c>
      <c r="J2245" s="1" t="s">
        <v>10690</v>
      </c>
      <c r="L2245" s="1" t="s">
        <v>991</v>
      </c>
      <c r="P2245" s="1" t="s">
        <v>6818</v>
      </c>
      <c r="Q2245" s="3">
        <v>0</v>
      </c>
      <c r="R2245" s="23" t="s">
        <v>10605</v>
      </c>
      <c r="S2245" s="23" t="s">
        <v>6847</v>
      </c>
      <c r="T2245" s="23" t="s">
        <v>4866</v>
      </c>
      <c r="U2245" s="3">
        <v>35</v>
      </c>
      <c r="W2245" s="45" t="str">
        <f>HYPERLINK("http://ictvonline.org/taxonomy/p/taxonomy-history?taxnode_id=201906350","ICTVonline=201906350")</f>
        <v>ICTVonline=201906350</v>
      </c>
      <c r="X2245" s="1" t="s">
        <v>10875</v>
      </c>
      <c r="Y2245" s="1" t="s">
        <v>10876</v>
      </c>
      <c r="Z2245" s="1" t="s">
        <v>10877</v>
      </c>
      <c r="AA2245" s="1">
        <v>201900000</v>
      </c>
      <c r="AB2245" s="1">
        <v>35</v>
      </c>
    </row>
    <row r="2246" spans="1:28" x14ac:dyDescent="0.2">
      <c r="A2246" s="1">
        <v>6120</v>
      </c>
      <c r="B2246" s="1" t="s">
        <v>10590</v>
      </c>
      <c r="D2246" s="1" t="s">
        <v>10685</v>
      </c>
      <c r="F2246" s="1" t="s">
        <v>10686</v>
      </c>
      <c r="H2246" s="1" t="s">
        <v>10689</v>
      </c>
      <c r="J2246" s="1" t="s">
        <v>10690</v>
      </c>
      <c r="L2246" s="1" t="s">
        <v>991</v>
      </c>
      <c r="P2246" s="1" t="s">
        <v>5446</v>
      </c>
      <c r="Q2246" s="3">
        <v>0</v>
      </c>
      <c r="R2246" s="23" t="s">
        <v>10605</v>
      </c>
      <c r="S2246" s="23" t="s">
        <v>6847</v>
      </c>
      <c r="T2246" s="23" t="s">
        <v>4866</v>
      </c>
      <c r="U2246" s="3">
        <v>35</v>
      </c>
      <c r="W2246" s="45" t="str">
        <f>HYPERLINK("http://ictvonline.org/taxonomy/p/taxonomy-history?taxnode_id=201905910","ICTVonline=201905910")</f>
        <v>ICTVonline=201905910</v>
      </c>
      <c r="AA2246" s="1">
        <v>201900000</v>
      </c>
      <c r="AB2246" s="1">
        <v>35</v>
      </c>
    </row>
    <row r="2247" spans="1:28" x14ac:dyDescent="0.2">
      <c r="A2247" s="1">
        <v>6122</v>
      </c>
      <c r="B2247" s="1" t="s">
        <v>10590</v>
      </c>
      <c r="D2247" s="1" t="s">
        <v>10685</v>
      </c>
      <c r="F2247" s="1" t="s">
        <v>10686</v>
      </c>
      <c r="H2247" s="1" t="s">
        <v>10689</v>
      </c>
      <c r="J2247" s="1" t="s">
        <v>10690</v>
      </c>
      <c r="L2247" s="1" t="s">
        <v>991</v>
      </c>
      <c r="P2247" s="1" t="s">
        <v>6819</v>
      </c>
      <c r="Q2247" s="3">
        <v>0</v>
      </c>
      <c r="R2247" s="23" t="s">
        <v>10605</v>
      </c>
      <c r="S2247" s="23" t="s">
        <v>6847</v>
      </c>
      <c r="T2247" s="23" t="s">
        <v>4866</v>
      </c>
      <c r="U2247" s="3">
        <v>35</v>
      </c>
      <c r="W2247" s="45" t="str">
        <f>HYPERLINK("http://ictvonline.org/taxonomy/p/taxonomy-history?taxnode_id=201906351","ICTVonline=201906351")</f>
        <v>ICTVonline=201906351</v>
      </c>
      <c r="X2247" s="1" t="s">
        <v>10878</v>
      </c>
      <c r="Y2247" s="1" t="s">
        <v>10879</v>
      </c>
      <c r="Z2247" s="1" t="s">
        <v>10880</v>
      </c>
      <c r="AA2247" s="1">
        <v>201900000</v>
      </c>
      <c r="AB2247" s="1">
        <v>35</v>
      </c>
    </row>
    <row r="2248" spans="1:28" x14ac:dyDescent="0.2">
      <c r="A2248" s="1">
        <v>6124</v>
      </c>
      <c r="B2248" s="1" t="s">
        <v>10590</v>
      </c>
      <c r="D2248" s="1" t="s">
        <v>10685</v>
      </c>
      <c r="F2248" s="1" t="s">
        <v>10686</v>
      </c>
      <c r="H2248" s="1" t="s">
        <v>10689</v>
      </c>
      <c r="J2248" s="1" t="s">
        <v>10690</v>
      </c>
      <c r="L2248" s="1" t="s">
        <v>991</v>
      </c>
      <c r="P2248" s="1" t="s">
        <v>6820</v>
      </c>
      <c r="Q2248" s="3">
        <v>0</v>
      </c>
      <c r="R2248" s="23" t="s">
        <v>10605</v>
      </c>
      <c r="S2248" s="23" t="s">
        <v>6847</v>
      </c>
      <c r="T2248" s="23" t="s">
        <v>4866</v>
      </c>
      <c r="U2248" s="3">
        <v>35</v>
      </c>
      <c r="W2248" s="45" t="str">
        <f>HYPERLINK("http://ictvonline.org/taxonomy/p/taxonomy-history?taxnode_id=201906352","ICTVonline=201906352")</f>
        <v>ICTVonline=201906352</v>
      </c>
      <c r="X2248" s="1" t="s">
        <v>10881</v>
      </c>
      <c r="Y2248" s="1" t="s">
        <v>10882</v>
      </c>
      <c r="Z2248" s="1" t="s">
        <v>10883</v>
      </c>
      <c r="AA2248" s="1">
        <v>201900000</v>
      </c>
      <c r="AB2248" s="1">
        <v>35</v>
      </c>
    </row>
    <row r="2249" spans="1:28" x14ac:dyDescent="0.2">
      <c r="A2249" s="1">
        <v>6126</v>
      </c>
      <c r="B2249" s="1" t="s">
        <v>10590</v>
      </c>
      <c r="D2249" s="1" t="s">
        <v>10685</v>
      </c>
      <c r="F2249" s="1" t="s">
        <v>10686</v>
      </c>
      <c r="H2249" s="1" t="s">
        <v>10689</v>
      </c>
      <c r="J2249" s="1" t="s">
        <v>10690</v>
      </c>
      <c r="L2249" s="1" t="s">
        <v>991</v>
      </c>
      <c r="P2249" s="1" t="s">
        <v>5447</v>
      </c>
      <c r="Q2249" s="3">
        <v>0</v>
      </c>
      <c r="R2249" s="23" t="s">
        <v>10605</v>
      </c>
      <c r="S2249" s="23" t="s">
        <v>6847</v>
      </c>
      <c r="T2249" s="23" t="s">
        <v>4866</v>
      </c>
      <c r="U2249" s="3">
        <v>35</v>
      </c>
      <c r="W2249" s="45" t="str">
        <f>HYPERLINK("http://ictvonline.org/taxonomy/p/taxonomy-history?taxnode_id=201905911","ICTVonline=201905911")</f>
        <v>ICTVonline=201905911</v>
      </c>
      <c r="AA2249" s="1">
        <v>201900000</v>
      </c>
      <c r="AB2249" s="1">
        <v>35</v>
      </c>
    </row>
    <row r="2250" spans="1:28" x14ac:dyDescent="0.2">
      <c r="A2250" s="1">
        <v>6134</v>
      </c>
      <c r="B2250" s="1" t="s">
        <v>10590</v>
      </c>
      <c r="D2250" s="1" t="s">
        <v>10685</v>
      </c>
      <c r="F2250" s="1" t="s">
        <v>10686</v>
      </c>
      <c r="H2250" s="1" t="s">
        <v>10689</v>
      </c>
      <c r="J2250" s="1" t="s">
        <v>10884</v>
      </c>
      <c r="L2250" s="1" t="s">
        <v>825</v>
      </c>
      <c r="M2250" s="1" t="s">
        <v>5397</v>
      </c>
      <c r="N2250" s="1" t="s">
        <v>826</v>
      </c>
      <c r="P2250" s="1" t="s">
        <v>104</v>
      </c>
      <c r="Q2250" s="3">
        <v>1</v>
      </c>
      <c r="R2250" s="23" t="s">
        <v>10605</v>
      </c>
      <c r="S2250" s="23" t="s">
        <v>6847</v>
      </c>
      <c r="T2250" s="23" t="s">
        <v>4866</v>
      </c>
      <c r="U2250" s="3">
        <v>35</v>
      </c>
      <c r="W2250" s="45" t="str">
        <f>HYPERLINK("http://ictvonline.org/taxonomy/p/taxonomy-history?taxnode_id=201903974","ICTVonline=201903974")</f>
        <v>ICTVonline=201903974</v>
      </c>
      <c r="AA2250" s="1">
        <v>201900000</v>
      </c>
      <c r="AB2250" s="1">
        <v>35</v>
      </c>
    </row>
    <row r="2251" spans="1:28" x14ac:dyDescent="0.2">
      <c r="A2251" s="1">
        <v>6136</v>
      </c>
      <c r="B2251" s="1" t="s">
        <v>10590</v>
      </c>
      <c r="D2251" s="1" t="s">
        <v>10685</v>
      </c>
      <c r="F2251" s="1" t="s">
        <v>10686</v>
      </c>
      <c r="H2251" s="1" t="s">
        <v>10689</v>
      </c>
      <c r="J2251" s="1" t="s">
        <v>10884</v>
      </c>
      <c r="L2251" s="1" t="s">
        <v>825</v>
      </c>
      <c r="M2251" s="1" t="s">
        <v>5397</v>
      </c>
      <c r="N2251" s="1" t="s">
        <v>826</v>
      </c>
      <c r="P2251" s="1" t="s">
        <v>110</v>
      </c>
      <c r="Q2251" s="3">
        <v>0</v>
      </c>
      <c r="R2251" s="23" t="s">
        <v>10605</v>
      </c>
      <c r="S2251" s="23" t="s">
        <v>6847</v>
      </c>
      <c r="T2251" s="23" t="s">
        <v>4866</v>
      </c>
      <c r="U2251" s="3">
        <v>35</v>
      </c>
      <c r="W2251" s="45" t="str">
        <f>HYPERLINK("http://ictvonline.org/taxonomy/p/taxonomy-history?taxnode_id=201903975","ICTVonline=201903975")</f>
        <v>ICTVonline=201903975</v>
      </c>
      <c r="AA2251" s="1">
        <v>201900000</v>
      </c>
      <c r="AB2251" s="1">
        <v>35</v>
      </c>
    </row>
    <row r="2252" spans="1:28" x14ac:dyDescent="0.2">
      <c r="A2252" s="1">
        <v>6138</v>
      </c>
      <c r="B2252" s="1" t="s">
        <v>10590</v>
      </c>
      <c r="D2252" s="1" t="s">
        <v>10685</v>
      </c>
      <c r="F2252" s="1" t="s">
        <v>10686</v>
      </c>
      <c r="H2252" s="1" t="s">
        <v>10689</v>
      </c>
      <c r="J2252" s="1" t="s">
        <v>10884</v>
      </c>
      <c r="L2252" s="1" t="s">
        <v>825</v>
      </c>
      <c r="M2252" s="1" t="s">
        <v>5397</v>
      </c>
      <c r="N2252" s="1" t="s">
        <v>826</v>
      </c>
      <c r="P2252" s="1" t="s">
        <v>111</v>
      </c>
      <c r="Q2252" s="3">
        <v>0</v>
      </c>
      <c r="R2252" s="23" t="s">
        <v>10605</v>
      </c>
      <c r="S2252" s="23" t="s">
        <v>6847</v>
      </c>
      <c r="T2252" s="23" t="s">
        <v>4866</v>
      </c>
      <c r="U2252" s="3">
        <v>35</v>
      </c>
      <c r="W2252" s="45" t="str">
        <f>HYPERLINK("http://ictvonline.org/taxonomy/p/taxonomy-history?taxnode_id=201903976","ICTVonline=201903976")</f>
        <v>ICTVonline=201903976</v>
      </c>
      <c r="AA2252" s="1">
        <v>201900000</v>
      </c>
      <c r="AB2252" s="1">
        <v>35</v>
      </c>
    </row>
    <row r="2253" spans="1:28" x14ac:dyDescent="0.2">
      <c r="A2253" s="1">
        <v>6140</v>
      </c>
      <c r="B2253" s="1" t="s">
        <v>10590</v>
      </c>
      <c r="D2253" s="1" t="s">
        <v>10685</v>
      </c>
      <c r="F2253" s="1" t="s">
        <v>10686</v>
      </c>
      <c r="H2253" s="1" t="s">
        <v>10689</v>
      </c>
      <c r="J2253" s="1" t="s">
        <v>10884</v>
      </c>
      <c r="L2253" s="1" t="s">
        <v>825</v>
      </c>
      <c r="M2253" s="1" t="s">
        <v>5397</v>
      </c>
      <c r="N2253" s="1" t="s">
        <v>826</v>
      </c>
      <c r="P2253" s="1" t="s">
        <v>112</v>
      </c>
      <c r="Q2253" s="3">
        <v>0</v>
      </c>
      <c r="R2253" s="23" t="s">
        <v>10605</v>
      </c>
      <c r="S2253" s="23" t="s">
        <v>6847</v>
      </c>
      <c r="T2253" s="23" t="s">
        <v>4866</v>
      </c>
      <c r="U2253" s="3">
        <v>35</v>
      </c>
      <c r="W2253" s="45" t="str">
        <f>HYPERLINK("http://ictvonline.org/taxonomy/p/taxonomy-history?taxnode_id=201903977","ICTVonline=201903977")</f>
        <v>ICTVonline=201903977</v>
      </c>
      <c r="AA2253" s="1">
        <v>201900000</v>
      </c>
      <c r="AB2253" s="1">
        <v>35</v>
      </c>
    </row>
    <row r="2254" spans="1:28" x14ac:dyDescent="0.2">
      <c r="A2254" s="1">
        <v>6142</v>
      </c>
      <c r="B2254" s="1" t="s">
        <v>10590</v>
      </c>
      <c r="D2254" s="1" t="s">
        <v>10685</v>
      </c>
      <c r="F2254" s="1" t="s">
        <v>10686</v>
      </c>
      <c r="H2254" s="1" t="s">
        <v>10689</v>
      </c>
      <c r="J2254" s="1" t="s">
        <v>10884</v>
      </c>
      <c r="L2254" s="1" t="s">
        <v>825</v>
      </c>
      <c r="M2254" s="1" t="s">
        <v>5397</v>
      </c>
      <c r="N2254" s="1" t="s">
        <v>826</v>
      </c>
      <c r="P2254" s="1" t="s">
        <v>113</v>
      </c>
      <c r="Q2254" s="3">
        <v>0</v>
      </c>
      <c r="R2254" s="23" t="s">
        <v>10605</v>
      </c>
      <c r="S2254" s="23" t="s">
        <v>6847</v>
      </c>
      <c r="T2254" s="23" t="s">
        <v>4866</v>
      </c>
      <c r="U2254" s="3">
        <v>35</v>
      </c>
      <c r="W2254" s="45" t="str">
        <f>HYPERLINK("http://ictvonline.org/taxonomy/p/taxonomy-history?taxnode_id=201903978","ICTVonline=201903978")</f>
        <v>ICTVonline=201903978</v>
      </c>
      <c r="AA2254" s="1">
        <v>201900000</v>
      </c>
      <c r="AB2254" s="1">
        <v>35</v>
      </c>
    </row>
    <row r="2255" spans="1:28" x14ac:dyDescent="0.2">
      <c r="A2255" s="1">
        <v>6144</v>
      </c>
      <c r="B2255" s="1" t="s">
        <v>10590</v>
      </c>
      <c r="D2255" s="1" t="s">
        <v>10685</v>
      </c>
      <c r="F2255" s="1" t="s">
        <v>10686</v>
      </c>
      <c r="H2255" s="1" t="s">
        <v>10689</v>
      </c>
      <c r="J2255" s="1" t="s">
        <v>10884</v>
      </c>
      <c r="L2255" s="1" t="s">
        <v>825</v>
      </c>
      <c r="M2255" s="1" t="s">
        <v>5397</v>
      </c>
      <c r="N2255" s="1" t="s">
        <v>826</v>
      </c>
      <c r="P2255" s="1" t="s">
        <v>114</v>
      </c>
      <c r="Q2255" s="3">
        <v>0</v>
      </c>
      <c r="R2255" s="23" t="s">
        <v>10605</v>
      </c>
      <c r="S2255" s="23" t="s">
        <v>6847</v>
      </c>
      <c r="T2255" s="23" t="s">
        <v>4866</v>
      </c>
      <c r="U2255" s="3">
        <v>35</v>
      </c>
      <c r="W2255" s="45" t="str">
        <f>HYPERLINK("http://ictvonline.org/taxonomy/p/taxonomy-history?taxnode_id=201903979","ICTVonline=201903979")</f>
        <v>ICTVonline=201903979</v>
      </c>
      <c r="AA2255" s="1">
        <v>201900000</v>
      </c>
      <c r="AB2255" s="1">
        <v>35</v>
      </c>
    </row>
    <row r="2256" spans="1:28" x14ac:dyDescent="0.2">
      <c r="A2256" s="1">
        <v>6146</v>
      </c>
      <c r="B2256" s="1" t="s">
        <v>10590</v>
      </c>
      <c r="D2256" s="1" t="s">
        <v>10685</v>
      </c>
      <c r="F2256" s="1" t="s">
        <v>10686</v>
      </c>
      <c r="H2256" s="1" t="s">
        <v>10689</v>
      </c>
      <c r="J2256" s="1" t="s">
        <v>10884</v>
      </c>
      <c r="L2256" s="1" t="s">
        <v>825</v>
      </c>
      <c r="M2256" s="1" t="s">
        <v>5397</v>
      </c>
      <c r="N2256" s="1" t="s">
        <v>826</v>
      </c>
      <c r="P2256" s="1" t="s">
        <v>115</v>
      </c>
      <c r="Q2256" s="3">
        <v>0</v>
      </c>
      <c r="R2256" s="23" t="s">
        <v>10605</v>
      </c>
      <c r="S2256" s="23" t="s">
        <v>6847</v>
      </c>
      <c r="T2256" s="23" t="s">
        <v>4866</v>
      </c>
      <c r="U2256" s="3">
        <v>35</v>
      </c>
      <c r="W2256" s="45" t="str">
        <f>HYPERLINK("http://ictvonline.org/taxonomy/p/taxonomy-history?taxnode_id=201903980","ICTVonline=201903980")</f>
        <v>ICTVonline=201903980</v>
      </c>
      <c r="AA2256" s="1">
        <v>201900000</v>
      </c>
      <c r="AB2256" s="1">
        <v>35</v>
      </c>
    </row>
    <row r="2257" spans="1:28" x14ac:dyDescent="0.2">
      <c r="A2257" s="1">
        <v>6148</v>
      </c>
      <c r="B2257" s="1" t="s">
        <v>10590</v>
      </c>
      <c r="D2257" s="1" t="s">
        <v>10685</v>
      </c>
      <c r="F2257" s="1" t="s">
        <v>10686</v>
      </c>
      <c r="H2257" s="1" t="s">
        <v>10689</v>
      </c>
      <c r="J2257" s="1" t="s">
        <v>10884</v>
      </c>
      <c r="L2257" s="1" t="s">
        <v>825</v>
      </c>
      <c r="M2257" s="1" t="s">
        <v>5397</v>
      </c>
      <c r="N2257" s="1" t="s">
        <v>826</v>
      </c>
      <c r="P2257" s="1" t="s">
        <v>116</v>
      </c>
      <c r="Q2257" s="3">
        <v>0</v>
      </c>
      <c r="R2257" s="23" t="s">
        <v>10605</v>
      </c>
      <c r="S2257" s="23" t="s">
        <v>6847</v>
      </c>
      <c r="T2257" s="23" t="s">
        <v>4866</v>
      </c>
      <c r="U2257" s="3">
        <v>35</v>
      </c>
      <c r="W2257" s="45" t="str">
        <f>HYPERLINK("http://ictvonline.org/taxonomy/p/taxonomy-history?taxnode_id=201903981","ICTVonline=201903981")</f>
        <v>ICTVonline=201903981</v>
      </c>
      <c r="AA2257" s="1">
        <v>201900000</v>
      </c>
      <c r="AB2257" s="1">
        <v>35</v>
      </c>
    </row>
    <row r="2258" spans="1:28" x14ac:dyDescent="0.2">
      <c r="A2258" s="1">
        <v>6150</v>
      </c>
      <c r="B2258" s="1" t="s">
        <v>10590</v>
      </c>
      <c r="D2258" s="1" t="s">
        <v>10685</v>
      </c>
      <c r="F2258" s="1" t="s">
        <v>10686</v>
      </c>
      <c r="H2258" s="1" t="s">
        <v>10689</v>
      </c>
      <c r="J2258" s="1" t="s">
        <v>10884</v>
      </c>
      <c r="L2258" s="1" t="s">
        <v>825</v>
      </c>
      <c r="M2258" s="1" t="s">
        <v>5397</v>
      </c>
      <c r="N2258" s="1" t="s">
        <v>826</v>
      </c>
      <c r="P2258" s="1" t="s">
        <v>117</v>
      </c>
      <c r="Q2258" s="3">
        <v>0</v>
      </c>
      <c r="R2258" s="23" t="s">
        <v>10605</v>
      </c>
      <c r="S2258" s="23" t="s">
        <v>6847</v>
      </c>
      <c r="T2258" s="23" t="s">
        <v>4866</v>
      </c>
      <c r="U2258" s="3">
        <v>35</v>
      </c>
      <c r="W2258" s="45" t="str">
        <f>HYPERLINK("http://ictvonline.org/taxonomy/p/taxonomy-history?taxnode_id=201903982","ICTVonline=201903982")</f>
        <v>ICTVonline=201903982</v>
      </c>
      <c r="AA2258" s="1">
        <v>201900000</v>
      </c>
      <c r="AB2258" s="1">
        <v>35</v>
      </c>
    </row>
    <row r="2259" spans="1:28" x14ac:dyDescent="0.2">
      <c r="A2259" s="1">
        <v>6152</v>
      </c>
      <c r="B2259" s="1" t="s">
        <v>10590</v>
      </c>
      <c r="D2259" s="1" t="s">
        <v>10685</v>
      </c>
      <c r="F2259" s="1" t="s">
        <v>10686</v>
      </c>
      <c r="H2259" s="1" t="s">
        <v>10689</v>
      </c>
      <c r="J2259" s="1" t="s">
        <v>10884</v>
      </c>
      <c r="L2259" s="1" t="s">
        <v>825</v>
      </c>
      <c r="M2259" s="1" t="s">
        <v>5397</v>
      </c>
      <c r="N2259" s="1" t="s">
        <v>826</v>
      </c>
      <c r="P2259" s="1" t="s">
        <v>105</v>
      </c>
      <c r="Q2259" s="3">
        <v>0</v>
      </c>
      <c r="R2259" s="23" t="s">
        <v>10605</v>
      </c>
      <c r="S2259" s="23" t="s">
        <v>6847</v>
      </c>
      <c r="T2259" s="23" t="s">
        <v>4866</v>
      </c>
      <c r="U2259" s="3">
        <v>35</v>
      </c>
      <c r="W2259" s="45" t="str">
        <f>HYPERLINK("http://ictvonline.org/taxonomy/p/taxonomy-history?taxnode_id=201903983","ICTVonline=201903983")</f>
        <v>ICTVonline=201903983</v>
      </c>
      <c r="AA2259" s="1">
        <v>201900000</v>
      </c>
      <c r="AB2259" s="1">
        <v>35</v>
      </c>
    </row>
    <row r="2260" spans="1:28" x14ac:dyDescent="0.2">
      <c r="A2260" s="1">
        <v>6154</v>
      </c>
      <c r="B2260" s="1" t="s">
        <v>10590</v>
      </c>
      <c r="D2260" s="1" t="s">
        <v>10685</v>
      </c>
      <c r="F2260" s="1" t="s">
        <v>10686</v>
      </c>
      <c r="H2260" s="1" t="s">
        <v>10689</v>
      </c>
      <c r="J2260" s="1" t="s">
        <v>10884</v>
      </c>
      <c r="L2260" s="1" t="s">
        <v>825</v>
      </c>
      <c r="M2260" s="1" t="s">
        <v>5397</v>
      </c>
      <c r="N2260" s="1" t="s">
        <v>826</v>
      </c>
      <c r="P2260" s="1" t="s">
        <v>106</v>
      </c>
      <c r="Q2260" s="3">
        <v>0</v>
      </c>
      <c r="R2260" s="23" t="s">
        <v>10605</v>
      </c>
      <c r="S2260" s="23" t="s">
        <v>6847</v>
      </c>
      <c r="T2260" s="23" t="s">
        <v>4866</v>
      </c>
      <c r="U2260" s="3">
        <v>35</v>
      </c>
      <c r="W2260" s="45" t="str">
        <f>HYPERLINK("http://ictvonline.org/taxonomy/p/taxonomy-history?taxnode_id=201903984","ICTVonline=201903984")</f>
        <v>ICTVonline=201903984</v>
      </c>
      <c r="AA2260" s="1">
        <v>201900000</v>
      </c>
      <c r="AB2260" s="1">
        <v>35</v>
      </c>
    </row>
    <row r="2261" spans="1:28" x14ac:dyDescent="0.2">
      <c r="A2261" s="1">
        <v>6156</v>
      </c>
      <c r="B2261" s="1" t="s">
        <v>10590</v>
      </c>
      <c r="D2261" s="1" t="s">
        <v>10685</v>
      </c>
      <c r="F2261" s="1" t="s">
        <v>10686</v>
      </c>
      <c r="H2261" s="1" t="s">
        <v>10689</v>
      </c>
      <c r="J2261" s="1" t="s">
        <v>10884</v>
      </c>
      <c r="L2261" s="1" t="s">
        <v>825</v>
      </c>
      <c r="M2261" s="1" t="s">
        <v>5397</v>
      </c>
      <c r="N2261" s="1" t="s">
        <v>826</v>
      </c>
      <c r="P2261" s="1" t="s">
        <v>107</v>
      </c>
      <c r="Q2261" s="3">
        <v>0</v>
      </c>
      <c r="R2261" s="23" t="s">
        <v>10605</v>
      </c>
      <c r="S2261" s="23" t="s">
        <v>6847</v>
      </c>
      <c r="T2261" s="23" t="s">
        <v>4866</v>
      </c>
      <c r="U2261" s="3">
        <v>35</v>
      </c>
      <c r="W2261" s="45" t="str">
        <f>HYPERLINK("http://ictvonline.org/taxonomy/p/taxonomy-history?taxnode_id=201903985","ICTVonline=201903985")</f>
        <v>ICTVonline=201903985</v>
      </c>
      <c r="AA2261" s="1">
        <v>201900000</v>
      </c>
      <c r="AB2261" s="1">
        <v>35</v>
      </c>
    </row>
    <row r="2262" spans="1:28" x14ac:dyDescent="0.2">
      <c r="A2262" s="1">
        <v>6158</v>
      </c>
      <c r="B2262" s="1" t="s">
        <v>10590</v>
      </c>
      <c r="D2262" s="1" t="s">
        <v>10685</v>
      </c>
      <c r="F2262" s="1" t="s">
        <v>10686</v>
      </c>
      <c r="H2262" s="1" t="s">
        <v>10689</v>
      </c>
      <c r="J2262" s="1" t="s">
        <v>10884</v>
      </c>
      <c r="L2262" s="1" t="s">
        <v>825</v>
      </c>
      <c r="M2262" s="1" t="s">
        <v>5397</v>
      </c>
      <c r="N2262" s="1" t="s">
        <v>826</v>
      </c>
      <c r="P2262" s="1" t="s">
        <v>108</v>
      </c>
      <c r="Q2262" s="3">
        <v>0</v>
      </c>
      <c r="R2262" s="23" t="s">
        <v>10605</v>
      </c>
      <c r="S2262" s="23" t="s">
        <v>6847</v>
      </c>
      <c r="T2262" s="23" t="s">
        <v>4866</v>
      </c>
      <c r="U2262" s="3">
        <v>35</v>
      </c>
      <c r="W2262" s="45" t="str">
        <f>HYPERLINK("http://ictvonline.org/taxonomy/p/taxonomy-history?taxnode_id=201903986","ICTVonline=201903986")</f>
        <v>ICTVonline=201903986</v>
      </c>
      <c r="AA2262" s="1">
        <v>201900000</v>
      </c>
      <c r="AB2262" s="1">
        <v>35</v>
      </c>
    </row>
    <row r="2263" spans="1:28" x14ac:dyDescent="0.2">
      <c r="A2263" s="1">
        <v>6160</v>
      </c>
      <c r="B2263" s="1" t="s">
        <v>10590</v>
      </c>
      <c r="D2263" s="1" t="s">
        <v>10685</v>
      </c>
      <c r="F2263" s="1" t="s">
        <v>10686</v>
      </c>
      <c r="H2263" s="1" t="s">
        <v>10689</v>
      </c>
      <c r="J2263" s="1" t="s">
        <v>10884</v>
      </c>
      <c r="L2263" s="1" t="s">
        <v>825</v>
      </c>
      <c r="M2263" s="1" t="s">
        <v>5397</v>
      </c>
      <c r="N2263" s="1" t="s">
        <v>826</v>
      </c>
      <c r="P2263" s="1" t="s">
        <v>109</v>
      </c>
      <c r="Q2263" s="3">
        <v>0</v>
      </c>
      <c r="R2263" s="23" t="s">
        <v>10605</v>
      </c>
      <c r="S2263" s="23" t="s">
        <v>6847</v>
      </c>
      <c r="T2263" s="23" t="s">
        <v>4866</v>
      </c>
      <c r="U2263" s="3">
        <v>35</v>
      </c>
      <c r="W2263" s="45" t="str">
        <f>HYPERLINK("http://ictvonline.org/taxonomy/p/taxonomy-history?taxnode_id=201903987","ICTVonline=201903987")</f>
        <v>ICTVonline=201903987</v>
      </c>
      <c r="AA2263" s="1">
        <v>201900000</v>
      </c>
      <c r="AB2263" s="1">
        <v>35</v>
      </c>
    </row>
    <row r="2264" spans="1:28" x14ac:dyDescent="0.2">
      <c r="A2264" s="1">
        <v>6164</v>
      </c>
      <c r="B2264" s="1" t="s">
        <v>10590</v>
      </c>
      <c r="D2264" s="1" t="s">
        <v>10685</v>
      </c>
      <c r="F2264" s="1" t="s">
        <v>10686</v>
      </c>
      <c r="H2264" s="1" t="s">
        <v>10689</v>
      </c>
      <c r="J2264" s="1" t="s">
        <v>10884</v>
      </c>
      <c r="L2264" s="1" t="s">
        <v>825</v>
      </c>
      <c r="M2264" s="1" t="s">
        <v>5397</v>
      </c>
      <c r="N2264" s="1" t="s">
        <v>859</v>
      </c>
      <c r="P2264" s="1" t="s">
        <v>118</v>
      </c>
      <c r="Q2264" s="3">
        <v>1</v>
      </c>
      <c r="R2264" s="23" t="s">
        <v>10605</v>
      </c>
      <c r="S2264" s="23" t="s">
        <v>6847</v>
      </c>
      <c r="T2264" s="23" t="s">
        <v>4866</v>
      </c>
      <c r="U2264" s="3">
        <v>35</v>
      </c>
      <c r="W2264" s="45" t="str">
        <f>HYPERLINK("http://ictvonline.org/taxonomy/p/taxonomy-history?taxnode_id=201903989","ICTVonline=201903989")</f>
        <v>ICTVonline=201903989</v>
      </c>
      <c r="AA2264" s="1">
        <v>201900000</v>
      </c>
      <c r="AB2264" s="1">
        <v>35</v>
      </c>
    </row>
    <row r="2265" spans="1:28" x14ac:dyDescent="0.2">
      <c r="A2265" s="1">
        <v>6166</v>
      </c>
      <c r="B2265" s="1" t="s">
        <v>10590</v>
      </c>
      <c r="D2265" s="1" t="s">
        <v>10685</v>
      </c>
      <c r="F2265" s="1" t="s">
        <v>10686</v>
      </c>
      <c r="H2265" s="1" t="s">
        <v>10689</v>
      </c>
      <c r="J2265" s="1" t="s">
        <v>10884</v>
      </c>
      <c r="L2265" s="1" t="s">
        <v>825</v>
      </c>
      <c r="M2265" s="1" t="s">
        <v>5397</v>
      </c>
      <c r="N2265" s="1" t="s">
        <v>859</v>
      </c>
      <c r="P2265" s="1" t="s">
        <v>119</v>
      </c>
      <c r="Q2265" s="3">
        <v>0</v>
      </c>
      <c r="R2265" s="23" t="s">
        <v>10605</v>
      </c>
      <c r="S2265" s="23" t="s">
        <v>6847</v>
      </c>
      <c r="T2265" s="23" t="s">
        <v>4866</v>
      </c>
      <c r="U2265" s="3">
        <v>35</v>
      </c>
      <c r="W2265" s="45" t="str">
        <f>HYPERLINK("http://ictvonline.org/taxonomy/p/taxonomy-history?taxnode_id=201903990","ICTVonline=201903990")</f>
        <v>ICTVonline=201903990</v>
      </c>
      <c r="AA2265" s="1">
        <v>201900000</v>
      </c>
      <c r="AB2265" s="1">
        <v>35</v>
      </c>
    </row>
    <row r="2266" spans="1:28" x14ac:dyDescent="0.2">
      <c r="A2266" s="1">
        <v>6168</v>
      </c>
      <c r="B2266" s="1" t="s">
        <v>10590</v>
      </c>
      <c r="D2266" s="1" t="s">
        <v>10685</v>
      </c>
      <c r="F2266" s="1" t="s">
        <v>10686</v>
      </c>
      <c r="H2266" s="1" t="s">
        <v>10689</v>
      </c>
      <c r="J2266" s="1" t="s">
        <v>10884</v>
      </c>
      <c r="L2266" s="1" t="s">
        <v>825</v>
      </c>
      <c r="M2266" s="1" t="s">
        <v>5397</v>
      </c>
      <c r="N2266" s="1" t="s">
        <v>859</v>
      </c>
      <c r="P2266" s="1" t="s">
        <v>120</v>
      </c>
      <c r="Q2266" s="3">
        <v>0</v>
      </c>
      <c r="R2266" s="23" t="s">
        <v>10605</v>
      </c>
      <c r="S2266" s="23" t="s">
        <v>6847</v>
      </c>
      <c r="T2266" s="23" t="s">
        <v>4866</v>
      </c>
      <c r="U2266" s="3">
        <v>35</v>
      </c>
      <c r="W2266" s="45" t="str">
        <f>HYPERLINK("http://ictvonline.org/taxonomy/p/taxonomy-history?taxnode_id=201903991","ICTVonline=201903991")</f>
        <v>ICTVonline=201903991</v>
      </c>
      <c r="AA2266" s="1">
        <v>201900000</v>
      </c>
      <c r="AB2266" s="1">
        <v>35</v>
      </c>
    </row>
    <row r="2267" spans="1:28" x14ac:dyDescent="0.2">
      <c r="A2267" s="1">
        <v>6170</v>
      </c>
      <c r="B2267" s="1" t="s">
        <v>10590</v>
      </c>
      <c r="D2267" s="1" t="s">
        <v>10685</v>
      </c>
      <c r="F2267" s="1" t="s">
        <v>10686</v>
      </c>
      <c r="H2267" s="1" t="s">
        <v>10689</v>
      </c>
      <c r="J2267" s="1" t="s">
        <v>10884</v>
      </c>
      <c r="L2267" s="1" t="s">
        <v>825</v>
      </c>
      <c r="M2267" s="1" t="s">
        <v>5397</v>
      </c>
      <c r="N2267" s="1" t="s">
        <v>859</v>
      </c>
      <c r="P2267" s="1" t="s">
        <v>121</v>
      </c>
      <c r="Q2267" s="3">
        <v>0</v>
      </c>
      <c r="R2267" s="23" t="s">
        <v>10605</v>
      </c>
      <c r="S2267" s="23" t="s">
        <v>6847</v>
      </c>
      <c r="T2267" s="23" t="s">
        <v>4866</v>
      </c>
      <c r="U2267" s="3">
        <v>35</v>
      </c>
      <c r="W2267" s="45" t="str">
        <f>HYPERLINK("http://ictvonline.org/taxonomy/p/taxonomy-history?taxnode_id=201903992","ICTVonline=201903992")</f>
        <v>ICTVonline=201903992</v>
      </c>
      <c r="AA2267" s="1">
        <v>201900000</v>
      </c>
      <c r="AB2267" s="1">
        <v>35</v>
      </c>
    </row>
    <row r="2268" spans="1:28" x14ac:dyDescent="0.2">
      <c r="A2268" s="1">
        <v>6172</v>
      </c>
      <c r="B2268" s="1" t="s">
        <v>10590</v>
      </c>
      <c r="D2268" s="1" t="s">
        <v>10685</v>
      </c>
      <c r="F2268" s="1" t="s">
        <v>10686</v>
      </c>
      <c r="H2268" s="1" t="s">
        <v>10689</v>
      </c>
      <c r="J2268" s="1" t="s">
        <v>10884</v>
      </c>
      <c r="L2268" s="1" t="s">
        <v>825</v>
      </c>
      <c r="M2268" s="1" t="s">
        <v>5397</v>
      </c>
      <c r="N2268" s="1" t="s">
        <v>859</v>
      </c>
      <c r="P2268" s="1" t="s">
        <v>122</v>
      </c>
      <c r="Q2268" s="3">
        <v>0</v>
      </c>
      <c r="R2268" s="23" t="s">
        <v>10605</v>
      </c>
      <c r="S2268" s="23" t="s">
        <v>6847</v>
      </c>
      <c r="T2268" s="23" t="s">
        <v>4866</v>
      </c>
      <c r="U2268" s="3">
        <v>35</v>
      </c>
      <c r="W2268" s="45" t="str">
        <f>HYPERLINK("http://ictvonline.org/taxonomy/p/taxonomy-history?taxnode_id=201903993","ICTVonline=201903993")</f>
        <v>ICTVonline=201903993</v>
      </c>
      <c r="AA2268" s="1">
        <v>201900000</v>
      </c>
      <c r="AB2268" s="1">
        <v>35</v>
      </c>
    </row>
    <row r="2269" spans="1:28" x14ac:dyDescent="0.2">
      <c r="A2269" s="1">
        <v>6174</v>
      </c>
      <c r="B2269" s="1" t="s">
        <v>10590</v>
      </c>
      <c r="D2269" s="1" t="s">
        <v>10685</v>
      </c>
      <c r="F2269" s="1" t="s">
        <v>10686</v>
      </c>
      <c r="H2269" s="1" t="s">
        <v>10689</v>
      </c>
      <c r="J2269" s="1" t="s">
        <v>10884</v>
      </c>
      <c r="L2269" s="1" t="s">
        <v>825</v>
      </c>
      <c r="M2269" s="1" t="s">
        <v>5397</v>
      </c>
      <c r="N2269" s="1" t="s">
        <v>859</v>
      </c>
      <c r="P2269" s="1" t="s">
        <v>123</v>
      </c>
      <c r="Q2269" s="3">
        <v>0</v>
      </c>
      <c r="R2269" s="23" t="s">
        <v>10605</v>
      </c>
      <c r="S2269" s="23" t="s">
        <v>6847</v>
      </c>
      <c r="T2269" s="23" t="s">
        <v>4866</v>
      </c>
      <c r="U2269" s="3">
        <v>35</v>
      </c>
      <c r="W2269" s="45" t="str">
        <f>HYPERLINK("http://ictvonline.org/taxonomy/p/taxonomy-history?taxnode_id=201903994","ICTVonline=201903994")</f>
        <v>ICTVonline=201903994</v>
      </c>
      <c r="AA2269" s="1">
        <v>201900000</v>
      </c>
      <c r="AB2269" s="1">
        <v>35</v>
      </c>
    </row>
    <row r="2270" spans="1:28" x14ac:dyDescent="0.2">
      <c r="A2270" s="1">
        <v>6178</v>
      </c>
      <c r="B2270" s="1" t="s">
        <v>10590</v>
      </c>
      <c r="D2270" s="1" t="s">
        <v>10685</v>
      </c>
      <c r="F2270" s="1" t="s">
        <v>10686</v>
      </c>
      <c r="H2270" s="1" t="s">
        <v>10689</v>
      </c>
      <c r="J2270" s="1" t="s">
        <v>10884</v>
      </c>
      <c r="L2270" s="1" t="s">
        <v>825</v>
      </c>
      <c r="M2270" s="1" t="s">
        <v>5397</v>
      </c>
      <c r="N2270" s="1" t="s">
        <v>124</v>
      </c>
      <c r="P2270" s="1" t="s">
        <v>125</v>
      </c>
      <c r="Q2270" s="3">
        <v>1</v>
      </c>
      <c r="R2270" s="23" t="s">
        <v>10605</v>
      </c>
      <c r="S2270" s="23" t="s">
        <v>6847</v>
      </c>
      <c r="T2270" s="23" t="s">
        <v>4866</v>
      </c>
      <c r="U2270" s="3">
        <v>35</v>
      </c>
      <c r="W2270" s="45" t="str">
        <f>HYPERLINK("http://ictvonline.org/taxonomy/p/taxonomy-history?taxnode_id=201903996","ICTVonline=201903996")</f>
        <v>ICTVonline=201903996</v>
      </c>
      <c r="AA2270" s="1">
        <v>201900000</v>
      </c>
      <c r="AB2270" s="1">
        <v>35</v>
      </c>
    </row>
    <row r="2271" spans="1:28" x14ac:dyDescent="0.2">
      <c r="A2271" s="1">
        <v>6180</v>
      </c>
      <c r="B2271" s="1" t="s">
        <v>10590</v>
      </c>
      <c r="D2271" s="1" t="s">
        <v>10685</v>
      </c>
      <c r="F2271" s="1" t="s">
        <v>10686</v>
      </c>
      <c r="H2271" s="1" t="s">
        <v>10689</v>
      </c>
      <c r="J2271" s="1" t="s">
        <v>10884</v>
      </c>
      <c r="L2271" s="1" t="s">
        <v>825</v>
      </c>
      <c r="M2271" s="1" t="s">
        <v>5397</v>
      </c>
      <c r="N2271" s="1" t="s">
        <v>124</v>
      </c>
      <c r="P2271" s="1" t="s">
        <v>126</v>
      </c>
      <c r="Q2271" s="3">
        <v>0</v>
      </c>
      <c r="R2271" s="23" t="s">
        <v>10605</v>
      </c>
      <c r="S2271" s="23" t="s">
        <v>6847</v>
      </c>
      <c r="T2271" s="23" t="s">
        <v>4866</v>
      </c>
      <c r="U2271" s="3">
        <v>35</v>
      </c>
      <c r="W2271" s="45" t="str">
        <f>HYPERLINK("http://ictvonline.org/taxonomy/p/taxonomy-history?taxnode_id=201903997","ICTVonline=201903997")</f>
        <v>ICTVonline=201903997</v>
      </c>
      <c r="AA2271" s="1">
        <v>201900000</v>
      </c>
      <c r="AB2271" s="1">
        <v>35</v>
      </c>
    </row>
    <row r="2272" spans="1:28" x14ac:dyDescent="0.2">
      <c r="A2272" s="1">
        <v>6182</v>
      </c>
      <c r="B2272" s="1" t="s">
        <v>10590</v>
      </c>
      <c r="D2272" s="1" t="s">
        <v>10685</v>
      </c>
      <c r="F2272" s="1" t="s">
        <v>10686</v>
      </c>
      <c r="H2272" s="1" t="s">
        <v>10689</v>
      </c>
      <c r="J2272" s="1" t="s">
        <v>10884</v>
      </c>
      <c r="L2272" s="1" t="s">
        <v>825</v>
      </c>
      <c r="M2272" s="1" t="s">
        <v>5397</v>
      </c>
      <c r="N2272" s="1" t="s">
        <v>124</v>
      </c>
      <c r="P2272" s="1" t="s">
        <v>2470</v>
      </c>
      <c r="Q2272" s="3">
        <v>0</v>
      </c>
      <c r="R2272" s="23" t="s">
        <v>10605</v>
      </c>
      <c r="S2272" s="23" t="s">
        <v>6847</v>
      </c>
      <c r="T2272" s="23" t="s">
        <v>4866</v>
      </c>
      <c r="U2272" s="3">
        <v>35</v>
      </c>
      <c r="W2272" s="45" t="str">
        <f>HYPERLINK("http://ictvonline.org/taxonomy/p/taxonomy-history?taxnode_id=201903998","ICTVonline=201903998")</f>
        <v>ICTVonline=201903998</v>
      </c>
      <c r="AA2272" s="1">
        <v>201900000</v>
      </c>
      <c r="AB2272" s="1">
        <v>35</v>
      </c>
    </row>
    <row r="2273" spans="1:28" x14ac:dyDescent="0.2">
      <c r="A2273" s="1">
        <v>6186</v>
      </c>
      <c r="B2273" s="1" t="s">
        <v>10590</v>
      </c>
      <c r="D2273" s="1" t="s">
        <v>10685</v>
      </c>
      <c r="F2273" s="1" t="s">
        <v>10686</v>
      </c>
      <c r="H2273" s="1" t="s">
        <v>10689</v>
      </c>
      <c r="J2273" s="1" t="s">
        <v>10884</v>
      </c>
      <c r="L2273" s="1" t="s">
        <v>825</v>
      </c>
      <c r="M2273" s="1" t="s">
        <v>5397</v>
      </c>
      <c r="N2273" s="1" t="s">
        <v>1869</v>
      </c>
      <c r="P2273" s="1" t="s">
        <v>127</v>
      </c>
      <c r="Q2273" s="3">
        <v>1</v>
      </c>
      <c r="R2273" s="23" t="s">
        <v>10605</v>
      </c>
      <c r="S2273" s="23" t="s">
        <v>6847</v>
      </c>
      <c r="T2273" s="23" t="s">
        <v>4866</v>
      </c>
      <c r="U2273" s="3">
        <v>35</v>
      </c>
      <c r="W2273" s="45" t="str">
        <f>HYPERLINK("http://ictvonline.org/taxonomy/p/taxonomy-history?taxnode_id=201904000","ICTVonline=201904000")</f>
        <v>ICTVonline=201904000</v>
      </c>
      <c r="AA2273" s="1">
        <v>201900000</v>
      </c>
      <c r="AB2273" s="1">
        <v>35</v>
      </c>
    </row>
    <row r="2274" spans="1:28" x14ac:dyDescent="0.2">
      <c r="A2274" s="1">
        <v>6188</v>
      </c>
      <c r="B2274" s="1" t="s">
        <v>10590</v>
      </c>
      <c r="D2274" s="1" t="s">
        <v>10685</v>
      </c>
      <c r="F2274" s="1" t="s">
        <v>10686</v>
      </c>
      <c r="H2274" s="1" t="s">
        <v>10689</v>
      </c>
      <c r="J2274" s="1" t="s">
        <v>10884</v>
      </c>
      <c r="L2274" s="1" t="s">
        <v>825</v>
      </c>
      <c r="M2274" s="1" t="s">
        <v>5397</v>
      </c>
      <c r="N2274" s="1" t="s">
        <v>1869</v>
      </c>
      <c r="P2274" s="1" t="s">
        <v>128</v>
      </c>
      <c r="Q2274" s="3">
        <v>0</v>
      </c>
      <c r="R2274" s="23" t="s">
        <v>10605</v>
      </c>
      <c r="S2274" s="23" t="s">
        <v>6847</v>
      </c>
      <c r="T2274" s="23" t="s">
        <v>4866</v>
      </c>
      <c r="U2274" s="3">
        <v>35</v>
      </c>
      <c r="W2274" s="45" t="str">
        <f>HYPERLINK("http://ictvonline.org/taxonomy/p/taxonomy-history?taxnode_id=201904001","ICTVonline=201904001")</f>
        <v>ICTVonline=201904001</v>
      </c>
      <c r="AA2274" s="1">
        <v>201900000</v>
      </c>
      <c r="AB2274" s="1">
        <v>35</v>
      </c>
    </row>
    <row r="2275" spans="1:28" x14ac:dyDescent="0.2">
      <c r="A2275" s="1">
        <v>6190</v>
      </c>
      <c r="B2275" s="1" t="s">
        <v>10590</v>
      </c>
      <c r="D2275" s="1" t="s">
        <v>10685</v>
      </c>
      <c r="F2275" s="1" t="s">
        <v>10686</v>
      </c>
      <c r="H2275" s="1" t="s">
        <v>10689</v>
      </c>
      <c r="J2275" s="1" t="s">
        <v>10884</v>
      </c>
      <c r="L2275" s="1" t="s">
        <v>825</v>
      </c>
      <c r="M2275" s="1" t="s">
        <v>5397</v>
      </c>
      <c r="N2275" s="1" t="s">
        <v>1869</v>
      </c>
      <c r="P2275" s="1" t="s">
        <v>129</v>
      </c>
      <c r="Q2275" s="3">
        <v>0</v>
      </c>
      <c r="R2275" s="23" t="s">
        <v>10605</v>
      </c>
      <c r="S2275" s="23" t="s">
        <v>6847</v>
      </c>
      <c r="T2275" s="23" t="s">
        <v>4866</v>
      </c>
      <c r="U2275" s="3">
        <v>35</v>
      </c>
      <c r="W2275" s="45" t="str">
        <f>HYPERLINK("http://ictvonline.org/taxonomy/p/taxonomy-history?taxnode_id=201904002","ICTVonline=201904002")</f>
        <v>ICTVonline=201904002</v>
      </c>
      <c r="AA2275" s="1">
        <v>201900000</v>
      </c>
      <c r="AB2275" s="1">
        <v>35</v>
      </c>
    </row>
    <row r="2276" spans="1:28" x14ac:dyDescent="0.2">
      <c r="A2276" s="1">
        <v>6192</v>
      </c>
      <c r="B2276" s="1" t="s">
        <v>10590</v>
      </c>
      <c r="D2276" s="1" t="s">
        <v>10685</v>
      </c>
      <c r="F2276" s="1" t="s">
        <v>10686</v>
      </c>
      <c r="H2276" s="1" t="s">
        <v>10689</v>
      </c>
      <c r="J2276" s="1" t="s">
        <v>10884</v>
      </c>
      <c r="L2276" s="1" t="s">
        <v>825</v>
      </c>
      <c r="M2276" s="1" t="s">
        <v>5397</v>
      </c>
      <c r="N2276" s="1" t="s">
        <v>1869</v>
      </c>
      <c r="P2276" s="1" t="s">
        <v>130</v>
      </c>
      <c r="Q2276" s="3">
        <v>0</v>
      </c>
      <c r="R2276" s="23" t="s">
        <v>10605</v>
      </c>
      <c r="S2276" s="23" t="s">
        <v>6847</v>
      </c>
      <c r="T2276" s="23" t="s">
        <v>4866</v>
      </c>
      <c r="U2276" s="3">
        <v>35</v>
      </c>
      <c r="W2276" s="45" t="str">
        <f>HYPERLINK("http://ictvonline.org/taxonomy/p/taxonomy-history?taxnode_id=201904003","ICTVonline=201904003")</f>
        <v>ICTVonline=201904003</v>
      </c>
      <c r="AA2276" s="1">
        <v>201900000</v>
      </c>
      <c r="AB2276" s="1">
        <v>35</v>
      </c>
    </row>
    <row r="2277" spans="1:28" x14ac:dyDescent="0.2">
      <c r="A2277" s="1">
        <v>6194</v>
      </c>
      <c r="B2277" s="1" t="s">
        <v>10590</v>
      </c>
      <c r="D2277" s="1" t="s">
        <v>10685</v>
      </c>
      <c r="F2277" s="1" t="s">
        <v>10686</v>
      </c>
      <c r="H2277" s="1" t="s">
        <v>10689</v>
      </c>
      <c r="J2277" s="1" t="s">
        <v>10884</v>
      </c>
      <c r="L2277" s="1" t="s">
        <v>825</v>
      </c>
      <c r="M2277" s="1" t="s">
        <v>5397</v>
      </c>
      <c r="N2277" s="1" t="s">
        <v>1869</v>
      </c>
      <c r="P2277" s="1" t="s">
        <v>131</v>
      </c>
      <c r="Q2277" s="3">
        <v>0</v>
      </c>
      <c r="R2277" s="23" t="s">
        <v>10605</v>
      </c>
      <c r="S2277" s="23" t="s">
        <v>6847</v>
      </c>
      <c r="T2277" s="23" t="s">
        <v>4866</v>
      </c>
      <c r="U2277" s="3">
        <v>35</v>
      </c>
      <c r="W2277" s="45" t="str">
        <f>HYPERLINK("http://ictvonline.org/taxonomy/p/taxonomy-history?taxnode_id=201904004","ICTVonline=201904004")</f>
        <v>ICTVonline=201904004</v>
      </c>
      <c r="AA2277" s="1">
        <v>201900000</v>
      </c>
      <c r="AB2277" s="1">
        <v>35</v>
      </c>
    </row>
    <row r="2278" spans="1:28" x14ac:dyDescent="0.2">
      <c r="A2278" s="1">
        <v>6196</v>
      </c>
      <c r="B2278" s="1" t="s">
        <v>10590</v>
      </c>
      <c r="D2278" s="1" t="s">
        <v>10685</v>
      </c>
      <c r="F2278" s="1" t="s">
        <v>10686</v>
      </c>
      <c r="H2278" s="1" t="s">
        <v>10689</v>
      </c>
      <c r="J2278" s="1" t="s">
        <v>10884</v>
      </c>
      <c r="L2278" s="1" t="s">
        <v>825</v>
      </c>
      <c r="M2278" s="1" t="s">
        <v>5397</v>
      </c>
      <c r="N2278" s="1" t="s">
        <v>1869</v>
      </c>
      <c r="P2278" s="1" t="s">
        <v>2471</v>
      </c>
      <c r="Q2278" s="3">
        <v>0</v>
      </c>
      <c r="R2278" s="23" t="s">
        <v>10605</v>
      </c>
      <c r="S2278" s="23" t="s">
        <v>6847</v>
      </c>
      <c r="T2278" s="23" t="s">
        <v>4866</v>
      </c>
      <c r="U2278" s="3">
        <v>35</v>
      </c>
      <c r="W2278" s="45" t="str">
        <f>HYPERLINK("http://ictvonline.org/taxonomy/p/taxonomy-history?taxnode_id=201904005","ICTVonline=201904005")</f>
        <v>ICTVonline=201904005</v>
      </c>
      <c r="AA2278" s="1">
        <v>201900000</v>
      </c>
      <c r="AB2278" s="1">
        <v>35</v>
      </c>
    </row>
    <row r="2279" spans="1:28" x14ac:dyDescent="0.2">
      <c r="A2279" s="1">
        <v>6198</v>
      </c>
      <c r="B2279" s="1" t="s">
        <v>10590</v>
      </c>
      <c r="D2279" s="1" t="s">
        <v>10685</v>
      </c>
      <c r="F2279" s="1" t="s">
        <v>10686</v>
      </c>
      <c r="H2279" s="1" t="s">
        <v>10689</v>
      </c>
      <c r="J2279" s="1" t="s">
        <v>10884</v>
      </c>
      <c r="L2279" s="1" t="s">
        <v>825</v>
      </c>
      <c r="M2279" s="1" t="s">
        <v>5397</v>
      </c>
      <c r="N2279" s="1" t="s">
        <v>1869</v>
      </c>
      <c r="P2279" s="1" t="s">
        <v>5398</v>
      </c>
      <c r="Q2279" s="3">
        <v>0</v>
      </c>
      <c r="R2279" s="23" t="s">
        <v>10605</v>
      </c>
      <c r="S2279" s="23" t="s">
        <v>6847</v>
      </c>
      <c r="T2279" s="23" t="s">
        <v>4866</v>
      </c>
      <c r="U2279" s="3">
        <v>35</v>
      </c>
      <c r="W2279" s="45" t="str">
        <f>HYPERLINK("http://ictvonline.org/taxonomy/p/taxonomy-history?taxnode_id=201905864","ICTVonline=201905864")</f>
        <v>ICTVonline=201905864</v>
      </c>
      <c r="AA2279" s="1">
        <v>201900000</v>
      </c>
      <c r="AB2279" s="1">
        <v>35</v>
      </c>
    </row>
    <row r="2280" spans="1:28" x14ac:dyDescent="0.2">
      <c r="A2280" s="1">
        <v>6202</v>
      </c>
      <c r="B2280" s="1" t="s">
        <v>10590</v>
      </c>
      <c r="D2280" s="1" t="s">
        <v>10685</v>
      </c>
      <c r="F2280" s="1" t="s">
        <v>10686</v>
      </c>
      <c r="H2280" s="1" t="s">
        <v>10689</v>
      </c>
      <c r="J2280" s="1" t="s">
        <v>10884</v>
      </c>
      <c r="L2280" s="1" t="s">
        <v>825</v>
      </c>
      <c r="M2280" s="1" t="s">
        <v>5397</v>
      </c>
      <c r="N2280" s="1" t="s">
        <v>3824</v>
      </c>
      <c r="P2280" s="1" t="s">
        <v>3825</v>
      </c>
      <c r="Q2280" s="3">
        <v>1</v>
      </c>
      <c r="R2280" s="23" t="s">
        <v>10605</v>
      </c>
      <c r="S2280" s="23" t="s">
        <v>6847</v>
      </c>
      <c r="T2280" s="23" t="s">
        <v>4866</v>
      </c>
      <c r="U2280" s="3">
        <v>35</v>
      </c>
      <c r="W2280" s="45" t="str">
        <f>HYPERLINK("http://ictvonline.org/taxonomy/p/taxonomy-history?taxnode_id=201904007","ICTVonline=201904007")</f>
        <v>ICTVonline=201904007</v>
      </c>
      <c r="Y2280" s="1" t="s">
        <v>10885</v>
      </c>
      <c r="Z2280" s="1" t="s">
        <v>10886</v>
      </c>
      <c r="AA2280" s="1">
        <v>201900000</v>
      </c>
      <c r="AB2280" s="1">
        <v>35</v>
      </c>
    </row>
    <row r="2281" spans="1:28" x14ac:dyDescent="0.2">
      <c r="A2281" s="1">
        <v>6206</v>
      </c>
      <c r="B2281" s="1" t="s">
        <v>10590</v>
      </c>
      <c r="D2281" s="1" t="s">
        <v>10685</v>
      </c>
      <c r="F2281" s="1" t="s">
        <v>10686</v>
      </c>
      <c r="H2281" s="1" t="s">
        <v>10689</v>
      </c>
      <c r="J2281" s="1" t="s">
        <v>10884</v>
      </c>
      <c r="L2281" s="1" t="s">
        <v>825</v>
      </c>
      <c r="M2281" s="1" t="s">
        <v>5397</v>
      </c>
      <c r="N2281" s="1" t="s">
        <v>132</v>
      </c>
      <c r="P2281" s="1" t="s">
        <v>133</v>
      </c>
      <c r="Q2281" s="3">
        <v>1</v>
      </c>
      <c r="R2281" s="23" t="s">
        <v>10605</v>
      </c>
      <c r="S2281" s="23" t="s">
        <v>6847</v>
      </c>
      <c r="T2281" s="23" t="s">
        <v>4866</v>
      </c>
      <c r="U2281" s="3">
        <v>35</v>
      </c>
      <c r="W2281" s="45" t="str">
        <f>HYPERLINK("http://ictvonline.org/taxonomy/p/taxonomy-history?taxnode_id=201904009","ICTVonline=201904009")</f>
        <v>ICTVonline=201904009</v>
      </c>
      <c r="AA2281" s="1">
        <v>201900000</v>
      </c>
      <c r="AB2281" s="1">
        <v>35</v>
      </c>
    </row>
    <row r="2282" spans="1:28" x14ac:dyDescent="0.2">
      <c r="A2282" s="1">
        <v>6210</v>
      </c>
      <c r="B2282" s="1" t="s">
        <v>10590</v>
      </c>
      <c r="D2282" s="1" t="s">
        <v>10685</v>
      </c>
      <c r="F2282" s="1" t="s">
        <v>10686</v>
      </c>
      <c r="H2282" s="1" t="s">
        <v>10689</v>
      </c>
      <c r="J2282" s="1" t="s">
        <v>10884</v>
      </c>
      <c r="L2282" s="1" t="s">
        <v>825</v>
      </c>
      <c r="M2282" s="1" t="s">
        <v>5397</v>
      </c>
      <c r="N2282" s="1" t="s">
        <v>134</v>
      </c>
      <c r="P2282" s="1" t="s">
        <v>135</v>
      </c>
      <c r="Q2282" s="3">
        <v>1</v>
      </c>
      <c r="R2282" s="23" t="s">
        <v>10605</v>
      </c>
      <c r="S2282" s="23" t="s">
        <v>6847</v>
      </c>
      <c r="T2282" s="23" t="s">
        <v>4866</v>
      </c>
      <c r="U2282" s="3">
        <v>35</v>
      </c>
      <c r="W2282" s="45" t="str">
        <f>HYPERLINK("http://ictvonline.org/taxonomy/p/taxonomy-history?taxnode_id=201904011","ICTVonline=201904011")</f>
        <v>ICTVonline=201904011</v>
      </c>
      <c r="AA2282" s="1">
        <v>201900000</v>
      </c>
      <c r="AB2282" s="1">
        <v>35</v>
      </c>
    </row>
    <row r="2283" spans="1:28" x14ac:dyDescent="0.2">
      <c r="A2283" s="1">
        <v>6214</v>
      </c>
      <c r="B2283" s="1" t="s">
        <v>10590</v>
      </c>
      <c r="D2283" s="1" t="s">
        <v>10685</v>
      </c>
      <c r="F2283" s="1" t="s">
        <v>10686</v>
      </c>
      <c r="H2283" s="1" t="s">
        <v>10689</v>
      </c>
      <c r="J2283" s="1" t="s">
        <v>10884</v>
      </c>
      <c r="L2283" s="1" t="s">
        <v>825</v>
      </c>
      <c r="M2283" s="1" t="s">
        <v>5397</v>
      </c>
      <c r="N2283" s="1" t="s">
        <v>136</v>
      </c>
      <c r="P2283" s="1" t="s">
        <v>137</v>
      </c>
      <c r="Q2283" s="3">
        <v>1</v>
      </c>
      <c r="R2283" s="23" t="s">
        <v>10605</v>
      </c>
      <c r="S2283" s="23" t="s">
        <v>6847</v>
      </c>
      <c r="T2283" s="23" t="s">
        <v>4866</v>
      </c>
      <c r="U2283" s="3">
        <v>35</v>
      </c>
      <c r="W2283" s="45" t="str">
        <f>HYPERLINK("http://ictvonline.org/taxonomy/p/taxonomy-history?taxnode_id=201904013","ICTVonline=201904013")</f>
        <v>ICTVonline=201904013</v>
      </c>
      <c r="AA2283" s="1">
        <v>201900000</v>
      </c>
      <c r="AB2283" s="1">
        <v>35</v>
      </c>
    </row>
    <row r="2284" spans="1:28" x14ac:dyDescent="0.2">
      <c r="A2284" s="1">
        <v>6218</v>
      </c>
      <c r="B2284" s="1" t="s">
        <v>10590</v>
      </c>
      <c r="D2284" s="1" t="s">
        <v>10685</v>
      </c>
      <c r="F2284" s="1" t="s">
        <v>10686</v>
      </c>
      <c r="H2284" s="1" t="s">
        <v>10689</v>
      </c>
      <c r="J2284" s="1" t="s">
        <v>10884</v>
      </c>
      <c r="L2284" s="1" t="s">
        <v>825</v>
      </c>
      <c r="M2284" s="1" t="s">
        <v>5397</v>
      </c>
      <c r="N2284" s="1" t="s">
        <v>138</v>
      </c>
      <c r="P2284" s="1" t="s">
        <v>139</v>
      </c>
      <c r="Q2284" s="3">
        <v>1</v>
      </c>
      <c r="R2284" s="23" t="s">
        <v>10605</v>
      </c>
      <c r="S2284" s="23" t="s">
        <v>6847</v>
      </c>
      <c r="T2284" s="23" t="s">
        <v>4866</v>
      </c>
      <c r="U2284" s="3">
        <v>35</v>
      </c>
      <c r="W2284" s="45" t="str">
        <f>HYPERLINK("http://ictvonline.org/taxonomy/p/taxonomy-history?taxnode_id=201904015","ICTVonline=201904015")</f>
        <v>ICTVonline=201904015</v>
      </c>
      <c r="AA2284" s="1">
        <v>201900000</v>
      </c>
      <c r="AB2284" s="1">
        <v>35</v>
      </c>
    </row>
    <row r="2285" spans="1:28" x14ac:dyDescent="0.2">
      <c r="A2285" s="1">
        <v>6220</v>
      </c>
      <c r="B2285" s="1" t="s">
        <v>10590</v>
      </c>
      <c r="D2285" s="1" t="s">
        <v>10685</v>
      </c>
      <c r="F2285" s="1" t="s">
        <v>10686</v>
      </c>
      <c r="H2285" s="1" t="s">
        <v>10689</v>
      </c>
      <c r="J2285" s="1" t="s">
        <v>10884</v>
      </c>
      <c r="L2285" s="1" t="s">
        <v>825</v>
      </c>
      <c r="M2285" s="1" t="s">
        <v>5397</v>
      </c>
      <c r="N2285" s="1" t="s">
        <v>138</v>
      </c>
      <c r="P2285" s="1" t="s">
        <v>2472</v>
      </c>
      <c r="Q2285" s="3">
        <v>0</v>
      </c>
      <c r="R2285" s="23" t="s">
        <v>10605</v>
      </c>
      <c r="S2285" s="23" t="s">
        <v>6847</v>
      </c>
      <c r="T2285" s="23" t="s">
        <v>4866</v>
      </c>
      <c r="U2285" s="3">
        <v>35</v>
      </c>
      <c r="W2285" s="45" t="str">
        <f>HYPERLINK("http://ictvonline.org/taxonomy/p/taxonomy-history?taxnode_id=201904016","ICTVonline=201904016")</f>
        <v>ICTVonline=201904016</v>
      </c>
      <c r="AA2285" s="1">
        <v>201900000</v>
      </c>
      <c r="AB2285" s="1">
        <v>35</v>
      </c>
    </row>
    <row r="2286" spans="1:28" x14ac:dyDescent="0.2">
      <c r="A2286" s="1">
        <v>6224</v>
      </c>
      <c r="B2286" s="1" t="s">
        <v>10590</v>
      </c>
      <c r="D2286" s="1" t="s">
        <v>10685</v>
      </c>
      <c r="F2286" s="1" t="s">
        <v>10686</v>
      </c>
      <c r="H2286" s="1" t="s">
        <v>10689</v>
      </c>
      <c r="J2286" s="1" t="s">
        <v>10884</v>
      </c>
      <c r="L2286" s="1" t="s">
        <v>825</v>
      </c>
      <c r="M2286" s="1" t="s">
        <v>5397</v>
      </c>
      <c r="N2286" s="1" t="s">
        <v>2473</v>
      </c>
      <c r="P2286" s="1" t="s">
        <v>2474</v>
      </c>
      <c r="Q2286" s="3">
        <v>1</v>
      </c>
      <c r="R2286" s="23" t="s">
        <v>10605</v>
      </c>
      <c r="S2286" s="23" t="s">
        <v>6847</v>
      </c>
      <c r="T2286" s="23" t="s">
        <v>4866</v>
      </c>
      <c r="U2286" s="3">
        <v>35</v>
      </c>
      <c r="W2286" s="45" t="str">
        <f>HYPERLINK("http://ictvonline.org/taxonomy/p/taxonomy-history?taxnode_id=201904018","ICTVonline=201904018")</f>
        <v>ICTVonline=201904018</v>
      </c>
      <c r="AA2286" s="1">
        <v>201900000</v>
      </c>
      <c r="AB2286" s="1">
        <v>35</v>
      </c>
    </row>
    <row r="2287" spans="1:28" x14ac:dyDescent="0.2">
      <c r="A2287" s="1">
        <v>6226</v>
      </c>
      <c r="B2287" s="1" t="s">
        <v>10590</v>
      </c>
      <c r="D2287" s="1" t="s">
        <v>10685</v>
      </c>
      <c r="F2287" s="1" t="s">
        <v>10686</v>
      </c>
      <c r="H2287" s="1" t="s">
        <v>10689</v>
      </c>
      <c r="J2287" s="1" t="s">
        <v>10884</v>
      </c>
      <c r="L2287" s="1" t="s">
        <v>825</v>
      </c>
      <c r="M2287" s="1" t="s">
        <v>5397</v>
      </c>
      <c r="N2287" s="1" t="s">
        <v>2473</v>
      </c>
      <c r="P2287" s="1" t="s">
        <v>3826</v>
      </c>
      <c r="Q2287" s="3">
        <v>0</v>
      </c>
      <c r="R2287" s="23" t="s">
        <v>10605</v>
      </c>
      <c r="S2287" s="23" t="s">
        <v>6847</v>
      </c>
      <c r="T2287" s="23" t="s">
        <v>4866</v>
      </c>
      <c r="U2287" s="3">
        <v>35</v>
      </c>
      <c r="W2287" s="45" t="str">
        <f>HYPERLINK("http://ictvonline.org/taxonomy/p/taxonomy-history?taxnode_id=201904019","ICTVonline=201904019")</f>
        <v>ICTVonline=201904019</v>
      </c>
      <c r="Y2287" s="1" t="s">
        <v>10887</v>
      </c>
      <c r="Z2287" s="1" t="s">
        <v>10888</v>
      </c>
      <c r="AA2287" s="1">
        <v>201900000</v>
      </c>
      <c r="AB2287" s="1">
        <v>35</v>
      </c>
    </row>
    <row r="2288" spans="1:28" x14ac:dyDescent="0.2">
      <c r="A2288" s="1">
        <v>6228</v>
      </c>
      <c r="B2288" s="1" t="s">
        <v>10590</v>
      </c>
      <c r="D2288" s="1" t="s">
        <v>10685</v>
      </c>
      <c r="F2288" s="1" t="s">
        <v>10686</v>
      </c>
      <c r="H2288" s="1" t="s">
        <v>10689</v>
      </c>
      <c r="J2288" s="1" t="s">
        <v>10884</v>
      </c>
      <c r="L2288" s="1" t="s">
        <v>825</v>
      </c>
      <c r="M2288" s="1" t="s">
        <v>5397</v>
      </c>
      <c r="N2288" s="1" t="s">
        <v>2473</v>
      </c>
      <c r="P2288" s="1" t="s">
        <v>5399</v>
      </c>
      <c r="Q2288" s="3">
        <v>0</v>
      </c>
      <c r="R2288" s="23" t="s">
        <v>10605</v>
      </c>
      <c r="S2288" s="23" t="s">
        <v>6847</v>
      </c>
      <c r="T2288" s="23" t="s">
        <v>4866</v>
      </c>
      <c r="U2288" s="3">
        <v>35</v>
      </c>
      <c r="W2288" s="45" t="str">
        <f>HYPERLINK("http://ictvonline.org/taxonomy/p/taxonomy-history?taxnode_id=201905865","ICTVonline=201905865")</f>
        <v>ICTVonline=201905865</v>
      </c>
      <c r="AA2288" s="1">
        <v>201900000</v>
      </c>
      <c r="AB2288" s="1">
        <v>35</v>
      </c>
    </row>
    <row r="2289" spans="1:28" x14ac:dyDescent="0.2">
      <c r="A2289" s="1">
        <v>6230</v>
      </c>
      <c r="B2289" s="1" t="s">
        <v>10590</v>
      </c>
      <c r="D2289" s="1" t="s">
        <v>10685</v>
      </c>
      <c r="F2289" s="1" t="s">
        <v>10686</v>
      </c>
      <c r="H2289" s="1" t="s">
        <v>10689</v>
      </c>
      <c r="J2289" s="1" t="s">
        <v>10884</v>
      </c>
      <c r="L2289" s="1" t="s">
        <v>825</v>
      </c>
      <c r="M2289" s="1" t="s">
        <v>5397</v>
      </c>
      <c r="N2289" s="1" t="s">
        <v>2473</v>
      </c>
      <c r="P2289" s="1" t="s">
        <v>5400</v>
      </c>
      <c r="Q2289" s="3">
        <v>0</v>
      </c>
      <c r="R2289" s="23" t="s">
        <v>10605</v>
      </c>
      <c r="S2289" s="23" t="s">
        <v>6847</v>
      </c>
      <c r="T2289" s="23" t="s">
        <v>4866</v>
      </c>
      <c r="U2289" s="3">
        <v>35</v>
      </c>
      <c r="W2289" s="45" t="str">
        <f>HYPERLINK("http://ictvonline.org/taxonomy/p/taxonomy-history?taxnode_id=201905866","ICTVonline=201905866")</f>
        <v>ICTVonline=201905866</v>
      </c>
      <c r="AA2289" s="1">
        <v>201900000</v>
      </c>
      <c r="AB2289" s="1">
        <v>35</v>
      </c>
    </row>
    <row r="2290" spans="1:28" x14ac:dyDescent="0.2">
      <c r="A2290" s="1">
        <v>6232</v>
      </c>
      <c r="B2290" s="1" t="s">
        <v>10590</v>
      </c>
      <c r="D2290" s="1" t="s">
        <v>10685</v>
      </c>
      <c r="F2290" s="1" t="s">
        <v>10686</v>
      </c>
      <c r="H2290" s="1" t="s">
        <v>10689</v>
      </c>
      <c r="J2290" s="1" t="s">
        <v>10884</v>
      </c>
      <c r="L2290" s="1" t="s">
        <v>825</v>
      </c>
      <c r="M2290" s="1" t="s">
        <v>5397</v>
      </c>
      <c r="N2290" s="1" t="s">
        <v>2473</v>
      </c>
      <c r="P2290" s="1" t="s">
        <v>5401</v>
      </c>
      <c r="Q2290" s="3">
        <v>0</v>
      </c>
      <c r="R2290" s="23" t="s">
        <v>10605</v>
      </c>
      <c r="S2290" s="23" t="s">
        <v>6847</v>
      </c>
      <c r="T2290" s="23" t="s">
        <v>4866</v>
      </c>
      <c r="U2290" s="3">
        <v>35</v>
      </c>
      <c r="W2290" s="45" t="str">
        <f>HYPERLINK("http://ictvonline.org/taxonomy/p/taxonomy-history?taxnode_id=201905867","ICTVonline=201905867")</f>
        <v>ICTVonline=201905867</v>
      </c>
      <c r="AA2290" s="1">
        <v>201900000</v>
      </c>
      <c r="AB2290" s="1">
        <v>35</v>
      </c>
    </row>
    <row r="2291" spans="1:28" x14ac:dyDescent="0.2">
      <c r="A2291" s="1">
        <v>6236</v>
      </c>
      <c r="B2291" s="1" t="s">
        <v>10590</v>
      </c>
      <c r="D2291" s="1" t="s">
        <v>10685</v>
      </c>
      <c r="F2291" s="1" t="s">
        <v>10686</v>
      </c>
      <c r="H2291" s="1" t="s">
        <v>10689</v>
      </c>
      <c r="J2291" s="1" t="s">
        <v>10884</v>
      </c>
      <c r="L2291" s="1" t="s">
        <v>825</v>
      </c>
      <c r="M2291" s="1" t="s">
        <v>5397</v>
      </c>
      <c r="N2291" s="1" t="s">
        <v>2475</v>
      </c>
      <c r="P2291" s="1" t="s">
        <v>2476</v>
      </c>
      <c r="Q2291" s="3">
        <v>1</v>
      </c>
      <c r="R2291" s="23" t="s">
        <v>10605</v>
      </c>
      <c r="S2291" s="23" t="s">
        <v>6847</v>
      </c>
      <c r="T2291" s="23" t="s">
        <v>4866</v>
      </c>
      <c r="U2291" s="3">
        <v>35</v>
      </c>
      <c r="W2291" s="45" t="str">
        <f>HYPERLINK("http://ictvonline.org/taxonomy/p/taxonomy-history?taxnode_id=201904021","ICTVonline=201904021")</f>
        <v>ICTVonline=201904021</v>
      </c>
      <c r="AA2291" s="1">
        <v>201900000</v>
      </c>
      <c r="AB2291" s="1">
        <v>35</v>
      </c>
    </row>
    <row r="2292" spans="1:28" x14ac:dyDescent="0.2">
      <c r="A2292" s="1">
        <v>6240</v>
      </c>
      <c r="B2292" s="1" t="s">
        <v>10590</v>
      </c>
      <c r="D2292" s="1" t="s">
        <v>10685</v>
      </c>
      <c r="F2292" s="1" t="s">
        <v>10686</v>
      </c>
      <c r="H2292" s="1" t="s">
        <v>10689</v>
      </c>
      <c r="J2292" s="1" t="s">
        <v>10884</v>
      </c>
      <c r="L2292" s="1" t="s">
        <v>825</v>
      </c>
      <c r="M2292" s="1" t="s">
        <v>5397</v>
      </c>
      <c r="N2292" s="1" t="s">
        <v>2477</v>
      </c>
      <c r="P2292" s="1" t="s">
        <v>2478</v>
      </c>
      <c r="Q2292" s="3">
        <v>1</v>
      </c>
      <c r="R2292" s="23" t="s">
        <v>10605</v>
      </c>
      <c r="S2292" s="23" t="s">
        <v>6847</v>
      </c>
      <c r="T2292" s="23" t="s">
        <v>4866</v>
      </c>
      <c r="U2292" s="3">
        <v>35</v>
      </c>
      <c r="W2292" s="45" t="str">
        <f>HYPERLINK("http://ictvonline.org/taxonomy/p/taxonomy-history?taxnode_id=201904023","ICTVonline=201904023")</f>
        <v>ICTVonline=201904023</v>
      </c>
      <c r="AA2292" s="1">
        <v>201900000</v>
      </c>
      <c r="AB2292" s="1">
        <v>35</v>
      </c>
    </row>
    <row r="2293" spans="1:28" x14ac:dyDescent="0.2">
      <c r="A2293" s="1">
        <v>6244</v>
      </c>
      <c r="B2293" s="1" t="s">
        <v>10590</v>
      </c>
      <c r="D2293" s="1" t="s">
        <v>10685</v>
      </c>
      <c r="F2293" s="1" t="s">
        <v>10686</v>
      </c>
      <c r="H2293" s="1" t="s">
        <v>10689</v>
      </c>
      <c r="J2293" s="1" t="s">
        <v>10884</v>
      </c>
      <c r="L2293" s="1" t="s">
        <v>825</v>
      </c>
      <c r="M2293" s="1" t="s">
        <v>5397</v>
      </c>
      <c r="N2293" s="1" t="s">
        <v>2479</v>
      </c>
      <c r="P2293" s="1" t="s">
        <v>2480</v>
      </c>
      <c r="Q2293" s="3">
        <v>1</v>
      </c>
      <c r="R2293" s="23" t="s">
        <v>10605</v>
      </c>
      <c r="S2293" s="23" t="s">
        <v>6847</v>
      </c>
      <c r="T2293" s="23" t="s">
        <v>4866</v>
      </c>
      <c r="U2293" s="3">
        <v>35</v>
      </c>
      <c r="W2293" s="45" t="str">
        <f>HYPERLINK("http://ictvonline.org/taxonomy/p/taxonomy-history?taxnode_id=201904025","ICTVonline=201904025")</f>
        <v>ICTVonline=201904025</v>
      </c>
      <c r="AA2293" s="1">
        <v>201900000</v>
      </c>
      <c r="AB2293" s="1">
        <v>35</v>
      </c>
    </row>
    <row r="2294" spans="1:28" x14ac:dyDescent="0.2">
      <c r="A2294" s="1">
        <v>6248</v>
      </c>
      <c r="B2294" s="1" t="s">
        <v>10590</v>
      </c>
      <c r="D2294" s="1" t="s">
        <v>10685</v>
      </c>
      <c r="F2294" s="1" t="s">
        <v>10686</v>
      </c>
      <c r="H2294" s="1" t="s">
        <v>10689</v>
      </c>
      <c r="J2294" s="1" t="s">
        <v>10884</v>
      </c>
      <c r="L2294" s="1" t="s">
        <v>825</v>
      </c>
      <c r="M2294" s="1" t="s">
        <v>5397</v>
      </c>
      <c r="N2294" s="1" t="s">
        <v>3987</v>
      </c>
      <c r="P2294" s="1" t="s">
        <v>3827</v>
      </c>
      <c r="Q2294" s="3">
        <v>1</v>
      </c>
      <c r="R2294" s="23" t="s">
        <v>10605</v>
      </c>
      <c r="S2294" s="23" t="s">
        <v>6847</v>
      </c>
      <c r="T2294" s="23" t="s">
        <v>4866</v>
      </c>
      <c r="U2294" s="3">
        <v>35</v>
      </c>
      <c r="W2294" s="45" t="str">
        <f>HYPERLINK("http://ictvonline.org/taxonomy/p/taxonomy-history?taxnode_id=201904027","ICTVonline=201904027")</f>
        <v>ICTVonline=201904027</v>
      </c>
      <c r="Y2294" s="1" t="s">
        <v>10889</v>
      </c>
      <c r="Z2294" s="1" t="s">
        <v>10890</v>
      </c>
      <c r="AA2294" s="1">
        <v>201900000</v>
      </c>
      <c r="AB2294" s="1">
        <v>35</v>
      </c>
    </row>
    <row r="2295" spans="1:28" x14ac:dyDescent="0.2">
      <c r="A2295" s="1">
        <v>6252</v>
      </c>
      <c r="B2295" s="1" t="s">
        <v>10590</v>
      </c>
      <c r="D2295" s="1" t="s">
        <v>10685</v>
      </c>
      <c r="F2295" s="1" t="s">
        <v>10686</v>
      </c>
      <c r="H2295" s="1" t="s">
        <v>10689</v>
      </c>
      <c r="J2295" s="1" t="s">
        <v>10884</v>
      </c>
      <c r="L2295" s="1" t="s">
        <v>825</v>
      </c>
      <c r="M2295" s="1" t="s">
        <v>5397</v>
      </c>
      <c r="N2295" s="1" t="s">
        <v>2481</v>
      </c>
      <c r="P2295" s="1" t="s">
        <v>2482</v>
      </c>
      <c r="Q2295" s="3">
        <v>1</v>
      </c>
      <c r="R2295" s="23" t="s">
        <v>10605</v>
      </c>
      <c r="S2295" s="23" t="s">
        <v>6847</v>
      </c>
      <c r="T2295" s="23" t="s">
        <v>4866</v>
      </c>
      <c r="U2295" s="3">
        <v>35</v>
      </c>
      <c r="W2295" s="45" t="str">
        <f>HYPERLINK("http://ictvonline.org/taxonomy/p/taxonomy-history?taxnode_id=201904029","ICTVonline=201904029")</f>
        <v>ICTVonline=201904029</v>
      </c>
      <c r="AA2295" s="1">
        <v>201900000</v>
      </c>
      <c r="AB2295" s="1">
        <v>35</v>
      </c>
    </row>
    <row r="2296" spans="1:28" x14ac:dyDescent="0.2">
      <c r="A2296" s="1">
        <v>6256</v>
      </c>
      <c r="B2296" s="1" t="s">
        <v>10590</v>
      </c>
      <c r="D2296" s="1" t="s">
        <v>10685</v>
      </c>
      <c r="F2296" s="1" t="s">
        <v>10686</v>
      </c>
      <c r="H2296" s="1" t="s">
        <v>10689</v>
      </c>
      <c r="J2296" s="1" t="s">
        <v>10884</v>
      </c>
      <c r="L2296" s="1" t="s">
        <v>825</v>
      </c>
      <c r="M2296" s="1" t="s">
        <v>5397</v>
      </c>
      <c r="N2296" s="1" t="s">
        <v>3828</v>
      </c>
      <c r="P2296" s="1" t="s">
        <v>3829</v>
      </c>
      <c r="Q2296" s="3">
        <v>1</v>
      </c>
      <c r="R2296" s="23" t="s">
        <v>10605</v>
      </c>
      <c r="S2296" s="23" t="s">
        <v>6847</v>
      </c>
      <c r="T2296" s="23" t="s">
        <v>4866</v>
      </c>
      <c r="U2296" s="3">
        <v>35</v>
      </c>
      <c r="W2296" s="45" t="str">
        <f>HYPERLINK("http://ictvonline.org/taxonomy/p/taxonomy-history?taxnode_id=201904031","ICTVonline=201904031")</f>
        <v>ICTVonline=201904031</v>
      </c>
      <c r="Y2296" s="1" t="s">
        <v>10891</v>
      </c>
      <c r="Z2296" s="1" t="s">
        <v>10892</v>
      </c>
      <c r="AA2296" s="1">
        <v>201900000</v>
      </c>
      <c r="AB2296" s="1">
        <v>35</v>
      </c>
    </row>
    <row r="2297" spans="1:28" x14ac:dyDescent="0.2">
      <c r="A2297" s="1">
        <v>6260</v>
      </c>
      <c r="B2297" s="1" t="s">
        <v>10590</v>
      </c>
      <c r="D2297" s="1" t="s">
        <v>10685</v>
      </c>
      <c r="F2297" s="1" t="s">
        <v>10686</v>
      </c>
      <c r="H2297" s="1" t="s">
        <v>10689</v>
      </c>
      <c r="J2297" s="1" t="s">
        <v>10884</v>
      </c>
      <c r="L2297" s="1" t="s">
        <v>825</v>
      </c>
      <c r="M2297" s="1" t="s">
        <v>5397</v>
      </c>
      <c r="N2297" s="1" t="s">
        <v>2483</v>
      </c>
      <c r="P2297" s="1" t="s">
        <v>2484</v>
      </c>
      <c r="Q2297" s="3">
        <v>1</v>
      </c>
      <c r="R2297" s="23" t="s">
        <v>10605</v>
      </c>
      <c r="S2297" s="23" t="s">
        <v>6847</v>
      </c>
      <c r="T2297" s="23" t="s">
        <v>4866</v>
      </c>
      <c r="U2297" s="3">
        <v>35</v>
      </c>
      <c r="W2297" s="45" t="str">
        <f>HYPERLINK("http://ictvonline.org/taxonomy/p/taxonomy-history?taxnode_id=201904033","ICTVonline=201904033")</f>
        <v>ICTVonline=201904033</v>
      </c>
      <c r="AA2297" s="1">
        <v>201900000</v>
      </c>
      <c r="AB2297" s="1">
        <v>35</v>
      </c>
    </row>
    <row r="2298" spans="1:28" x14ac:dyDescent="0.2">
      <c r="A2298" s="1">
        <v>6264</v>
      </c>
      <c r="B2298" s="1" t="s">
        <v>10590</v>
      </c>
      <c r="D2298" s="1" t="s">
        <v>10685</v>
      </c>
      <c r="F2298" s="1" t="s">
        <v>10686</v>
      </c>
      <c r="H2298" s="1" t="s">
        <v>10689</v>
      </c>
      <c r="J2298" s="1" t="s">
        <v>10884</v>
      </c>
      <c r="L2298" s="1" t="s">
        <v>825</v>
      </c>
      <c r="M2298" s="1" t="s">
        <v>5397</v>
      </c>
      <c r="N2298" s="1" t="s">
        <v>3830</v>
      </c>
      <c r="P2298" s="1" t="s">
        <v>3831</v>
      </c>
      <c r="Q2298" s="3">
        <v>1</v>
      </c>
      <c r="R2298" s="23" t="s">
        <v>10605</v>
      </c>
      <c r="S2298" s="23" t="s">
        <v>6847</v>
      </c>
      <c r="T2298" s="23" t="s">
        <v>4866</v>
      </c>
      <c r="U2298" s="3">
        <v>35</v>
      </c>
      <c r="W2298" s="45" t="str">
        <f>HYPERLINK("http://ictvonline.org/taxonomy/p/taxonomy-history?taxnode_id=201904035","ICTVonline=201904035")</f>
        <v>ICTVonline=201904035</v>
      </c>
      <c r="Y2298" s="1" t="s">
        <v>10893</v>
      </c>
      <c r="Z2298" s="1" t="s">
        <v>10894</v>
      </c>
      <c r="AA2298" s="1">
        <v>201900000</v>
      </c>
      <c r="AB2298" s="1">
        <v>35</v>
      </c>
    </row>
    <row r="2299" spans="1:28" x14ac:dyDescent="0.2">
      <c r="A2299" s="1">
        <v>6268</v>
      </c>
      <c r="B2299" s="1" t="s">
        <v>10590</v>
      </c>
      <c r="D2299" s="1" t="s">
        <v>10685</v>
      </c>
      <c r="F2299" s="1" t="s">
        <v>10686</v>
      </c>
      <c r="H2299" s="1" t="s">
        <v>10689</v>
      </c>
      <c r="J2299" s="1" t="s">
        <v>10884</v>
      </c>
      <c r="L2299" s="1" t="s">
        <v>825</v>
      </c>
      <c r="M2299" s="1" t="s">
        <v>5397</v>
      </c>
      <c r="N2299" s="1" t="s">
        <v>2485</v>
      </c>
      <c r="P2299" s="1" t="s">
        <v>2486</v>
      </c>
      <c r="Q2299" s="3">
        <v>1</v>
      </c>
      <c r="R2299" s="23" t="s">
        <v>10605</v>
      </c>
      <c r="S2299" s="23" t="s">
        <v>6847</v>
      </c>
      <c r="T2299" s="23" t="s">
        <v>4866</v>
      </c>
      <c r="U2299" s="3">
        <v>35</v>
      </c>
      <c r="W2299" s="45" t="str">
        <f>HYPERLINK("http://ictvonline.org/taxonomy/p/taxonomy-history?taxnode_id=201904037","ICTVonline=201904037")</f>
        <v>ICTVonline=201904037</v>
      </c>
      <c r="AA2299" s="1">
        <v>201900000</v>
      </c>
      <c r="AB2299" s="1">
        <v>35</v>
      </c>
    </row>
    <row r="2300" spans="1:28" x14ac:dyDescent="0.2">
      <c r="A2300" s="1">
        <v>6272</v>
      </c>
      <c r="B2300" s="1" t="s">
        <v>10590</v>
      </c>
      <c r="D2300" s="1" t="s">
        <v>10685</v>
      </c>
      <c r="F2300" s="1" t="s">
        <v>10686</v>
      </c>
      <c r="H2300" s="1" t="s">
        <v>10689</v>
      </c>
      <c r="J2300" s="1" t="s">
        <v>10884</v>
      </c>
      <c r="L2300" s="1" t="s">
        <v>825</v>
      </c>
      <c r="M2300" s="1" t="s">
        <v>5397</v>
      </c>
      <c r="N2300" s="1" t="s">
        <v>2487</v>
      </c>
      <c r="P2300" s="1" t="s">
        <v>2488</v>
      </c>
      <c r="Q2300" s="3">
        <v>1</v>
      </c>
      <c r="R2300" s="23" t="s">
        <v>10605</v>
      </c>
      <c r="S2300" s="23" t="s">
        <v>6847</v>
      </c>
      <c r="T2300" s="23" t="s">
        <v>4866</v>
      </c>
      <c r="U2300" s="3">
        <v>35</v>
      </c>
      <c r="W2300" s="45" t="str">
        <f>HYPERLINK("http://ictvonline.org/taxonomy/p/taxonomy-history?taxnode_id=201904039","ICTVonline=201904039")</f>
        <v>ICTVonline=201904039</v>
      </c>
      <c r="AA2300" s="1">
        <v>201900000</v>
      </c>
      <c r="AB2300" s="1">
        <v>35</v>
      </c>
    </row>
    <row r="2301" spans="1:28" x14ac:dyDescent="0.2">
      <c r="A2301" s="1">
        <v>6276</v>
      </c>
      <c r="B2301" s="1" t="s">
        <v>10590</v>
      </c>
      <c r="D2301" s="1" t="s">
        <v>10685</v>
      </c>
      <c r="F2301" s="1" t="s">
        <v>10686</v>
      </c>
      <c r="H2301" s="1" t="s">
        <v>10689</v>
      </c>
      <c r="J2301" s="1" t="s">
        <v>10884</v>
      </c>
      <c r="L2301" s="1" t="s">
        <v>825</v>
      </c>
      <c r="M2301" s="1" t="s">
        <v>5397</v>
      </c>
      <c r="N2301" s="1" t="s">
        <v>3832</v>
      </c>
      <c r="P2301" s="1" t="s">
        <v>3833</v>
      </c>
      <c r="Q2301" s="3">
        <v>1</v>
      </c>
      <c r="R2301" s="23" t="s">
        <v>10605</v>
      </c>
      <c r="S2301" s="23" t="s">
        <v>6847</v>
      </c>
      <c r="T2301" s="23" t="s">
        <v>4866</v>
      </c>
      <c r="U2301" s="3">
        <v>35</v>
      </c>
      <c r="W2301" s="45" t="str">
        <f>HYPERLINK("http://ictvonline.org/taxonomy/p/taxonomy-history?taxnode_id=201904041","ICTVonline=201904041")</f>
        <v>ICTVonline=201904041</v>
      </c>
      <c r="Y2301" s="1" t="s">
        <v>10895</v>
      </c>
      <c r="Z2301" s="1" t="s">
        <v>10896</v>
      </c>
      <c r="AA2301" s="1">
        <v>201900000</v>
      </c>
      <c r="AB2301" s="1">
        <v>35</v>
      </c>
    </row>
    <row r="2302" spans="1:28" x14ac:dyDescent="0.2">
      <c r="A2302" s="1">
        <v>6280</v>
      </c>
      <c r="B2302" s="1" t="s">
        <v>10590</v>
      </c>
      <c r="D2302" s="1" t="s">
        <v>10685</v>
      </c>
      <c r="F2302" s="1" t="s">
        <v>10686</v>
      </c>
      <c r="H2302" s="1" t="s">
        <v>10689</v>
      </c>
      <c r="J2302" s="1" t="s">
        <v>10884</v>
      </c>
      <c r="L2302" s="1" t="s">
        <v>825</v>
      </c>
      <c r="M2302" s="1" t="s">
        <v>5397</v>
      </c>
      <c r="N2302" s="1" t="s">
        <v>140</v>
      </c>
      <c r="P2302" s="1" t="s">
        <v>141</v>
      </c>
      <c r="Q2302" s="3">
        <v>1</v>
      </c>
      <c r="R2302" s="23" t="s">
        <v>10605</v>
      </c>
      <c r="S2302" s="23" t="s">
        <v>6847</v>
      </c>
      <c r="T2302" s="23" t="s">
        <v>4866</v>
      </c>
      <c r="U2302" s="3">
        <v>35</v>
      </c>
      <c r="W2302" s="45" t="str">
        <f>HYPERLINK("http://ictvonline.org/taxonomy/p/taxonomy-history?taxnode_id=201904043","ICTVonline=201904043")</f>
        <v>ICTVonline=201904043</v>
      </c>
      <c r="AA2302" s="1">
        <v>201900000</v>
      </c>
      <c r="AB2302" s="1">
        <v>35</v>
      </c>
    </row>
    <row r="2303" spans="1:28" x14ac:dyDescent="0.2">
      <c r="A2303" s="1">
        <v>6284</v>
      </c>
      <c r="B2303" s="1" t="s">
        <v>10590</v>
      </c>
      <c r="D2303" s="1" t="s">
        <v>10685</v>
      </c>
      <c r="F2303" s="1" t="s">
        <v>10686</v>
      </c>
      <c r="H2303" s="1" t="s">
        <v>10689</v>
      </c>
      <c r="J2303" s="1" t="s">
        <v>10884</v>
      </c>
      <c r="L2303" s="1" t="s">
        <v>825</v>
      </c>
      <c r="M2303" s="1" t="s">
        <v>5397</v>
      </c>
      <c r="N2303" s="1" t="s">
        <v>3834</v>
      </c>
      <c r="P2303" s="1" t="s">
        <v>3835</v>
      </c>
      <c r="Q2303" s="3">
        <v>1</v>
      </c>
      <c r="R2303" s="23" t="s">
        <v>10605</v>
      </c>
      <c r="S2303" s="23" t="s">
        <v>6847</v>
      </c>
      <c r="T2303" s="23" t="s">
        <v>4866</v>
      </c>
      <c r="U2303" s="3">
        <v>35</v>
      </c>
      <c r="W2303" s="45" t="str">
        <f>HYPERLINK("http://ictvonline.org/taxonomy/p/taxonomy-history?taxnode_id=201904045","ICTVonline=201904045")</f>
        <v>ICTVonline=201904045</v>
      </c>
      <c r="Y2303" s="1" t="s">
        <v>10897</v>
      </c>
      <c r="Z2303" s="1" t="s">
        <v>10898</v>
      </c>
      <c r="AA2303" s="1">
        <v>201900000</v>
      </c>
      <c r="AB2303" s="1">
        <v>35</v>
      </c>
    </row>
    <row r="2304" spans="1:28" x14ac:dyDescent="0.2">
      <c r="A2304" s="1">
        <v>6288</v>
      </c>
      <c r="B2304" s="1" t="s">
        <v>10590</v>
      </c>
      <c r="D2304" s="1" t="s">
        <v>10685</v>
      </c>
      <c r="F2304" s="1" t="s">
        <v>10686</v>
      </c>
      <c r="H2304" s="1" t="s">
        <v>10689</v>
      </c>
      <c r="J2304" s="1" t="s">
        <v>10884</v>
      </c>
      <c r="L2304" s="1" t="s">
        <v>825</v>
      </c>
      <c r="M2304" s="1" t="s">
        <v>5397</v>
      </c>
      <c r="N2304" s="1" t="s">
        <v>2489</v>
      </c>
      <c r="P2304" s="1" t="s">
        <v>2490</v>
      </c>
      <c r="Q2304" s="3">
        <v>1</v>
      </c>
      <c r="R2304" s="23" t="s">
        <v>10605</v>
      </c>
      <c r="S2304" s="23" t="s">
        <v>6847</v>
      </c>
      <c r="T2304" s="23" t="s">
        <v>4866</v>
      </c>
      <c r="U2304" s="3">
        <v>35</v>
      </c>
      <c r="W2304" s="45" t="str">
        <f>HYPERLINK("http://ictvonline.org/taxonomy/p/taxonomy-history?taxnode_id=201904047","ICTVonline=201904047")</f>
        <v>ICTVonline=201904047</v>
      </c>
      <c r="AA2304" s="1">
        <v>201900000</v>
      </c>
      <c r="AB2304" s="1">
        <v>35</v>
      </c>
    </row>
    <row r="2305" spans="1:28" x14ac:dyDescent="0.2">
      <c r="A2305" s="1">
        <v>6290</v>
      </c>
      <c r="B2305" s="1" t="s">
        <v>10590</v>
      </c>
      <c r="D2305" s="1" t="s">
        <v>10685</v>
      </c>
      <c r="F2305" s="1" t="s">
        <v>10686</v>
      </c>
      <c r="H2305" s="1" t="s">
        <v>10689</v>
      </c>
      <c r="J2305" s="1" t="s">
        <v>10884</v>
      </c>
      <c r="L2305" s="1" t="s">
        <v>825</v>
      </c>
      <c r="M2305" s="1" t="s">
        <v>5397</v>
      </c>
      <c r="N2305" s="1" t="s">
        <v>2489</v>
      </c>
      <c r="P2305" s="1" t="s">
        <v>5402</v>
      </c>
      <c r="Q2305" s="3">
        <v>0</v>
      </c>
      <c r="R2305" s="23" t="s">
        <v>10605</v>
      </c>
      <c r="S2305" s="23" t="s">
        <v>6847</v>
      </c>
      <c r="T2305" s="23" t="s">
        <v>4866</v>
      </c>
      <c r="U2305" s="3">
        <v>35</v>
      </c>
      <c r="W2305" s="45" t="str">
        <f>HYPERLINK("http://ictvonline.org/taxonomy/p/taxonomy-history?taxnode_id=201905868","ICTVonline=201905868")</f>
        <v>ICTVonline=201905868</v>
      </c>
      <c r="AA2305" s="1">
        <v>201900000</v>
      </c>
      <c r="AB2305" s="1">
        <v>35</v>
      </c>
    </row>
    <row r="2306" spans="1:28" x14ac:dyDescent="0.2">
      <c r="A2306" s="1">
        <v>6294</v>
      </c>
      <c r="B2306" s="1" t="s">
        <v>10590</v>
      </c>
      <c r="D2306" s="1" t="s">
        <v>10685</v>
      </c>
      <c r="F2306" s="1" t="s">
        <v>10686</v>
      </c>
      <c r="H2306" s="1" t="s">
        <v>10689</v>
      </c>
      <c r="J2306" s="1" t="s">
        <v>10884</v>
      </c>
      <c r="L2306" s="1" t="s">
        <v>825</v>
      </c>
      <c r="M2306" s="1" t="s">
        <v>5397</v>
      </c>
      <c r="N2306" s="1" t="s">
        <v>142</v>
      </c>
      <c r="P2306" s="1" t="s">
        <v>143</v>
      </c>
      <c r="Q2306" s="3">
        <v>1</v>
      </c>
      <c r="R2306" s="23" t="s">
        <v>10605</v>
      </c>
      <c r="S2306" s="23" t="s">
        <v>6847</v>
      </c>
      <c r="T2306" s="23" t="s">
        <v>4866</v>
      </c>
      <c r="U2306" s="3">
        <v>35</v>
      </c>
      <c r="W2306" s="45" t="str">
        <f>HYPERLINK("http://ictvonline.org/taxonomy/p/taxonomy-history?taxnode_id=201904049","ICTVonline=201904049")</f>
        <v>ICTVonline=201904049</v>
      </c>
      <c r="AA2306" s="1">
        <v>201900000</v>
      </c>
      <c r="AB2306" s="1">
        <v>35</v>
      </c>
    </row>
    <row r="2307" spans="1:28" x14ac:dyDescent="0.2">
      <c r="A2307" s="1">
        <v>6298</v>
      </c>
      <c r="B2307" s="1" t="s">
        <v>10590</v>
      </c>
      <c r="D2307" s="1" t="s">
        <v>10685</v>
      </c>
      <c r="F2307" s="1" t="s">
        <v>10686</v>
      </c>
      <c r="H2307" s="1" t="s">
        <v>10689</v>
      </c>
      <c r="J2307" s="1" t="s">
        <v>10884</v>
      </c>
      <c r="L2307" s="1" t="s">
        <v>825</v>
      </c>
      <c r="M2307" s="1" t="s">
        <v>5397</v>
      </c>
      <c r="N2307" s="1" t="s">
        <v>836</v>
      </c>
      <c r="P2307" s="1" t="s">
        <v>144</v>
      </c>
      <c r="Q2307" s="3">
        <v>1</v>
      </c>
      <c r="R2307" s="23" t="s">
        <v>10605</v>
      </c>
      <c r="S2307" s="23" t="s">
        <v>6847</v>
      </c>
      <c r="T2307" s="23" t="s">
        <v>4866</v>
      </c>
      <c r="U2307" s="3">
        <v>35</v>
      </c>
      <c r="W2307" s="45" t="str">
        <f>HYPERLINK("http://ictvonline.org/taxonomy/p/taxonomy-history?taxnode_id=201904051","ICTVonline=201904051")</f>
        <v>ICTVonline=201904051</v>
      </c>
      <c r="AA2307" s="1">
        <v>201900000</v>
      </c>
      <c r="AB2307" s="1">
        <v>35</v>
      </c>
    </row>
    <row r="2308" spans="1:28" x14ac:dyDescent="0.2">
      <c r="A2308" s="1">
        <v>6300</v>
      </c>
      <c r="B2308" s="1" t="s">
        <v>10590</v>
      </c>
      <c r="D2308" s="1" t="s">
        <v>10685</v>
      </c>
      <c r="F2308" s="1" t="s">
        <v>10686</v>
      </c>
      <c r="H2308" s="1" t="s">
        <v>10689</v>
      </c>
      <c r="J2308" s="1" t="s">
        <v>10884</v>
      </c>
      <c r="L2308" s="1" t="s">
        <v>825</v>
      </c>
      <c r="M2308" s="1" t="s">
        <v>5397</v>
      </c>
      <c r="N2308" s="1" t="s">
        <v>836</v>
      </c>
      <c r="P2308" s="1" t="s">
        <v>5403</v>
      </c>
      <c r="Q2308" s="3">
        <v>0</v>
      </c>
      <c r="R2308" s="23" t="s">
        <v>10605</v>
      </c>
      <c r="S2308" s="23" t="s">
        <v>6847</v>
      </c>
      <c r="T2308" s="23" t="s">
        <v>4866</v>
      </c>
      <c r="U2308" s="3">
        <v>35</v>
      </c>
      <c r="W2308" s="45" t="str">
        <f>HYPERLINK("http://ictvonline.org/taxonomy/p/taxonomy-history?taxnode_id=201905869","ICTVonline=201905869")</f>
        <v>ICTVonline=201905869</v>
      </c>
      <c r="AA2308" s="1">
        <v>201900000</v>
      </c>
      <c r="AB2308" s="1">
        <v>35</v>
      </c>
    </row>
    <row r="2309" spans="1:28" x14ac:dyDescent="0.2">
      <c r="A2309" s="1">
        <v>6304</v>
      </c>
      <c r="B2309" s="1" t="s">
        <v>10590</v>
      </c>
      <c r="D2309" s="1" t="s">
        <v>10685</v>
      </c>
      <c r="F2309" s="1" t="s">
        <v>10686</v>
      </c>
      <c r="H2309" s="1" t="s">
        <v>10689</v>
      </c>
      <c r="J2309" s="1" t="s">
        <v>10884</v>
      </c>
      <c r="L2309" s="1" t="s">
        <v>825</v>
      </c>
      <c r="M2309" s="1" t="s">
        <v>5397</v>
      </c>
      <c r="N2309" s="1" t="s">
        <v>922</v>
      </c>
      <c r="P2309" s="1" t="s">
        <v>145</v>
      </c>
      <c r="Q2309" s="3">
        <v>1</v>
      </c>
      <c r="R2309" s="23" t="s">
        <v>10605</v>
      </c>
      <c r="S2309" s="23" t="s">
        <v>6847</v>
      </c>
      <c r="T2309" s="23" t="s">
        <v>4866</v>
      </c>
      <c r="U2309" s="3">
        <v>35</v>
      </c>
      <c r="W2309" s="45" t="str">
        <f>HYPERLINK("http://ictvonline.org/taxonomy/p/taxonomy-history?taxnode_id=201904053","ICTVonline=201904053")</f>
        <v>ICTVonline=201904053</v>
      </c>
      <c r="AA2309" s="1">
        <v>201900000</v>
      </c>
      <c r="AB2309" s="1">
        <v>35</v>
      </c>
    </row>
    <row r="2310" spans="1:28" x14ac:dyDescent="0.2">
      <c r="A2310" s="1">
        <v>6308</v>
      </c>
      <c r="B2310" s="1" t="s">
        <v>10590</v>
      </c>
      <c r="D2310" s="1" t="s">
        <v>10685</v>
      </c>
      <c r="F2310" s="1" t="s">
        <v>10686</v>
      </c>
      <c r="H2310" s="1" t="s">
        <v>10689</v>
      </c>
      <c r="J2310" s="1" t="s">
        <v>10884</v>
      </c>
      <c r="L2310" s="1" t="s">
        <v>825</v>
      </c>
      <c r="M2310" s="1" t="s">
        <v>5397</v>
      </c>
      <c r="N2310" s="1" t="s">
        <v>923</v>
      </c>
      <c r="P2310" s="1" t="s">
        <v>146</v>
      </c>
      <c r="Q2310" s="3">
        <v>1</v>
      </c>
      <c r="R2310" s="23" t="s">
        <v>10605</v>
      </c>
      <c r="S2310" s="23" t="s">
        <v>6847</v>
      </c>
      <c r="T2310" s="23" t="s">
        <v>4866</v>
      </c>
      <c r="U2310" s="3">
        <v>35</v>
      </c>
      <c r="W2310" s="45" t="str">
        <f>HYPERLINK("http://ictvonline.org/taxonomy/p/taxonomy-history?taxnode_id=201904055","ICTVonline=201904055")</f>
        <v>ICTVonline=201904055</v>
      </c>
      <c r="AA2310" s="1">
        <v>201900000</v>
      </c>
      <c r="AB2310" s="1">
        <v>35</v>
      </c>
    </row>
    <row r="2311" spans="1:28" x14ac:dyDescent="0.2">
      <c r="A2311" s="1">
        <v>6310</v>
      </c>
      <c r="B2311" s="1" t="s">
        <v>10590</v>
      </c>
      <c r="D2311" s="1" t="s">
        <v>10685</v>
      </c>
      <c r="F2311" s="1" t="s">
        <v>10686</v>
      </c>
      <c r="H2311" s="1" t="s">
        <v>10689</v>
      </c>
      <c r="J2311" s="1" t="s">
        <v>10884</v>
      </c>
      <c r="L2311" s="1" t="s">
        <v>825</v>
      </c>
      <c r="M2311" s="1" t="s">
        <v>5397</v>
      </c>
      <c r="N2311" s="1" t="s">
        <v>923</v>
      </c>
      <c r="P2311" s="1" t="s">
        <v>148</v>
      </c>
      <c r="Q2311" s="3">
        <v>0</v>
      </c>
      <c r="R2311" s="23" t="s">
        <v>10605</v>
      </c>
      <c r="S2311" s="23" t="s">
        <v>6847</v>
      </c>
      <c r="T2311" s="23" t="s">
        <v>4866</v>
      </c>
      <c r="U2311" s="3">
        <v>35</v>
      </c>
      <c r="W2311" s="45" t="str">
        <f>HYPERLINK("http://ictvonline.org/taxonomy/p/taxonomy-history?taxnode_id=201904056","ICTVonline=201904056")</f>
        <v>ICTVonline=201904056</v>
      </c>
      <c r="AA2311" s="1">
        <v>201900000</v>
      </c>
      <c r="AB2311" s="1">
        <v>35</v>
      </c>
    </row>
    <row r="2312" spans="1:28" x14ac:dyDescent="0.2">
      <c r="A2312" s="1">
        <v>6312</v>
      </c>
      <c r="B2312" s="1" t="s">
        <v>10590</v>
      </c>
      <c r="D2312" s="1" t="s">
        <v>10685</v>
      </c>
      <c r="F2312" s="1" t="s">
        <v>10686</v>
      </c>
      <c r="H2312" s="1" t="s">
        <v>10689</v>
      </c>
      <c r="J2312" s="1" t="s">
        <v>10884</v>
      </c>
      <c r="L2312" s="1" t="s">
        <v>825</v>
      </c>
      <c r="M2312" s="1" t="s">
        <v>5397</v>
      </c>
      <c r="N2312" s="1" t="s">
        <v>923</v>
      </c>
      <c r="P2312" s="1" t="s">
        <v>149</v>
      </c>
      <c r="Q2312" s="3">
        <v>0</v>
      </c>
      <c r="R2312" s="23" t="s">
        <v>10605</v>
      </c>
      <c r="S2312" s="23" t="s">
        <v>6847</v>
      </c>
      <c r="T2312" s="23" t="s">
        <v>4866</v>
      </c>
      <c r="U2312" s="3">
        <v>35</v>
      </c>
      <c r="W2312" s="45" t="str">
        <f>HYPERLINK("http://ictvonline.org/taxonomy/p/taxonomy-history?taxnode_id=201904057","ICTVonline=201904057")</f>
        <v>ICTVonline=201904057</v>
      </c>
      <c r="AA2312" s="1">
        <v>201900000</v>
      </c>
      <c r="AB2312" s="1">
        <v>35</v>
      </c>
    </row>
    <row r="2313" spans="1:28" x14ac:dyDescent="0.2">
      <c r="A2313" s="1">
        <v>6314</v>
      </c>
      <c r="B2313" s="1" t="s">
        <v>10590</v>
      </c>
      <c r="D2313" s="1" t="s">
        <v>10685</v>
      </c>
      <c r="F2313" s="1" t="s">
        <v>10686</v>
      </c>
      <c r="H2313" s="1" t="s">
        <v>10689</v>
      </c>
      <c r="J2313" s="1" t="s">
        <v>10884</v>
      </c>
      <c r="L2313" s="1" t="s">
        <v>825</v>
      </c>
      <c r="M2313" s="1" t="s">
        <v>5397</v>
      </c>
      <c r="N2313" s="1" t="s">
        <v>923</v>
      </c>
      <c r="P2313" s="1" t="s">
        <v>150</v>
      </c>
      <c r="Q2313" s="3">
        <v>0</v>
      </c>
      <c r="R2313" s="23" t="s">
        <v>10605</v>
      </c>
      <c r="S2313" s="23" t="s">
        <v>6847</v>
      </c>
      <c r="T2313" s="23" t="s">
        <v>4866</v>
      </c>
      <c r="U2313" s="3">
        <v>35</v>
      </c>
      <c r="W2313" s="45" t="str">
        <f>HYPERLINK("http://ictvonline.org/taxonomy/p/taxonomy-history?taxnode_id=201904058","ICTVonline=201904058")</f>
        <v>ICTVonline=201904058</v>
      </c>
      <c r="AA2313" s="1">
        <v>201900000</v>
      </c>
      <c r="AB2313" s="1">
        <v>35</v>
      </c>
    </row>
    <row r="2314" spans="1:28" x14ac:dyDescent="0.2">
      <c r="A2314" s="1">
        <v>6316</v>
      </c>
      <c r="B2314" s="1" t="s">
        <v>10590</v>
      </c>
      <c r="D2314" s="1" t="s">
        <v>10685</v>
      </c>
      <c r="F2314" s="1" t="s">
        <v>10686</v>
      </c>
      <c r="H2314" s="1" t="s">
        <v>10689</v>
      </c>
      <c r="J2314" s="1" t="s">
        <v>10884</v>
      </c>
      <c r="L2314" s="1" t="s">
        <v>825</v>
      </c>
      <c r="M2314" s="1" t="s">
        <v>5397</v>
      </c>
      <c r="N2314" s="1" t="s">
        <v>923</v>
      </c>
      <c r="P2314" s="1" t="s">
        <v>151</v>
      </c>
      <c r="Q2314" s="3">
        <v>0</v>
      </c>
      <c r="R2314" s="23" t="s">
        <v>10605</v>
      </c>
      <c r="S2314" s="23" t="s">
        <v>6847</v>
      </c>
      <c r="T2314" s="23" t="s">
        <v>4866</v>
      </c>
      <c r="U2314" s="3">
        <v>35</v>
      </c>
      <c r="W2314" s="45" t="str">
        <f>HYPERLINK("http://ictvonline.org/taxonomy/p/taxonomy-history?taxnode_id=201904059","ICTVonline=201904059")</f>
        <v>ICTVonline=201904059</v>
      </c>
      <c r="AA2314" s="1">
        <v>201900000</v>
      </c>
      <c r="AB2314" s="1">
        <v>35</v>
      </c>
    </row>
    <row r="2315" spans="1:28" x14ac:dyDescent="0.2">
      <c r="A2315" s="1">
        <v>6318</v>
      </c>
      <c r="B2315" s="1" t="s">
        <v>10590</v>
      </c>
      <c r="D2315" s="1" t="s">
        <v>10685</v>
      </c>
      <c r="F2315" s="1" t="s">
        <v>10686</v>
      </c>
      <c r="H2315" s="1" t="s">
        <v>10689</v>
      </c>
      <c r="J2315" s="1" t="s">
        <v>10884</v>
      </c>
      <c r="L2315" s="1" t="s">
        <v>825</v>
      </c>
      <c r="M2315" s="1" t="s">
        <v>5397</v>
      </c>
      <c r="N2315" s="1" t="s">
        <v>923</v>
      </c>
      <c r="P2315" s="1" t="s">
        <v>152</v>
      </c>
      <c r="Q2315" s="3">
        <v>0</v>
      </c>
      <c r="R2315" s="23" t="s">
        <v>10605</v>
      </c>
      <c r="S2315" s="23" t="s">
        <v>6847</v>
      </c>
      <c r="T2315" s="23" t="s">
        <v>4866</v>
      </c>
      <c r="U2315" s="3">
        <v>35</v>
      </c>
      <c r="W2315" s="45" t="str">
        <f>HYPERLINK("http://ictvonline.org/taxonomy/p/taxonomy-history?taxnode_id=201904060","ICTVonline=201904060")</f>
        <v>ICTVonline=201904060</v>
      </c>
      <c r="AA2315" s="1">
        <v>201900000</v>
      </c>
      <c r="AB2315" s="1">
        <v>35</v>
      </c>
    </row>
    <row r="2316" spans="1:28" x14ac:dyDescent="0.2">
      <c r="A2316" s="1">
        <v>6320</v>
      </c>
      <c r="B2316" s="1" t="s">
        <v>10590</v>
      </c>
      <c r="D2316" s="1" t="s">
        <v>10685</v>
      </c>
      <c r="F2316" s="1" t="s">
        <v>10686</v>
      </c>
      <c r="H2316" s="1" t="s">
        <v>10689</v>
      </c>
      <c r="J2316" s="1" t="s">
        <v>10884</v>
      </c>
      <c r="L2316" s="1" t="s">
        <v>825</v>
      </c>
      <c r="M2316" s="1" t="s">
        <v>5397</v>
      </c>
      <c r="N2316" s="1" t="s">
        <v>923</v>
      </c>
      <c r="P2316" s="1" t="s">
        <v>153</v>
      </c>
      <c r="Q2316" s="3">
        <v>0</v>
      </c>
      <c r="R2316" s="23" t="s">
        <v>10605</v>
      </c>
      <c r="S2316" s="23" t="s">
        <v>6847</v>
      </c>
      <c r="T2316" s="23" t="s">
        <v>4866</v>
      </c>
      <c r="U2316" s="3">
        <v>35</v>
      </c>
      <c r="W2316" s="45" t="str">
        <f>HYPERLINK("http://ictvonline.org/taxonomy/p/taxonomy-history?taxnode_id=201904061","ICTVonline=201904061")</f>
        <v>ICTVonline=201904061</v>
      </c>
      <c r="AA2316" s="1">
        <v>201900000</v>
      </c>
      <c r="AB2316" s="1">
        <v>35</v>
      </c>
    </row>
    <row r="2317" spans="1:28" x14ac:dyDescent="0.2">
      <c r="A2317" s="1">
        <v>6322</v>
      </c>
      <c r="B2317" s="1" t="s">
        <v>10590</v>
      </c>
      <c r="D2317" s="1" t="s">
        <v>10685</v>
      </c>
      <c r="F2317" s="1" t="s">
        <v>10686</v>
      </c>
      <c r="H2317" s="1" t="s">
        <v>10689</v>
      </c>
      <c r="J2317" s="1" t="s">
        <v>10884</v>
      </c>
      <c r="L2317" s="1" t="s">
        <v>825</v>
      </c>
      <c r="M2317" s="1" t="s">
        <v>5397</v>
      </c>
      <c r="N2317" s="1" t="s">
        <v>923</v>
      </c>
      <c r="P2317" s="1" t="s">
        <v>154</v>
      </c>
      <c r="Q2317" s="3">
        <v>0</v>
      </c>
      <c r="R2317" s="23" t="s">
        <v>10605</v>
      </c>
      <c r="S2317" s="23" t="s">
        <v>6847</v>
      </c>
      <c r="T2317" s="23" t="s">
        <v>4866</v>
      </c>
      <c r="U2317" s="3">
        <v>35</v>
      </c>
      <c r="W2317" s="45" t="str">
        <f>HYPERLINK("http://ictvonline.org/taxonomy/p/taxonomy-history?taxnode_id=201904062","ICTVonline=201904062")</f>
        <v>ICTVonline=201904062</v>
      </c>
      <c r="AA2317" s="1">
        <v>201900000</v>
      </c>
      <c r="AB2317" s="1">
        <v>35</v>
      </c>
    </row>
    <row r="2318" spans="1:28" x14ac:dyDescent="0.2">
      <c r="A2318" s="1">
        <v>6324</v>
      </c>
      <c r="B2318" s="1" t="s">
        <v>10590</v>
      </c>
      <c r="D2318" s="1" t="s">
        <v>10685</v>
      </c>
      <c r="F2318" s="1" t="s">
        <v>10686</v>
      </c>
      <c r="H2318" s="1" t="s">
        <v>10689</v>
      </c>
      <c r="J2318" s="1" t="s">
        <v>10884</v>
      </c>
      <c r="L2318" s="1" t="s">
        <v>825</v>
      </c>
      <c r="M2318" s="1" t="s">
        <v>5397</v>
      </c>
      <c r="N2318" s="1" t="s">
        <v>923</v>
      </c>
      <c r="P2318" s="1" t="s">
        <v>155</v>
      </c>
      <c r="Q2318" s="3">
        <v>0</v>
      </c>
      <c r="R2318" s="23" t="s">
        <v>10605</v>
      </c>
      <c r="S2318" s="23" t="s">
        <v>6847</v>
      </c>
      <c r="T2318" s="23" t="s">
        <v>4866</v>
      </c>
      <c r="U2318" s="3">
        <v>35</v>
      </c>
      <c r="W2318" s="45" t="str">
        <f>HYPERLINK("http://ictvonline.org/taxonomy/p/taxonomy-history?taxnode_id=201904063","ICTVonline=201904063")</f>
        <v>ICTVonline=201904063</v>
      </c>
      <c r="AA2318" s="1">
        <v>201900000</v>
      </c>
      <c r="AB2318" s="1">
        <v>35</v>
      </c>
    </row>
    <row r="2319" spans="1:28" x14ac:dyDescent="0.2">
      <c r="A2319" s="1">
        <v>6326</v>
      </c>
      <c r="B2319" s="1" t="s">
        <v>10590</v>
      </c>
      <c r="D2319" s="1" t="s">
        <v>10685</v>
      </c>
      <c r="F2319" s="1" t="s">
        <v>10686</v>
      </c>
      <c r="H2319" s="1" t="s">
        <v>10689</v>
      </c>
      <c r="J2319" s="1" t="s">
        <v>10884</v>
      </c>
      <c r="L2319" s="1" t="s">
        <v>825</v>
      </c>
      <c r="M2319" s="1" t="s">
        <v>5397</v>
      </c>
      <c r="N2319" s="1" t="s">
        <v>923</v>
      </c>
      <c r="P2319" s="1" t="s">
        <v>147</v>
      </c>
      <c r="Q2319" s="3">
        <v>0</v>
      </c>
      <c r="R2319" s="23" t="s">
        <v>10605</v>
      </c>
      <c r="S2319" s="23" t="s">
        <v>6847</v>
      </c>
      <c r="T2319" s="23" t="s">
        <v>4866</v>
      </c>
      <c r="U2319" s="3">
        <v>35</v>
      </c>
      <c r="W2319" s="45" t="str">
        <f>HYPERLINK("http://ictvonline.org/taxonomy/p/taxonomy-history?taxnode_id=201904064","ICTVonline=201904064")</f>
        <v>ICTVonline=201904064</v>
      </c>
      <c r="AA2319" s="1">
        <v>201900000</v>
      </c>
      <c r="AB2319" s="1">
        <v>35</v>
      </c>
    </row>
    <row r="2320" spans="1:28" x14ac:dyDescent="0.2">
      <c r="A2320" s="1">
        <v>6328</v>
      </c>
      <c r="B2320" s="1" t="s">
        <v>10590</v>
      </c>
      <c r="D2320" s="1" t="s">
        <v>10685</v>
      </c>
      <c r="F2320" s="1" t="s">
        <v>10686</v>
      </c>
      <c r="H2320" s="1" t="s">
        <v>10689</v>
      </c>
      <c r="J2320" s="1" t="s">
        <v>10884</v>
      </c>
      <c r="L2320" s="1" t="s">
        <v>825</v>
      </c>
      <c r="M2320" s="1" t="s">
        <v>5397</v>
      </c>
      <c r="N2320" s="1" t="s">
        <v>923</v>
      </c>
      <c r="P2320" s="1" t="s">
        <v>2491</v>
      </c>
      <c r="Q2320" s="3">
        <v>0</v>
      </c>
      <c r="R2320" s="23" t="s">
        <v>10605</v>
      </c>
      <c r="S2320" s="23" t="s">
        <v>6847</v>
      </c>
      <c r="T2320" s="23" t="s">
        <v>4866</v>
      </c>
      <c r="U2320" s="3">
        <v>35</v>
      </c>
      <c r="W2320" s="45" t="str">
        <f>HYPERLINK("http://ictvonline.org/taxonomy/p/taxonomy-history?taxnode_id=201904065","ICTVonline=201904065")</f>
        <v>ICTVonline=201904065</v>
      </c>
      <c r="AA2320" s="1">
        <v>201900000</v>
      </c>
      <c r="AB2320" s="1">
        <v>35</v>
      </c>
    </row>
    <row r="2321" spans="1:28" x14ac:dyDescent="0.2">
      <c r="A2321" s="1">
        <v>6330</v>
      </c>
      <c r="B2321" s="1" t="s">
        <v>10590</v>
      </c>
      <c r="D2321" s="1" t="s">
        <v>10685</v>
      </c>
      <c r="F2321" s="1" t="s">
        <v>10686</v>
      </c>
      <c r="H2321" s="1" t="s">
        <v>10689</v>
      </c>
      <c r="J2321" s="1" t="s">
        <v>10884</v>
      </c>
      <c r="L2321" s="1" t="s">
        <v>825</v>
      </c>
      <c r="M2321" s="1" t="s">
        <v>5397</v>
      </c>
      <c r="N2321" s="1" t="s">
        <v>923</v>
      </c>
      <c r="P2321" s="1" t="s">
        <v>2492</v>
      </c>
      <c r="Q2321" s="3">
        <v>0</v>
      </c>
      <c r="R2321" s="23" t="s">
        <v>10605</v>
      </c>
      <c r="S2321" s="23" t="s">
        <v>6847</v>
      </c>
      <c r="T2321" s="23" t="s">
        <v>4866</v>
      </c>
      <c r="U2321" s="3">
        <v>35</v>
      </c>
      <c r="W2321" s="45" t="str">
        <f>HYPERLINK("http://ictvonline.org/taxonomy/p/taxonomy-history?taxnode_id=201904066","ICTVonline=201904066")</f>
        <v>ICTVonline=201904066</v>
      </c>
      <c r="AA2321" s="1">
        <v>201900000</v>
      </c>
      <c r="AB2321" s="1">
        <v>35</v>
      </c>
    </row>
    <row r="2322" spans="1:28" x14ac:dyDescent="0.2">
      <c r="A2322" s="1">
        <v>6332</v>
      </c>
      <c r="B2322" s="1" t="s">
        <v>10590</v>
      </c>
      <c r="D2322" s="1" t="s">
        <v>10685</v>
      </c>
      <c r="F2322" s="1" t="s">
        <v>10686</v>
      </c>
      <c r="H2322" s="1" t="s">
        <v>10689</v>
      </c>
      <c r="J2322" s="1" t="s">
        <v>10884</v>
      </c>
      <c r="L2322" s="1" t="s">
        <v>825</v>
      </c>
      <c r="M2322" s="1" t="s">
        <v>5397</v>
      </c>
      <c r="N2322" s="1" t="s">
        <v>923</v>
      </c>
      <c r="P2322" s="1" t="s">
        <v>2493</v>
      </c>
      <c r="Q2322" s="3">
        <v>0</v>
      </c>
      <c r="R2322" s="23" t="s">
        <v>10605</v>
      </c>
      <c r="S2322" s="23" t="s">
        <v>6847</v>
      </c>
      <c r="T2322" s="23" t="s">
        <v>4866</v>
      </c>
      <c r="U2322" s="3">
        <v>35</v>
      </c>
      <c r="W2322" s="45" t="str">
        <f>HYPERLINK("http://ictvonline.org/taxonomy/p/taxonomy-history?taxnode_id=201904067","ICTVonline=201904067")</f>
        <v>ICTVonline=201904067</v>
      </c>
      <c r="AA2322" s="1">
        <v>201900000</v>
      </c>
      <c r="AB2322" s="1">
        <v>35</v>
      </c>
    </row>
    <row r="2323" spans="1:28" x14ac:dyDescent="0.2">
      <c r="A2323" s="1">
        <v>6334</v>
      </c>
      <c r="B2323" s="1" t="s">
        <v>10590</v>
      </c>
      <c r="D2323" s="1" t="s">
        <v>10685</v>
      </c>
      <c r="F2323" s="1" t="s">
        <v>10686</v>
      </c>
      <c r="H2323" s="1" t="s">
        <v>10689</v>
      </c>
      <c r="J2323" s="1" t="s">
        <v>10884</v>
      </c>
      <c r="L2323" s="1" t="s">
        <v>825</v>
      </c>
      <c r="M2323" s="1" t="s">
        <v>5397</v>
      </c>
      <c r="N2323" s="1" t="s">
        <v>923</v>
      </c>
      <c r="P2323" s="1" t="s">
        <v>2494</v>
      </c>
      <c r="Q2323" s="3">
        <v>0</v>
      </c>
      <c r="R2323" s="23" t="s">
        <v>10605</v>
      </c>
      <c r="S2323" s="23" t="s">
        <v>6847</v>
      </c>
      <c r="T2323" s="23" t="s">
        <v>4866</v>
      </c>
      <c r="U2323" s="3">
        <v>35</v>
      </c>
      <c r="W2323" s="45" t="str">
        <f>HYPERLINK("http://ictvonline.org/taxonomy/p/taxonomy-history?taxnode_id=201904068","ICTVonline=201904068")</f>
        <v>ICTVonline=201904068</v>
      </c>
      <c r="AA2323" s="1">
        <v>201900000</v>
      </c>
      <c r="AB2323" s="1">
        <v>35</v>
      </c>
    </row>
    <row r="2324" spans="1:28" x14ac:dyDescent="0.2">
      <c r="A2324" s="1">
        <v>6336</v>
      </c>
      <c r="B2324" s="1" t="s">
        <v>10590</v>
      </c>
      <c r="D2324" s="1" t="s">
        <v>10685</v>
      </c>
      <c r="F2324" s="1" t="s">
        <v>10686</v>
      </c>
      <c r="H2324" s="1" t="s">
        <v>10689</v>
      </c>
      <c r="J2324" s="1" t="s">
        <v>10884</v>
      </c>
      <c r="L2324" s="1" t="s">
        <v>825</v>
      </c>
      <c r="M2324" s="1" t="s">
        <v>5397</v>
      </c>
      <c r="N2324" s="1" t="s">
        <v>923</v>
      </c>
      <c r="P2324" s="1" t="s">
        <v>2495</v>
      </c>
      <c r="Q2324" s="3">
        <v>0</v>
      </c>
      <c r="R2324" s="23" t="s">
        <v>10605</v>
      </c>
      <c r="S2324" s="23" t="s">
        <v>6847</v>
      </c>
      <c r="T2324" s="23" t="s">
        <v>4866</v>
      </c>
      <c r="U2324" s="3">
        <v>35</v>
      </c>
      <c r="W2324" s="45" t="str">
        <f>HYPERLINK("http://ictvonline.org/taxonomy/p/taxonomy-history?taxnode_id=201904069","ICTVonline=201904069")</f>
        <v>ICTVonline=201904069</v>
      </c>
      <c r="AA2324" s="1">
        <v>201900000</v>
      </c>
      <c r="AB2324" s="1">
        <v>35</v>
      </c>
    </row>
    <row r="2325" spans="1:28" x14ac:dyDescent="0.2">
      <c r="A2325" s="1">
        <v>6338</v>
      </c>
      <c r="B2325" s="1" t="s">
        <v>10590</v>
      </c>
      <c r="D2325" s="1" t="s">
        <v>10685</v>
      </c>
      <c r="F2325" s="1" t="s">
        <v>10686</v>
      </c>
      <c r="H2325" s="1" t="s">
        <v>10689</v>
      </c>
      <c r="J2325" s="1" t="s">
        <v>10884</v>
      </c>
      <c r="L2325" s="1" t="s">
        <v>825</v>
      </c>
      <c r="M2325" s="1" t="s">
        <v>5397</v>
      </c>
      <c r="N2325" s="1" t="s">
        <v>923</v>
      </c>
      <c r="P2325" s="1" t="s">
        <v>2496</v>
      </c>
      <c r="Q2325" s="3">
        <v>0</v>
      </c>
      <c r="R2325" s="23" t="s">
        <v>10605</v>
      </c>
      <c r="S2325" s="23" t="s">
        <v>6847</v>
      </c>
      <c r="T2325" s="23" t="s">
        <v>4866</v>
      </c>
      <c r="U2325" s="3">
        <v>35</v>
      </c>
      <c r="W2325" s="45" t="str">
        <f>HYPERLINK("http://ictvonline.org/taxonomy/p/taxonomy-history?taxnode_id=201904070","ICTVonline=201904070")</f>
        <v>ICTVonline=201904070</v>
      </c>
      <c r="AA2325" s="1">
        <v>201900000</v>
      </c>
      <c r="AB2325" s="1">
        <v>35</v>
      </c>
    </row>
    <row r="2326" spans="1:28" x14ac:dyDescent="0.2">
      <c r="A2326" s="1">
        <v>6340</v>
      </c>
      <c r="B2326" s="1" t="s">
        <v>10590</v>
      </c>
      <c r="D2326" s="1" t="s">
        <v>10685</v>
      </c>
      <c r="F2326" s="1" t="s">
        <v>10686</v>
      </c>
      <c r="H2326" s="1" t="s">
        <v>10689</v>
      </c>
      <c r="J2326" s="1" t="s">
        <v>10884</v>
      </c>
      <c r="L2326" s="1" t="s">
        <v>825</v>
      </c>
      <c r="M2326" s="1" t="s">
        <v>5397</v>
      </c>
      <c r="N2326" s="1" t="s">
        <v>923</v>
      </c>
      <c r="P2326" s="1" t="s">
        <v>2497</v>
      </c>
      <c r="Q2326" s="3">
        <v>0</v>
      </c>
      <c r="R2326" s="23" t="s">
        <v>10605</v>
      </c>
      <c r="S2326" s="23" t="s">
        <v>6847</v>
      </c>
      <c r="T2326" s="23" t="s">
        <v>4866</v>
      </c>
      <c r="U2326" s="3">
        <v>35</v>
      </c>
      <c r="W2326" s="45" t="str">
        <f>HYPERLINK("http://ictvonline.org/taxonomy/p/taxonomy-history?taxnode_id=201904071","ICTVonline=201904071")</f>
        <v>ICTVonline=201904071</v>
      </c>
      <c r="AA2326" s="1">
        <v>201900000</v>
      </c>
      <c r="AB2326" s="1">
        <v>35</v>
      </c>
    </row>
    <row r="2327" spans="1:28" x14ac:dyDescent="0.2">
      <c r="A2327" s="1">
        <v>6342</v>
      </c>
      <c r="B2327" s="1" t="s">
        <v>10590</v>
      </c>
      <c r="D2327" s="1" t="s">
        <v>10685</v>
      </c>
      <c r="F2327" s="1" t="s">
        <v>10686</v>
      </c>
      <c r="H2327" s="1" t="s">
        <v>10689</v>
      </c>
      <c r="J2327" s="1" t="s">
        <v>10884</v>
      </c>
      <c r="L2327" s="1" t="s">
        <v>825</v>
      </c>
      <c r="M2327" s="1" t="s">
        <v>5397</v>
      </c>
      <c r="N2327" s="1" t="s">
        <v>923</v>
      </c>
      <c r="P2327" s="1" t="s">
        <v>2498</v>
      </c>
      <c r="Q2327" s="3">
        <v>0</v>
      </c>
      <c r="R2327" s="23" t="s">
        <v>10605</v>
      </c>
      <c r="S2327" s="23" t="s">
        <v>6847</v>
      </c>
      <c r="T2327" s="23" t="s">
        <v>4866</v>
      </c>
      <c r="U2327" s="3">
        <v>35</v>
      </c>
      <c r="W2327" s="45" t="str">
        <f>HYPERLINK("http://ictvonline.org/taxonomy/p/taxonomy-history?taxnode_id=201904072","ICTVonline=201904072")</f>
        <v>ICTVonline=201904072</v>
      </c>
      <c r="AA2327" s="1">
        <v>201900000</v>
      </c>
      <c r="AB2327" s="1">
        <v>35</v>
      </c>
    </row>
    <row r="2328" spans="1:28" x14ac:dyDescent="0.2">
      <c r="A2328" s="1">
        <v>6344</v>
      </c>
      <c r="B2328" s="1" t="s">
        <v>10590</v>
      </c>
      <c r="D2328" s="1" t="s">
        <v>10685</v>
      </c>
      <c r="F2328" s="1" t="s">
        <v>10686</v>
      </c>
      <c r="H2328" s="1" t="s">
        <v>10689</v>
      </c>
      <c r="J2328" s="1" t="s">
        <v>10884</v>
      </c>
      <c r="L2328" s="1" t="s">
        <v>825</v>
      </c>
      <c r="M2328" s="1" t="s">
        <v>5397</v>
      </c>
      <c r="N2328" s="1" t="s">
        <v>923</v>
      </c>
      <c r="P2328" s="1" t="s">
        <v>2499</v>
      </c>
      <c r="Q2328" s="3">
        <v>0</v>
      </c>
      <c r="R2328" s="23" t="s">
        <v>10605</v>
      </c>
      <c r="S2328" s="23" t="s">
        <v>6847</v>
      </c>
      <c r="T2328" s="23" t="s">
        <v>4866</v>
      </c>
      <c r="U2328" s="3">
        <v>35</v>
      </c>
      <c r="W2328" s="45" t="str">
        <f>HYPERLINK("http://ictvonline.org/taxonomy/p/taxonomy-history?taxnode_id=201904073","ICTVonline=201904073")</f>
        <v>ICTVonline=201904073</v>
      </c>
      <c r="AA2328" s="1">
        <v>201900000</v>
      </c>
      <c r="AB2328" s="1">
        <v>35</v>
      </c>
    </row>
    <row r="2329" spans="1:28" x14ac:dyDescent="0.2">
      <c r="A2329" s="1">
        <v>6346</v>
      </c>
      <c r="B2329" s="1" t="s">
        <v>10590</v>
      </c>
      <c r="D2329" s="1" t="s">
        <v>10685</v>
      </c>
      <c r="F2329" s="1" t="s">
        <v>10686</v>
      </c>
      <c r="H2329" s="1" t="s">
        <v>10689</v>
      </c>
      <c r="J2329" s="1" t="s">
        <v>10884</v>
      </c>
      <c r="L2329" s="1" t="s">
        <v>825</v>
      </c>
      <c r="M2329" s="1" t="s">
        <v>5397</v>
      </c>
      <c r="N2329" s="1" t="s">
        <v>923</v>
      </c>
      <c r="P2329" s="1" t="s">
        <v>2500</v>
      </c>
      <c r="Q2329" s="3">
        <v>0</v>
      </c>
      <c r="R2329" s="23" t="s">
        <v>10605</v>
      </c>
      <c r="S2329" s="23" t="s">
        <v>6847</v>
      </c>
      <c r="T2329" s="23" t="s">
        <v>4866</v>
      </c>
      <c r="U2329" s="3">
        <v>35</v>
      </c>
      <c r="W2329" s="45" t="str">
        <f>HYPERLINK("http://ictvonline.org/taxonomy/p/taxonomy-history?taxnode_id=201904074","ICTVonline=201904074")</f>
        <v>ICTVonline=201904074</v>
      </c>
      <c r="AA2329" s="1">
        <v>201900000</v>
      </c>
      <c r="AB2329" s="1">
        <v>35</v>
      </c>
    </row>
    <row r="2330" spans="1:28" x14ac:dyDescent="0.2">
      <c r="A2330" s="1">
        <v>6348</v>
      </c>
      <c r="B2330" s="1" t="s">
        <v>10590</v>
      </c>
      <c r="D2330" s="1" t="s">
        <v>10685</v>
      </c>
      <c r="F2330" s="1" t="s">
        <v>10686</v>
      </c>
      <c r="H2330" s="1" t="s">
        <v>10689</v>
      </c>
      <c r="J2330" s="1" t="s">
        <v>10884</v>
      </c>
      <c r="L2330" s="1" t="s">
        <v>825</v>
      </c>
      <c r="M2330" s="1" t="s">
        <v>5397</v>
      </c>
      <c r="N2330" s="1" t="s">
        <v>923</v>
      </c>
      <c r="P2330" s="1" t="s">
        <v>3836</v>
      </c>
      <c r="Q2330" s="3">
        <v>0</v>
      </c>
      <c r="R2330" s="23" t="s">
        <v>10605</v>
      </c>
      <c r="S2330" s="23" t="s">
        <v>6847</v>
      </c>
      <c r="T2330" s="23" t="s">
        <v>4866</v>
      </c>
      <c r="U2330" s="3">
        <v>35</v>
      </c>
      <c r="W2330" s="45" t="str">
        <f>HYPERLINK("http://ictvonline.org/taxonomy/p/taxonomy-history?taxnode_id=201904075","ICTVonline=201904075")</f>
        <v>ICTVonline=201904075</v>
      </c>
      <c r="Y2330" s="1" t="s">
        <v>10899</v>
      </c>
      <c r="Z2330" s="1" t="s">
        <v>10900</v>
      </c>
      <c r="AA2330" s="1">
        <v>201900000</v>
      </c>
      <c r="AB2330" s="1">
        <v>35</v>
      </c>
    </row>
    <row r="2331" spans="1:28" x14ac:dyDescent="0.2">
      <c r="A2331" s="1">
        <v>6350</v>
      </c>
      <c r="B2331" s="1" t="s">
        <v>10590</v>
      </c>
      <c r="D2331" s="1" t="s">
        <v>10685</v>
      </c>
      <c r="F2331" s="1" t="s">
        <v>10686</v>
      </c>
      <c r="H2331" s="1" t="s">
        <v>10689</v>
      </c>
      <c r="J2331" s="1" t="s">
        <v>10884</v>
      </c>
      <c r="L2331" s="1" t="s">
        <v>825</v>
      </c>
      <c r="M2331" s="1" t="s">
        <v>5397</v>
      </c>
      <c r="N2331" s="1" t="s">
        <v>923</v>
      </c>
      <c r="P2331" s="1" t="s">
        <v>3837</v>
      </c>
      <c r="Q2331" s="3">
        <v>0</v>
      </c>
      <c r="R2331" s="23" t="s">
        <v>10605</v>
      </c>
      <c r="S2331" s="23" t="s">
        <v>6847</v>
      </c>
      <c r="T2331" s="23" t="s">
        <v>4866</v>
      </c>
      <c r="U2331" s="3">
        <v>35</v>
      </c>
      <c r="W2331" s="45" t="str">
        <f>HYPERLINK("http://ictvonline.org/taxonomy/p/taxonomy-history?taxnode_id=201904076","ICTVonline=201904076")</f>
        <v>ICTVonline=201904076</v>
      </c>
      <c r="Y2331" s="1" t="s">
        <v>10901</v>
      </c>
      <c r="Z2331" s="1" t="s">
        <v>10902</v>
      </c>
      <c r="AA2331" s="1">
        <v>201900000</v>
      </c>
      <c r="AB2331" s="1">
        <v>35</v>
      </c>
    </row>
    <row r="2332" spans="1:28" x14ac:dyDescent="0.2">
      <c r="A2332" s="1">
        <v>6352</v>
      </c>
      <c r="B2332" s="1" t="s">
        <v>10590</v>
      </c>
      <c r="D2332" s="1" t="s">
        <v>10685</v>
      </c>
      <c r="F2332" s="1" t="s">
        <v>10686</v>
      </c>
      <c r="H2332" s="1" t="s">
        <v>10689</v>
      </c>
      <c r="J2332" s="1" t="s">
        <v>10884</v>
      </c>
      <c r="L2332" s="1" t="s">
        <v>825</v>
      </c>
      <c r="M2332" s="1" t="s">
        <v>5397</v>
      </c>
      <c r="N2332" s="1" t="s">
        <v>923</v>
      </c>
      <c r="P2332" s="1" t="s">
        <v>3838</v>
      </c>
      <c r="Q2332" s="3">
        <v>0</v>
      </c>
      <c r="R2332" s="23" t="s">
        <v>10605</v>
      </c>
      <c r="S2332" s="23" t="s">
        <v>6847</v>
      </c>
      <c r="T2332" s="23" t="s">
        <v>4866</v>
      </c>
      <c r="U2332" s="3">
        <v>35</v>
      </c>
      <c r="W2332" s="45" t="str">
        <f>HYPERLINK("http://ictvonline.org/taxonomy/p/taxonomy-history?taxnode_id=201904077","ICTVonline=201904077")</f>
        <v>ICTVonline=201904077</v>
      </c>
      <c r="Y2332" s="1" t="s">
        <v>10903</v>
      </c>
      <c r="Z2332" s="1" t="s">
        <v>10904</v>
      </c>
      <c r="AA2332" s="1">
        <v>201900000</v>
      </c>
      <c r="AB2332" s="1">
        <v>35</v>
      </c>
    </row>
    <row r="2333" spans="1:28" x14ac:dyDescent="0.2">
      <c r="A2333" s="1">
        <v>6354</v>
      </c>
      <c r="B2333" s="1" t="s">
        <v>10590</v>
      </c>
      <c r="D2333" s="1" t="s">
        <v>10685</v>
      </c>
      <c r="F2333" s="1" t="s">
        <v>10686</v>
      </c>
      <c r="H2333" s="1" t="s">
        <v>10689</v>
      </c>
      <c r="J2333" s="1" t="s">
        <v>10884</v>
      </c>
      <c r="L2333" s="1" t="s">
        <v>825</v>
      </c>
      <c r="M2333" s="1" t="s">
        <v>5397</v>
      </c>
      <c r="N2333" s="1" t="s">
        <v>923</v>
      </c>
      <c r="P2333" s="1" t="s">
        <v>3839</v>
      </c>
      <c r="Q2333" s="3">
        <v>0</v>
      </c>
      <c r="R2333" s="23" t="s">
        <v>10605</v>
      </c>
      <c r="S2333" s="23" t="s">
        <v>6847</v>
      </c>
      <c r="T2333" s="23" t="s">
        <v>4866</v>
      </c>
      <c r="U2333" s="3">
        <v>35</v>
      </c>
      <c r="W2333" s="45" t="str">
        <f>HYPERLINK("http://ictvonline.org/taxonomy/p/taxonomy-history?taxnode_id=201904078","ICTVonline=201904078")</f>
        <v>ICTVonline=201904078</v>
      </c>
      <c r="Y2333" s="1" t="s">
        <v>10905</v>
      </c>
      <c r="Z2333" s="1" t="s">
        <v>10906</v>
      </c>
      <c r="AA2333" s="1">
        <v>201900000</v>
      </c>
      <c r="AB2333" s="1">
        <v>35</v>
      </c>
    </row>
    <row r="2334" spans="1:28" x14ac:dyDescent="0.2">
      <c r="A2334" s="1">
        <v>6356</v>
      </c>
      <c r="B2334" s="1" t="s">
        <v>10590</v>
      </c>
      <c r="D2334" s="1" t="s">
        <v>10685</v>
      </c>
      <c r="F2334" s="1" t="s">
        <v>10686</v>
      </c>
      <c r="H2334" s="1" t="s">
        <v>10689</v>
      </c>
      <c r="J2334" s="1" t="s">
        <v>10884</v>
      </c>
      <c r="L2334" s="1" t="s">
        <v>825</v>
      </c>
      <c r="M2334" s="1" t="s">
        <v>5397</v>
      </c>
      <c r="N2334" s="1" t="s">
        <v>923</v>
      </c>
      <c r="P2334" s="1" t="s">
        <v>3840</v>
      </c>
      <c r="Q2334" s="3">
        <v>0</v>
      </c>
      <c r="R2334" s="23" t="s">
        <v>10605</v>
      </c>
      <c r="S2334" s="23" t="s">
        <v>6847</v>
      </c>
      <c r="T2334" s="23" t="s">
        <v>4866</v>
      </c>
      <c r="U2334" s="3">
        <v>35</v>
      </c>
      <c r="W2334" s="45" t="str">
        <f>HYPERLINK("http://ictvonline.org/taxonomy/p/taxonomy-history?taxnode_id=201904079","ICTVonline=201904079")</f>
        <v>ICTVonline=201904079</v>
      </c>
      <c r="Y2334" s="1" t="s">
        <v>10907</v>
      </c>
      <c r="Z2334" s="1" t="s">
        <v>10908</v>
      </c>
      <c r="AA2334" s="1">
        <v>201900000</v>
      </c>
      <c r="AB2334" s="1">
        <v>35</v>
      </c>
    </row>
    <row r="2335" spans="1:28" x14ac:dyDescent="0.2">
      <c r="A2335" s="1">
        <v>6358</v>
      </c>
      <c r="B2335" s="1" t="s">
        <v>10590</v>
      </c>
      <c r="D2335" s="1" t="s">
        <v>10685</v>
      </c>
      <c r="F2335" s="1" t="s">
        <v>10686</v>
      </c>
      <c r="H2335" s="1" t="s">
        <v>10689</v>
      </c>
      <c r="J2335" s="1" t="s">
        <v>10884</v>
      </c>
      <c r="L2335" s="1" t="s">
        <v>825</v>
      </c>
      <c r="M2335" s="1" t="s">
        <v>5397</v>
      </c>
      <c r="N2335" s="1" t="s">
        <v>923</v>
      </c>
      <c r="P2335" s="1" t="s">
        <v>3841</v>
      </c>
      <c r="Q2335" s="3">
        <v>0</v>
      </c>
      <c r="R2335" s="23" t="s">
        <v>10605</v>
      </c>
      <c r="S2335" s="23" t="s">
        <v>6847</v>
      </c>
      <c r="T2335" s="23" t="s">
        <v>4866</v>
      </c>
      <c r="U2335" s="3">
        <v>35</v>
      </c>
      <c r="W2335" s="45" t="str">
        <f>HYPERLINK("http://ictvonline.org/taxonomy/p/taxonomy-history?taxnode_id=201904080","ICTVonline=201904080")</f>
        <v>ICTVonline=201904080</v>
      </c>
      <c r="Y2335" s="1" t="s">
        <v>10909</v>
      </c>
      <c r="Z2335" s="1" t="s">
        <v>10910</v>
      </c>
      <c r="AA2335" s="1">
        <v>201900000</v>
      </c>
      <c r="AB2335" s="1">
        <v>35</v>
      </c>
    </row>
    <row r="2336" spans="1:28" x14ac:dyDescent="0.2">
      <c r="A2336" s="1">
        <v>6360</v>
      </c>
      <c r="B2336" s="1" t="s">
        <v>10590</v>
      </c>
      <c r="D2336" s="1" t="s">
        <v>10685</v>
      </c>
      <c r="F2336" s="1" t="s">
        <v>10686</v>
      </c>
      <c r="H2336" s="1" t="s">
        <v>10689</v>
      </c>
      <c r="J2336" s="1" t="s">
        <v>10884</v>
      </c>
      <c r="L2336" s="1" t="s">
        <v>825</v>
      </c>
      <c r="M2336" s="1" t="s">
        <v>5397</v>
      </c>
      <c r="N2336" s="1" t="s">
        <v>923</v>
      </c>
      <c r="P2336" s="1" t="s">
        <v>5404</v>
      </c>
      <c r="Q2336" s="3">
        <v>0</v>
      </c>
      <c r="R2336" s="23" t="s">
        <v>10605</v>
      </c>
      <c r="S2336" s="23" t="s">
        <v>6847</v>
      </c>
      <c r="T2336" s="23" t="s">
        <v>4866</v>
      </c>
      <c r="U2336" s="3">
        <v>35</v>
      </c>
      <c r="W2336" s="45" t="str">
        <f>HYPERLINK("http://ictvonline.org/taxonomy/p/taxonomy-history?taxnode_id=201905870","ICTVonline=201905870")</f>
        <v>ICTVonline=201905870</v>
      </c>
      <c r="AA2336" s="1">
        <v>201900000</v>
      </c>
      <c r="AB2336" s="1">
        <v>35</v>
      </c>
    </row>
    <row r="2337" spans="1:28" x14ac:dyDescent="0.2">
      <c r="A2337" s="1">
        <v>6364</v>
      </c>
      <c r="B2337" s="1" t="s">
        <v>10590</v>
      </c>
      <c r="D2337" s="1" t="s">
        <v>10685</v>
      </c>
      <c r="F2337" s="1" t="s">
        <v>10686</v>
      </c>
      <c r="H2337" s="1" t="s">
        <v>10689</v>
      </c>
      <c r="J2337" s="1" t="s">
        <v>10884</v>
      </c>
      <c r="L2337" s="1" t="s">
        <v>825</v>
      </c>
      <c r="M2337" s="1" t="s">
        <v>5397</v>
      </c>
      <c r="N2337" s="1" t="s">
        <v>1046</v>
      </c>
      <c r="P2337" s="1" t="s">
        <v>156</v>
      </c>
      <c r="Q2337" s="3">
        <v>1</v>
      </c>
      <c r="R2337" s="23" t="s">
        <v>10605</v>
      </c>
      <c r="S2337" s="23" t="s">
        <v>6847</v>
      </c>
      <c r="T2337" s="23" t="s">
        <v>4866</v>
      </c>
      <c r="U2337" s="3">
        <v>35</v>
      </c>
      <c r="W2337" s="45" t="str">
        <f>HYPERLINK("http://ictvonline.org/taxonomy/p/taxonomy-history?taxnode_id=201904082","ICTVonline=201904082")</f>
        <v>ICTVonline=201904082</v>
      </c>
      <c r="AA2337" s="1">
        <v>201900000</v>
      </c>
      <c r="AB2337" s="1">
        <v>35</v>
      </c>
    </row>
    <row r="2338" spans="1:28" x14ac:dyDescent="0.2">
      <c r="A2338" s="1">
        <v>6366</v>
      </c>
      <c r="B2338" s="1" t="s">
        <v>10590</v>
      </c>
      <c r="D2338" s="1" t="s">
        <v>10685</v>
      </c>
      <c r="F2338" s="1" t="s">
        <v>10686</v>
      </c>
      <c r="H2338" s="1" t="s">
        <v>10689</v>
      </c>
      <c r="J2338" s="1" t="s">
        <v>10884</v>
      </c>
      <c r="L2338" s="1" t="s">
        <v>825</v>
      </c>
      <c r="M2338" s="1" t="s">
        <v>5397</v>
      </c>
      <c r="N2338" s="1" t="s">
        <v>1046</v>
      </c>
      <c r="P2338" s="1" t="s">
        <v>5405</v>
      </c>
      <c r="Q2338" s="3">
        <v>0</v>
      </c>
      <c r="R2338" s="23" t="s">
        <v>10605</v>
      </c>
      <c r="S2338" s="23" t="s">
        <v>6847</v>
      </c>
      <c r="T2338" s="23" t="s">
        <v>4866</v>
      </c>
      <c r="U2338" s="3">
        <v>35</v>
      </c>
      <c r="W2338" s="45" t="str">
        <f>HYPERLINK("http://ictvonline.org/taxonomy/p/taxonomy-history?taxnode_id=201905871","ICTVonline=201905871")</f>
        <v>ICTVonline=201905871</v>
      </c>
      <c r="AA2338" s="1">
        <v>201900000</v>
      </c>
      <c r="AB2338" s="1">
        <v>35</v>
      </c>
    </row>
    <row r="2339" spans="1:28" x14ac:dyDescent="0.2">
      <c r="A2339" s="1">
        <v>6370</v>
      </c>
      <c r="B2339" s="1" t="s">
        <v>10590</v>
      </c>
      <c r="D2339" s="1" t="s">
        <v>10685</v>
      </c>
      <c r="F2339" s="1" t="s">
        <v>10686</v>
      </c>
      <c r="H2339" s="1" t="s">
        <v>10689</v>
      </c>
      <c r="J2339" s="1" t="s">
        <v>10884</v>
      </c>
      <c r="L2339" s="1" t="s">
        <v>825</v>
      </c>
      <c r="M2339" s="1" t="s">
        <v>5397</v>
      </c>
      <c r="N2339" s="1" t="s">
        <v>1134</v>
      </c>
      <c r="P2339" s="1" t="s">
        <v>157</v>
      </c>
      <c r="Q2339" s="3">
        <v>0</v>
      </c>
      <c r="R2339" s="23" t="s">
        <v>10605</v>
      </c>
      <c r="S2339" s="23" t="s">
        <v>6847</v>
      </c>
      <c r="T2339" s="23" t="s">
        <v>4866</v>
      </c>
      <c r="U2339" s="3">
        <v>35</v>
      </c>
      <c r="W2339" s="45" t="str">
        <f>HYPERLINK("http://ictvonline.org/taxonomy/p/taxonomy-history?taxnode_id=201904084","ICTVonline=201904084")</f>
        <v>ICTVonline=201904084</v>
      </c>
      <c r="AA2339" s="1">
        <v>201900000</v>
      </c>
      <c r="AB2339" s="1">
        <v>35</v>
      </c>
    </row>
    <row r="2340" spans="1:28" x14ac:dyDescent="0.2">
      <c r="A2340" s="1">
        <v>6372</v>
      </c>
      <c r="B2340" s="1" t="s">
        <v>10590</v>
      </c>
      <c r="D2340" s="1" t="s">
        <v>10685</v>
      </c>
      <c r="F2340" s="1" t="s">
        <v>10686</v>
      </c>
      <c r="H2340" s="1" t="s">
        <v>10689</v>
      </c>
      <c r="J2340" s="1" t="s">
        <v>10884</v>
      </c>
      <c r="L2340" s="1" t="s">
        <v>825</v>
      </c>
      <c r="M2340" s="1" t="s">
        <v>5397</v>
      </c>
      <c r="N2340" s="1" t="s">
        <v>1134</v>
      </c>
      <c r="P2340" s="1" t="s">
        <v>158</v>
      </c>
      <c r="Q2340" s="3">
        <v>1</v>
      </c>
      <c r="R2340" s="23" t="s">
        <v>10605</v>
      </c>
      <c r="S2340" s="23" t="s">
        <v>6847</v>
      </c>
      <c r="T2340" s="23" t="s">
        <v>4866</v>
      </c>
      <c r="U2340" s="3">
        <v>35</v>
      </c>
      <c r="W2340" s="45" t="str">
        <f>HYPERLINK("http://ictvonline.org/taxonomy/p/taxonomy-history?taxnode_id=201904085","ICTVonline=201904085")</f>
        <v>ICTVonline=201904085</v>
      </c>
      <c r="AA2340" s="1">
        <v>201900000</v>
      </c>
      <c r="AB2340" s="1">
        <v>35</v>
      </c>
    </row>
    <row r="2341" spans="1:28" x14ac:dyDescent="0.2">
      <c r="A2341" s="1">
        <v>6376</v>
      </c>
      <c r="B2341" s="1" t="s">
        <v>10590</v>
      </c>
      <c r="D2341" s="1" t="s">
        <v>10685</v>
      </c>
      <c r="F2341" s="1" t="s">
        <v>10686</v>
      </c>
      <c r="H2341" s="1" t="s">
        <v>10689</v>
      </c>
      <c r="J2341" s="1" t="s">
        <v>10884</v>
      </c>
      <c r="L2341" s="1" t="s">
        <v>825</v>
      </c>
      <c r="M2341" s="1" t="s">
        <v>5397</v>
      </c>
      <c r="N2341" s="1" t="s">
        <v>1135</v>
      </c>
      <c r="P2341" s="1" t="s">
        <v>159</v>
      </c>
      <c r="Q2341" s="3">
        <v>0</v>
      </c>
      <c r="R2341" s="23" t="s">
        <v>10605</v>
      </c>
      <c r="S2341" s="23" t="s">
        <v>6847</v>
      </c>
      <c r="T2341" s="23" t="s">
        <v>4866</v>
      </c>
      <c r="U2341" s="3">
        <v>35</v>
      </c>
      <c r="W2341" s="45" t="str">
        <f>HYPERLINK("http://ictvonline.org/taxonomy/p/taxonomy-history?taxnode_id=201904087","ICTVonline=201904087")</f>
        <v>ICTVonline=201904087</v>
      </c>
      <c r="AA2341" s="1">
        <v>201900000</v>
      </c>
      <c r="AB2341" s="1">
        <v>35</v>
      </c>
    </row>
    <row r="2342" spans="1:28" x14ac:dyDescent="0.2">
      <c r="A2342" s="1">
        <v>6378</v>
      </c>
      <c r="B2342" s="1" t="s">
        <v>10590</v>
      </c>
      <c r="D2342" s="1" t="s">
        <v>10685</v>
      </c>
      <c r="F2342" s="1" t="s">
        <v>10686</v>
      </c>
      <c r="H2342" s="1" t="s">
        <v>10689</v>
      </c>
      <c r="J2342" s="1" t="s">
        <v>10884</v>
      </c>
      <c r="L2342" s="1" t="s">
        <v>825</v>
      </c>
      <c r="M2342" s="1" t="s">
        <v>5397</v>
      </c>
      <c r="N2342" s="1" t="s">
        <v>1135</v>
      </c>
      <c r="P2342" s="1" t="s">
        <v>160</v>
      </c>
      <c r="Q2342" s="3">
        <v>1</v>
      </c>
      <c r="R2342" s="23" t="s">
        <v>10605</v>
      </c>
      <c r="S2342" s="23" t="s">
        <v>6847</v>
      </c>
      <c r="T2342" s="23" t="s">
        <v>4866</v>
      </c>
      <c r="U2342" s="3">
        <v>35</v>
      </c>
      <c r="W2342" s="45" t="str">
        <f>HYPERLINK("http://ictvonline.org/taxonomy/p/taxonomy-history?taxnode_id=201904088","ICTVonline=201904088")</f>
        <v>ICTVonline=201904088</v>
      </c>
      <c r="AA2342" s="1">
        <v>201900000</v>
      </c>
      <c r="AB2342" s="1">
        <v>35</v>
      </c>
    </row>
    <row r="2343" spans="1:28" x14ac:dyDescent="0.2">
      <c r="A2343" s="1">
        <v>6380</v>
      </c>
      <c r="B2343" s="1" t="s">
        <v>10590</v>
      </c>
      <c r="D2343" s="1" t="s">
        <v>10685</v>
      </c>
      <c r="F2343" s="1" t="s">
        <v>10686</v>
      </c>
      <c r="H2343" s="1" t="s">
        <v>10689</v>
      </c>
      <c r="J2343" s="1" t="s">
        <v>10884</v>
      </c>
      <c r="L2343" s="1" t="s">
        <v>825</v>
      </c>
      <c r="M2343" s="1" t="s">
        <v>5397</v>
      </c>
      <c r="N2343" s="1" t="s">
        <v>1135</v>
      </c>
      <c r="P2343" s="1" t="s">
        <v>161</v>
      </c>
      <c r="Q2343" s="3">
        <v>0</v>
      </c>
      <c r="R2343" s="23" t="s">
        <v>10605</v>
      </c>
      <c r="S2343" s="23" t="s">
        <v>6847</v>
      </c>
      <c r="T2343" s="23" t="s">
        <v>4866</v>
      </c>
      <c r="U2343" s="3">
        <v>35</v>
      </c>
      <c r="W2343" s="45" t="str">
        <f>HYPERLINK("http://ictvonline.org/taxonomy/p/taxonomy-history?taxnode_id=201904089","ICTVonline=201904089")</f>
        <v>ICTVonline=201904089</v>
      </c>
      <c r="AA2343" s="1">
        <v>201900000</v>
      </c>
      <c r="AB2343" s="1">
        <v>35</v>
      </c>
    </row>
    <row r="2344" spans="1:28" x14ac:dyDescent="0.2">
      <c r="A2344" s="1">
        <v>6382</v>
      </c>
      <c r="B2344" s="1" t="s">
        <v>10590</v>
      </c>
      <c r="D2344" s="1" t="s">
        <v>10685</v>
      </c>
      <c r="F2344" s="1" t="s">
        <v>10686</v>
      </c>
      <c r="H2344" s="1" t="s">
        <v>10689</v>
      </c>
      <c r="J2344" s="1" t="s">
        <v>10884</v>
      </c>
      <c r="L2344" s="1" t="s">
        <v>825</v>
      </c>
      <c r="M2344" s="1" t="s">
        <v>5397</v>
      </c>
      <c r="N2344" s="1" t="s">
        <v>1135</v>
      </c>
      <c r="P2344" s="1" t="s">
        <v>162</v>
      </c>
      <c r="Q2344" s="3">
        <v>0</v>
      </c>
      <c r="R2344" s="23" t="s">
        <v>10605</v>
      </c>
      <c r="S2344" s="23" t="s">
        <v>6847</v>
      </c>
      <c r="T2344" s="23" t="s">
        <v>4866</v>
      </c>
      <c r="U2344" s="3">
        <v>35</v>
      </c>
      <c r="W2344" s="45" t="str">
        <f>HYPERLINK("http://ictvonline.org/taxonomy/p/taxonomy-history?taxnode_id=201904090","ICTVonline=201904090")</f>
        <v>ICTVonline=201904090</v>
      </c>
      <c r="AA2344" s="1">
        <v>201900000</v>
      </c>
      <c r="AB2344" s="1">
        <v>35</v>
      </c>
    </row>
    <row r="2345" spans="1:28" x14ac:dyDescent="0.2">
      <c r="A2345" s="1">
        <v>6384</v>
      </c>
      <c r="B2345" s="1" t="s">
        <v>10590</v>
      </c>
      <c r="D2345" s="1" t="s">
        <v>10685</v>
      </c>
      <c r="F2345" s="1" t="s">
        <v>10686</v>
      </c>
      <c r="H2345" s="1" t="s">
        <v>10689</v>
      </c>
      <c r="J2345" s="1" t="s">
        <v>10884</v>
      </c>
      <c r="L2345" s="1" t="s">
        <v>825</v>
      </c>
      <c r="M2345" s="1" t="s">
        <v>5397</v>
      </c>
      <c r="N2345" s="1" t="s">
        <v>1135</v>
      </c>
      <c r="P2345" s="1" t="s">
        <v>2501</v>
      </c>
      <c r="Q2345" s="3">
        <v>0</v>
      </c>
      <c r="R2345" s="23" t="s">
        <v>10605</v>
      </c>
      <c r="S2345" s="23" t="s">
        <v>6847</v>
      </c>
      <c r="T2345" s="23" t="s">
        <v>4866</v>
      </c>
      <c r="U2345" s="3">
        <v>35</v>
      </c>
      <c r="W2345" s="45" t="str">
        <f>HYPERLINK("http://ictvonline.org/taxonomy/p/taxonomy-history?taxnode_id=201904091","ICTVonline=201904091")</f>
        <v>ICTVonline=201904091</v>
      </c>
      <c r="AA2345" s="1">
        <v>201900000</v>
      </c>
      <c r="AB2345" s="1">
        <v>35</v>
      </c>
    </row>
    <row r="2346" spans="1:28" x14ac:dyDescent="0.2">
      <c r="A2346" s="1">
        <v>6388</v>
      </c>
      <c r="B2346" s="1" t="s">
        <v>10590</v>
      </c>
      <c r="D2346" s="1" t="s">
        <v>10685</v>
      </c>
      <c r="F2346" s="1" t="s">
        <v>10686</v>
      </c>
      <c r="H2346" s="1" t="s">
        <v>10689</v>
      </c>
      <c r="J2346" s="1" t="s">
        <v>10884</v>
      </c>
      <c r="L2346" s="1" t="s">
        <v>825</v>
      </c>
      <c r="M2346" s="1" t="s">
        <v>5397</v>
      </c>
      <c r="N2346" s="1" t="s">
        <v>1136</v>
      </c>
      <c r="P2346" s="1" t="s">
        <v>163</v>
      </c>
      <c r="Q2346" s="3">
        <v>1</v>
      </c>
      <c r="R2346" s="23" t="s">
        <v>10605</v>
      </c>
      <c r="S2346" s="23" t="s">
        <v>6847</v>
      </c>
      <c r="T2346" s="23" t="s">
        <v>4866</v>
      </c>
      <c r="U2346" s="3">
        <v>35</v>
      </c>
      <c r="W2346" s="45" t="str">
        <f>HYPERLINK("http://ictvonline.org/taxonomy/p/taxonomy-history?taxnode_id=201904093","ICTVonline=201904093")</f>
        <v>ICTVonline=201904093</v>
      </c>
      <c r="AA2346" s="1">
        <v>201900000</v>
      </c>
      <c r="AB2346" s="1">
        <v>35</v>
      </c>
    </row>
    <row r="2347" spans="1:28" x14ac:dyDescent="0.2">
      <c r="A2347" s="1">
        <v>6390</v>
      </c>
      <c r="B2347" s="1" t="s">
        <v>10590</v>
      </c>
      <c r="D2347" s="1" t="s">
        <v>10685</v>
      </c>
      <c r="F2347" s="1" t="s">
        <v>10686</v>
      </c>
      <c r="H2347" s="1" t="s">
        <v>10689</v>
      </c>
      <c r="J2347" s="1" t="s">
        <v>10884</v>
      </c>
      <c r="L2347" s="1" t="s">
        <v>825</v>
      </c>
      <c r="M2347" s="1" t="s">
        <v>5397</v>
      </c>
      <c r="N2347" s="1" t="s">
        <v>1136</v>
      </c>
      <c r="P2347" s="1" t="s">
        <v>164</v>
      </c>
      <c r="Q2347" s="3">
        <v>0</v>
      </c>
      <c r="R2347" s="23" t="s">
        <v>10605</v>
      </c>
      <c r="S2347" s="23" t="s">
        <v>6847</v>
      </c>
      <c r="T2347" s="23" t="s">
        <v>4866</v>
      </c>
      <c r="U2347" s="3">
        <v>35</v>
      </c>
      <c r="W2347" s="45" t="str">
        <f>HYPERLINK("http://ictvonline.org/taxonomy/p/taxonomy-history?taxnode_id=201904094","ICTVonline=201904094")</f>
        <v>ICTVonline=201904094</v>
      </c>
      <c r="AA2347" s="1">
        <v>201900000</v>
      </c>
      <c r="AB2347" s="1">
        <v>35</v>
      </c>
    </row>
    <row r="2348" spans="1:28" x14ac:dyDescent="0.2">
      <c r="A2348" s="1">
        <v>6392</v>
      </c>
      <c r="B2348" s="1" t="s">
        <v>10590</v>
      </c>
      <c r="D2348" s="1" t="s">
        <v>10685</v>
      </c>
      <c r="F2348" s="1" t="s">
        <v>10686</v>
      </c>
      <c r="H2348" s="1" t="s">
        <v>10689</v>
      </c>
      <c r="J2348" s="1" t="s">
        <v>10884</v>
      </c>
      <c r="L2348" s="1" t="s">
        <v>825</v>
      </c>
      <c r="M2348" s="1" t="s">
        <v>5397</v>
      </c>
      <c r="N2348" s="1" t="s">
        <v>1136</v>
      </c>
      <c r="P2348" s="1" t="s">
        <v>3842</v>
      </c>
      <c r="Q2348" s="3">
        <v>0</v>
      </c>
      <c r="R2348" s="23" t="s">
        <v>10605</v>
      </c>
      <c r="S2348" s="23" t="s">
        <v>6847</v>
      </c>
      <c r="T2348" s="23" t="s">
        <v>4866</v>
      </c>
      <c r="U2348" s="3">
        <v>35</v>
      </c>
      <c r="W2348" s="45" t="str">
        <f>HYPERLINK("http://ictvonline.org/taxonomy/p/taxonomy-history?taxnode_id=201904095","ICTVonline=201904095")</f>
        <v>ICTVonline=201904095</v>
      </c>
      <c r="Y2348" s="1" t="s">
        <v>10911</v>
      </c>
      <c r="Z2348" s="1" t="s">
        <v>10912</v>
      </c>
      <c r="AA2348" s="1">
        <v>201900000</v>
      </c>
      <c r="AB2348" s="1">
        <v>35</v>
      </c>
    </row>
    <row r="2349" spans="1:28" x14ac:dyDescent="0.2">
      <c r="A2349" s="1">
        <v>6396</v>
      </c>
      <c r="B2349" s="1" t="s">
        <v>10590</v>
      </c>
      <c r="D2349" s="1" t="s">
        <v>10685</v>
      </c>
      <c r="F2349" s="1" t="s">
        <v>10686</v>
      </c>
      <c r="H2349" s="1" t="s">
        <v>10689</v>
      </c>
      <c r="J2349" s="1" t="s">
        <v>10884</v>
      </c>
      <c r="L2349" s="1" t="s">
        <v>825</v>
      </c>
      <c r="M2349" s="1" t="s">
        <v>5397</v>
      </c>
      <c r="N2349" s="1" t="s">
        <v>1137</v>
      </c>
      <c r="P2349" s="1" t="s">
        <v>165</v>
      </c>
      <c r="Q2349" s="3">
        <v>1</v>
      </c>
      <c r="R2349" s="23" t="s">
        <v>10605</v>
      </c>
      <c r="S2349" s="23" t="s">
        <v>6847</v>
      </c>
      <c r="T2349" s="23" t="s">
        <v>4866</v>
      </c>
      <c r="U2349" s="3">
        <v>35</v>
      </c>
      <c r="W2349" s="45" t="str">
        <f>HYPERLINK("http://ictvonline.org/taxonomy/p/taxonomy-history?taxnode_id=201904097","ICTVonline=201904097")</f>
        <v>ICTVonline=201904097</v>
      </c>
      <c r="AA2349" s="1">
        <v>201900000</v>
      </c>
      <c r="AB2349" s="1">
        <v>35</v>
      </c>
    </row>
    <row r="2350" spans="1:28" x14ac:dyDescent="0.2">
      <c r="A2350" s="1">
        <v>6400</v>
      </c>
      <c r="B2350" s="1" t="s">
        <v>10590</v>
      </c>
      <c r="D2350" s="1" t="s">
        <v>10685</v>
      </c>
      <c r="F2350" s="1" t="s">
        <v>10686</v>
      </c>
      <c r="H2350" s="1" t="s">
        <v>10689</v>
      </c>
      <c r="J2350" s="1" t="s">
        <v>10884</v>
      </c>
      <c r="L2350" s="1" t="s">
        <v>825</v>
      </c>
      <c r="M2350" s="1" t="s">
        <v>5397</v>
      </c>
      <c r="N2350" s="1" t="s">
        <v>166</v>
      </c>
      <c r="P2350" s="1" t="s">
        <v>167</v>
      </c>
      <c r="Q2350" s="3">
        <v>1</v>
      </c>
      <c r="R2350" s="23" t="s">
        <v>10605</v>
      </c>
      <c r="S2350" s="23" t="s">
        <v>6847</v>
      </c>
      <c r="T2350" s="23" t="s">
        <v>4866</v>
      </c>
      <c r="U2350" s="3">
        <v>35</v>
      </c>
      <c r="W2350" s="45" t="str">
        <f>HYPERLINK("http://ictvonline.org/taxonomy/p/taxonomy-history?taxnode_id=201904099","ICTVonline=201904099")</f>
        <v>ICTVonline=201904099</v>
      </c>
      <c r="AA2350" s="1">
        <v>201900000</v>
      </c>
      <c r="AB2350" s="1">
        <v>35</v>
      </c>
    </row>
    <row r="2351" spans="1:28" x14ac:dyDescent="0.2">
      <c r="A2351" s="1">
        <v>6404</v>
      </c>
      <c r="B2351" s="1" t="s">
        <v>10590</v>
      </c>
      <c r="D2351" s="1" t="s">
        <v>10685</v>
      </c>
      <c r="F2351" s="1" t="s">
        <v>10686</v>
      </c>
      <c r="H2351" s="1" t="s">
        <v>10689</v>
      </c>
      <c r="J2351" s="1" t="s">
        <v>10884</v>
      </c>
      <c r="L2351" s="1" t="s">
        <v>825</v>
      </c>
      <c r="M2351" s="1" t="s">
        <v>5397</v>
      </c>
      <c r="N2351" s="1" t="s">
        <v>550</v>
      </c>
      <c r="P2351" s="1" t="s">
        <v>168</v>
      </c>
      <c r="Q2351" s="3">
        <v>1</v>
      </c>
      <c r="R2351" s="23" t="s">
        <v>10605</v>
      </c>
      <c r="S2351" s="23" t="s">
        <v>6847</v>
      </c>
      <c r="T2351" s="23" t="s">
        <v>4866</v>
      </c>
      <c r="U2351" s="3">
        <v>35</v>
      </c>
      <c r="W2351" s="45" t="str">
        <f>HYPERLINK("http://ictvonline.org/taxonomy/p/taxonomy-history?taxnode_id=201904101","ICTVonline=201904101")</f>
        <v>ICTVonline=201904101</v>
      </c>
      <c r="AA2351" s="1">
        <v>201900000</v>
      </c>
      <c r="AB2351" s="1">
        <v>35</v>
      </c>
    </row>
    <row r="2352" spans="1:28" x14ac:dyDescent="0.2">
      <c r="A2352" s="1">
        <v>6408</v>
      </c>
      <c r="B2352" s="1" t="s">
        <v>10590</v>
      </c>
      <c r="D2352" s="1" t="s">
        <v>10685</v>
      </c>
      <c r="F2352" s="1" t="s">
        <v>10686</v>
      </c>
      <c r="H2352" s="1" t="s">
        <v>10689</v>
      </c>
      <c r="J2352" s="1" t="s">
        <v>10884</v>
      </c>
      <c r="L2352" s="1" t="s">
        <v>825</v>
      </c>
      <c r="M2352" s="1" t="s">
        <v>5397</v>
      </c>
      <c r="N2352" s="1" t="s">
        <v>169</v>
      </c>
      <c r="P2352" s="1" t="s">
        <v>170</v>
      </c>
      <c r="Q2352" s="3">
        <v>1</v>
      </c>
      <c r="R2352" s="23" t="s">
        <v>10605</v>
      </c>
      <c r="S2352" s="23" t="s">
        <v>6847</v>
      </c>
      <c r="T2352" s="23" t="s">
        <v>4866</v>
      </c>
      <c r="U2352" s="3">
        <v>35</v>
      </c>
      <c r="W2352" s="45" t="str">
        <f>HYPERLINK("http://ictvonline.org/taxonomy/p/taxonomy-history?taxnode_id=201904103","ICTVonline=201904103")</f>
        <v>ICTVonline=201904103</v>
      </c>
      <c r="AA2352" s="1">
        <v>201900000</v>
      </c>
      <c r="AB2352" s="1">
        <v>35</v>
      </c>
    </row>
    <row r="2353" spans="1:28" x14ac:dyDescent="0.2">
      <c r="A2353" s="1">
        <v>6412</v>
      </c>
      <c r="B2353" s="1" t="s">
        <v>10590</v>
      </c>
      <c r="D2353" s="1" t="s">
        <v>10685</v>
      </c>
      <c r="F2353" s="1" t="s">
        <v>10686</v>
      </c>
      <c r="H2353" s="1" t="s">
        <v>10689</v>
      </c>
      <c r="J2353" s="1" t="s">
        <v>10884</v>
      </c>
      <c r="L2353" s="1" t="s">
        <v>825</v>
      </c>
      <c r="M2353" s="1" t="s">
        <v>5397</v>
      </c>
      <c r="N2353" s="1" t="s">
        <v>1138</v>
      </c>
      <c r="P2353" s="1" t="s">
        <v>171</v>
      </c>
      <c r="Q2353" s="3">
        <v>1</v>
      </c>
      <c r="R2353" s="23" t="s">
        <v>10605</v>
      </c>
      <c r="S2353" s="23" t="s">
        <v>6847</v>
      </c>
      <c r="T2353" s="23" t="s">
        <v>4866</v>
      </c>
      <c r="U2353" s="3">
        <v>35</v>
      </c>
      <c r="W2353" s="45" t="str">
        <f>HYPERLINK("http://ictvonline.org/taxonomy/p/taxonomy-history?taxnode_id=201904105","ICTVonline=201904105")</f>
        <v>ICTVonline=201904105</v>
      </c>
      <c r="AA2353" s="1">
        <v>201900000</v>
      </c>
      <c r="AB2353" s="1">
        <v>35</v>
      </c>
    </row>
    <row r="2354" spans="1:28" x14ac:dyDescent="0.2">
      <c r="A2354" s="1">
        <v>6414</v>
      </c>
      <c r="B2354" s="1" t="s">
        <v>10590</v>
      </c>
      <c r="D2354" s="1" t="s">
        <v>10685</v>
      </c>
      <c r="F2354" s="1" t="s">
        <v>10686</v>
      </c>
      <c r="H2354" s="1" t="s">
        <v>10689</v>
      </c>
      <c r="J2354" s="1" t="s">
        <v>10884</v>
      </c>
      <c r="L2354" s="1" t="s">
        <v>825</v>
      </c>
      <c r="M2354" s="1" t="s">
        <v>5397</v>
      </c>
      <c r="N2354" s="1" t="s">
        <v>1138</v>
      </c>
      <c r="P2354" s="1" t="s">
        <v>172</v>
      </c>
      <c r="Q2354" s="3">
        <v>0</v>
      </c>
      <c r="R2354" s="23" t="s">
        <v>10605</v>
      </c>
      <c r="S2354" s="23" t="s">
        <v>6847</v>
      </c>
      <c r="T2354" s="23" t="s">
        <v>4866</v>
      </c>
      <c r="U2354" s="3">
        <v>35</v>
      </c>
      <c r="W2354" s="45" t="str">
        <f>HYPERLINK("http://ictvonline.org/taxonomy/p/taxonomy-history?taxnode_id=201904106","ICTVonline=201904106")</f>
        <v>ICTVonline=201904106</v>
      </c>
      <c r="AA2354" s="1">
        <v>201900000</v>
      </c>
      <c r="AB2354" s="1">
        <v>35</v>
      </c>
    </row>
    <row r="2355" spans="1:28" x14ac:dyDescent="0.2">
      <c r="A2355" s="1">
        <v>6418</v>
      </c>
      <c r="B2355" s="1" t="s">
        <v>10590</v>
      </c>
      <c r="D2355" s="1" t="s">
        <v>10685</v>
      </c>
      <c r="F2355" s="1" t="s">
        <v>10686</v>
      </c>
      <c r="H2355" s="1" t="s">
        <v>10689</v>
      </c>
      <c r="J2355" s="1" t="s">
        <v>10884</v>
      </c>
      <c r="L2355" s="1" t="s">
        <v>825</v>
      </c>
      <c r="M2355" s="1" t="s">
        <v>5397</v>
      </c>
      <c r="N2355" s="1" t="s">
        <v>173</v>
      </c>
      <c r="P2355" s="1" t="s">
        <v>174</v>
      </c>
      <c r="Q2355" s="3">
        <v>1</v>
      </c>
      <c r="R2355" s="23" t="s">
        <v>10605</v>
      </c>
      <c r="S2355" s="23" t="s">
        <v>6847</v>
      </c>
      <c r="T2355" s="23" t="s">
        <v>4866</v>
      </c>
      <c r="U2355" s="3">
        <v>35</v>
      </c>
      <c r="W2355" s="45" t="str">
        <f>HYPERLINK("http://ictvonline.org/taxonomy/p/taxonomy-history?taxnode_id=201904108","ICTVonline=201904108")</f>
        <v>ICTVonline=201904108</v>
      </c>
      <c r="AA2355" s="1">
        <v>201900000</v>
      </c>
      <c r="AB2355" s="1">
        <v>35</v>
      </c>
    </row>
    <row r="2356" spans="1:28" x14ac:dyDescent="0.2">
      <c r="A2356" s="1">
        <v>6420</v>
      </c>
      <c r="B2356" s="1" t="s">
        <v>10590</v>
      </c>
      <c r="D2356" s="1" t="s">
        <v>10685</v>
      </c>
      <c r="F2356" s="1" t="s">
        <v>10686</v>
      </c>
      <c r="H2356" s="1" t="s">
        <v>10689</v>
      </c>
      <c r="J2356" s="1" t="s">
        <v>10884</v>
      </c>
      <c r="L2356" s="1" t="s">
        <v>825</v>
      </c>
      <c r="M2356" s="1" t="s">
        <v>5397</v>
      </c>
      <c r="N2356" s="1" t="s">
        <v>173</v>
      </c>
      <c r="P2356" s="1" t="s">
        <v>5406</v>
      </c>
      <c r="Q2356" s="3">
        <v>0</v>
      </c>
      <c r="R2356" s="23" t="s">
        <v>10605</v>
      </c>
      <c r="S2356" s="23" t="s">
        <v>6847</v>
      </c>
      <c r="T2356" s="23" t="s">
        <v>4866</v>
      </c>
      <c r="U2356" s="3">
        <v>35</v>
      </c>
      <c r="W2356" s="45" t="str">
        <f>HYPERLINK("http://ictvonline.org/taxonomy/p/taxonomy-history?taxnode_id=201905872","ICTVonline=201905872")</f>
        <v>ICTVonline=201905872</v>
      </c>
      <c r="AA2356" s="1">
        <v>201900000</v>
      </c>
      <c r="AB2356" s="1">
        <v>35</v>
      </c>
    </row>
    <row r="2357" spans="1:28" x14ac:dyDescent="0.2">
      <c r="A2357" s="1">
        <v>6422</v>
      </c>
      <c r="B2357" s="1" t="s">
        <v>10590</v>
      </c>
      <c r="D2357" s="1" t="s">
        <v>10685</v>
      </c>
      <c r="F2357" s="1" t="s">
        <v>10686</v>
      </c>
      <c r="H2357" s="1" t="s">
        <v>10689</v>
      </c>
      <c r="J2357" s="1" t="s">
        <v>10884</v>
      </c>
      <c r="L2357" s="1" t="s">
        <v>825</v>
      </c>
      <c r="M2357" s="1" t="s">
        <v>5397</v>
      </c>
      <c r="N2357" s="1" t="s">
        <v>173</v>
      </c>
      <c r="P2357" s="1" t="s">
        <v>5407</v>
      </c>
      <c r="Q2357" s="3">
        <v>0</v>
      </c>
      <c r="R2357" s="23" t="s">
        <v>10605</v>
      </c>
      <c r="S2357" s="23" t="s">
        <v>6847</v>
      </c>
      <c r="T2357" s="23" t="s">
        <v>4866</v>
      </c>
      <c r="U2357" s="3">
        <v>35</v>
      </c>
      <c r="W2357" s="45" t="str">
        <f>HYPERLINK("http://ictvonline.org/taxonomy/p/taxonomy-history?taxnode_id=201905873","ICTVonline=201905873")</f>
        <v>ICTVonline=201905873</v>
      </c>
      <c r="AA2357" s="1">
        <v>201900000</v>
      </c>
      <c r="AB2357" s="1">
        <v>35</v>
      </c>
    </row>
    <row r="2358" spans="1:28" x14ac:dyDescent="0.2">
      <c r="A2358" s="1">
        <v>6426</v>
      </c>
      <c r="B2358" s="1" t="s">
        <v>10590</v>
      </c>
      <c r="D2358" s="1" t="s">
        <v>10685</v>
      </c>
      <c r="F2358" s="1" t="s">
        <v>10686</v>
      </c>
      <c r="H2358" s="1" t="s">
        <v>10689</v>
      </c>
      <c r="J2358" s="1" t="s">
        <v>10884</v>
      </c>
      <c r="L2358" s="1" t="s">
        <v>825</v>
      </c>
      <c r="M2358" s="1" t="s">
        <v>5397</v>
      </c>
      <c r="N2358" s="1" t="s">
        <v>175</v>
      </c>
      <c r="P2358" s="1" t="s">
        <v>176</v>
      </c>
      <c r="Q2358" s="3">
        <v>1</v>
      </c>
      <c r="R2358" s="23" t="s">
        <v>10605</v>
      </c>
      <c r="S2358" s="23" t="s">
        <v>6847</v>
      </c>
      <c r="T2358" s="23" t="s">
        <v>4866</v>
      </c>
      <c r="U2358" s="3">
        <v>35</v>
      </c>
      <c r="W2358" s="45" t="str">
        <f>HYPERLINK("http://ictvonline.org/taxonomy/p/taxonomy-history?taxnode_id=201904110","ICTVonline=201904110")</f>
        <v>ICTVonline=201904110</v>
      </c>
      <c r="AA2358" s="1">
        <v>201900000</v>
      </c>
      <c r="AB2358" s="1">
        <v>35</v>
      </c>
    </row>
    <row r="2359" spans="1:28" x14ac:dyDescent="0.2">
      <c r="A2359" s="1">
        <v>6428</v>
      </c>
      <c r="B2359" s="1" t="s">
        <v>10590</v>
      </c>
      <c r="D2359" s="1" t="s">
        <v>10685</v>
      </c>
      <c r="F2359" s="1" t="s">
        <v>10686</v>
      </c>
      <c r="H2359" s="1" t="s">
        <v>10689</v>
      </c>
      <c r="J2359" s="1" t="s">
        <v>10884</v>
      </c>
      <c r="L2359" s="1" t="s">
        <v>825</v>
      </c>
      <c r="M2359" s="1" t="s">
        <v>5397</v>
      </c>
      <c r="N2359" s="1" t="s">
        <v>175</v>
      </c>
      <c r="P2359" s="1" t="s">
        <v>3843</v>
      </c>
      <c r="Q2359" s="3">
        <v>0</v>
      </c>
      <c r="R2359" s="23" t="s">
        <v>10605</v>
      </c>
      <c r="S2359" s="23" t="s">
        <v>6847</v>
      </c>
      <c r="T2359" s="23" t="s">
        <v>4866</v>
      </c>
      <c r="U2359" s="3">
        <v>35</v>
      </c>
      <c r="W2359" s="45" t="str">
        <f>HYPERLINK("http://ictvonline.org/taxonomy/p/taxonomy-history?taxnode_id=201904111","ICTVonline=201904111")</f>
        <v>ICTVonline=201904111</v>
      </c>
      <c r="Y2359" s="1" t="s">
        <v>10913</v>
      </c>
      <c r="Z2359" s="1" t="s">
        <v>10914</v>
      </c>
      <c r="AA2359" s="1">
        <v>201900000</v>
      </c>
      <c r="AB2359" s="1">
        <v>35</v>
      </c>
    </row>
    <row r="2360" spans="1:28" x14ac:dyDescent="0.2">
      <c r="A2360" s="1">
        <v>6432</v>
      </c>
      <c r="B2360" s="1" t="s">
        <v>10590</v>
      </c>
      <c r="D2360" s="1" t="s">
        <v>10685</v>
      </c>
      <c r="F2360" s="1" t="s">
        <v>10686</v>
      </c>
      <c r="H2360" s="1" t="s">
        <v>10689</v>
      </c>
      <c r="J2360" s="1" t="s">
        <v>10884</v>
      </c>
      <c r="L2360" s="1" t="s">
        <v>825</v>
      </c>
      <c r="M2360" s="1" t="s">
        <v>5397</v>
      </c>
      <c r="N2360" s="1" t="s">
        <v>177</v>
      </c>
      <c r="P2360" s="1" t="s">
        <v>178</v>
      </c>
      <c r="Q2360" s="3">
        <v>1</v>
      </c>
      <c r="R2360" s="23" t="s">
        <v>10605</v>
      </c>
      <c r="S2360" s="23" t="s">
        <v>6847</v>
      </c>
      <c r="T2360" s="23" t="s">
        <v>4866</v>
      </c>
      <c r="U2360" s="3">
        <v>35</v>
      </c>
      <c r="W2360" s="45" t="str">
        <f>HYPERLINK("http://ictvonline.org/taxonomy/p/taxonomy-history?taxnode_id=201904113","ICTVonline=201904113")</f>
        <v>ICTVonline=201904113</v>
      </c>
      <c r="AA2360" s="1">
        <v>201900000</v>
      </c>
      <c r="AB2360" s="1">
        <v>35</v>
      </c>
    </row>
    <row r="2361" spans="1:28" x14ac:dyDescent="0.2">
      <c r="A2361" s="1">
        <v>6436</v>
      </c>
      <c r="B2361" s="1" t="s">
        <v>10590</v>
      </c>
      <c r="D2361" s="1" t="s">
        <v>10685</v>
      </c>
      <c r="F2361" s="1" t="s">
        <v>10686</v>
      </c>
      <c r="H2361" s="1" t="s">
        <v>10689</v>
      </c>
      <c r="J2361" s="1" t="s">
        <v>10884</v>
      </c>
      <c r="L2361" s="1" t="s">
        <v>825</v>
      </c>
      <c r="M2361" s="1" t="s">
        <v>5397</v>
      </c>
      <c r="N2361" s="1" t="s">
        <v>179</v>
      </c>
      <c r="P2361" s="1" t="s">
        <v>180</v>
      </c>
      <c r="Q2361" s="3">
        <v>1</v>
      </c>
      <c r="R2361" s="23" t="s">
        <v>10605</v>
      </c>
      <c r="S2361" s="23" t="s">
        <v>6847</v>
      </c>
      <c r="T2361" s="23" t="s">
        <v>4866</v>
      </c>
      <c r="U2361" s="3">
        <v>35</v>
      </c>
      <c r="W2361" s="45" t="str">
        <f>HYPERLINK("http://ictvonline.org/taxonomy/p/taxonomy-history?taxnode_id=201904115","ICTVonline=201904115")</f>
        <v>ICTVonline=201904115</v>
      </c>
      <c r="AA2361" s="1">
        <v>201900000</v>
      </c>
      <c r="AB2361" s="1">
        <v>35</v>
      </c>
    </row>
    <row r="2362" spans="1:28" x14ac:dyDescent="0.2">
      <c r="A2362" s="1">
        <v>6438</v>
      </c>
      <c r="B2362" s="1" t="s">
        <v>10590</v>
      </c>
      <c r="D2362" s="1" t="s">
        <v>10685</v>
      </c>
      <c r="F2362" s="1" t="s">
        <v>10686</v>
      </c>
      <c r="H2362" s="1" t="s">
        <v>10689</v>
      </c>
      <c r="J2362" s="1" t="s">
        <v>10884</v>
      </c>
      <c r="L2362" s="1" t="s">
        <v>825</v>
      </c>
      <c r="M2362" s="1" t="s">
        <v>5397</v>
      </c>
      <c r="N2362" s="1" t="s">
        <v>179</v>
      </c>
      <c r="P2362" s="1" t="s">
        <v>2502</v>
      </c>
      <c r="Q2362" s="3">
        <v>0</v>
      </c>
      <c r="R2362" s="23" t="s">
        <v>10605</v>
      </c>
      <c r="S2362" s="23" t="s">
        <v>6847</v>
      </c>
      <c r="T2362" s="23" t="s">
        <v>4866</v>
      </c>
      <c r="U2362" s="3">
        <v>35</v>
      </c>
      <c r="W2362" s="45" t="str">
        <f>HYPERLINK("http://ictvonline.org/taxonomy/p/taxonomy-history?taxnode_id=201904116","ICTVonline=201904116")</f>
        <v>ICTVonline=201904116</v>
      </c>
      <c r="AA2362" s="1">
        <v>201900000</v>
      </c>
      <c r="AB2362" s="1">
        <v>35</v>
      </c>
    </row>
    <row r="2363" spans="1:28" x14ac:dyDescent="0.2">
      <c r="A2363" s="1">
        <v>6440</v>
      </c>
      <c r="B2363" s="1" t="s">
        <v>10590</v>
      </c>
      <c r="D2363" s="1" t="s">
        <v>10685</v>
      </c>
      <c r="F2363" s="1" t="s">
        <v>10686</v>
      </c>
      <c r="H2363" s="1" t="s">
        <v>10689</v>
      </c>
      <c r="J2363" s="1" t="s">
        <v>10884</v>
      </c>
      <c r="L2363" s="1" t="s">
        <v>825</v>
      </c>
      <c r="M2363" s="1" t="s">
        <v>5397</v>
      </c>
      <c r="N2363" s="1" t="s">
        <v>179</v>
      </c>
      <c r="P2363" s="1" t="s">
        <v>3844</v>
      </c>
      <c r="Q2363" s="3">
        <v>0</v>
      </c>
      <c r="R2363" s="23" t="s">
        <v>10605</v>
      </c>
      <c r="S2363" s="23" t="s">
        <v>6847</v>
      </c>
      <c r="T2363" s="23" t="s">
        <v>4866</v>
      </c>
      <c r="U2363" s="3">
        <v>35</v>
      </c>
      <c r="W2363" s="45" t="str">
        <f>HYPERLINK("http://ictvonline.org/taxonomy/p/taxonomy-history?taxnode_id=201904117","ICTVonline=201904117")</f>
        <v>ICTVonline=201904117</v>
      </c>
      <c r="Y2363" s="1" t="s">
        <v>10915</v>
      </c>
      <c r="Z2363" s="1" t="s">
        <v>10916</v>
      </c>
      <c r="AA2363" s="1">
        <v>201900000</v>
      </c>
      <c r="AB2363" s="1">
        <v>35</v>
      </c>
    </row>
    <row r="2364" spans="1:28" x14ac:dyDescent="0.2">
      <c r="A2364" s="1">
        <v>6442</v>
      </c>
      <c r="B2364" s="1" t="s">
        <v>10590</v>
      </c>
      <c r="D2364" s="1" t="s">
        <v>10685</v>
      </c>
      <c r="F2364" s="1" t="s">
        <v>10686</v>
      </c>
      <c r="H2364" s="1" t="s">
        <v>10689</v>
      </c>
      <c r="J2364" s="1" t="s">
        <v>10884</v>
      </c>
      <c r="L2364" s="1" t="s">
        <v>825</v>
      </c>
      <c r="M2364" s="1" t="s">
        <v>5397</v>
      </c>
      <c r="N2364" s="1" t="s">
        <v>179</v>
      </c>
      <c r="P2364" s="1" t="s">
        <v>5408</v>
      </c>
      <c r="Q2364" s="3">
        <v>0</v>
      </c>
      <c r="R2364" s="23" t="s">
        <v>10605</v>
      </c>
      <c r="S2364" s="23" t="s">
        <v>6847</v>
      </c>
      <c r="T2364" s="23" t="s">
        <v>4866</v>
      </c>
      <c r="U2364" s="3">
        <v>35</v>
      </c>
      <c r="W2364" s="45" t="str">
        <f>HYPERLINK("http://ictvonline.org/taxonomy/p/taxonomy-history?taxnode_id=201905874","ICTVonline=201905874")</f>
        <v>ICTVonline=201905874</v>
      </c>
      <c r="AA2364" s="1">
        <v>201900000</v>
      </c>
      <c r="AB2364" s="1">
        <v>35</v>
      </c>
    </row>
    <row r="2365" spans="1:28" x14ac:dyDescent="0.2">
      <c r="A2365" s="1">
        <v>6446</v>
      </c>
      <c r="B2365" s="1" t="s">
        <v>10590</v>
      </c>
      <c r="D2365" s="1" t="s">
        <v>10685</v>
      </c>
      <c r="F2365" s="1" t="s">
        <v>10686</v>
      </c>
      <c r="H2365" s="1" t="s">
        <v>10689</v>
      </c>
      <c r="J2365" s="1" t="s">
        <v>10884</v>
      </c>
      <c r="L2365" s="1" t="s">
        <v>825</v>
      </c>
      <c r="M2365" s="1" t="s">
        <v>5397</v>
      </c>
      <c r="N2365" s="1" t="s">
        <v>1139</v>
      </c>
      <c r="P2365" s="1" t="s">
        <v>181</v>
      </c>
      <c r="Q2365" s="3">
        <v>1</v>
      </c>
      <c r="R2365" s="23" t="s">
        <v>10605</v>
      </c>
      <c r="S2365" s="23" t="s">
        <v>6847</v>
      </c>
      <c r="T2365" s="23" t="s">
        <v>4866</v>
      </c>
      <c r="U2365" s="3">
        <v>35</v>
      </c>
      <c r="W2365" s="45" t="str">
        <f>HYPERLINK("http://ictvonline.org/taxonomy/p/taxonomy-history?taxnode_id=201904119","ICTVonline=201904119")</f>
        <v>ICTVonline=201904119</v>
      </c>
      <c r="AA2365" s="1">
        <v>201900000</v>
      </c>
      <c r="AB2365" s="1">
        <v>35</v>
      </c>
    </row>
    <row r="2366" spans="1:28" x14ac:dyDescent="0.2">
      <c r="A2366" s="1">
        <v>6450</v>
      </c>
      <c r="B2366" s="1" t="s">
        <v>10590</v>
      </c>
      <c r="D2366" s="1" t="s">
        <v>10685</v>
      </c>
      <c r="F2366" s="1" t="s">
        <v>10686</v>
      </c>
      <c r="H2366" s="1" t="s">
        <v>10689</v>
      </c>
      <c r="J2366" s="1" t="s">
        <v>10884</v>
      </c>
      <c r="L2366" s="1" t="s">
        <v>825</v>
      </c>
      <c r="M2366" s="1" t="s">
        <v>5397</v>
      </c>
      <c r="N2366" s="1" t="s">
        <v>3845</v>
      </c>
      <c r="P2366" s="1" t="s">
        <v>3846</v>
      </c>
      <c r="Q2366" s="3">
        <v>1</v>
      </c>
      <c r="R2366" s="23" t="s">
        <v>10605</v>
      </c>
      <c r="S2366" s="23" t="s">
        <v>6847</v>
      </c>
      <c r="T2366" s="23" t="s">
        <v>4866</v>
      </c>
      <c r="U2366" s="3">
        <v>35</v>
      </c>
      <c r="W2366" s="45" t="str">
        <f>HYPERLINK("http://ictvonline.org/taxonomy/p/taxonomy-history?taxnode_id=201904121","ICTVonline=201904121")</f>
        <v>ICTVonline=201904121</v>
      </c>
      <c r="Y2366" s="1" t="s">
        <v>10917</v>
      </c>
      <c r="Z2366" s="1" t="s">
        <v>10918</v>
      </c>
      <c r="AA2366" s="1">
        <v>201900000</v>
      </c>
      <c r="AB2366" s="1">
        <v>35</v>
      </c>
    </row>
    <row r="2367" spans="1:28" x14ac:dyDescent="0.2">
      <c r="A2367" s="1">
        <v>6454</v>
      </c>
      <c r="B2367" s="1" t="s">
        <v>10590</v>
      </c>
      <c r="D2367" s="1" t="s">
        <v>10685</v>
      </c>
      <c r="F2367" s="1" t="s">
        <v>10686</v>
      </c>
      <c r="H2367" s="1" t="s">
        <v>10689</v>
      </c>
      <c r="J2367" s="1" t="s">
        <v>10884</v>
      </c>
      <c r="L2367" s="1" t="s">
        <v>825</v>
      </c>
      <c r="M2367" s="1" t="s">
        <v>5397</v>
      </c>
      <c r="N2367" s="1" t="s">
        <v>3847</v>
      </c>
      <c r="P2367" s="1" t="s">
        <v>3848</v>
      </c>
      <c r="Q2367" s="3">
        <v>1</v>
      </c>
      <c r="R2367" s="23" t="s">
        <v>10605</v>
      </c>
      <c r="S2367" s="23" t="s">
        <v>6847</v>
      </c>
      <c r="T2367" s="23" t="s">
        <v>4866</v>
      </c>
      <c r="U2367" s="3">
        <v>35</v>
      </c>
      <c r="W2367" s="45" t="str">
        <f>HYPERLINK("http://ictvonline.org/taxonomy/p/taxonomy-history?taxnode_id=201904123","ICTVonline=201904123")</f>
        <v>ICTVonline=201904123</v>
      </c>
      <c r="Y2367" s="1" t="s">
        <v>10919</v>
      </c>
      <c r="Z2367" s="1" t="s">
        <v>3848</v>
      </c>
      <c r="AA2367" s="1">
        <v>201900000</v>
      </c>
      <c r="AB2367" s="1">
        <v>35</v>
      </c>
    </row>
    <row r="2368" spans="1:28" x14ac:dyDescent="0.2">
      <c r="A2368" s="1">
        <v>6458</v>
      </c>
      <c r="B2368" s="1" t="s">
        <v>10590</v>
      </c>
      <c r="D2368" s="1" t="s">
        <v>10685</v>
      </c>
      <c r="F2368" s="1" t="s">
        <v>10686</v>
      </c>
      <c r="H2368" s="1" t="s">
        <v>10689</v>
      </c>
      <c r="J2368" s="1" t="s">
        <v>10884</v>
      </c>
      <c r="L2368" s="1" t="s">
        <v>825</v>
      </c>
      <c r="M2368" s="1" t="s">
        <v>5397</v>
      </c>
      <c r="N2368" s="1" t="s">
        <v>3849</v>
      </c>
      <c r="P2368" s="1" t="s">
        <v>3850</v>
      </c>
      <c r="Q2368" s="3">
        <v>1</v>
      </c>
      <c r="R2368" s="23" t="s">
        <v>10605</v>
      </c>
      <c r="S2368" s="23" t="s">
        <v>6847</v>
      </c>
      <c r="T2368" s="23" t="s">
        <v>4866</v>
      </c>
      <c r="U2368" s="3">
        <v>35</v>
      </c>
      <c r="W2368" s="45" t="str">
        <f>HYPERLINK("http://ictvonline.org/taxonomy/p/taxonomy-history?taxnode_id=201904125","ICTVonline=201904125")</f>
        <v>ICTVonline=201904125</v>
      </c>
      <c r="Y2368" s="1" t="s">
        <v>10920</v>
      </c>
      <c r="Z2368" s="1" t="s">
        <v>10921</v>
      </c>
      <c r="AA2368" s="1">
        <v>201900000</v>
      </c>
      <c r="AB2368" s="1">
        <v>35</v>
      </c>
    </row>
    <row r="2369" spans="1:28" x14ac:dyDescent="0.2">
      <c r="A2369" s="1">
        <v>6462</v>
      </c>
      <c r="B2369" s="1" t="s">
        <v>10590</v>
      </c>
      <c r="D2369" s="1" t="s">
        <v>10685</v>
      </c>
      <c r="F2369" s="1" t="s">
        <v>10686</v>
      </c>
      <c r="H2369" s="1" t="s">
        <v>10689</v>
      </c>
      <c r="J2369" s="1" t="s">
        <v>10884</v>
      </c>
      <c r="L2369" s="1" t="s">
        <v>825</v>
      </c>
      <c r="M2369" s="1" t="s">
        <v>5397</v>
      </c>
      <c r="N2369" s="1" t="s">
        <v>5409</v>
      </c>
      <c r="P2369" s="1" t="s">
        <v>5410</v>
      </c>
      <c r="Q2369" s="3">
        <v>1</v>
      </c>
      <c r="R2369" s="23" t="s">
        <v>10605</v>
      </c>
      <c r="S2369" s="23" t="s">
        <v>6847</v>
      </c>
      <c r="T2369" s="23" t="s">
        <v>4866</v>
      </c>
      <c r="U2369" s="3">
        <v>35</v>
      </c>
      <c r="W2369" s="45" t="str">
        <f>HYPERLINK("http://ictvonline.org/taxonomy/p/taxonomy-history?taxnode_id=201905875","ICTVonline=201905875")</f>
        <v>ICTVonline=201905875</v>
      </c>
      <c r="AA2369" s="1">
        <v>201900000</v>
      </c>
      <c r="AB2369" s="1">
        <v>35</v>
      </c>
    </row>
    <row r="2370" spans="1:28" x14ac:dyDescent="0.2">
      <c r="A2370" s="1">
        <v>6466</v>
      </c>
      <c r="B2370" s="1" t="s">
        <v>10590</v>
      </c>
      <c r="D2370" s="1" t="s">
        <v>10685</v>
      </c>
      <c r="F2370" s="1" t="s">
        <v>10686</v>
      </c>
      <c r="H2370" s="1" t="s">
        <v>10689</v>
      </c>
      <c r="J2370" s="1" t="s">
        <v>10884</v>
      </c>
      <c r="L2370" s="1" t="s">
        <v>825</v>
      </c>
      <c r="M2370" s="1" t="s">
        <v>5397</v>
      </c>
      <c r="N2370" s="1" t="s">
        <v>5411</v>
      </c>
      <c r="P2370" s="1" t="s">
        <v>5412</v>
      </c>
      <c r="Q2370" s="3">
        <v>1</v>
      </c>
      <c r="R2370" s="23" t="s">
        <v>10605</v>
      </c>
      <c r="S2370" s="23" t="s">
        <v>6847</v>
      </c>
      <c r="T2370" s="23" t="s">
        <v>4866</v>
      </c>
      <c r="U2370" s="3">
        <v>35</v>
      </c>
      <c r="W2370" s="45" t="str">
        <f>HYPERLINK("http://ictvonline.org/taxonomy/p/taxonomy-history?taxnode_id=201905877","ICTVonline=201905877")</f>
        <v>ICTVonline=201905877</v>
      </c>
      <c r="AA2370" s="1">
        <v>201900000</v>
      </c>
      <c r="AB2370" s="1">
        <v>35</v>
      </c>
    </row>
    <row r="2371" spans="1:28" x14ac:dyDescent="0.2">
      <c r="A2371" s="1">
        <v>6470</v>
      </c>
      <c r="B2371" s="1" t="s">
        <v>10590</v>
      </c>
      <c r="D2371" s="1" t="s">
        <v>10685</v>
      </c>
      <c r="F2371" s="1" t="s">
        <v>10686</v>
      </c>
      <c r="H2371" s="1" t="s">
        <v>10689</v>
      </c>
      <c r="J2371" s="1" t="s">
        <v>10884</v>
      </c>
      <c r="L2371" s="1" t="s">
        <v>825</v>
      </c>
      <c r="M2371" s="1" t="s">
        <v>5397</v>
      </c>
      <c r="N2371" s="1" t="s">
        <v>5413</v>
      </c>
      <c r="P2371" s="1" t="s">
        <v>5414</v>
      </c>
      <c r="Q2371" s="3">
        <v>1</v>
      </c>
      <c r="R2371" s="23" t="s">
        <v>10605</v>
      </c>
      <c r="S2371" s="23" t="s">
        <v>6847</v>
      </c>
      <c r="T2371" s="23" t="s">
        <v>4866</v>
      </c>
      <c r="U2371" s="3">
        <v>35</v>
      </c>
      <c r="W2371" s="45" t="str">
        <f>HYPERLINK("http://ictvonline.org/taxonomy/p/taxonomy-history?taxnode_id=201905879","ICTVonline=201905879")</f>
        <v>ICTVonline=201905879</v>
      </c>
      <c r="AA2371" s="1">
        <v>201900000</v>
      </c>
      <c r="AB2371" s="1">
        <v>35</v>
      </c>
    </row>
    <row r="2372" spans="1:28" x14ac:dyDescent="0.2">
      <c r="A2372" s="1">
        <v>6474</v>
      </c>
      <c r="B2372" s="1" t="s">
        <v>10590</v>
      </c>
      <c r="D2372" s="1" t="s">
        <v>10685</v>
      </c>
      <c r="F2372" s="1" t="s">
        <v>10686</v>
      </c>
      <c r="H2372" s="1" t="s">
        <v>10689</v>
      </c>
      <c r="J2372" s="1" t="s">
        <v>10884</v>
      </c>
      <c r="L2372" s="1" t="s">
        <v>825</v>
      </c>
      <c r="M2372" s="1" t="s">
        <v>5397</v>
      </c>
      <c r="N2372" s="1" t="s">
        <v>3851</v>
      </c>
      <c r="P2372" s="1" t="s">
        <v>3852</v>
      </c>
      <c r="Q2372" s="3">
        <v>1</v>
      </c>
      <c r="R2372" s="23" t="s">
        <v>10605</v>
      </c>
      <c r="S2372" s="23" t="s">
        <v>6847</v>
      </c>
      <c r="T2372" s="23" t="s">
        <v>4866</v>
      </c>
      <c r="U2372" s="3">
        <v>35</v>
      </c>
      <c r="W2372" s="45" t="str">
        <f>HYPERLINK("http://ictvonline.org/taxonomy/p/taxonomy-history?taxnode_id=201904127","ICTVonline=201904127")</f>
        <v>ICTVonline=201904127</v>
      </c>
      <c r="Y2372" s="1" t="s">
        <v>10922</v>
      </c>
      <c r="Z2372" s="1" t="s">
        <v>10923</v>
      </c>
      <c r="AA2372" s="1">
        <v>201900000</v>
      </c>
      <c r="AB2372" s="1">
        <v>35</v>
      </c>
    </row>
    <row r="2373" spans="1:28" x14ac:dyDescent="0.2">
      <c r="A2373" s="1">
        <v>6478</v>
      </c>
      <c r="B2373" s="1" t="s">
        <v>10590</v>
      </c>
      <c r="D2373" s="1" t="s">
        <v>10685</v>
      </c>
      <c r="F2373" s="1" t="s">
        <v>10686</v>
      </c>
      <c r="H2373" s="1" t="s">
        <v>10689</v>
      </c>
      <c r="J2373" s="1" t="s">
        <v>10884</v>
      </c>
      <c r="L2373" s="1" t="s">
        <v>825</v>
      </c>
      <c r="M2373" s="1" t="s">
        <v>5397</v>
      </c>
      <c r="N2373" s="1" t="s">
        <v>182</v>
      </c>
      <c r="P2373" s="1" t="s">
        <v>183</v>
      </c>
      <c r="Q2373" s="3">
        <v>1</v>
      </c>
      <c r="R2373" s="23" t="s">
        <v>10605</v>
      </c>
      <c r="S2373" s="23" t="s">
        <v>6847</v>
      </c>
      <c r="T2373" s="23" t="s">
        <v>4866</v>
      </c>
      <c r="U2373" s="3">
        <v>35</v>
      </c>
      <c r="W2373" s="45" t="str">
        <f>HYPERLINK("http://ictvonline.org/taxonomy/p/taxonomy-history?taxnode_id=201904129","ICTVonline=201904129")</f>
        <v>ICTVonline=201904129</v>
      </c>
      <c r="AA2373" s="1">
        <v>201900000</v>
      </c>
      <c r="AB2373" s="1">
        <v>35</v>
      </c>
    </row>
    <row r="2374" spans="1:28" x14ac:dyDescent="0.2">
      <c r="A2374" s="1">
        <v>6480</v>
      </c>
      <c r="B2374" s="1" t="s">
        <v>10590</v>
      </c>
      <c r="D2374" s="1" t="s">
        <v>10685</v>
      </c>
      <c r="F2374" s="1" t="s">
        <v>10686</v>
      </c>
      <c r="H2374" s="1" t="s">
        <v>10689</v>
      </c>
      <c r="J2374" s="1" t="s">
        <v>10884</v>
      </c>
      <c r="L2374" s="1" t="s">
        <v>825</v>
      </c>
      <c r="M2374" s="1" t="s">
        <v>5397</v>
      </c>
      <c r="N2374" s="1" t="s">
        <v>182</v>
      </c>
      <c r="P2374" s="1" t="s">
        <v>184</v>
      </c>
      <c r="Q2374" s="3">
        <v>0</v>
      </c>
      <c r="R2374" s="23" t="s">
        <v>10605</v>
      </c>
      <c r="S2374" s="23" t="s">
        <v>6847</v>
      </c>
      <c r="T2374" s="23" t="s">
        <v>4866</v>
      </c>
      <c r="U2374" s="3">
        <v>35</v>
      </c>
      <c r="W2374" s="45" t="str">
        <f>HYPERLINK("http://ictvonline.org/taxonomy/p/taxonomy-history?taxnode_id=201904130","ICTVonline=201904130")</f>
        <v>ICTVonline=201904130</v>
      </c>
      <c r="AA2374" s="1">
        <v>201900000</v>
      </c>
      <c r="AB2374" s="1">
        <v>35</v>
      </c>
    </row>
    <row r="2375" spans="1:28" x14ac:dyDescent="0.2">
      <c r="A2375" s="1">
        <v>6482</v>
      </c>
      <c r="B2375" s="1" t="s">
        <v>10590</v>
      </c>
      <c r="D2375" s="1" t="s">
        <v>10685</v>
      </c>
      <c r="F2375" s="1" t="s">
        <v>10686</v>
      </c>
      <c r="H2375" s="1" t="s">
        <v>10689</v>
      </c>
      <c r="J2375" s="1" t="s">
        <v>10884</v>
      </c>
      <c r="L2375" s="1" t="s">
        <v>825</v>
      </c>
      <c r="M2375" s="1" t="s">
        <v>5397</v>
      </c>
      <c r="N2375" s="1" t="s">
        <v>182</v>
      </c>
      <c r="P2375" s="1" t="s">
        <v>2503</v>
      </c>
      <c r="Q2375" s="3">
        <v>0</v>
      </c>
      <c r="R2375" s="23" t="s">
        <v>10605</v>
      </c>
      <c r="S2375" s="23" t="s">
        <v>6847</v>
      </c>
      <c r="T2375" s="23" t="s">
        <v>4866</v>
      </c>
      <c r="U2375" s="3">
        <v>35</v>
      </c>
      <c r="W2375" s="45" t="str">
        <f>HYPERLINK("http://ictvonline.org/taxonomy/p/taxonomy-history?taxnode_id=201904131","ICTVonline=201904131")</f>
        <v>ICTVonline=201904131</v>
      </c>
      <c r="AA2375" s="1">
        <v>201900000</v>
      </c>
      <c r="AB2375" s="1">
        <v>35</v>
      </c>
    </row>
    <row r="2376" spans="1:28" x14ac:dyDescent="0.2">
      <c r="A2376" s="1">
        <v>6486</v>
      </c>
      <c r="B2376" s="1" t="s">
        <v>10590</v>
      </c>
      <c r="D2376" s="1" t="s">
        <v>10685</v>
      </c>
      <c r="F2376" s="1" t="s">
        <v>10686</v>
      </c>
      <c r="H2376" s="1" t="s">
        <v>10689</v>
      </c>
      <c r="J2376" s="1" t="s">
        <v>10884</v>
      </c>
      <c r="L2376" s="1" t="s">
        <v>825</v>
      </c>
      <c r="M2376" s="1" t="s">
        <v>5397</v>
      </c>
      <c r="N2376" s="1" t="s">
        <v>1655</v>
      </c>
      <c r="P2376" s="1" t="s">
        <v>185</v>
      </c>
      <c r="Q2376" s="3">
        <v>1</v>
      </c>
      <c r="R2376" s="23" t="s">
        <v>10605</v>
      </c>
      <c r="S2376" s="23" t="s">
        <v>6847</v>
      </c>
      <c r="T2376" s="23" t="s">
        <v>4866</v>
      </c>
      <c r="U2376" s="3">
        <v>35</v>
      </c>
      <c r="W2376" s="45" t="str">
        <f>HYPERLINK("http://ictvonline.org/taxonomy/p/taxonomy-history?taxnode_id=201904133","ICTVonline=201904133")</f>
        <v>ICTVonline=201904133</v>
      </c>
      <c r="AA2376" s="1">
        <v>201900000</v>
      </c>
      <c r="AB2376" s="1">
        <v>35</v>
      </c>
    </row>
    <row r="2377" spans="1:28" x14ac:dyDescent="0.2">
      <c r="A2377" s="1">
        <v>6488</v>
      </c>
      <c r="B2377" s="1" t="s">
        <v>10590</v>
      </c>
      <c r="D2377" s="1" t="s">
        <v>10685</v>
      </c>
      <c r="F2377" s="1" t="s">
        <v>10686</v>
      </c>
      <c r="H2377" s="1" t="s">
        <v>10689</v>
      </c>
      <c r="J2377" s="1" t="s">
        <v>10884</v>
      </c>
      <c r="L2377" s="1" t="s">
        <v>825</v>
      </c>
      <c r="M2377" s="1" t="s">
        <v>5397</v>
      </c>
      <c r="N2377" s="1" t="s">
        <v>1655</v>
      </c>
      <c r="P2377" s="1" t="s">
        <v>2504</v>
      </c>
      <c r="Q2377" s="3">
        <v>0</v>
      </c>
      <c r="R2377" s="23" t="s">
        <v>10605</v>
      </c>
      <c r="S2377" s="23" t="s">
        <v>6847</v>
      </c>
      <c r="T2377" s="23" t="s">
        <v>4866</v>
      </c>
      <c r="U2377" s="3">
        <v>35</v>
      </c>
      <c r="W2377" s="45" t="str">
        <f>HYPERLINK("http://ictvonline.org/taxonomy/p/taxonomy-history?taxnode_id=201904134","ICTVonline=201904134")</f>
        <v>ICTVonline=201904134</v>
      </c>
      <c r="AA2377" s="1">
        <v>201900000</v>
      </c>
      <c r="AB2377" s="1">
        <v>35</v>
      </c>
    </row>
    <row r="2378" spans="1:28" x14ac:dyDescent="0.2">
      <c r="A2378" s="1">
        <v>6490</v>
      </c>
      <c r="B2378" s="1" t="s">
        <v>10590</v>
      </c>
      <c r="D2378" s="1" t="s">
        <v>10685</v>
      </c>
      <c r="F2378" s="1" t="s">
        <v>10686</v>
      </c>
      <c r="H2378" s="1" t="s">
        <v>10689</v>
      </c>
      <c r="J2378" s="1" t="s">
        <v>10884</v>
      </c>
      <c r="L2378" s="1" t="s">
        <v>825</v>
      </c>
      <c r="M2378" s="1" t="s">
        <v>5397</v>
      </c>
      <c r="N2378" s="1" t="s">
        <v>1655</v>
      </c>
      <c r="P2378" s="1" t="s">
        <v>3853</v>
      </c>
      <c r="Q2378" s="3">
        <v>0</v>
      </c>
      <c r="R2378" s="23" t="s">
        <v>10605</v>
      </c>
      <c r="S2378" s="23" t="s">
        <v>6847</v>
      </c>
      <c r="T2378" s="23" t="s">
        <v>4866</v>
      </c>
      <c r="U2378" s="3">
        <v>35</v>
      </c>
      <c r="W2378" s="45" t="str">
        <f>HYPERLINK("http://ictvonline.org/taxonomy/p/taxonomy-history?taxnode_id=201904135","ICTVonline=201904135")</f>
        <v>ICTVonline=201904135</v>
      </c>
      <c r="Y2378" s="1" t="s">
        <v>10924</v>
      </c>
      <c r="Z2378" s="1" t="s">
        <v>10925</v>
      </c>
      <c r="AA2378" s="1">
        <v>201900000</v>
      </c>
      <c r="AB2378" s="1">
        <v>35</v>
      </c>
    </row>
    <row r="2379" spans="1:28" x14ac:dyDescent="0.2">
      <c r="A2379" s="1">
        <v>6492</v>
      </c>
      <c r="B2379" s="1" t="s">
        <v>10590</v>
      </c>
      <c r="D2379" s="1" t="s">
        <v>10685</v>
      </c>
      <c r="F2379" s="1" t="s">
        <v>10686</v>
      </c>
      <c r="H2379" s="1" t="s">
        <v>10689</v>
      </c>
      <c r="J2379" s="1" t="s">
        <v>10884</v>
      </c>
      <c r="L2379" s="1" t="s">
        <v>825</v>
      </c>
      <c r="M2379" s="1" t="s">
        <v>5397</v>
      </c>
      <c r="N2379" s="1" t="s">
        <v>1655</v>
      </c>
      <c r="P2379" s="1" t="s">
        <v>5415</v>
      </c>
      <c r="Q2379" s="3">
        <v>0</v>
      </c>
      <c r="R2379" s="23" t="s">
        <v>10605</v>
      </c>
      <c r="S2379" s="23" t="s">
        <v>6847</v>
      </c>
      <c r="T2379" s="23" t="s">
        <v>4866</v>
      </c>
      <c r="U2379" s="3">
        <v>35</v>
      </c>
      <c r="W2379" s="45" t="str">
        <f>HYPERLINK("http://ictvonline.org/taxonomy/p/taxonomy-history?taxnode_id=201905881","ICTVonline=201905881")</f>
        <v>ICTVonline=201905881</v>
      </c>
      <c r="AA2379" s="1">
        <v>201900000</v>
      </c>
      <c r="AB2379" s="1">
        <v>35</v>
      </c>
    </row>
    <row r="2380" spans="1:28" x14ac:dyDescent="0.2">
      <c r="A2380" s="1">
        <v>6494</v>
      </c>
      <c r="B2380" s="1" t="s">
        <v>10590</v>
      </c>
      <c r="D2380" s="1" t="s">
        <v>10685</v>
      </c>
      <c r="F2380" s="1" t="s">
        <v>10686</v>
      </c>
      <c r="H2380" s="1" t="s">
        <v>10689</v>
      </c>
      <c r="J2380" s="1" t="s">
        <v>10884</v>
      </c>
      <c r="L2380" s="1" t="s">
        <v>825</v>
      </c>
      <c r="M2380" s="1" t="s">
        <v>5397</v>
      </c>
      <c r="N2380" s="1" t="s">
        <v>1655</v>
      </c>
      <c r="P2380" s="1" t="s">
        <v>5416</v>
      </c>
      <c r="Q2380" s="3">
        <v>0</v>
      </c>
      <c r="R2380" s="23" t="s">
        <v>10605</v>
      </c>
      <c r="S2380" s="23" t="s">
        <v>6847</v>
      </c>
      <c r="T2380" s="23" t="s">
        <v>4866</v>
      </c>
      <c r="U2380" s="3">
        <v>35</v>
      </c>
      <c r="W2380" s="45" t="str">
        <f>HYPERLINK("http://ictvonline.org/taxonomy/p/taxonomy-history?taxnode_id=201905882","ICTVonline=201905882")</f>
        <v>ICTVonline=201905882</v>
      </c>
      <c r="AA2380" s="1">
        <v>201900000</v>
      </c>
      <c r="AB2380" s="1">
        <v>35</v>
      </c>
    </row>
    <row r="2381" spans="1:28" x14ac:dyDescent="0.2">
      <c r="A2381" s="1">
        <v>6498</v>
      </c>
      <c r="B2381" s="1" t="s">
        <v>10590</v>
      </c>
      <c r="D2381" s="1" t="s">
        <v>10685</v>
      </c>
      <c r="F2381" s="1" t="s">
        <v>10686</v>
      </c>
      <c r="H2381" s="1" t="s">
        <v>10689</v>
      </c>
      <c r="J2381" s="1" t="s">
        <v>10884</v>
      </c>
      <c r="L2381" s="1" t="s">
        <v>825</v>
      </c>
      <c r="M2381" s="1" t="s">
        <v>5397</v>
      </c>
      <c r="N2381" s="1" t="s">
        <v>1656</v>
      </c>
      <c r="P2381" s="1" t="s">
        <v>186</v>
      </c>
      <c r="Q2381" s="3">
        <v>1</v>
      </c>
      <c r="R2381" s="23" t="s">
        <v>10605</v>
      </c>
      <c r="S2381" s="23" t="s">
        <v>6847</v>
      </c>
      <c r="T2381" s="23" t="s">
        <v>4866</v>
      </c>
      <c r="U2381" s="3">
        <v>35</v>
      </c>
      <c r="W2381" s="45" t="str">
        <f>HYPERLINK("http://ictvonline.org/taxonomy/p/taxonomy-history?taxnode_id=201904137","ICTVonline=201904137")</f>
        <v>ICTVonline=201904137</v>
      </c>
      <c r="AA2381" s="1">
        <v>201900000</v>
      </c>
      <c r="AB2381" s="1">
        <v>35</v>
      </c>
    </row>
    <row r="2382" spans="1:28" x14ac:dyDescent="0.2">
      <c r="A2382" s="1">
        <v>6504</v>
      </c>
      <c r="B2382" s="1" t="s">
        <v>10590</v>
      </c>
      <c r="D2382" s="1" t="s">
        <v>10685</v>
      </c>
      <c r="F2382" s="1" t="s">
        <v>10686</v>
      </c>
      <c r="H2382" s="1" t="s">
        <v>10689</v>
      </c>
      <c r="J2382" s="1" t="s">
        <v>10884</v>
      </c>
      <c r="L2382" s="1" t="s">
        <v>825</v>
      </c>
      <c r="M2382" s="1" t="s">
        <v>5417</v>
      </c>
      <c r="N2382" s="1" t="s">
        <v>5418</v>
      </c>
      <c r="P2382" s="1" t="s">
        <v>5419</v>
      </c>
      <c r="Q2382" s="3">
        <v>1</v>
      </c>
      <c r="R2382" s="23" t="s">
        <v>10605</v>
      </c>
      <c r="S2382" s="23" t="s">
        <v>6847</v>
      </c>
      <c r="T2382" s="23" t="s">
        <v>4866</v>
      </c>
      <c r="U2382" s="3">
        <v>35</v>
      </c>
      <c r="W2382" s="45" t="str">
        <f>HYPERLINK("http://ictvonline.org/taxonomy/p/taxonomy-history?taxnode_id=201905884","ICTVonline=201905884")</f>
        <v>ICTVonline=201905884</v>
      </c>
      <c r="AA2382" s="1">
        <v>201900000</v>
      </c>
      <c r="AB2382" s="1">
        <v>35</v>
      </c>
    </row>
    <row r="2383" spans="1:28" x14ac:dyDescent="0.2">
      <c r="A2383" s="1">
        <v>6516</v>
      </c>
      <c r="B2383" s="1" t="s">
        <v>10590</v>
      </c>
      <c r="D2383" s="1" t="s">
        <v>10685</v>
      </c>
      <c r="F2383" s="1" t="s">
        <v>10686</v>
      </c>
      <c r="H2383" s="1" t="s">
        <v>10926</v>
      </c>
      <c r="J2383" s="1" t="s">
        <v>10927</v>
      </c>
      <c r="L2383" s="1" t="s">
        <v>1906</v>
      </c>
      <c r="M2383" s="1" t="s">
        <v>1907</v>
      </c>
      <c r="N2383" s="1" t="s">
        <v>10928</v>
      </c>
      <c r="P2383" s="1" t="s">
        <v>10929</v>
      </c>
      <c r="Q2383" s="3">
        <v>0</v>
      </c>
      <c r="R2383" s="23" t="s">
        <v>10930</v>
      </c>
      <c r="S2383" s="23" t="s">
        <v>6849</v>
      </c>
      <c r="T2383" s="23" t="s">
        <v>4865</v>
      </c>
      <c r="U2383" s="3">
        <v>35</v>
      </c>
      <c r="V2383" s="3" t="s">
        <v>10931</v>
      </c>
      <c r="W2383" s="45" t="str">
        <f>HYPERLINK("http://ictvonline.org/taxonomy/p/taxonomy-history?taxnode_id=201904209","ICTVonline=201904209")</f>
        <v>ICTVonline=201904209</v>
      </c>
      <c r="X2383" s="1" t="s">
        <v>10932</v>
      </c>
      <c r="Y2383" s="1" t="s">
        <v>10933</v>
      </c>
      <c r="AA2383" s="1">
        <v>201900000</v>
      </c>
      <c r="AB2383" s="1">
        <v>35</v>
      </c>
    </row>
    <row r="2384" spans="1:28" x14ac:dyDescent="0.2">
      <c r="A2384" s="1">
        <v>6518</v>
      </c>
      <c r="B2384" s="1" t="s">
        <v>10590</v>
      </c>
      <c r="D2384" s="1" t="s">
        <v>10685</v>
      </c>
      <c r="F2384" s="1" t="s">
        <v>10686</v>
      </c>
      <c r="H2384" s="1" t="s">
        <v>10926</v>
      </c>
      <c r="J2384" s="1" t="s">
        <v>10927</v>
      </c>
      <c r="L2384" s="1" t="s">
        <v>1906</v>
      </c>
      <c r="M2384" s="1" t="s">
        <v>1907</v>
      </c>
      <c r="N2384" s="1" t="s">
        <v>10928</v>
      </c>
      <c r="P2384" s="1" t="s">
        <v>10934</v>
      </c>
      <c r="Q2384" s="3">
        <v>1</v>
      </c>
      <c r="R2384" s="23" t="s">
        <v>10930</v>
      </c>
      <c r="S2384" s="23" t="s">
        <v>6849</v>
      </c>
      <c r="T2384" s="23" t="s">
        <v>6031</v>
      </c>
      <c r="U2384" s="3">
        <v>35</v>
      </c>
      <c r="V2384" s="3" t="s">
        <v>10931</v>
      </c>
      <c r="W2384" s="45" t="str">
        <f>HYPERLINK("http://ictvonline.org/taxonomy/p/taxonomy-history?taxnode_id=201904212","ICTVonline=201904212")</f>
        <v>ICTVonline=201904212</v>
      </c>
      <c r="X2384" s="1" t="s">
        <v>10935</v>
      </c>
      <c r="Y2384" s="1" t="s">
        <v>10936</v>
      </c>
      <c r="AA2384" s="1">
        <v>201900000</v>
      </c>
      <c r="AB2384" s="1">
        <v>35</v>
      </c>
    </row>
    <row r="2385" spans="1:28" x14ac:dyDescent="0.2">
      <c r="A2385" s="1">
        <v>6522</v>
      </c>
      <c r="B2385" s="1" t="s">
        <v>10590</v>
      </c>
      <c r="D2385" s="1" t="s">
        <v>10685</v>
      </c>
      <c r="F2385" s="1" t="s">
        <v>10686</v>
      </c>
      <c r="H2385" s="1" t="s">
        <v>10926</v>
      </c>
      <c r="J2385" s="1" t="s">
        <v>10927</v>
      </c>
      <c r="L2385" s="1" t="s">
        <v>1906</v>
      </c>
      <c r="M2385" s="1" t="s">
        <v>1907</v>
      </c>
      <c r="N2385" s="1" t="s">
        <v>10937</v>
      </c>
      <c r="P2385" s="1" t="s">
        <v>10938</v>
      </c>
      <c r="Q2385" s="3">
        <v>1</v>
      </c>
      <c r="R2385" s="23" t="s">
        <v>10930</v>
      </c>
      <c r="S2385" s="23" t="s">
        <v>6849</v>
      </c>
      <c r="T2385" s="23" t="s">
        <v>6031</v>
      </c>
      <c r="U2385" s="3">
        <v>35</v>
      </c>
      <c r="V2385" s="3" t="s">
        <v>10931</v>
      </c>
      <c r="W2385" s="45" t="str">
        <f>HYPERLINK("http://ictvonline.org/taxonomy/p/taxonomy-history?taxnode_id=201904211","ICTVonline=201904211")</f>
        <v>ICTVonline=201904211</v>
      </c>
      <c r="X2385" s="1" t="s">
        <v>10939</v>
      </c>
      <c r="Y2385" s="1" t="s">
        <v>10940</v>
      </c>
      <c r="AA2385" s="1">
        <v>201900000</v>
      </c>
      <c r="AB2385" s="1">
        <v>35</v>
      </c>
    </row>
    <row r="2386" spans="1:28" x14ac:dyDescent="0.2">
      <c r="A2386" s="1">
        <v>6526</v>
      </c>
      <c r="B2386" s="1" t="s">
        <v>10590</v>
      </c>
      <c r="D2386" s="1" t="s">
        <v>10685</v>
      </c>
      <c r="F2386" s="1" t="s">
        <v>10686</v>
      </c>
      <c r="H2386" s="1" t="s">
        <v>10926</v>
      </c>
      <c r="J2386" s="1" t="s">
        <v>10927</v>
      </c>
      <c r="L2386" s="1" t="s">
        <v>1906</v>
      </c>
      <c r="M2386" s="1" t="s">
        <v>1907</v>
      </c>
      <c r="N2386" s="1" t="s">
        <v>10941</v>
      </c>
      <c r="P2386" s="1" t="s">
        <v>10942</v>
      </c>
      <c r="Q2386" s="3">
        <v>1</v>
      </c>
      <c r="R2386" s="23" t="s">
        <v>10930</v>
      </c>
      <c r="S2386" s="23" t="s">
        <v>6849</v>
      </c>
      <c r="T2386" s="23" t="s">
        <v>6031</v>
      </c>
      <c r="U2386" s="3">
        <v>35</v>
      </c>
      <c r="V2386" s="3" t="s">
        <v>10931</v>
      </c>
      <c r="W2386" s="45" t="str">
        <f>HYPERLINK("http://ictvonline.org/taxonomy/p/taxonomy-history?taxnode_id=201904215","ICTVonline=201904215")</f>
        <v>ICTVonline=201904215</v>
      </c>
      <c r="X2386" s="1" t="s">
        <v>10943</v>
      </c>
      <c r="Y2386" s="1" t="s">
        <v>10944</v>
      </c>
      <c r="AA2386" s="1">
        <v>201900000</v>
      </c>
      <c r="AB2386" s="1">
        <v>35</v>
      </c>
    </row>
    <row r="2387" spans="1:28" x14ac:dyDescent="0.2">
      <c r="A2387" s="1">
        <v>6528</v>
      </c>
      <c r="B2387" s="1" t="s">
        <v>10590</v>
      </c>
      <c r="D2387" s="1" t="s">
        <v>10685</v>
      </c>
      <c r="F2387" s="1" t="s">
        <v>10686</v>
      </c>
      <c r="H2387" s="1" t="s">
        <v>10926</v>
      </c>
      <c r="J2387" s="1" t="s">
        <v>10927</v>
      </c>
      <c r="L2387" s="1" t="s">
        <v>1906</v>
      </c>
      <c r="M2387" s="1" t="s">
        <v>1907</v>
      </c>
      <c r="N2387" s="1" t="s">
        <v>10941</v>
      </c>
      <c r="P2387" s="1" t="s">
        <v>10945</v>
      </c>
      <c r="Q2387" s="3">
        <v>0</v>
      </c>
      <c r="R2387" s="23" t="s">
        <v>10930</v>
      </c>
      <c r="S2387" s="23" t="s">
        <v>6849</v>
      </c>
      <c r="T2387" s="23" t="s">
        <v>4865</v>
      </c>
      <c r="U2387" s="3">
        <v>35</v>
      </c>
      <c r="V2387" s="3" t="s">
        <v>10931</v>
      </c>
      <c r="W2387" s="45" t="str">
        <f>HYPERLINK("http://ictvonline.org/taxonomy/p/taxonomy-history?taxnode_id=201904216","ICTVonline=201904216")</f>
        <v>ICTVonline=201904216</v>
      </c>
      <c r="X2387" s="1" t="s">
        <v>10946</v>
      </c>
      <c r="Y2387" s="1" t="s">
        <v>10947</v>
      </c>
      <c r="AA2387" s="1">
        <v>201900000</v>
      </c>
      <c r="AB2387" s="1">
        <v>35</v>
      </c>
    </row>
    <row r="2388" spans="1:28" x14ac:dyDescent="0.2">
      <c r="A2388" s="1">
        <v>6532</v>
      </c>
      <c r="B2388" s="1" t="s">
        <v>10590</v>
      </c>
      <c r="D2388" s="1" t="s">
        <v>10685</v>
      </c>
      <c r="F2388" s="1" t="s">
        <v>10686</v>
      </c>
      <c r="H2388" s="1" t="s">
        <v>10926</v>
      </c>
      <c r="J2388" s="1" t="s">
        <v>10927</v>
      </c>
      <c r="L2388" s="1" t="s">
        <v>1906</v>
      </c>
      <c r="M2388" s="1" t="s">
        <v>1907</v>
      </c>
      <c r="N2388" s="1" t="s">
        <v>2521</v>
      </c>
      <c r="P2388" s="1" t="s">
        <v>2522</v>
      </c>
      <c r="Q2388" s="3">
        <v>1</v>
      </c>
      <c r="R2388" s="23" t="s">
        <v>10605</v>
      </c>
      <c r="S2388" s="23" t="s">
        <v>6847</v>
      </c>
      <c r="T2388" s="23" t="s">
        <v>4866</v>
      </c>
      <c r="U2388" s="3">
        <v>35</v>
      </c>
      <c r="W2388" s="45" t="str">
        <f>HYPERLINK("http://ictvonline.org/taxonomy/p/taxonomy-history?taxnode_id=201904226","ICTVonline=201904226")</f>
        <v>ICTVonline=201904226</v>
      </c>
      <c r="AA2388" s="1">
        <v>201900000</v>
      </c>
      <c r="AB2388" s="1">
        <v>35</v>
      </c>
    </row>
    <row r="2389" spans="1:28" x14ac:dyDescent="0.2">
      <c r="A2389" s="1">
        <v>6534</v>
      </c>
      <c r="B2389" s="1" t="s">
        <v>10590</v>
      </c>
      <c r="D2389" s="1" t="s">
        <v>10685</v>
      </c>
      <c r="F2389" s="1" t="s">
        <v>10686</v>
      </c>
      <c r="H2389" s="1" t="s">
        <v>10926</v>
      </c>
      <c r="J2389" s="1" t="s">
        <v>10927</v>
      </c>
      <c r="L2389" s="1" t="s">
        <v>1906</v>
      </c>
      <c r="M2389" s="1" t="s">
        <v>1907</v>
      </c>
      <c r="N2389" s="1" t="s">
        <v>2521</v>
      </c>
      <c r="P2389" s="1" t="s">
        <v>2523</v>
      </c>
      <c r="Q2389" s="3">
        <v>0</v>
      </c>
      <c r="R2389" s="23" t="s">
        <v>10605</v>
      </c>
      <c r="S2389" s="23" t="s">
        <v>6847</v>
      </c>
      <c r="T2389" s="23" t="s">
        <v>4866</v>
      </c>
      <c r="U2389" s="3">
        <v>35</v>
      </c>
      <c r="W2389" s="45" t="str">
        <f>HYPERLINK("http://ictvonline.org/taxonomy/p/taxonomy-history?taxnode_id=201904227","ICTVonline=201904227")</f>
        <v>ICTVonline=201904227</v>
      </c>
      <c r="AA2389" s="1">
        <v>201900000</v>
      </c>
      <c r="AB2389" s="1">
        <v>35</v>
      </c>
    </row>
    <row r="2390" spans="1:28" x14ac:dyDescent="0.2">
      <c r="A2390" s="1">
        <v>6536</v>
      </c>
      <c r="B2390" s="1" t="s">
        <v>10590</v>
      </c>
      <c r="D2390" s="1" t="s">
        <v>10685</v>
      </c>
      <c r="F2390" s="1" t="s">
        <v>10686</v>
      </c>
      <c r="H2390" s="1" t="s">
        <v>10926</v>
      </c>
      <c r="J2390" s="1" t="s">
        <v>10927</v>
      </c>
      <c r="L2390" s="1" t="s">
        <v>1906</v>
      </c>
      <c r="M2390" s="1" t="s">
        <v>1907</v>
      </c>
      <c r="N2390" s="1" t="s">
        <v>2521</v>
      </c>
      <c r="P2390" s="1" t="s">
        <v>2524</v>
      </c>
      <c r="Q2390" s="3">
        <v>0</v>
      </c>
      <c r="R2390" s="23" t="s">
        <v>10605</v>
      </c>
      <c r="S2390" s="23" t="s">
        <v>6847</v>
      </c>
      <c r="T2390" s="23" t="s">
        <v>4866</v>
      </c>
      <c r="U2390" s="3">
        <v>35</v>
      </c>
      <c r="W2390" s="45" t="str">
        <f>HYPERLINK("http://ictvonline.org/taxonomy/p/taxonomy-history?taxnode_id=201904228","ICTVonline=201904228")</f>
        <v>ICTVonline=201904228</v>
      </c>
      <c r="AA2390" s="1">
        <v>201900000</v>
      </c>
      <c r="AB2390" s="1">
        <v>35</v>
      </c>
    </row>
    <row r="2391" spans="1:28" x14ac:dyDescent="0.2">
      <c r="A2391" s="1">
        <v>6538</v>
      </c>
      <c r="B2391" s="1" t="s">
        <v>10590</v>
      </c>
      <c r="D2391" s="1" t="s">
        <v>10685</v>
      </c>
      <c r="F2391" s="1" t="s">
        <v>10686</v>
      </c>
      <c r="H2391" s="1" t="s">
        <v>10926</v>
      </c>
      <c r="J2391" s="1" t="s">
        <v>10927</v>
      </c>
      <c r="L2391" s="1" t="s">
        <v>1906</v>
      </c>
      <c r="M2391" s="1" t="s">
        <v>1907</v>
      </c>
      <c r="N2391" s="1" t="s">
        <v>2521</v>
      </c>
      <c r="P2391" s="1" t="s">
        <v>2525</v>
      </c>
      <c r="Q2391" s="3">
        <v>0</v>
      </c>
      <c r="R2391" s="23" t="s">
        <v>10605</v>
      </c>
      <c r="S2391" s="23" t="s">
        <v>6847</v>
      </c>
      <c r="T2391" s="23" t="s">
        <v>4866</v>
      </c>
      <c r="U2391" s="3">
        <v>35</v>
      </c>
      <c r="W2391" s="45" t="str">
        <f>HYPERLINK("http://ictvonline.org/taxonomy/p/taxonomy-history?taxnode_id=201904229","ICTVonline=201904229")</f>
        <v>ICTVonline=201904229</v>
      </c>
      <c r="AA2391" s="1">
        <v>201900000</v>
      </c>
      <c r="AB2391" s="1">
        <v>35</v>
      </c>
    </row>
    <row r="2392" spans="1:28" x14ac:dyDescent="0.2">
      <c r="A2392" s="1">
        <v>6540</v>
      </c>
      <c r="B2392" s="1" t="s">
        <v>10590</v>
      </c>
      <c r="D2392" s="1" t="s">
        <v>10685</v>
      </c>
      <c r="F2392" s="1" t="s">
        <v>10686</v>
      </c>
      <c r="H2392" s="1" t="s">
        <v>10926</v>
      </c>
      <c r="J2392" s="1" t="s">
        <v>10927</v>
      </c>
      <c r="L2392" s="1" t="s">
        <v>1906</v>
      </c>
      <c r="M2392" s="1" t="s">
        <v>1907</v>
      </c>
      <c r="N2392" s="1" t="s">
        <v>2521</v>
      </c>
      <c r="P2392" s="1" t="s">
        <v>2526</v>
      </c>
      <c r="Q2392" s="3">
        <v>0</v>
      </c>
      <c r="R2392" s="23" t="s">
        <v>10605</v>
      </c>
      <c r="S2392" s="23" t="s">
        <v>6847</v>
      </c>
      <c r="T2392" s="23" t="s">
        <v>4866</v>
      </c>
      <c r="U2392" s="3">
        <v>35</v>
      </c>
      <c r="W2392" s="45" t="str">
        <f>HYPERLINK("http://ictvonline.org/taxonomy/p/taxonomy-history?taxnode_id=201904230","ICTVonline=201904230")</f>
        <v>ICTVonline=201904230</v>
      </c>
      <c r="AA2392" s="1">
        <v>201900000</v>
      </c>
      <c r="AB2392" s="1">
        <v>35</v>
      </c>
    </row>
    <row r="2393" spans="1:28" x14ac:dyDescent="0.2">
      <c r="A2393" s="1">
        <v>6544</v>
      </c>
      <c r="B2393" s="1" t="s">
        <v>10590</v>
      </c>
      <c r="D2393" s="1" t="s">
        <v>10685</v>
      </c>
      <c r="F2393" s="1" t="s">
        <v>10686</v>
      </c>
      <c r="H2393" s="1" t="s">
        <v>10926</v>
      </c>
      <c r="J2393" s="1" t="s">
        <v>10927</v>
      </c>
      <c r="L2393" s="1" t="s">
        <v>1906</v>
      </c>
      <c r="M2393" s="1" t="s">
        <v>1907</v>
      </c>
      <c r="N2393" s="1" t="s">
        <v>10948</v>
      </c>
      <c r="P2393" s="1" t="s">
        <v>10949</v>
      </c>
      <c r="Q2393" s="3">
        <v>1</v>
      </c>
      <c r="R2393" s="23" t="s">
        <v>10930</v>
      </c>
      <c r="S2393" s="23" t="s">
        <v>6849</v>
      </c>
      <c r="T2393" s="23" t="s">
        <v>6031</v>
      </c>
      <c r="U2393" s="3">
        <v>35</v>
      </c>
      <c r="V2393" s="3" t="s">
        <v>10931</v>
      </c>
      <c r="W2393" s="45" t="str">
        <f>HYPERLINK("http://ictvonline.org/taxonomy/p/taxonomy-history?taxnode_id=201904234","ICTVonline=201904234")</f>
        <v>ICTVonline=201904234</v>
      </c>
      <c r="X2393" s="1" t="s">
        <v>10950</v>
      </c>
      <c r="Y2393" s="1" t="s">
        <v>10951</v>
      </c>
      <c r="AA2393" s="1">
        <v>201900000</v>
      </c>
      <c r="AB2393" s="1">
        <v>35</v>
      </c>
    </row>
    <row r="2394" spans="1:28" x14ac:dyDescent="0.2">
      <c r="A2394" s="1">
        <v>6548</v>
      </c>
      <c r="B2394" s="1" t="s">
        <v>10590</v>
      </c>
      <c r="D2394" s="1" t="s">
        <v>10685</v>
      </c>
      <c r="F2394" s="1" t="s">
        <v>10686</v>
      </c>
      <c r="H2394" s="1" t="s">
        <v>10926</v>
      </c>
      <c r="J2394" s="1" t="s">
        <v>10927</v>
      </c>
      <c r="L2394" s="1" t="s">
        <v>1906</v>
      </c>
      <c r="M2394" s="1" t="s">
        <v>1907</v>
      </c>
      <c r="N2394" s="1" t="s">
        <v>10952</v>
      </c>
      <c r="P2394" s="1" t="s">
        <v>10953</v>
      </c>
      <c r="Q2394" s="3">
        <v>1</v>
      </c>
      <c r="R2394" s="23" t="s">
        <v>10930</v>
      </c>
      <c r="S2394" s="23" t="s">
        <v>6849</v>
      </c>
      <c r="T2394" s="23" t="s">
        <v>6031</v>
      </c>
      <c r="U2394" s="3">
        <v>35</v>
      </c>
      <c r="V2394" s="3" t="s">
        <v>10931</v>
      </c>
      <c r="W2394" s="45" t="str">
        <f>HYPERLINK("http://ictvonline.org/taxonomy/p/taxonomy-history?taxnode_id=201904210","ICTVonline=201904210")</f>
        <v>ICTVonline=201904210</v>
      </c>
      <c r="X2394" s="1" t="s">
        <v>10954</v>
      </c>
      <c r="Y2394" s="1" t="s">
        <v>10955</v>
      </c>
      <c r="AA2394" s="1">
        <v>201900000</v>
      </c>
      <c r="AB2394" s="1">
        <v>35</v>
      </c>
    </row>
    <row r="2395" spans="1:28" x14ac:dyDescent="0.2">
      <c r="A2395" s="1">
        <v>6552</v>
      </c>
      <c r="B2395" s="1" t="s">
        <v>10590</v>
      </c>
      <c r="D2395" s="1" t="s">
        <v>10685</v>
      </c>
      <c r="F2395" s="1" t="s">
        <v>10686</v>
      </c>
      <c r="H2395" s="1" t="s">
        <v>10926</v>
      </c>
      <c r="J2395" s="1" t="s">
        <v>10927</v>
      </c>
      <c r="L2395" s="1" t="s">
        <v>1906</v>
      </c>
      <c r="M2395" s="1" t="s">
        <v>1907</v>
      </c>
      <c r="N2395" s="1" t="s">
        <v>10956</v>
      </c>
      <c r="P2395" s="1" t="s">
        <v>10957</v>
      </c>
      <c r="Q2395" s="3">
        <v>1</v>
      </c>
      <c r="R2395" s="23" t="s">
        <v>10930</v>
      </c>
      <c r="S2395" s="23" t="s">
        <v>6849</v>
      </c>
      <c r="T2395" s="23" t="s">
        <v>4865</v>
      </c>
      <c r="U2395" s="3">
        <v>35</v>
      </c>
      <c r="V2395" s="3" t="s">
        <v>10931</v>
      </c>
      <c r="W2395" s="45" t="str">
        <f>HYPERLINK("http://ictvonline.org/taxonomy/p/taxonomy-history?taxnode_id=201904232","ICTVonline=201904232")</f>
        <v>ICTVonline=201904232</v>
      </c>
      <c r="X2395" s="1" t="s">
        <v>10958</v>
      </c>
      <c r="Y2395" s="1" t="s">
        <v>10959</v>
      </c>
      <c r="AA2395" s="1">
        <v>201900000</v>
      </c>
      <c r="AB2395" s="1">
        <v>35</v>
      </c>
    </row>
    <row r="2396" spans="1:28" x14ac:dyDescent="0.2">
      <c r="A2396" s="1">
        <v>6556</v>
      </c>
      <c r="B2396" s="1" t="s">
        <v>10590</v>
      </c>
      <c r="D2396" s="1" t="s">
        <v>10685</v>
      </c>
      <c r="F2396" s="1" t="s">
        <v>10686</v>
      </c>
      <c r="H2396" s="1" t="s">
        <v>10926</v>
      </c>
      <c r="J2396" s="1" t="s">
        <v>10927</v>
      </c>
      <c r="L2396" s="1" t="s">
        <v>1906</v>
      </c>
      <c r="M2396" s="1" t="s">
        <v>1907</v>
      </c>
      <c r="N2396" s="1" t="s">
        <v>10960</v>
      </c>
      <c r="P2396" s="1" t="s">
        <v>10961</v>
      </c>
      <c r="Q2396" s="3">
        <v>0</v>
      </c>
      <c r="R2396" s="23" t="s">
        <v>10930</v>
      </c>
      <c r="S2396" s="23" t="s">
        <v>6849</v>
      </c>
      <c r="T2396" s="23" t="s">
        <v>4865</v>
      </c>
      <c r="U2396" s="3">
        <v>35</v>
      </c>
      <c r="V2396" s="3" t="s">
        <v>10931</v>
      </c>
      <c r="W2396" s="45" t="str">
        <f>HYPERLINK("http://ictvonline.org/taxonomy/p/taxonomy-history?taxnode_id=201904213","ICTVonline=201904213")</f>
        <v>ICTVonline=201904213</v>
      </c>
      <c r="X2396" s="1" t="s">
        <v>10962</v>
      </c>
      <c r="Y2396" s="1" t="s">
        <v>10963</v>
      </c>
      <c r="AA2396" s="1">
        <v>201900000</v>
      </c>
      <c r="AB2396" s="1">
        <v>35</v>
      </c>
    </row>
    <row r="2397" spans="1:28" x14ac:dyDescent="0.2">
      <c r="A2397" s="1">
        <v>6558</v>
      </c>
      <c r="B2397" s="1" t="s">
        <v>10590</v>
      </c>
      <c r="D2397" s="1" t="s">
        <v>10685</v>
      </c>
      <c r="F2397" s="1" t="s">
        <v>10686</v>
      </c>
      <c r="H2397" s="1" t="s">
        <v>10926</v>
      </c>
      <c r="J2397" s="1" t="s">
        <v>10927</v>
      </c>
      <c r="L2397" s="1" t="s">
        <v>1906</v>
      </c>
      <c r="M2397" s="1" t="s">
        <v>1907</v>
      </c>
      <c r="N2397" s="1" t="s">
        <v>10960</v>
      </c>
      <c r="P2397" s="1" t="s">
        <v>10964</v>
      </c>
      <c r="Q2397" s="3">
        <v>1</v>
      </c>
      <c r="R2397" s="23" t="s">
        <v>10930</v>
      </c>
      <c r="S2397" s="23" t="s">
        <v>6849</v>
      </c>
      <c r="T2397" s="23" t="s">
        <v>4865</v>
      </c>
      <c r="U2397" s="3">
        <v>35</v>
      </c>
      <c r="V2397" s="3" t="s">
        <v>10931</v>
      </c>
      <c r="W2397" s="45" t="str">
        <f>HYPERLINK("http://ictvonline.org/taxonomy/p/taxonomy-history?taxnode_id=201904218","ICTVonline=201904218")</f>
        <v>ICTVonline=201904218</v>
      </c>
      <c r="X2397" s="1" t="s">
        <v>10965</v>
      </c>
      <c r="Y2397" s="1" t="s">
        <v>10966</v>
      </c>
      <c r="AA2397" s="1">
        <v>201900000</v>
      </c>
      <c r="AB2397" s="1">
        <v>35</v>
      </c>
    </row>
    <row r="2398" spans="1:28" x14ac:dyDescent="0.2">
      <c r="A2398" s="1">
        <v>6562</v>
      </c>
      <c r="B2398" s="1" t="s">
        <v>10590</v>
      </c>
      <c r="D2398" s="1" t="s">
        <v>10685</v>
      </c>
      <c r="F2398" s="1" t="s">
        <v>10686</v>
      </c>
      <c r="H2398" s="1" t="s">
        <v>10926</v>
      </c>
      <c r="J2398" s="1" t="s">
        <v>10927</v>
      </c>
      <c r="L2398" s="1" t="s">
        <v>1906</v>
      </c>
      <c r="M2398" s="1" t="s">
        <v>1907</v>
      </c>
      <c r="N2398" s="1" t="s">
        <v>10967</v>
      </c>
      <c r="P2398" s="1" t="s">
        <v>10968</v>
      </c>
      <c r="Q2398" s="3">
        <v>0</v>
      </c>
      <c r="R2398" s="23" t="s">
        <v>10930</v>
      </c>
      <c r="S2398" s="23" t="s">
        <v>6849</v>
      </c>
      <c r="T2398" s="23" t="s">
        <v>4865</v>
      </c>
      <c r="U2398" s="3">
        <v>35</v>
      </c>
      <c r="V2398" s="3" t="s">
        <v>10931</v>
      </c>
      <c r="W2398" s="45" t="str">
        <f>HYPERLINK("http://ictvonline.org/taxonomy/p/taxonomy-history?taxnode_id=201904214","ICTVonline=201904214")</f>
        <v>ICTVonline=201904214</v>
      </c>
      <c r="X2398" s="1" t="s">
        <v>10969</v>
      </c>
      <c r="Y2398" s="1" t="s">
        <v>10970</v>
      </c>
      <c r="AA2398" s="1">
        <v>201900000</v>
      </c>
      <c r="AB2398" s="1">
        <v>35</v>
      </c>
    </row>
    <row r="2399" spans="1:28" x14ac:dyDescent="0.2">
      <c r="A2399" s="1">
        <v>6564</v>
      </c>
      <c r="B2399" s="1" t="s">
        <v>10590</v>
      </c>
      <c r="D2399" s="1" t="s">
        <v>10685</v>
      </c>
      <c r="F2399" s="1" t="s">
        <v>10686</v>
      </c>
      <c r="H2399" s="1" t="s">
        <v>10926</v>
      </c>
      <c r="J2399" s="1" t="s">
        <v>10927</v>
      </c>
      <c r="L2399" s="1" t="s">
        <v>1906</v>
      </c>
      <c r="M2399" s="1" t="s">
        <v>1907</v>
      </c>
      <c r="N2399" s="1" t="s">
        <v>10967</v>
      </c>
      <c r="P2399" s="1" t="s">
        <v>10971</v>
      </c>
      <c r="Q2399" s="3">
        <v>0</v>
      </c>
      <c r="R2399" s="23" t="s">
        <v>10930</v>
      </c>
      <c r="S2399" s="23" t="s">
        <v>6849</v>
      </c>
      <c r="T2399" s="23" t="s">
        <v>4865</v>
      </c>
      <c r="U2399" s="3">
        <v>35</v>
      </c>
      <c r="V2399" s="3" t="s">
        <v>10931</v>
      </c>
      <c r="W2399" s="45" t="str">
        <f>HYPERLINK("http://ictvonline.org/taxonomy/p/taxonomy-history?taxnode_id=201904217","ICTVonline=201904217")</f>
        <v>ICTVonline=201904217</v>
      </c>
      <c r="X2399" s="1" t="s">
        <v>10972</v>
      </c>
      <c r="Y2399" s="1" t="s">
        <v>10973</v>
      </c>
      <c r="AA2399" s="1">
        <v>201900000</v>
      </c>
      <c r="AB2399" s="1">
        <v>35</v>
      </c>
    </row>
    <row r="2400" spans="1:28" x14ac:dyDescent="0.2">
      <c r="A2400" s="1">
        <v>6566</v>
      </c>
      <c r="B2400" s="1" t="s">
        <v>10590</v>
      </c>
      <c r="D2400" s="1" t="s">
        <v>10685</v>
      </c>
      <c r="F2400" s="1" t="s">
        <v>10686</v>
      </c>
      <c r="H2400" s="1" t="s">
        <v>10926</v>
      </c>
      <c r="J2400" s="1" t="s">
        <v>10927</v>
      </c>
      <c r="L2400" s="1" t="s">
        <v>1906</v>
      </c>
      <c r="M2400" s="1" t="s">
        <v>1907</v>
      </c>
      <c r="N2400" s="1" t="s">
        <v>10967</v>
      </c>
      <c r="P2400" s="1" t="s">
        <v>10974</v>
      </c>
      <c r="Q2400" s="3">
        <v>1</v>
      </c>
      <c r="R2400" s="23" t="s">
        <v>10930</v>
      </c>
      <c r="S2400" s="23" t="s">
        <v>6849</v>
      </c>
      <c r="T2400" s="23" t="s">
        <v>6031</v>
      </c>
      <c r="U2400" s="3">
        <v>35</v>
      </c>
      <c r="V2400" s="3" t="s">
        <v>10931</v>
      </c>
      <c r="W2400" s="45" t="str">
        <f>HYPERLINK("http://ictvonline.org/taxonomy/p/taxonomy-history?taxnode_id=201904219","ICTVonline=201904219")</f>
        <v>ICTVonline=201904219</v>
      </c>
      <c r="X2400" s="1" t="s">
        <v>10975</v>
      </c>
      <c r="Y2400" s="1" t="s">
        <v>10976</v>
      </c>
      <c r="AA2400" s="1">
        <v>201900000</v>
      </c>
      <c r="AB2400" s="1">
        <v>35</v>
      </c>
    </row>
    <row r="2401" spans="1:28" x14ac:dyDescent="0.2">
      <c r="A2401" s="1">
        <v>6572</v>
      </c>
      <c r="B2401" s="1" t="s">
        <v>10590</v>
      </c>
      <c r="D2401" s="1" t="s">
        <v>10685</v>
      </c>
      <c r="F2401" s="1" t="s">
        <v>10686</v>
      </c>
      <c r="H2401" s="1" t="s">
        <v>10926</v>
      </c>
      <c r="J2401" s="1" t="s">
        <v>10927</v>
      </c>
      <c r="L2401" s="1" t="s">
        <v>1906</v>
      </c>
      <c r="M2401" s="1" t="s">
        <v>10977</v>
      </c>
      <c r="N2401" s="1" t="s">
        <v>10978</v>
      </c>
      <c r="P2401" s="1" t="s">
        <v>10979</v>
      </c>
      <c r="Q2401" s="3">
        <v>1</v>
      </c>
      <c r="R2401" s="23" t="s">
        <v>10930</v>
      </c>
      <c r="S2401" s="23" t="s">
        <v>6849</v>
      </c>
      <c r="T2401" s="23" t="s">
        <v>4865</v>
      </c>
      <c r="U2401" s="3">
        <v>35</v>
      </c>
      <c r="V2401" s="3" t="s">
        <v>10931</v>
      </c>
      <c r="W2401" s="45" t="str">
        <f>HYPERLINK("http://ictvonline.org/taxonomy/p/taxonomy-history?taxnode_id=201904221","ICTVonline=201904221")</f>
        <v>ICTVonline=201904221</v>
      </c>
      <c r="X2401" s="1" t="s">
        <v>10980</v>
      </c>
      <c r="Y2401" s="1" t="s">
        <v>10981</v>
      </c>
      <c r="AA2401" s="1">
        <v>201900000</v>
      </c>
      <c r="AB2401" s="1">
        <v>35</v>
      </c>
    </row>
    <row r="2402" spans="1:28" x14ac:dyDescent="0.2">
      <c r="A2402" s="1">
        <v>6574</v>
      </c>
      <c r="B2402" s="1" t="s">
        <v>10590</v>
      </c>
      <c r="D2402" s="1" t="s">
        <v>10685</v>
      </c>
      <c r="F2402" s="1" t="s">
        <v>10686</v>
      </c>
      <c r="H2402" s="1" t="s">
        <v>10926</v>
      </c>
      <c r="J2402" s="1" t="s">
        <v>10927</v>
      </c>
      <c r="L2402" s="1" t="s">
        <v>1906</v>
      </c>
      <c r="M2402" s="1" t="s">
        <v>10977</v>
      </c>
      <c r="N2402" s="1" t="s">
        <v>10978</v>
      </c>
      <c r="P2402" s="1" t="s">
        <v>10982</v>
      </c>
      <c r="Q2402" s="3">
        <v>0</v>
      </c>
      <c r="R2402" s="23" t="s">
        <v>10930</v>
      </c>
      <c r="S2402" s="23" t="s">
        <v>6849</v>
      </c>
      <c r="T2402" s="23" t="s">
        <v>4865</v>
      </c>
      <c r="U2402" s="3">
        <v>35</v>
      </c>
      <c r="V2402" s="3" t="s">
        <v>10931</v>
      </c>
      <c r="W2402" s="45" t="str">
        <f>HYPERLINK("http://ictvonline.org/taxonomy/p/taxonomy-history?taxnode_id=201904222","ICTVonline=201904222")</f>
        <v>ICTVonline=201904222</v>
      </c>
      <c r="X2402" s="1" t="s">
        <v>10983</v>
      </c>
      <c r="Y2402" s="1" t="s">
        <v>10984</v>
      </c>
      <c r="AA2402" s="1">
        <v>201900000</v>
      </c>
      <c r="AB2402" s="1">
        <v>35</v>
      </c>
    </row>
    <row r="2403" spans="1:28" x14ac:dyDescent="0.2">
      <c r="A2403" s="1">
        <v>6578</v>
      </c>
      <c r="B2403" s="1" t="s">
        <v>10590</v>
      </c>
      <c r="D2403" s="1" t="s">
        <v>10685</v>
      </c>
      <c r="F2403" s="1" t="s">
        <v>10686</v>
      </c>
      <c r="H2403" s="1" t="s">
        <v>10926</v>
      </c>
      <c r="J2403" s="1" t="s">
        <v>10927</v>
      </c>
      <c r="L2403" s="1" t="s">
        <v>1906</v>
      </c>
      <c r="M2403" s="1" t="s">
        <v>10977</v>
      </c>
      <c r="N2403" s="1" t="s">
        <v>10985</v>
      </c>
      <c r="P2403" s="1" t="s">
        <v>10986</v>
      </c>
      <c r="Q2403" s="3">
        <v>0</v>
      </c>
      <c r="R2403" s="23" t="s">
        <v>10930</v>
      </c>
      <c r="S2403" s="23" t="s">
        <v>6849</v>
      </c>
      <c r="T2403" s="23" t="s">
        <v>4864</v>
      </c>
      <c r="U2403" s="3">
        <v>35</v>
      </c>
      <c r="V2403" s="3" t="s">
        <v>10931</v>
      </c>
      <c r="W2403" s="45" t="str">
        <f>HYPERLINK("http://ictvonline.org/taxonomy/p/taxonomy-history?taxnode_id=201907331","ICTVonline=201907331")</f>
        <v>ICTVonline=201907331</v>
      </c>
      <c r="X2403" s="1" t="s">
        <v>10987</v>
      </c>
      <c r="Y2403" s="1" t="s">
        <v>10988</v>
      </c>
      <c r="AA2403" s="1">
        <v>201900000</v>
      </c>
      <c r="AB2403" s="1">
        <v>35</v>
      </c>
    </row>
    <row r="2404" spans="1:28" x14ac:dyDescent="0.2">
      <c r="A2404" s="1">
        <v>6580</v>
      </c>
      <c r="B2404" s="1" t="s">
        <v>10590</v>
      </c>
      <c r="D2404" s="1" t="s">
        <v>10685</v>
      </c>
      <c r="F2404" s="1" t="s">
        <v>10686</v>
      </c>
      <c r="H2404" s="1" t="s">
        <v>10926</v>
      </c>
      <c r="J2404" s="1" t="s">
        <v>10927</v>
      </c>
      <c r="L2404" s="1" t="s">
        <v>1906</v>
      </c>
      <c r="M2404" s="1" t="s">
        <v>10977</v>
      </c>
      <c r="N2404" s="1" t="s">
        <v>10985</v>
      </c>
      <c r="P2404" s="1" t="s">
        <v>10989</v>
      </c>
      <c r="Q2404" s="3">
        <v>0</v>
      </c>
      <c r="R2404" s="23" t="s">
        <v>10930</v>
      </c>
      <c r="S2404" s="23" t="s">
        <v>6849</v>
      </c>
      <c r="T2404" s="23" t="s">
        <v>4864</v>
      </c>
      <c r="U2404" s="3">
        <v>35</v>
      </c>
      <c r="V2404" s="3" t="s">
        <v>10931</v>
      </c>
      <c r="W2404" s="45" t="str">
        <f>HYPERLINK("http://ictvonline.org/taxonomy/p/taxonomy-history?taxnode_id=201907332","ICTVonline=201907332")</f>
        <v>ICTVonline=201907332</v>
      </c>
      <c r="X2404" s="1" t="s">
        <v>10990</v>
      </c>
      <c r="Y2404" s="1" t="s">
        <v>10991</v>
      </c>
      <c r="AA2404" s="1">
        <v>201900000</v>
      </c>
      <c r="AB2404" s="1">
        <v>35</v>
      </c>
    </row>
    <row r="2405" spans="1:28" x14ac:dyDescent="0.2">
      <c r="A2405" s="1">
        <v>6582</v>
      </c>
      <c r="B2405" s="1" t="s">
        <v>10590</v>
      </c>
      <c r="D2405" s="1" t="s">
        <v>10685</v>
      </c>
      <c r="F2405" s="1" t="s">
        <v>10686</v>
      </c>
      <c r="H2405" s="1" t="s">
        <v>10926</v>
      </c>
      <c r="J2405" s="1" t="s">
        <v>10927</v>
      </c>
      <c r="L2405" s="1" t="s">
        <v>1906</v>
      </c>
      <c r="M2405" s="1" t="s">
        <v>10977</v>
      </c>
      <c r="N2405" s="1" t="s">
        <v>10985</v>
      </c>
      <c r="P2405" s="1" t="s">
        <v>10992</v>
      </c>
      <c r="Q2405" s="3">
        <v>0</v>
      </c>
      <c r="R2405" s="23" t="s">
        <v>10930</v>
      </c>
      <c r="S2405" s="23" t="s">
        <v>6849</v>
      </c>
      <c r="T2405" s="23" t="s">
        <v>4864</v>
      </c>
      <c r="U2405" s="3">
        <v>35</v>
      </c>
      <c r="V2405" s="3" t="s">
        <v>10931</v>
      </c>
      <c r="W2405" s="45" t="str">
        <f>HYPERLINK("http://ictvonline.org/taxonomy/p/taxonomy-history?taxnode_id=201907333","ICTVonline=201907333")</f>
        <v>ICTVonline=201907333</v>
      </c>
      <c r="X2405" s="1" t="s">
        <v>10993</v>
      </c>
      <c r="Y2405" s="1" t="s">
        <v>10994</v>
      </c>
      <c r="AA2405" s="1">
        <v>201900000</v>
      </c>
      <c r="AB2405" s="1">
        <v>35</v>
      </c>
    </row>
    <row r="2406" spans="1:28" x14ac:dyDescent="0.2">
      <c r="A2406" s="1">
        <v>6584</v>
      </c>
      <c r="B2406" s="1" t="s">
        <v>10590</v>
      </c>
      <c r="D2406" s="1" t="s">
        <v>10685</v>
      </c>
      <c r="F2406" s="1" t="s">
        <v>10686</v>
      </c>
      <c r="H2406" s="1" t="s">
        <v>10926</v>
      </c>
      <c r="J2406" s="1" t="s">
        <v>10927</v>
      </c>
      <c r="L2406" s="1" t="s">
        <v>1906</v>
      </c>
      <c r="M2406" s="1" t="s">
        <v>10977</v>
      </c>
      <c r="N2406" s="1" t="s">
        <v>10985</v>
      </c>
      <c r="P2406" s="1" t="s">
        <v>10995</v>
      </c>
      <c r="Q2406" s="3">
        <v>0</v>
      </c>
      <c r="R2406" s="23" t="s">
        <v>10930</v>
      </c>
      <c r="S2406" s="23" t="s">
        <v>6849</v>
      </c>
      <c r="T2406" s="23" t="s">
        <v>4864</v>
      </c>
      <c r="U2406" s="3">
        <v>35</v>
      </c>
      <c r="V2406" s="3" t="s">
        <v>10931</v>
      </c>
      <c r="W2406" s="45" t="str">
        <f>HYPERLINK("http://ictvonline.org/taxonomy/p/taxonomy-history?taxnode_id=201907334","ICTVonline=201907334")</f>
        <v>ICTVonline=201907334</v>
      </c>
      <c r="X2406" s="1" t="s">
        <v>10996</v>
      </c>
      <c r="Y2406" s="1" t="s">
        <v>10997</v>
      </c>
      <c r="AA2406" s="1">
        <v>201900000</v>
      </c>
      <c r="AB2406" s="1">
        <v>35</v>
      </c>
    </row>
    <row r="2407" spans="1:28" x14ac:dyDescent="0.2">
      <c r="A2407" s="1">
        <v>6586</v>
      </c>
      <c r="B2407" s="1" t="s">
        <v>10590</v>
      </c>
      <c r="D2407" s="1" t="s">
        <v>10685</v>
      </c>
      <c r="F2407" s="1" t="s">
        <v>10686</v>
      </c>
      <c r="H2407" s="1" t="s">
        <v>10926</v>
      </c>
      <c r="J2407" s="1" t="s">
        <v>10927</v>
      </c>
      <c r="L2407" s="1" t="s">
        <v>1906</v>
      </c>
      <c r="M2407" s="1" t="s">
        <v>10977</v>
      </c>
      <c r="N2407" s="1" t="s">
        <v>10985</v>
      </c>
      <c r="P2407" s="1" t="s">
        <v>10998</v>
      </c>
      <c r="Q2407" s="3">
        <v>0</v>
      </c>
      <c r="R2407" s="23" t="s">
        <v>10930</v>
      </c>
      <c r="S2407" s="23" t="s">
        <v>6849</v>
      </c>
      <c r="T2407" s="23" t="s">
        <v>4864</v>
      </c>
      <c r="U2407" s="3">
        <v>35</v>
      </c>
      <c r="V2407" s="3" t="s">
        <v>10931</v>
      </c>
      <c r="W2407" s="45" t="str">
        <f>HYPERLINK("http://ictvonline.org/taxonomy/p/taxonomy-history?taxnode_id=201907335","ICTVonline=201907335")</f>
        <v>ICTVonline=201907335</v>
      </c>
      <c r="X2407" s="1" t="s">
        <v>10999</v>
      </c>
      <c r="Y2407" s="1" t="s">
        <v>11000</v>
      </c>
      <c r="AA2407" s="1">
        <v>201900000</v>
      </c>
      <c r="AB2407" s="1">
        <v>35</v>
      </c>
    </row>
    <row r="2408" spans="1:28" x14ac:dyDescent="0.2">
      <c r="A2408" s="1">
        <v>6588</v>
      </c>
      <c r="B2408" s="1" t="s">
        <v>10590</v>
      </c>
      <c r="D2408" s="1" t="s">
        <v>10685</v>
      </c>
      <c r="F2408" s="1" t="s">
        <v>10686</v>
      </c>
      <c r="H2408" s="1" t="s">
        <v>10926</v>
      </c>
      <c r="J2408" s="1" t="s">
        <v>10927</v>
      </c>
      <c r="L2408" s="1" t="s">
        <v>1906</v>
      </c>
      <c r="M2408" s="1" t="s">
        <v>10977</v>
      </c>
      <c r="N2408" s="1" t="s">
        <v>10985</v>
      </c>
      <c r="P2408" s="1" t="s">
        <v>11001</v>
      </c>
      <c r="Q2408" s="3">
        <v>1</v>
      </c>
      <c r="R2408" s="23" t="s">
        <v>10930</v>
      </c>
      <c r="S2408" s="23" t="s">
        <v>6849</v>
      </c>
      <c r="T2408" s="23" t="s">
        <v>4864</v>
      </c>
      <c r="U2408" s="3">
        <v>35</v>
      </c>
      <c r="V2408" s="3" t="s">
        <v>10931</v>
      </c>
      <c r="W2408" s="45" t="str">
        <f>HYPERLINK("http://ictvonline.org/taxonomy/p/taxonomy-history?taxnode_id=201907329","ICTVonline=201907329")</f>
        <v>ICTVonline=201907329</v>
      </c>
      <c r="X2408" s="1" t="s">
        <v>11002</v>
      </c>
      <c r="Y2408" s="1" t="s">
        <v>11003</v>
      </c>
      <c r="AA2408" s="1">
        <v>201900000</v>
      </c>
      <c r="AB2408" s="1">
        <v>35</v>
      </c>
    </row>
    <row r="2409" spans="1:28" x14ac:dyDescent="0.2">
      <c r="A2409" s="1">
        <v>6590</v>
      </c>
      <c r="B2409" s="1" t="s">
        <v>10590</v>
      </c>
      <c r="D2409" s="1" t="s">
        <v>10685</v>
      </c>
      <c r="F2409" s="1" t="s">
        <v>10686</v>
      </c>
      <c r="H2409" s="1" t="s">
        <v>10926</v>
      </c>
      <c r="J2409" s="1" t="s">
        <v>10927</v>
      </c>
      <c r="L2409" s="1" t="s">
        <v>1906</v>
      </c>
      <c r="M2409" s="1" t="s">
        <v>10977</v>
      </c>
      <c r="N2409" s="1" t="s">
        <v>10985</v>
      </c>
      <c r="P2409" s="1" t="s">
        <v>11004</v>
      </c>
      <c r="Q2409" s="3">
        <v>0</v>
      </c>
      <c r="R2409" s="23" t="s">
        <v>10930</v>
      </c>
      <c r="S2409" s="23" t="s">
        <v>6849</v>
      </c>
      <c r="T2409" s="23" t="s">
        <v>4864</v>
      </c>
      <c r="U2409" s="3">
        <v>35</v>
      </c>
      <c r="V2409" s="3" t="s">
        <v>10931</v>
      </c>
      <c r="W2409" s="45" t="str">
        <f>HYPERLINK("http://ictvonline.org/taxonomy/p/taxonomy-history?taxnode_id=201907330","ICTVonline=201907330")</f>
        <v>ICTVonline=201907330</v>
      </c>
      <c r="X2409" s="1" t="s">
        <v>11005</v>
      </c>
      <c r="Y2409" s="1" t="s">
        <v>11006</v>
      </c>
      <c r="AA2409" s="1">
        <v>201900000</v>
      </c>
      <c r="AB2409" s="1">
        <v>35</v>
      </c>
    </row>
    <row r="2410" spans="1:28" x14ac:dyDescent="0.2">
      <c r="A2410" s="1">
        <v>6592</v>
      </c>
      <c r="B2410" s="1" t="s">
        <v>10590</v>
      </c>
      <c r="D2410" s="1" t="s">
        <v>10685</v>
      </c>
      <c r="F2410" s="1" t="s">
        <v>10686</v>
      </c>
      <c r="H2410" s="1" t="s">
        <v>10926</v>
      </c>
      <c r="J2410" s="1" t="s">
        <v>10927</v>
      </c>
      <c r="L2410" s="1" t="s">
        <v>1906</v>
      </c>
      <c r="M2410" s="1" t="s">
        <v>10977</v>
      </c>
      <c r="N2410" s="1" t="s">
        <v>10985</v>
      </c>
      <c r="P2410" s="1" t="s">
        <v>11007</v>
      </c>
      <c r="Q2410" s="3">
        <v>0</v>
      </c>
      <c r="R2410" s="23" t="s">
        <v>10930</v>
      </c>
      <c r="S2410" s="23" t="s">
        <v>6849</v>
      </c>
      <c r="T2410" s="23" t="s">
        <v>4864</v>
      </c>
      <c r="U2410" s="3">
        <v>35</v>
      </c>
      <c r="V2410" s="3" t="s">
        <v>10931</v>
      </c>
      <c r="W2410" s="45" t="str">
        <f>HYPERLINK("http://ictvonline.org/taxonomy/p/taxonomy-history?taxnode_id=201907328","ICTVonline=201907328")</f>
        <v>ICTVonline=201907328</v>
      </c>
      <c r="X2410" s="1" t="s">
        <v>11008</v>
      </c>
      <c r="Y2410" s="1" t="s">
        <v>11009</v>
      </c>
      <c r="AA2410" s="1">
        <v>201900000</v>
      </c>
      <c r="AB2410" s="1">
        <v>35</v>
      </c>
    </row>
    <row r="2411" spans="1:28" x14ac:dyDescent="0.2">
      <c r="A2411" s="1">
        <v>6596</v>
      </c>
      <c r="B2411" s="1" t="s">
        <v>10590</v>
      </c>
      <c r="D2411" s="1" t="s">
        <v>10685</v>
      </c>
      <c r="F2411" s="1" t="s">
        <v>10686</v>
      </c>
      <c r="H2411" s="1" t="s">
        <v>10926</v>
      </c>
      <c r="J2411" s="1" t="s">
        <v>10927</v>
      </c>
      <c r="L2411" s="1" t="s">
        <v>1906</v>
      </c>
      <c r="M2411" s="1" t="s">
        <v>10977</v>
      </c>
      <c r="N2411" s="1" t="s">
        <v>11010</v>
      </c>
      <c r="P2411" s="1" t="s">
        <v>11011</v>
      </c>
      <c r="Q2411" s="3">
        <v>1</v>
      </c>
      <c r="R2411" s="23" t="s">
        <v>10930</v>
      </c>
      <c r="S2411" s="23" t="s">
        <v>6849</v>
      </c>
      <c r="T2411" s="23" t="s">
        <v>4865</v>
      </c>
      <c r="U2411" s="3">
        <v>35</v>
      </c>
      <c r="V2411" s="3" t="s">
        <v>10931</v>
      </c>
      <c r="W2411" s="45" t="str">
        <f>HYPERLINK("http://ictvonline.org/taxonomy/p/taxonomy-history?taxnode_id=201904224","ICTVonline=201904224")</f>
        <v>ICTVonline=201904224</v>
      </c>
      <c r="X2411" s="1" t="s">
        <v>11012</v>
      </c>
      <c r="Y2411" s="1" t="s">
        <v>11013</v>
      </c>
      <c r="AA2411" s="1">
        <v>201900000</v>
      </c>
      <c r="AB2411" s="1">
        <v>35</v>
      </c>
    </row>
    <row r="2412" spans="1:28" x14ac:dyDescent="0.2">
      <c r="A2412" s="1">
        <v>6600</v>
      </c>
      <c r="B2412" s="1" t="s">
        <v>10590</v>
      </c>
      <c r="D2412" s="1" t="s">
        <v>10685</v>
      </c>
      <c r="F2412" s="1" t="s">
        <v>10686</v>
      </c>
      <c r="H2412" s="1" t="s">
        <v>10926</v>
      </c>
      <c r="J2412" s="1" t="s">
        <v>10927</v>
      </c>
      <c r="L2412" s="1" t="s">
        <v>1906</v>
      </c>
      <c r="M2412" s="1" t="s">
        <v>10977</v>
      </c>
      <c r="N2412" s="1" t="s">
        <v>11014</v>
      </c>
      <c r="P2412" s="1" t="s">
        <v>11015</v>
      </c>
      <c r="Q2412" s="3">
        <v>1</v>
      </c>
      <c r="R2412" s="23" t="s">
        <v>10930</v>
      </c>
      <c r="S2412" s="23" t="s">
        <v>6849</v>
      </c>
      <c r="T2412" s="23" t="s">
        <v>4864</v>
      </c>
      <c r="U2412" s="3">
        <v>35</v>
      </c>
      <c r="V2412" s="3" t="s">
        <v>10931</v>
      </c>
      <c r="W2412" s="45" t="str">
        <f>HYPERLINK("http://ictvonline.org/taxonomy/p/taxonomy-history?taxnode_id=201907326","ICTVonline=201907326")</f>
        <v>ICTVonline=201907326</v>
      </c>
      <c r="X2412" s="1" t="s">
        <v>11016</v>
      </c>
      <c r="Y2412" s="1" t="s">
        <v>11017</v>
      </c>
      <c r="AA2412" s="1">
        <v>201900000</v>
      </c>
      <c r="AB2412" s="1">
        <v>35</v>
      </c>
    </row>
    <row r="2413" spans="1:28" x14ac:dyDescent="0.2">
      <c r="A2413" s="1">
        <v>6606</v>
      </c>
      <c r="B2413" s="1" t="s">
        <v>10590</v>
      </c>
      <c r="D2413" s="1" t="s">
        <v>10685</v>
      </c>
      <c r="F2413" s="1" t="s">
        <v>10686</v>
      </c>
      <c r="H2413" s="1" t="s">
        <v>10926</v>
      </c>
      <c r="J2413" s="1" t="s">
        <v>10927</v>
      </c>
      <c r="L2413" s="1" t="s">
        <v>1906</v>
      </c>
      <c r="M2413" s="1" t="s">
        <v>1607</v>
      </c>
      <c r="N2413" s="1" t="s">
        <v>2527</v>
      </c>
      <c r="P2413" s="1" t="s">
        <v>2528</v>
      </c>
      <c r="Q2413" s="3">
        <v>1</v>
      </c>
      <c r="R2413" s="23" t="s">
        <v>10605</v>
      </c>
      <c r="S2413" s="23" t="s">
        <v>6847</v>
      </c>
      <c r="T2413" s="23" t="s">
        <v>4866</v>
      </c>
      <c r="U2413" s="3">
        <v>35</v>
      </c>
      <c r="W2413" s="45" t="str">
        <f>HYPERLINK("http://ictvonline.org/taxonomy/p/taxonomy-history?taxnode_id=201904237","ICTVonline=201904237")</f>
        <v>ICTVonline=201904237</v>
      </c>
      <c r="AA2413" s="1">
        <v>201900000</v>
      </c>
      <c r="AB2413" s="1">
        <v>35</v>
      </c>
    </row>
    <row r="2414" spans="1:28" x14ac:dyDescent="0.2">
      <c r="A2414" s="1">
        <v>6608</v>
      </c>
      <c r="B2414" s="1" t="s">
        <v>10590</v>
      </c>
      <c r="D2414" s="1" t="s">
        <v>10685</v>
      </c>
      <c r="F2414" s="1" t="s">
        <v>10686</v>
      </c>
      <c r="H2414" s="1" t="s">
        <v>10926</v>
      </c>
      <c r="J2414" s="1" t="s">
        <v>10927</v>
      </c>
      <c r="L2414" s="1" t="s">
        <v>1906</v>
      </c>
      <c r="M2414" s="1" t="s">
        <v>1607</v>
      </c>
      <c r="N2414" s="1" t="s">
        <v>2527</v>
      </c>
      <c r="P2414" s="1" t="s">
        <v>2529</v>
      </c>
      <c r="Q2414" s="3">
        <v>0</v>
      </c>
      <c r="R2414" s="23" t="s">
        <v>10605</v>
      </c>
      <c r="S2414" s="23" t="s">
        <v>6847</v>
      </c>
      <c r="T2414" s="23" t="s">
        <v>4866</v>
      </c>
      <c r="U2414" s="3">
        <v>35</v>
      </c>
      <c r="W2414" s="45" t="str">
        <f>HYPERLINK("http://ictvonline.org/taxonomy/p/taxonomy-history?taxnode_id=201904238","ICTVonline=201904238")</f>
        <v>ICTVonline=201904238</v>
      </c>
      <c r="AA2414" s="1">
        <v>201900000</v>
      </c>
      <c r="AB2414" s="1">
        <v>35</v>
      </c>
    </row>
    <row r="2415" spans="1:28" x14ac:dyDescent="0.2">
      <c r="A2415" s="1">
        <v>6610</v>
      </c>
      <c r="B2415" s="1" t="s">
        <v>10590</v>
      </c>
      <c r="D2415" s="1" t="s">
        <v>10685</v>
      </c>
      <c r="F2415" s="1" t="s">
        <v>10686</v>
      </c>
      <c r="H2415" s="1" t="s">
        <v>10926</v>
      </c>
      <c r="J2415" s="1" t="s">
        <v>10927</v>
      </c>
      <c r="L2415" s="1" t="s">
        <v>1906</v>
      </c>
      <c r="M2415" s="1" t="s">
        <v>1607</v>
      </c>
      <c r="N2415" s="1" t="s">
        <v>2527</v>
      </c>
      <c r="P2415" s="1" t="s">
        <v>5422</v>
      </c>
      <c r="Q2415" s="3">
        <v>0</v>
      </c>
      <c r="R2415" s="23" t="s">
        <v>10605</v>
      </c>
      <c r="S2415" s="23" t="s">
        <v>6847</v>
      </c>
      <c r="T2415" s="23" t="s">
        <v>4866</v>
      </c>
      <c r="U2415" s="3">
        <v>35</v>
      </c>
      <c r="W2415" s="45" t="str">
        <f>HYPERLINK("http://ictvonline.org/taxonomy/p/taxonomy-history?taxnode_id=201905887","ICTVonline=201905887")</f>
        <v>ICTVonline=201905887</v>
      </c>
      <c r="AA2415" s="1">
        <v>201900000</v>
      </c>
      <c r="AB2415" s="1">
        <v>35</v>
      </c>
    </row>
    <row r="2416" spans="1:28" x14ac:dyDescent="0.2">
      <c r="A2416" s="1">
        <v>6612</v>
      </c>
      <c r="B2416" s="1" t="s">
        <v>10590</v>
      </c>
      <c r="D2416" s="1" t="s">
        <v>10685</v>
      </c>
      <c r="F2416" s="1" t="s">
        <v>10686</v>
      </c>
      <c r="H2416" s="1" t="s">
        <v>10926</v>
      </c>
      <c r="J2416" s="1" t="s">
        <v>10927</v>
      </c>
      <c r="L2416" s="1" t="s">
        <v>1906</v>
      </c>
      <c r="M2416" s="1" t="s">
        <v>1607</v>
      </c>
      <c r="N2416" s="1" t="s">
        <v>2527</v>
      </c>
      <c r="P2416" s="1" t="s">
        <v>5423</v>
      </c>
      <c r="Q2416" s="3">
        <v>0</v>
      </c>
      <c r="R2416" s="23" t="s">
        <v>10605</v>
      </c>
      <c r="S2416" s="23" t="s">
        <v>6847</v>
      </c>
      <c r="T2416" s="23" t="s">
        <v>4866</v>
      </c>
      <c r="U2416" s="3">
        <v>35</v>
      </c>
      <c r="W2416" s="45" t="str">
        <f>HYPERLINK("http://ictvonline.org/taxonomy/p/taxonomy-history?taxnode_id=201905888","ICTVonline=201905888")</f>
        <v>ICTVonline=201905888</v>
      </c>
      <c r="AA2416" s="1">
        <v>201900000</v>
      </c>
      <c r="AB2416" s="1">
        <v>35</v>
      </c>
    </row>
    <row r="2417" spans="1:28" x14ac:dyDescent="0.2">
      <c r="A2417" s="1">
        <v>6614</v>
      </c>
      <c r="B2417" s="1" t="s">
        <v>10590</v>
      </c>
      <c r="D2417" s="1" t="s">
        <v>10685</v>
      </c>
      <c r="F2417" s="1" t="s">
        <v>10686</v>
      </c>
      <c r="H2417" s="1" t="s">
        <v>10926</v>
      </c>
      <c r="J2417" s="1" t="s">
        <v>10927</v>
      </c>
      <c r="L2417" s="1" t="s">
        <v>1906</v>
      </c>
      <c r="M2417" s="1" t="s">
        <v>1607</v>
      </c>
      <c r="N2417" s="1" t="s">
        <v>2527</v>
      </c>
      <c r="P2417" s="1" t="s">
        <v>11018</v>
      </c>
      <c r="Q2417" s="3">
        <v>0</v>
      </c>
      <c r="R2417" s="23" t="s">
        <v>10930</v>
      </c>
      <c r="S2417" s="23" t="s">
        <v>6849</v>
      </c>
      <c r="T2417" s="23" t="s">
        <v>4864</v>
      </c>
      <c r="U2417" s="3">
        <v>35</v>
      </c>
      <c r="V2417" s="3" t="s">
        <v>10931</v>
      </c>
      <c r="W2417" s="45" t="str">
        <f>HYPERLINK("http://ictvonline.org/taxonomy/p/taxonomy-history?taxnode_id=201907355","ICTVonline=201907355")</f>
        <v>ICTVonline=201907355</v>
      </c>
      <c r="X2417" s="1" t="s">
        <v>11019</v>
      </c>
      <c r="Y2417" s="1" t="s">
        <v>11020</v>
      </c>
      <c r="AA2417" s="1">
        <v>201900000</v>
      </c>
      <c r="AB2417" s="1">
        <v>35</v>
      </c>
    </row>
    <row r="2418" spans="1:28" x14ac:dyDescent="0.2">
      <c r="A2418" s="1">
        <v>6618</v>
      </c>
      <c r="B2418" s="1" t="s">
        <v>10590</v>
      </c>
      <c r="D2418" s="1" t="s">
        <v>10685</v>
      </c>
      <c r="F2418" s="1" t="s">
        <v>10686</v>
      </c>
      <c r="H2418" s="1" t="s">
        <v>10926</v>
      </c>
      <c r="J2418" s="1" t="s">
        <v>10927</v>
      </c>
      <c r="L2418" s="1" t="s">
        <v>1906</v>
      </c>
      <c r="M2418" s="1" t="s">
        <v>1607</v>
      </c>
      <c r="N2418" s="1" t="s">
        <v>11021</v>
      </c>
      <c r="P2418" s="1" t="s">
        <v>11022</v>
      </c>
      <c r="Q2418" s="3">
        <v>1</v>
      </c>
      <c r="R2418" s="23" t="s">
        <v>10930</v>
      </c>
      <c r="S2418" s="23" t="s">
        <v>6849</v>
      </c>
      <c r="T2418" s="23" t="s">
        <v>4864</v>
      </c>
      <c r="U2418" s="3">
        <v>35</v>
      </c>
      <c r="V2418" s="3" t="s">
        <v>10931</v>
      </c>
      <c r="W2418" s="45" t="str">
        <f>HYPERLINK("http://ictvonline.org/taxonomy/p/taxonomy-history?taxnode_id=201907337","ICTVonline=201907337")</f>
        <v>ICTVonline=201907337</v>
      </c>
      <c r="X2418" s="1" t="s">
        <v>11023</v>
      </c>
      <c r="Y2418" s="1" t="s">
        <v>11024</v>
      </c>
      <c r="AA2418" s="1">
        <v>201900000</v>
      </c>
      <c r="AB2418" s="1">
        <v>35</v>
      </c>
    </row>
    <row r="2419" spans="1:28" x14ac:dyDescent="0.2">
      <c r="A2419" s="1">
        <v>6622</v>
      </c>
      <c r="B2419" s="1" t="s">
        <v>10590</v>
      </c>
      <c r="D2419" s="1" t="s">
        <v>10685</v>
      </c>
      <c r="F2419" s="1" t="s">
        <v>10686</v>
      </c>
      <c r="H2419" s="1" t="s">
        <v>10926</v>
      </c>
      <c r="J2419" s="1" t="s">
        <v>10927</v>
      </c>
      <c r="L2419" s="1" t="s">
        <v>1906</v>
      </c>
      <c r="M2419" s="1" t="s">
        <v>1607</v>
      </c>
      <c r="N2419" s="1" t="s">
        <v>2530</v>
      </c>
      <c r="P2419" s="1" t="s">
        <v>2531</v>
      </c>
      <c r="Q2419" s="3">
        <v>1</v>
      </c>
      <c r="R2419" s="23" t="s">
        <v>10605</v>
      </c>
      <c r="S2419" s="23" t="s">
        <v>6847</v>
      </c>
      <c r="T2419" s="23" t="s">
        <v>4866</v>
      </c>
      <c r="U2419" s="3">
        <v>35</v>
      </c>
      <c r="W2419" s="45" t="str">
        <f>HYPERLINK("http://ictvonline.org/taxonomy/p/taxonomy-history?taxnode_id=201904240","ICTVonline=201904240")</f>
        <v>ICTVonline=201904240</v>
      </c>
      <c r="AA2419" s="1">
        <v>201900000</v>
      </c>
      <c r="AB2419" s="1">
        <v>35</v>
      </c>
    </row>
    <row r="2420" spans="1:28" x14ac:dyDescent="0.2">
      <c r="A2420" s="1">
        <v>6624</v>
      </c>
      <c r="B2420" s="1" t="s">
        <v>10590</v>
      </c>
      <c r="D2420" s="1" t="s">
        <v>10685</v>
      </c>
      <c r="F2420" s="1" t="s">
        <v>10686</v>
      </c>
      <c r="H2420" s="1" t="s">
        <v>10926</v>
      </c>
      <c r="J2420" s="1" t="s">
        <v>10927</v>
      </c>
      <c r="L2420" s="1" t="s">
        <v>1906</v>
      </c>
      <c r="M2420" s="1" t="s">
        <v>1607</v>
      </c>
      <c r="N2420" s="1" t="s">
        <v>2530</v>
      </c>
      <c r="P2420" s="1" t="s">
        <v>11025</v>
      </c>
      <c r="Q2420" s="3">
        <v>0</v>
      </c>
      <c r="R2420" s="23" t="s">
        <v>10930</v>
      </c>
      <c r="S2420" s="23" t="s">
        <v>6849</v>
      </c>
      <c r="T2420" s="23" t="s">
        <v>4864</v>
      </c>
      <c r="U2420" s="3">
        <v>35</v>
      </c>
      <c r="V2420" s="3" t="s">
        <v>10931</v>
      </c>
      <c r="W2420" s="45" t="str">
        <f>HYPERLINK("http://ictvonline.org/taxonomy/p/taxonomy-history?taxnode_id=201907350","ICTVonline=201907350")</f>
        <v>ICTVonline=201907350</v>
      </c>
      <c r="X2420" s="1" t="s">
        <v>11026</v>
      </c>
      <c r="Y2420" s="1" t="s">
        <v>11027</v>
      </c>
      <c r="AA2420" s="1">
        <v>201900000</v>
      </c>
      <c r="AB2420" s="1">
        <v>35</v>
      </c>
    </row>
    <row r="2421" spans="1:28" x14ac:dyDescent="0.2">
      <c r="A2421" s="1">
        <v>6628</v>
      </c>
      <c r="B2421" s="1" t="s">
        <v>10590</v>
      </c>
      <c r="D2421" s="1" t="s">
        <v>10685</v>
      </c>
      <c r="F2421" s="1" t="s">
        <v>10686</v>
      </c>
      <c r="H2421" s="1" t="s">
        <v>10926</v>
      </c>
      <c r="J2421" s="1" t="s">
        <v>10927</v>
      </c>
      <c r="L2421" s="1" t="s">
        <v>1906</v>
      </c>
      <c r="M2421" s="1" t="s">
        <v>1607</v>
      </c>
      <c r="N2421" s="1" t="s">
        <v>2532</v>
      </c>
      <c r="P2421" s="1" t="s">
        <v>2533</v>
      </c>
      <c r="Q2421" s="3">
        <v>0</v>
      </c>
      <c r="R2421" s="23" t="s">
        <v>10605</v>
      </c>
      <c r="S2421" s="23" t="s">
        <v>6847</v>
      </c>
      <c r="T2421" s="23" t="s">
        <v>4866</v>
      </c>
      <c r="U2421" s="3">
        <v>35</v>
      </c>
      <c r="W2421" s="45" t="str">
        <f>HYPERLINK("http://ictvonline.org/taxonomy/p/taxonomy-history?taxnode_id=201904242","ICTVonline=201904242")</f>
        <v>ICTVonline=201904242</v>
      </c>
      <c r="AA2421" s="1">
        <v>201900000</v>
      </c>
      <c r="AB2421" s="1">
        <v>35</v>
      </c>
    </row>
    <row r="2422" spans="1:28" x14ac:dyDescent="0.2">
      <c r="A2422" s="1">
        <v>6630</v>
      </c>
      <c r="B2422" s="1" t="s">
        <v>10590</v>
      </c>
      <c r="D2422" s="1" t="s">
        <v>10685</v>
      </c>
      <c r="F2422" s="1" t="s">
        <v>10686</v>
      </c>
      <c r="H2422" s="1" t="s">
        <v>10926</v>
      </c>
      <c r="J2422" s="1" t="s">
        <v>10927</v>
      </c>
      <c r="L2422" s="1" t="s">
        <v>1906</v>
      </c>
      <c r="M2422" s="1" t="s">
        <v>1607</v>
      </c>
      <c r="N2422" s="1" t="s">
        <v>2532</v>
      </c>
      <c r="P2422" s="1" t="s">
        <v>2534</v>
      </c>
      <c r="Q2422" s="3">
        <v>0</v>
      </c>
      <c r="R2422" s="23" t="s">
        <v>10605</v>
      </c>
      <c r="S2422" s="23" t="s">
        <v>6847</v>
      </c>
      <c r="T2422" s="23" t="s">
        <v>4866</v>
      </c>
      <c r="U2422" s="3">
        <v>35</v>
      </c>
      <c r="W2422" s="45" t="str">
        <f>HYPERLINK("http://ictvonline.org/taxonomy/p/taxonomy-history?taxnode_id=201904243","ICTVonline=201904243")</f>
        <v>ICTVonline=201904243</v>
      </c>
      <c r="AA2422" s="1">
        <v>201900000</v>
      </c>
      <c r="AB2422" s="1">
        <v>35</v>
      </c>
    </row>
    <row r="2423" spans="1:28" x14ac:dyDescent="0.2">
      <c r="A2423" s="1">
        <v>6632</v>
      </c>
      <c r="B2423" s="1" t="s">
        <v>10590</v>
      </c>
      <c r="D2423" s="1" t="s">
        <v>10685</v>
      </c>
      <c r="F2423" s="1" t="s">
        <v>10686</v>
      </c>
      <c r="H2423" s="1" t="s">
        <v>10926</v>
      </c>
      <c r="J2423" s="1" t="s">
        <v>10927</v>
      </c>
      <c r="L2423" s="1" t="s">
        <v>1906</v>
      </c>
      <c r="M2423" s="1" t="s">
        <v>1607</v>
      </c>
      <c r="N2423" s="1" t="s">
        <v>2532</v>
      </c>
      <c r="P2423" s="1" t="s">
        <v>2535</v>
      </c>
      <c r="Q2423" s="3">
        <v>0</v>
      </c>
      <c r="R2423" s="23" t="s">
        <v>10605</v>
      </c>
      <c r="S2423" s="23" t="s">
        <v>6847</v>
      </c>
      <c r="T2423" s="23" t="s">
        <v>4866</v>
      </c>
      <c r="U2423" s="3">
        <v>35</v>
      </c>
      <c r="W2423" s="45" t="str">
        <f>HYPERLINK("http://ictvonline.org/taxonomy/p/taxonomy-history?taxnode_id=201904244","ICTVonline=201904244")</f>
        <v>ICTVonline=201904244</v>
      </c>
      <c r="AA2423" s="1">
        <v>201900000</v>
      </c>
      <c r="AB2423" s="1">
        <v>35</v>
      </c>
    </row>
    <row r="2424" spans="1:28" x14ac:dyDescent="0.2">
      <c r="A2424" s="1">
        <v>6634</v>
      </c>
      <c r="B2424" s="1" t="s">
        <v>10590</v>
      </c>
      <c r="D2424" s="1" t="s">
        <v>10685</v>
      </c>
      <c r="F2424" s="1" t="s">
        <v>10686</v>
      </c>
      <c r="H2424" s="1" t="s">
        <v>10926</v>
      </c>
      <c r="J2424" s="1" t="s">
        <v>10927</v>
      </c>
      <c r="L2424" s="1" t="s">
        <v>1906</v>
      </c>
      <c r="M2424" s="1" t="s">
        <v>1607</v>
      </c>
      <c r="N2424" s="1" t="s">
        <v>2532</v>
      </c>
      <c r="P2424" s="1" t="s">
        <v>5424</v>
      </c>
      <c r="Q2424" s="3">
        <v>0</v>
      </c>
      <c r="R2424" s="23" t="s">
        <v>10605</v>
      </c>
      <c r="S2424" s="23" t="s">
        <v>6847</v>
      </c>
      <c r="T2424" s="23" t="s">
        <v>4866</v>
      </c>
      <c r="U2424" s="3">
        <v>35</v>
      </c>
      <c r="W2424" s="45" t="str">
        <f>HYPERLINK("http://ictvonline.org/taxonomy/p/taxonomy-history?taxnode_id=201905889","ICTVonline=201905889")</f>
        <v>ICTVonline=201905889</v>
      </c>
      <c r="AA2424" s="1">
        <v>201900000</v>
      </c>
      <c r="AB2424" s="1">
        <v>35</v>
      </c>
    </row>
    <row r="2425" spans="1:28" x14ac:dyDescent="0.2">
      <c r="A2425" s="1">
        <v>6636</v>
      </c>
      <c r="B2425" s="1" t="s">
        <v>10590</v>
      </c>
      <c r="D2425" s="1" t="s">
        <v>10685</v>
      </c>
      <c r="F2425" s="1" t="s">
        <v>10686</v>
      </c>
      <c r="H2425" s="1" t="s">
        <v>10926</v>
      </c>
      <c r="J2425" s="1" t="s">
        <v>10927</v>
      </c>
      <c r="L2425" s="1" t="s">
        <v>1906</v>
      </c>
      <c r="M2425" s="1" t="s">
        <v>1607</v>
      </c>
      <c r="N2425" s="1" t="s">
        <v>2532</v>
      </c>
      <c r="P2425" s="1" t="s">
        <v>5425</v>
      </c>
      <c r="Q2425" s="3">
        <v>0</v>
      </c>
      <c r="R2425" s="23" t="s">
        <v>10605</v>
      </c>
      <c r="S2425" s="23" t="s">
        <v>6847</v>
      </c>
      <c r="T2425" s="23" t="s">
        <v>4866</v>
      </c>
      <c r="U2425" s="3">
        <v>35</v>
      </c>
      <c r="W2425" s="45" t="str">
        <f>HYPERLINK("http://ictvonline.org/taxonomy/p/taxonomy-history?taxnode_id=201905890","ICTVonline=201905890")</f>
        <v>ICTVonline=201905890</v>
      </c>
      <c r="AA2425" s="1">
        <v>201900000</v>
      </c>
      <c r="AB2425" s="1">
        <v>35</v>
      </c>
    </row>
    <row r="2426" spans="1:28" x14ac:dyDescent="0.2">
      <c r="A2426" s="1">
        <v>6638</v>
      </c>
      <c r="B2426" s="1" t="s">
        <v>10590</v>
      </c>
      <c r="D2426" s="1" t="s">
        <v>10685</v>
      </c>
      <c r="F2426" s="1" t="s">
        <v>10686</v>
      </c>
      <c r="H2426" s="1" t="s">
        <v>10926</v>
      </c>
      <c r="J2426" s="1" t="s">
        <v>10927</v>
      </c>
      <c r="L2426" s="1" t="s">
        <v>1906</v>
      </c>
      <c r="M2426" s="1" t="s">
        <v>1607</v>
      </c>
      <c r="N2426" s="1" t="s">
        <v>2532</v>
      </c>
      <c r="P2426" s="1" t="s">
        <v>5426</v>
      </c>
      <c r="Q2426" s="3">
        <v>0</v>
      </c>
      <c r="R2426" s="23" t="s">
        <v>10605</v>
      </c>
      <c r="S2426" s="23" t="s">
        <v>6847</v>
      </c>
      <c r="T2426" s="23" t="s">
        <v>4866</v>
      </c>
      <c r="U2426" s="3">
        <v>35</v>
      </c>
      <c r="W2426" s="45" t="str">
        <f>HYPERLINK("http://ictvonline.org/taxonomy/p/taxonomy-history?taxnode_id=201905891","ICTVonline=201905891")</f>
        <v>ICTVonline=201905891</v>
      </c>
      <c r="AA2426" s="1">
        <v>201900000</v>
      </c>
      <c r="AB2426" s="1">
        <v>35</v>
      </c>
    </row>
    <row r="2427" spans="1:28" x14ac:dyDescent="0.2">
      <c r="A2427" s="1">
        <v>6640</v>
      </c>
      <c r="B2427" s="1" t="s">
        <v>10590</v>
      </c>
      <c r="D2427" s="1" t="s">
        <v>10685</v>
      </c>
      <c r="F2427" s="1" t="s">
        <v>10686</v>
      </c>
      <c r="H2427" s="1" t="s">
        <v>10926</v>
      </c>
      <c r="J2427" s="1" t="s">
        <v>10927</v>
      </c>
      <c r="L2427" s="1" t="s">
        <v>1906</v>
      </c>
      <c r="M2427" s="1" t="s">
        <v>1607</v>
      </c>
      <c r="N2427" s="1" t="s">
        <v>2532</v>
      </c>
      <c r="P2427" s="1" t="s">
        <v>5427</v>
      </c>
      <c r="Q2427" s="3">
        <v>0</v>
      </c>
      <c r="R2427" s="23" t="s">
        <v>10605</v>
      </c>
      <c r="S2427" s="23" t="s">
        <v>6847</v>
      </c>
      <c r="T2427" s="23" t="s">
        <v>4866</v>
      </c>
      <c r="U2427" s="3">
        <v>35</v>
      </c>
      <c r="W2427" s="45" t="str">
        <f>HYPERLINK("http://ictvonline.org/taxonomy/p/taxonomy-history?taxnode_id=201905892","ICTVonline=201905892")</f>
        <v>ICTVonline=201905892</v>
      </c>
      <c r="AA2427" s="1">
        <v>201900000</v>
      </c>
      <c r="AB2427" s="1">
        <v>35</v>
      </c>
    </row>
    <row r="2428" spans="1:28" x14ac:dyDescent="0.2">
      <c r="A2428" s="1">
        <v>6642</v>
      </c>
      <c r="B2428" s="1" t="s">
        <v>10590</v>
      </c>
      <c r="D2428" s="1" t="s">
        <v>10685</v>
      </c>
      <c r="F2428" s="1" t="s">
        <v>10686</v>
      </c>
      <c r="H2428" s="1" t="s">
        <v>10926</v>
      </c>
      <c r="J2428" s="1" t="s">
        <v>10927</v>
      </c>
      <c r="L2428" s="1" t="s">
        <v>1906</v>
      </c>
      <c r="M2428" s="1" t="s">
        <v>1607</v>
      </c>
      <c r="N2428" s="1" t="s">
        <v>2532</v>
      </c>
      <c r="P2428" s="1" t="s">
        <v>5428</v>
      </c>
      <c r="Q2428" s="3">
        <v>0</v>
      </c>
      <c r="R2428" s="23" t="s">
        <v>10605</v>
      </c>
      <c r="S2428" s="23" t="s">
        <v>6847</v>
      </c>
      <c r="T2428" s="23" t="s">
        <v>4866</v>
      </c>
      <c r="U2428" s="3">
        <v>35</v>
      </c>
      <c r="W2428" s="45" t="str">
        <f>HYPERLINK("http://ictvonline.org/taxonomy/p/taxonomy-history?taxnode_id=201905893","ICTVonline=201905893")</f>
        <v>ICTVonline=201905893</v>
      </c>
      <c r="AA2428" s="1">
        <v>201900000</v>
      </c>
      <c r="AB2428" s="1">
        <v>35</v>
      </c>
    </row>
    <row r="2429" spans="1:28" x14ac:dyDescent="0.2">
      <c r="A2429" s="1">
        <v>6644</v>
      </c>
      <c r="B2429" s="1" t="s">
        <v>10590</v>
      </c>
      <c r="D2429" s="1" t="s">
        <v>10685</v>
      </c>
      <c r="F2429" s="1" t="s">
        <v>10686</v>
      </c>
      <c r="H2429" s="1" t="s">
        <v>10926</v>
      </c>
      <c r="J2429" s="1" t="s">
        <v>10927</v>
      </c>
      <c r="L2429" s="1" t="s">
        <v>1906</v>
      </c>
      <c r="M2429" s="1" t="s">
        <v>1607</v>
      </c>
      <c r="N2429" s="1" t="s">
        <v>2532</v>
      </c>
      <c r="P2429" s="1" t="s">
        <v>5429</v>
      </c>
      <c r="Q2429" s="3">
        <v>0</v>
      </c>
      <c r="R2429" s="23" t="s">
        <v>10605</v>
      </c>
      <c r="S2429" s="23" t="s">
        <v>6847</v>
      </c>
      <c r="T2429" s="23" t="s">
        <v>4866</v>
      </c>
      <c r="U2429" s="3">
        <v>35</v>
      </c>
      <c r="W2429" s="45" t="str">
        <f>HYPERLINK("http://ictvonline.org/taxonomy/p/taxonomy-history?taxnode_id=201905894","ICTVonline=201905894")</f>
        <v>ICTVonline=201905894</v>
      </c>
      <c r="AA2429" s="1">
        <v>201900000</v>
      </c>
      <c r="AB2429" s="1">
        <v>35</v>
      </c>
    </row>
    <row r="2430" spans="1:28" x14ac:dyDescent="0.2">
      <c r="A2430" s="1">
        <v>6646</v>
      </c>
      <c r="B2430" s="1" t="s">
        <v>10590</v>
      </c>
      <c r="D2430" s="1" t="s">
        <v>10685</v>
      </c>
      <c r="F2430" s="1" t="s">
        <v>10686</v>
      </c>
      <c r="H2430" s="1" t="s">
        <v>10926</v>
      </c>
      <c r="J2430" s="1" t="s">
        <v>10927</v>
      </c>
      <c r="L2430" s="1" t="s">
        <v>1906</v>
      </c>
      <c r="M2430" s="1" t="s">
        <v>1607</v>
      </c>
      <c r="N2430" s="1" t="s">
        <v>2532</v>
      </c>
      <c r="P2430" s="1" t="s">
        <v>5430</v>
      </c>
      <c r="Q2430" s="3">
        <v>0</v>
      </c>
      <c r="R2430" s="23" t="s">
        <v>10605</v>
      </c>
      <c r="S2430" s="23" t="s">
        <v>6847</v>
      </c>
      <c r="T2430" s="23" t="s">
        <v>4866</v>
      </c>
      <c r="U2430" s="3">
        <v>35</v>
      </c>
      <c r="W2430" s="45" t="str">
        <f>HYPERLINK("http://ictvonline.org/taxonomy/p/taxonomy-history?taxnode_id=201905895","ICTVonline=201905895")</f>
        <v>ICTVonline=201905895</v>
      </c>
      <c r="AA2430" s="1">
        <v>201900000</v>
      </c>
      <c r="AB2430" s="1">
        <v>35</v>
      </c>
    </row>
    <row r="2431" spans="1:28" x14ac:dyDescent="0.2">
      <c r="A2431" s="1">
        <v>6648</v>
      </c>
      <c r="B2431" s="1" t="s">
        <v>10590</v>
      </c>
      <c r="D2431" s="1" t="s">
        <v>10685</v>
      </c>
      <c r="F2431" s="1" t="s">
        <v>10686</v>
      </c>
      <c r="H2431" s="1" t="s">
        <v>10926</v>
      </c>
      <c r="J2431" s="1" t="s">
        <v>10927</v>
      </c>
      <c r="L2431" s="1" t="s">
        <v>1906</v>
      </c>
      <c r="M2431" s="1" t="s">
        <v>1607</v>
      </c>
      <c r="N2431" s="1" t="s">
        <v>2532</v>
      </c>
      <c r="P2431" s="1" t="s">
        <v>5431</v>
      </c>
      <c r="Q2431" s="3">
        <v>0</v>
      </c>
      <c r="R2431" s="23" t="s">
        <v>10605</v>
      </c>
      <c r="S2431" s="23" t="s">
        <v>6847</v>
      </c>
      <c r="T2431" s="23" t="s">
        <v>4866</v>
      </c>
      <c r="U2431" s="3">
        <v>35</v>
      </c>
      <c r="W2431" s="45" t="str">
        <f>HYPERLINK("http://ictvonline.org/taxonomy/p/taxonomy-history?taxnode_id=201905896","ICTVonline=201905896")</f>
        <v>ICTVonline=201905896</v>
      </c>
      <c r="AA2431" s="1">
        <v>201900000</v>
      </c>
      <c r="AB2431" s="1">
        <v>35</v>
      </c>
    </row>
    <row r="2432" spans="1:28" x14ac:dyDescent="0.2">
      <c r="A2432" s="1">
        <v>6650</v>
      </c>
      <c r="B2432" s="1" t="s">
        <v>10590</v>
      </c>
      <c r="D2432" s="1" t="s">
        <v>10685</v>
      </c>
      <c r="F2432" s="1" t="s">
        <v>10686</v>
      </c>
      <c r="H2432" s="1" t="s">
        <v>10926</v>
      </c>
      <c r="J2432" s="1" t="s">
        <v>10927</v>
      </c>
      <c r="L2432" s="1" t="s">
        <v>1906</v>
      </c>
      <c r="M2432" s="1" t="s">
        <v>1607</v>
      </c>
      <c r="N2432" s="1" t="s">
        <v>2532</v>
      </c>
      <c r="P2432" s="1" t="s">
        <v>2536</v>
      </c>
      <c r="Q2432" s="3">
        <v>0</v>
      </c>
      <c r="R2432" s="23" t="s">
        <v>10605</v>
      </c>
      <c r="S2432" s="23" t="s">
        <v>6847</v>
      </c>
      <c r="T2432" s="23" t="s">
        <v>4866</v>
      </c>
      <c r="U2432" s="3">
        <v>35</v>
      </c>
      <c r="W2432" s="45" t="str">
        <f>HYPERLINK("http://ictvonline.org/taxonomy/p/taxonomy-history?taxnode_id=201904245","ICTVonline=201904245")</f>
        <v>ICTVonline=201904245</v>
      </c>
      <c r="AA2432" s="1">
        <v>201900000</v>
      </c>
      <c r="AB2432" s="1">
        <v>35</v>
      </c>
    </row>
    <row r="2433" spans="1:28" x14ac:dyDescent="0.2">
      <c r="A2433" s="1">
        <v>6652</v>
      </c>
      <c r="B2433" s="1" t="s">
        <v>10590</v>
      </c>
      <c r="D2433" s="1" t="s">
        <v>10685</v>
      </c>
      <c r="F2433" s="1" t="s">
        <v>10686</v>
      </c>
      <c r="H2433" s="1" t="s">
        <v>10926</v>
      </c>
      <c r="J2433" s="1" t="s">
        <v>10927</v>
      </c>
      <c r="L2433" s="1" t="s">
        <v>1906</v>
      </c>
      <c r="M2433" s="1" t="s">
        <v>1607</v>
      </c>
      <c r="N2433" s="1" t="s">
        <v>2532</v>
      </c>
      <c r="P2433" s="1" t="s">
        <v>2537</v>
      </c>
      <c r="Q2433" s="3">
        <v>0</v>
      </c>
      <c r="R2433" s="23" t="s">
        <v>10605</v>
      </c>
      <c r="S2433" s="23" t="s">
        <v>6847</v>
      </c>
      <c r="T2433" s="23" t="s">
        <v>4866</v>
      </c>
      <c r="U2433" s="3">
        <v>35</v>
      </c>
      <c r="W2433" s="45" t="str">
        <f>HYPERLINK("http://ictvonline.org/taxonomy/p/taxonomy-history?taxnode_id=201904246","ICTVonline=201904246")</f>
        <v>ICTVonline=201904246</v>
      </c>
      <c r="AA2433" s="1">
        <v>201900000</v>
      </c>
      <c r="AB2433" s="1">
        <v>35</v>
      </c>
    </row>
    <row r="2434" spans="1:28" x14ac:dyDescent="0.2">
      <c r="A2434" s="1">
        <v>6654</v>
      </c>
      <c r="B2434" s="1" t="s">
        <v>10590</v>
      </c>
      <c r="D2434" s="1" t="s">
        <v>10685</v>
      </c>
      <c r="F2434" s="1" t="s">
        <v>10686</v>
      </c>
      <c r="H2434" s="1" t="s">
        <v>10926</v>
      </c>
      <c r="J2434" s="1" t="s">
        <v>10927</v>
      </c>
      <c r="L2434" s="1" t="s">
        <v>1906</v>
      </c>
      <c r="M2434" s="1" t="s">
        <v>1607</v>
      </c>
      <c r="N2434" s="1" t="s">
        <v>2532</v>
      </c>
      <c r="P2434" s="1" t="s">
        <v>2538</v>
      </c>
      <c r="Q2434" s="3">
        <v>0</v>
      </c>
      <c r="R2434" s="23" t="s">
        <v>10605</v>
      </c>
      <c r="S2434" s="23" t="s">
        <v>6847</v>
      </c>
      <c r="T2434" s="23" t="s">
        <v>4866</v>
      </c>
      <c r="U2434" s="3">
        <v>35</v>
      </c>
      <c r="W2434" s="45" t="str">
        <f>HYPERLINK("http://ictvonline.org/taxonomy/p/taxonomy-history?taxnode_id=201904247","ICTVonline=201904247")</f>
        <v>ICTVonline=201904247</v>
      </c>
      <c r="AA2434" s="1">
        <v>201900000</v>
      </c>
      <c r="AB2434" s="1">
        <v>35</v>
      </c>
    </row>
    <row r="2435" spans="1:28" x14ac:dyDescent="0.2">
      <c r="A2435" s="1">
        <v>6656</v>
      </c>
      <c r="B2435" s="1" t="s">
        <v>10590</v>
      </c>
      <c r="D2435" s="1" t="s">
        <v>10685</v>
      </c>
      <c r="F2435" s="1" t="s">
        <v>10686</v>
      </c>
      <c r="H2435" s="1" t="s">
        <v>10926</v>
      </c>
      <c r="J2435" s="1" t="s">
        <v>10927</v>
      </c>
      <c r="L2435" s="1" t="s">
        <v>1906</v>
      </c>
      <c r="M2435" s="1" t="s">
        <v>1607</v>
      </c>
      <c r="N2435" s="1" t="s">
        <v>2532</v>
      </c>
      <c r="P2435" s="1" t="s">
        <v>2539</v>
      </c>
      <c r="Q2435" s="3">
        <v>0</v>
      </c>
      <c r="R2435" s="23" t="s">
        <v>10605</v>
      </c>
      <c r="S2435" s="23" t="s">
        <v>6847</v>
      </c>
      <c r="T2435" s="23" t="s">
        <v>4866</v>
      </c>
      <c r="U2435" s="3">
        <v>35</v>
      </c>
      <c r="W2435" s="45" t="str">
        <f>HYPERLINK("http://ictvonline.org/taxonomy/p/taxonomy-history?taxnode_id=201904248","ICTVonline=201904248")</f>
        <v>ICTVonline=201904248</v>
      </c>
      <c r="AA2435" s="1">
        <v>201900000</v>
      </c>
      <c r="AB2435" s="1">
        <v>35</v>
      </c>
    </row>
    <row r="2436" spans="1:28" x14ac:dyDescent="0.2">
      <c r="A2436" s="1">
        <v>6658</v>
      </c>
      <c r="B2436" s="1" t="s">
        <v>10590</v>
      </c>
      <c r="D2436" s="1" t="s">
        <v>10685</v>
      </c>
      <c r="F2436" s="1" t="s">
        <v>10686</v>
      </c>
      <c r="H2436" s="1" t="s">
        <v>10926</v>
      </c>
      <c r="J2436" s="1" t="s">
        <v>10927</v>
      </c>
      <c r="L2436" s="1" t="s">
        <v>1906</v>
      </c>
      <c r="M2436" s="1" t="s">
        <v>1607</v>
      </c>
      <c r="N2436" s="1" t="s">
        <v>2532</v>
      </c>
      <c r="P2436" s="1" t="s">
        <v>11028</v>
      </c>
      <c r="Q2436" s="3">
        <v>0</v>
      </c>
      <c r="R2436" s="23" t="s">
        <v>10930</v>
      </c>
      <c r="S2436" s="23" t="s">
        <v>6849</v>
      </c>
      <c r="T2436" s="23" t="s">
        <v>4864</v>
      </c>
      <c r="U2436" s="3">
        <v>35</v>
      </c>
      <c r="V2436" s="3" t="s">
        <v>10931</v>
      </c>
      <c r="W2436" s="45" t="str">
        <f>HYPERLINK("http://ictvonline.org/taxonomy/p/taxonomy-history?taxnode_id=201907348","ICTVonline=201907348")</f>
        <v>ICTVonline=201907348</v>
      </c>
      <c r="X2436" s="1" t="s">
        <v>11029</v>
      </c>
      <c r="Y2436" s="1" t="s">
        <v>11030</v>
      </c>
      <c r="AA2436" s="1">
        <v>201900000</v>
      </c>
      <c r="AB2436" s="1">
        <v>35</v>
      </c>
    </row>
    <row r="2437" spans="1:28" x14ac:dyDescent="0.2">
      <c r="A2437" s="1">
        <v>6660</v>
      </c>
      <c r="B2437" s="1" t="s">
        <v>10590</v>
      </c>
      <c r="D2437" s="1" t="s">
        <v>10685</v>
      </c>
      <c r="F2437" s="1" t="s">
        <v>10686</v>
      </c>
      <c r="H2437" s="1" t="s">
        <v>10926</v>
      </c>
      <c r="J2437" s="1" t="s">
        <v>10927</v>
      </c>
      <c r="L2437" s="1" t="s">
        <v>1906</v>
      </c>
      <c r="M2437" s="1" t="s">
        <v>1607</v>
      </c>
      <c r="N2437" s="1" t="s">
        <v>2532</v>
      </c>
      <c r="P2437" s="1" t="s">
        <v>11031</v>
      </c>
      <c r="Q2437" s="3">
        <v>0</v>
      </c>
      <c r="R2437" s="23" t="s">
        <v>10930</v>
      </c>
      <c r="S2437" s="23" t="s">
        <v>6849</v>
      </c>
      <c r="T2437" s="23" t="s">
        <v>4864</v>
      </c>
      <c r="U2437" s="3">
        <v>35</v>
      </c>
      <c r="V2437" s="3" t="s">
        <v>10931</v>
      </c>
      <c r="W2437" s="45" t="str">
        <f>HYPERLINK("http://ictvonline.org/taxonomy/p/taxonomy-history?taxnode_id=201907349","ICTVonline=201907349")</f>
        <v>ICTVonline=201907349</v>
      </c>
      <c r="X2437" s="1" t="s">
        <v>11032</v>
      </c>
      <c r="Y2437" s="1" t="s">
        <v>11033</v>
      </c>
      <c r="AA2437" s="1">
        <v>201900000</v>
      </c>
      <c r="AB2437" s="1">
        <v>35</v>
      </c>
    </row>
    <row r="2438" spans="1:28" x14ac:dyDescent="0.2">
      <c r="A2438" s="1">
        <v>6662</v>
      </c>
      <c r="B2438" s="1" t="s">
        <v>10590</v>
      </c>
      <c r="D2438" s="1" t="s">
        <v>10685</v>
      </c>
      <c r="F2438" s="1" t="s">
        <v>10686</v>
      </c>
      <c r="H2438" s="1" t="s">
        <v>10926</v>
      </c>
      <c r="J2438" s="1" t="s">
        <v>10927</v>
      </c>
      <c r="L2438" s="1" t="s">
        <v>1906</v>
      </c>
      <c r="M2438" s="1" t="s">
        <v>1607</v>
      </c>
      <c r="N2438" s="1" t="s">
        <v>2532</v>
      </c>
      <c r="P2438" s="1" t="s">
        <v>2540</v>
      </c>
      <c r="Q2438" s="3">
        <v>1</v>
      </c>
      <c r="R2438" s="23" t="s">
        <v>10605</v>
      </c>
      <c r="S2438" s="23" t="s">
        <v>6847</v>
      </c>
      <c r="T2438" s="23" t="s">
        <v>4866</v>
      </c>
      <c r="U2438" s="3">
        <v>35</v>
      </c>
      <c r="W2438" s="45" t="str">
        <f>HYPERLINK("http://ictvonline.org/taxonomy/p/taxonomy-history?taxnode_id=201904249","ICTVonline=201904249")</f>
        <v>ICTVonline=201904249</v>
      </c>
      <c r="AA2438" s="1">
        <v>201900000</v>
      </c>
      <c r="AB2438" s="1">
        <v>35</v>
      </c>
    </row>
    <row r="2439" spans="1:28" x14ac:dyDescent="0.2">
      <c r="A2439" s="1">
        <v>6664</v>
      </c>
      <c r="B2439" s="1" t="s">
        <v>10590</v>
      </c>
      <c r="D2439" s="1" t="s">
        <v>10685</v>
      </c>
      <c r="F2439" s="1" t="s">
        <v>10686</v>
      </c>
      <c r="H2439" s="1" t="s">
        <v>10926</v>
      </c>
      <c r="J2439" s="1" t="s">
        <v>10927</v>
      </c>
      <c r="L2439" s="1" t="s">
        <v>1906</v>
      </c>
      <c r="M2439" s="1" t="s">
        <v>1607</v>
      </c>
      <c r="N2439" s="1" t="s">
        <v>2532</v>
      </c>
      <c r="P2439" s="1" t="s">
        <v>2541</v>
      </c>
      <c r="Q2439" s="3">
        <v>0</v>
      </c>
      <c r="R2439" s="23" t="s">
        <v>10605</v>
      </c>
      <c r="S2439" s="23" t="s">
        <v>6847</v>
      </c>
      <c r="T2439" s="23" t="s">
        <v>4866</v>
      </c>
      <c r="U2439" s="3">
        <v>35</v>
      </c>
      <c r="W2439" s="45" t="str">
        <f>HYPERLINK("http://ictvonline.org/taxonomy/p/taxonomy-history?taxnode_id=201904250","ICTVonline=201904250")</f>
        <v>ICTVonline=201904250</v>
      </c>
      <c r="AA2439" s="1">
        <v>201900000</v>
      </c>
      <c r="AB2439" s="1">
        <v>35</v>
      </c>
    </row>
    <row r="2440" spans="1:28" x14ac:dyDescent="0.2">
      <c r="A2440" s="1">
        <v>6666</v>
      </c>
      <c r="B2440" s="1" t="s">
        <v>10590</v>
      </c>
      <c r="D2440" s="1" t="s">
        <v>10685</v>
      </c>
      <c r="F2440" s="1" t="s">
        <v>10686</v>
      </c>
      <c r="H2440" s="1" t="s">
        <v>10926</v>
      </c>
      <c r="J2440" s="1" t="s">
        <v>10927</v>
      </c>
      <c r="L2440" s="1" t="s">
        <v>1906</v>
      </c>
      <c r="M2440" s="1" t="s">
        <v>1607</v>
      </c>
      <c r="N2440" s="1" t="s">
        <v>2532</v>
      </c>
      <c r="P2440" s="1" t="s">
        <v>2542</v>
      </c>
      <c r="Q2440" s="3">
        <v>0</v>
      </c>
      <c r="R2440" s="23" t="s">
        <v>10605</v>
      </c>
      <c r="S2440" s="23" t="s">
        <v>6847</v>
      </c>
      <c r="T2440" s="23" t="s">
        <v>4866</v>
      </c>
      <c r="U2440" s="3">
        <v>35</v>
      </c>
      <c r="W2440" s="45" t="str">
        <f>HYPERLINK("http://ictvonline.org/taxonomy/p/taxonomy-history?taxnode_id=201904251","ICTVonline=201904251")</f>
        <v>ICTVonline=201904251</v>
      </c>
      <c r="AA2440" s="1">
        <v>201900000</v>
      </c>
      <c r="AB2440" s="1">
        <v>35</v>
      </c>
    </row>
    <row r="2441" spans="1:28" x14ac:dyDescent="0.2">
      <c r="A2441" s="1">
        <v>6668</v>
      </c>
      <c r="B2441" s="1" t="s">
        <v>10590</v>
      </c>
      <c r="D2441" s="1" t="s">
        <v>10685</v>
      </c>
      <c r="F2441" s="1" t="s">
        <v>10686</v>
      </c>
      <c r="H2441" s="1" t="s">
        <v>10926</v>
      </c>
      <c r="J2441" s="1" t="s">
        <v>10927</v>
      </c>
      <c r="L2441" s="1" t="s">
        <v>1906</v>
      </c>
      <c r="M2441" s="1" t="s">
        <v>1607</v>
      </c>
      <c r="N2441" s="1" t="s">
        <v>2532</v>
      </c>
      <c r="P2441" s="1" t="s">
        <v>2543</v>
      </c>
      <c r="Q2441" s="3">
        <v>0</v>
      </c>
      <c r="R2441" s="23" t="s">
        <v>10605</v>
      </c>
      <c r="S2441" s="23" t="s">
        <v>6847</v>
      </c>
      <c r="T2441" s="23" t="s">
        <v>4866</v>
      </c>
      <c r="U2441" s="3">
        <v>35</v>
      </c>
      <c r="W2441" s="45" t="str">
        <f>HYPERLINK("http://ictvonline.org/taxonomy/p/taxonomy-history?taxnode_id=201904252","ICTVonline=201904252")</f>
        <v>ICTVonline=201904252</v>
      </c>
      <c r="AA2441" s="1">
        <v>201900000</v>
      </c>
      <c r="AB2441" s="1">
        <v>35</v>
      </c>
    </row>
    <row r="2442" spans="1:28" x14ac:dyDescent="0.2">
      <c r="A2442" s="1">
        <v>6670</v>
      </c>
      <c r="B2442" s="1" t="s">
        <v>10590</v>
      </c>
      <c r="D2442" s="1" t="s">
        <v>10685</v>
      </c>
      <c r="F2442" s="1" t="s">
        <v>10686</v>
      </c>
      <c r="H2442" s="1" t="s">
        <v>10926</v>
      </c>
      <c r="J2442" s="1" t="s">
        <v>10927</v>
      </c>
      <c r="L2442" s="1" t="s">
        <v>1906</v>
      </c>
      <c r="M2442" s="1" t="s">
        <v>1607</v>
      </c>
      <c r="N2442" s="1" t="s">
        <v>2532</v>
      </c>
      <c r="P2442" s="1" t="s">
        <v>2544</v>
      </c>
      <c r="Q2442" s="3">
        <v>0</v>
      </c>
      <c r="R2442" s="23" t="s">
        <v>10605</v>
      </c>
      <c r="S2442" s="23" t="s">
        <v>6847</v>
      </c>
      <c r="T2442" s="23" t="s">
        <v>4866</v>
      </c>
      <c r="U2442" s="3">
        <v>35</v>
      </c>
      <c r="W2442" s="45" t="str">
        <f>HYPERLINK("http://ictvonline.org/taxonomy/p/taxonomy-history?taxnode_id=201904253","ICTVonline=201904253")</f>
        <v>ICTVonline=201904253</v>
      </c>
      <c r="AA2442" s="1">
        <v>201900000</v>
      </c>
      <c r="AB2442" s="1">
        <v>35</v>
      </c>
    </row>
    <row r="2443" spans="1:28" x14ac:dyDescent="0.2">
      <c r="A2443" s="1">
        <v>6672</v>
      </c>
      <c r="B2443" s="1" t="s">
        <v>10590</v>
      </c>
      <c r="D2443" s="1" t="s">
        <v>10685</v>
      </c>
      <c r="F2443" s="1" t="s">
        <v>10686</v>
      </c>
      <c r="H2443" s="1" t="s">
        <v>10926</v>
      </c>
      <c r="J2443" s="1" t="s">
        <v>10927</v>
      </c>
      <c r="L2443" s="1" t="s">
        <v>1906</v>
      </c>
      <c r="M2443" s="1" t="s">
        <v>1607</v>
      </c>
      <c r="N2443" s="1" t="s">
        <v>2532</v>
      </c>
      <c r="P2443" s="1" t="s">
        <v>5432</v>
      </c>
      <c r="Q2443" s="3">
        <v>0</v>
      </c>
      <c r="R2443" s="23" t="s">
        <v>10605</v>
      </c>
      <c r="S2443" s="23" t="s">
        <v>6847</v>
      </c>
      <c r="T2443" s="23" t="s">
        <v>4866</v>
      </c>
      <c r="U2443" s="3">
        <v>35</v>
      </c>
      <c r="W2443" s="45" t="str">
        <f>HYPERLINK("http://ictvonline.org/taxonomy/p/taxonomy-history?taxnode_id=201905897","ICTVonline=201905897")</f>
        <v>ICTVonline=201905897</v>
      </c>
      <c r="AA2443" s="1">
        <v>201900000</v>
      </c>
      <c r="AB2443" s="1">
        <v>35</v>
      </c>
    </row>
    <row r="2444" spans="1:28" x14ac:dyDescent="0.2">
      <c r="A2444" s="1">
        <v>6674</v>
      </c>
      <c r="B2444" s="1" t="s">
        <v>10590</v>
      </c>
      <c r="D2444" s="1" t="s">
        <v>10685</v>
      </c>
      <c r="F2444" s="1" t="s">
        <v>10686</v>
      </c>
      <c r="H2444" s="1" t="s">
        <v>10926</v>
      </c>
      <c r="J2444" s="1" t="s">
        <v>10927</v>
      </c>
      <c r="L2444" s="1" t="s">
        <v>1906</v>
      </c>
      <c r="M2444" s="1" t="s">
        <v>1607</v>
      </c>
      <c r="N2444" s="1" t="s">
        <v>2532</v>
      </c>
      <c r="P2444" s="1" t="s">
        <v>11034</v>
      </c>
      <c r="Q2444" s="3">
        <v>0</v>
      </c>
      <c r="R2444" s="23" t="s">
        <v>10930</v>
      </c>
      <c r="S2444" s="23" t="s">
        <v>6849</v>
      </c>
      <c r="T2444" s="23" t="s">
        <v>4864</v>
      </c>
      <c r="U2444" s="3">
        <v>35</v>
      </c>
      <c r="V2444" s="3" t="s">
        <v>10931</v>
      </c>
      <c r="W2444" s="45" t="str">
        <f>HYPERLINK("http://ictvonline.org/taxonomy/p/taxonomy-history?taxnode_id=201907346","ICTVonline=201907346")</f>
        <v>ICTVonline=201907346</v>
      </c>
      <c r="X2444" s="1" t="s">
        <v>11035</v>
      </c>
      <c r="Y2444" s="1" t="s">
        <v>11036</v>
      </c>
      <c r="AA2444" s="1">
        <v>201900000</v>
      </c>
      <c r="AB2444" s="1">
        <v>35</v>
      </c>
    </row>
    <row r="2445" spans="1:28" x14ac:dyDescent="0.2">
      <c r="A2445" s="1">
        <v>6676</v>
      </c>
      <c r="B2445" s="1" t="s">
        <v>10590</v>
      </c>
      <c r="D2445" s="1" t="s">
        <v>10685</v>
      </c>
      <c r="F2445" s="1" t="s">
        <v>10686</v>
      </c>
      <c r="H2445" s="1" t="s">
        <v>10926</v>
      </c>
      <c r="J2445" s="1" t="s">
        <v>10927</v>
      </c>
      <c r="L2445" s="1" t="s">
        <v>1906</v>
      </c>
      <c r="M2445" s="1" t="s">
        <v>1607</v>
      </c>
      <c r="N2445" s="1" t="s">
        <v>2532</v>
      </c>
      <c r="P2445" s="1" t="s">
        <v>11037</v>
      </c>
      <c r="Q2445" s="3">
        <v>0</v>
      </c>
      <c r="R2445" s="23" t="s">
        <v>10930</v>
      </c>
      <c r="S2445" s="23" t="s">
        <v>6849</v>
      </c>
      <c r="T2445" s="23" t="s">
        <v>4864</v>
      </c>
      <c r="U2445" s="3">
        <v>35</v>
      </c>
      <c r="V2445" s="3" t="s">
        <v>10931</v>
      </c>
      <c r="W2445" s="45" t="str">
        <f>HYPERLINK("http://ictvonline.org/taxonomy/p/taxonomy-history?taxnode_id=201907347","ICTVonline=201907347")</f>
        <v>ICTVonline=201907347</v>
      </c>
      <c r="X2445" s="1" t="s">
        <v>11038</v>
      </c>
      <c r="Y2445" s="1" t="s">
        <v>11039</v>
      </c>
      <c r="AA2445" s="1">
        <v>201900000</v>
      </c>
      <c r="AB2445" s="1">
        <v>35</v>
      </c>
    </row>
    <row r="2446" spans="1:28" x14ac:dyDescent="0.2">
      <c r="A2446" s="1">
        <v>6680</v>
      </c>
      <c r="B2446" s="1" t="s">
        <v>10590</v>
      </c>
      <c r="D2446" s="1" t="s">
        <v>10685</v>
      </c>
      <c r="F2446" s="1" t="s">
        <v>10686</v>
      </c>
      <c r="H2446" s="1" t="s">
        <v>10926</v>
      </c>
      <c r="J2446" s="1" t="s">
        <v>10927</v>
      </c>
      <c r="L2446" s="1" t="s">
        <v>1906</v>
      </c>
      <c r="M2446" s="1" t="s">
        <v>1607</v>
      </c>
      <c r="N2446" s="1" t="s">
        <v>2545</v>
      </c>
      <c r="P2446" s="1" t="s">
        <v>11040</v>
      </c>
      <c r="Q2446" s="3">
        <v>0</v>
      </c>
      <c r="R2446" s="23" t="s">
        <v>10930</v>
      </c>
      <c r="S2446" s="23" t="s">
        <v>6849</v>
      </c>
      <c r="T2446" s="23" t="s">
        <v>4864</v>
      </c>
      <c r="U2446" s="3">
        <v>35</v>
      </c>
      <c r="V2446" s="3" t="s">
        <v>10931</v>
      </c>
      <c r="W2446" s="45" t="str">
        <f>HYPERLINK("http://ictvonline.org/taxonomy/p/taxonomy-history?taxnode_id=201907344","ICTVonline=201907344")</f>
        <v>ICTVonline=201907344</v>
      </c>
      <c r="X2446" s="1" t="s">
        <v>11041</v>
      </c>
      <c r="Y2446" s="1" t="s">
        <v>11042</v>
      </c>
      <c r="AA2446" s="1">
        <v>201900000</v>
      </c>
      <c r="AB2446" s="1">
        <v>35</v>
      </c>
    </row>
    <row r="2447" spans="1:28" x14ac:dyDescent="0.2">
      <c r="A2447" s="1">
        <v>6682</v>
      </c>
      <c r="B2447" s="1" t="s">
        <v>10590</v>
      </c>
      <c r="D2447" s="1" t="s">
        <v>10685</v>
      </c>
      <c r="F2447" s="1" t="s">
        <v>10686</v>
      </c>
      <c r="H2447" s="1" t="s">
        <v>10926</v>
      </c>
      <c r="J2447" s="1" t="s">
        <v>10927</v>
      </c>
      <c r="L2447" s="1" t="s">
        <v>1906</v>
      </c>
      <c r="M2447" s="1" t="s">
        <v>1607</v>
      </c>
      <c r="N2447" s="1" t="s">
        <v>2545</v>
      </c>
      <c r="P2447" s="1" t="s">
        <v>2546</v>
      </c>
      <c r="Q2447" s="3">
        <v>1</v>
      </c>
      <c r="R2447" s="23" t="s">
        <v>10605</v>
      </c>
      <c r="S2447" s="23" t="s">
        <v>6847</v>
      </c>
      <c r="T2447" s="23" t="s">
        <v>4866</v>
      </c>
      <c r="U2447" s="3">
        <v>35</v>
      </c>
      <c r="W2447" s="45" t="str">
        <f>HYPERLINK("http://ictvonline.org/taxonomy/p/taxonomy-history?taxnode_id=201904255","ICTVonline=201904255")</f>
        <v>ICTVonline=201904255</v>
      </c>
      <c r="AA2447" s="1">
        <v>201900000</v>
      </c>
      <c r="AB2447" s="1">
        <v>35</v>
      </c>
    </row>
    <row r="2448" spans="1:28" x14ac:dyDescent="0.2">
      <c r="A2448" s="1">
        <v>6684</v>
      </c>
      <c r="B2448" s="1" t="s">
        <v>10590</v>
      </c>
      <c r="D2448" s="1" t="s">
        <v>10685</v>
      </c>
      <c r="F2448" s="1" t="s">
        <v>10686</v>
      </c>
      <c r="H2448" s="1" t="s">
        <v>10926</v>
      </c>
      <c r="J2448" s="1" t="s">
        <v>10927</v>
      </c>
      <c r="L2448" s="1" t="s">
        <v>1906</v>
      </c>
      <c r="M2448" s="1" t="s">
        <v>1607</v>
      </c>
      <c r="N2448" s="1" t="s">
        <v>2545</v>
      </c>
      <c r="P2448" s="1" t="s">
        <v>2547</v>
      </c>
      <c r="Q2448" s="3">
        <v>0</v>
      </c>
      <c r="R2448" s="23" t="s">
        <v>10605</v>
      </c>
      <c r="S2448" s="23" t="s">
        <v>6847</v>
      </c>
      <c r="T2448" s="23" t="s">
        <v>4866</v>
      </c>
      <c r="U2448" s="3">
        <v>35</v>
      </c>
      <c r="W2448" s="45" t="str">
        <f>HYPERLINK("http://ictvonline.org/taxonomy/p/taxonomy-history?taxnode_id=201904256","ICTVonline=201904256")</f>
        <v>ICTVonline=201904256</v>
      </c>
      <c r="AA2448" s="1">
        <v>201900000</v>
      </c>
      <c r="AB2448" s="1">
        <v>35</v>
      </c>
    </row>
    <row r="2449" spans="1:28" x14ac:dyDescent="0.2">
      <c r="A2449" s="1">
        <v>6686</v>
      </c>
      <c r="B2449" s="1" t="s">
        <v>10590</v>
      </c>
      <c r="D2449" s="1" t="s">
        <v>10685</v>
      </c>
      <c r="F2449" s="1" t="s">
        <v>10686</v>
      </c>
      <c r="H2449" s="1" t="s">
        <v>10926</v>
      </c>
      <c r="J2449" s="1" t="s">
        <v>10927</v>
      </c>
      <c r="L2449" s="1" t="s">
        <v>1906</v>
      </c>
      <c r="M2449" s="1" t="s">
        <v>1607</v>
      </c>
      <c r="N2449" s="1" t="s">
        <v>2545</v>
      </c>
      <c r="P2449" s="1" t="s">
        <v>11043</v>
      </c>
      <c r="Q2449" s="3">
        <v>0</v>
      </c>
      <c r="R2449" s="23" t="s">
        <v>10930</v>
      </c>
      <c r="S2449" s="23" t="s">
        <v>6849</v>
      </c>
      <c r="T2449" s="23" t="s">
        <v>4864</v>
      </c>
      <c r="U2449" s="3">
        <v>35</v>
      </c>
      <c r="V2449" s="3" t="s">
        <v>10931</v>
      </c>
      <c r="W2449" s="45" t="str">
        <f>HYPERLINK("http://ictvonline.org/taxonomy/p/taxonomy-history?taxnode_id=201907340","ICTVonline=201907340")</f>
        <v>ICTVonline=201907340</v>
      </c>
      <c r="X2449" s="1" t="s">
        <v>11044</v>
      </c>
      <c r="Y2449" s="1" t="s">
        <v>11045</v>
      </c>
      <c r="AA2449" s="1">
        <v>201900000</v>
      </c>
      <c r="AB2449" s="1">
        <v>35</v>
      </c>
    </row>
    <row r="2450" spans="1:28" x14ac:dyDescent="0.2">
      <c r="A2450" s="1">
        <v>6688</v>
      </c>
      <c r="B2450" s="1" t="s">
        <v>10590</v>
      </c>
      <c r="D2450" s="1" t="s">
        <v>10685</v>
      </c>
      <c r="F2450" s="1" t="s">
        <v>10686</v>
      </c>
      <c r="H2450" s="1" t="s">
        <v>10926</v>
      </c>
      <c r="J2450" s="1" t="s">
        <v>10927</v>
      </c>
      <c r="L2450" s="1" t="s">
        <v>1906</v>
      </c>
      <c r="M2450" s="1" t="s">
        <v>1607</v>
      </c>
      <c r="N2450" s="1" t="s">
        <v>2545</v>
      </c>
      <c r="P2450" s="1" t="s">
        <v>11046</v>
      </c>
      <c r="Q2450" s="3">
        <v>0</v>
      </c>
      <c r="R2450" s="23" t="s">
        <v>10930</v>
      </c>
      <c r="S2450" s="23" t="s">
        <v>6849</v>
      </c>
      <c r="T2450" s="23" t="s">
        <v>4864</v>
      </c>
      <c r="U2450" s="3">
        <v>35</v>
      </c>
      <c r="V2450" s="3" t="s">
        <v>10931</v>
      </c>
      <c r="W2450" s="45" t="str">
        <f>HYPERLINK("http://ictvonline.org/taxonomy/p/taxonomy-history?taxnode_id=201907341","ICTVonline=201907341")</f>
        <v>ICTVonline=201907341</v>
      </c>
      <c r="X2450" s="1" t="s">
        <v>11047</v>
      </c>
      <c r="Y2450" s="1" t="s">
        <v>11048</v>
      </c>
      <c r="AA2450" s="1">
        <v>201900000</v>
      </c>
      <c r="AB2450" s="1">
        <v>35</v>
      </c>
    </row>
    <row r="2451" spans="1:28" x14ac:dyDescent="0.2">
      <c r="A2451" s="1">
        <v>6690</v>
      </c>
      <c r="B2451" s="1" t="s">
        <v>10590</v>
      </c>
      <c r="D2451" s="1" t="s">
        <v>10685</v>
      </c>
      <c r="F2451" s="1" t="s">
        <v>10686</v>
      </c>
      <c r="H2451" s="1" t="s">
        <v>10926</v>
      </c>
      <c r="J2451" s="1" t="s">
        <v>10927</v>
      </c>
      <c r="L2451" s="1" t="s">
        <v>1906</v>
      </c>
      <c r="M2451" s="1" t="s">
        <v>1607</v>
      </c>
      <c r="N2451" s="1" t="s">
        <v>2545</v>
      </c>
      <c r="P2451" s="1" t="s">
        <v>11049</v>
      </c>
      <c r="Q2451" s="3">
        <v>0</v>
      </c>
      <c r="R2451" s="23" t="s">
        <v>10930</v>
      </c>
      <c r="S2451" s="23" t="s">
        <v>6849</v>
      </c>
      <c r="T2451" s="23" t="s">
        <v>4864</v>
      </c>
      <c r="U2451" s="3">
        <v>35</v>
      </c>
      <c r="V2451" s="3" t="s">
        <v>10931</v>
      </c>
      <c r="W2451" s="45" t="str">
        <f>HYPERLINK("http://ictvonline.org/taxonomy/p/taxonomy-history?taxnode_id=201907342","ICTVonline=201907342")</f>
        <v>ICTVonline=201907342</v>
      </c>
      <c r="X2451" s="1" t="s">
        <v>11050</v>
      </c>
      <c r="Y2451" s="1" t="s">
        <v>11051</v>
      </c>
      <c r="AA2451" s="1">
        <v>201900000</v>
      </c>
      <c r="AB2451" s="1">
        <v>35</v>
      </c>
    </row>
    <row r="2452" spans="1:28" x14ac:dyDescent="0.2">
      <c r="A2452" s="1">
        <v>6692</v>
      </c>
      <c r="B2452" s="1" t="s">
        <v>10590</v>
      </c>
      <c r="D2452" s="1" t="s">
        <v>10685</v>
      </c>
      <c r="F2452" s="1" t="s">
        <v>10686</v>
      </c>
      <c r="H2452" s="1" t="s">
        <v>10926</v>
      </c>
      <c r="J2452" s="1" t="s">
        <v>10927</v>
      </c>
      <c r="L2452" s="1" t="s">
        <v>1906</v>
      </c>
      <c r="M2452" s="1" t="s">
        <v>1607</v>
      </c>
      <c r="N2452" s="1" t="s">
        <v>2545</v>
      </c>
      <c r="P2452" s="1" t="s">
        <v>11052</v>
      </c>
      <c r="Q2452" s="3">
        <v>0</v>
      </c>
      <c r="R2452" s="23" t="s">
        <v>10930</v>
      </c>
      <c r="S2452" s="23" t="s">
        <v>6849</v>
      </c>
      <c r="T2452" s="23" t="s">
        <v>4864</v>
      </c>
      <c r="U2452" s="3">
        <v>35</v>
      </c>
      <c r="V2452" s="3" t="s">
        <v>10931</v>
      </c>
      <c r="W2452" s="45" t="str">
        <f>HYPERLINK("http://ictvonline.org/taxonomy/p/taxonomy-history?taxnode_id=201907343","ICTVonline=201907343")</f>
        <v>ICTVonline=201907343</v>
      </c>
      <c r="X2452" s="1" t="s">
        <v>11053</v>
      </c>
      <c r="Y2452" s="1" t="s">
        <v>11054</v>
      </c>
      <c r="AA2452" s="1">
        <v>201900000</v>
      </c>
      <c r="AB2452" s="1">
        <v>35</v>
      </c>
    </row>
    <row r="2453" spans="1:28" x14ac:dyDescent="0.2">
      <c r="A2453" s="1">
        <v>6696</v>
      </c>
      <c r="B2453" s="1" t="s">
        <v>10590</v>
      </c>
      <c r="D2453" s="1" t="s">
        <v>10685</v>
      </c>
      <c r="F2453" s="1" t="s">
        <v>10686</v>
      </c>
      <c r="H2453" s="1" t="s">
        <v>10926</v>
      </c>
      <c r="J2453" s="1" t="s">
        <v>10927</v>
      </c>
      <c r="L2453" s="1" t="s">
        <v>1906</v>
      </c>
      <c r="M2453" s="1" t="s">
        <v>1607</v>
      </c>
      <c r="N2453" s="1" t="s">
        <v>2548</v>
      </c>
      <c r="P2453" s="1" t="s">
        <v>2549</v>
      </c>
      <c r="Q2453" s="3">
        <v>1</v>
      </c>
      <c r="R2453" s="23" t="s">
        <v>10605</v>
      </c>
      <c r="S2453" s="23" t="s">
        <v>6847</v>
      </c>
      <c r="T2453" s="23" t="s">
        <v>4866</v>
      </c>
      <c r="U2453" s="3">
        <v>35</v>
      </c>
      <c r="W2453" s="45" t="str">
        <f>HYPERLINK("http://ictvonline.org/taxonomy/p/taxonomy-history?taxnode_id=201904258","ICTVonline=201904258")</f>
        <v>ICTVonline=201904258</v>
      </c>
      <c r="AA2453" s="1">
        <v>201900000</v>
      </c>
      <c r="AB2453" s="1">
        <v>35</v>
      </c>
    </row>
    <row r="2454" spans="1:28" x14ac:dyDescent="0.2">
      <c r="A2454" s="1">
        <v>6698</v>
      </c>
      <c r="B2454" s="1" t="s">
        <v>10590</v>
      </c>
      <c r="D2454" s="1" t="s">
        <v>10685</v>
      </c>
      <c r="F2454" s="1" t="s">
        <v>10686</v>
      </c>
      <c r="H2454" s="1" t="s">
        <v>10926</v>
      </c>
      <c r="J2454" s="1" t="s">
        <v>10927</v>
      </c>
      <c r="L2454" s="1" t="s">
        <v>1906</v>
      </c>
      <c r="M2454" s="1" t="s">
        <v>1607</v>
      </c>
      <c r="N2454" s="1" t="s">
        <v>2548</v>
      </c>
      <c r="P2454" s="1" t="s">
        <v>2550</v>
      </c>
      <c r="Q2454" s="3">
        <v>0</v>
      </c>
      <c r="R2454" s="23" t="s">
        <v>10605</v>
      </c>
      <c r="S2454" s="23" t="s">
        <v>6847</v>
      </c>
      <c r="T2454" s="23" t="s">
        <v>4866</v>
      </c>
      <c r="U2454" s="3">
        <v>35</v>
      </c>
      <c r="W2454" s="45" t="str">
        <f>HYPERLINK("http://ictvonline.org/taxonomy/p/taxonomy-history?taxnode_id=201904259","ICTVonline=201904259")</f>
        <v>ICTVonline=201904259</v>
      </c>
      <c r="AA2454" s="1">
        <v>201900000</v>
      </c>
      <c r="AB2454" s="1">
        <v>35</v>
      </c>
    </row>
    <row r="2455" spans="1:28" x14ac:dyDescent="0.2">
      <c r="A2455" s="1">
        <v>6700</v>
      </c>
      <c r="B2455" s="1" t="s">
        <v>10590</v>
      </c>
      <c r="D2455" s="1" t="s">
        <v>10685</v>
      </c>
      <c r="F2455" s="1" t="s">
        <v>10686</v>
      </c>
      <c r="H2455" s="1" t="s">
        <v>10926</v>
      </c>
      <c r="J2455" s="1" t="s">
        <v>10927</v>
      </c>
      <c r="L2455" s="1" t="s">
        <v>1906</v>
      </c>
      <c r="M2455" s="1" t="s">
        <v>1607</v>
      </c>
      <c r="N2455" s="1" t="s">
        <v>2548</v>
      </c>
      <c r="P2455" s="1" t="s">
        <v>2551</v>
      </c>
      <c r="Q2455" s="3">
        <v>0</v>
      </c>
      <c r="R2455" s="23" t="s">
        <v>10605</v>
      </c>
      <c r="S2455" s="23" t="s">
        <v>6847</v>
      </c>
      <c r="T2455" s="23" t="s">
        <v>4866</v>
      </c>
      <c r="U2455" s="3">
        <v>35</v>
      </c>
      <c r="W2455" s="45" t="str">
        <f>HYPERLINK("http://ictvonline.org/taxonomy/p/taxonomy-history?taxnode_id=201904260","ICTVonline=201904260")</f>
        <v>ICTVonline=201904260</v>
      </c>
      <c r="AA2455" s="1">
        <v>201900000</v>
      </c>
      <c r="AB2455" s="1">
        <v>35</v>
      </c>
    </row>
    <row r="2456" spans="1:28" x14ac:dyDescent="0.2">
      <c r="A2456" s="1">
        <v>6702</v>
      </c>
      <c r="B2456" s="1" t="s">
        <v>10590</v>
      </c>
      <c r="D2456" s="1" t="s">
        <v>10685</v>
      </c>
      <c r="F2456" s="1" t="s">
        <v>10686</v>
      </c>
      <c r="H2456" s="1" t="s">
        <v>10926</v>
      </c>
      <c r="J2456" s="1" t="s">
        <v>10927</v>
      </c>
      <c r="L2456" s="1" t="s">
        <v>1906</v>
      </c>
      <c r="M2456" s="1" t="s">
        <v>1607</v>
      </c>
      <c r="N2456" s="1" t="s">
        <v>2548</v>
      </c>
      <c r="P2456" s="1" t="s">
        <v>2552</v>
      </c>
      <c r="Q2456" s="3">
        <v>0</v>
      </c>
      <c r="R2456" s="23" t="s">
        <v>10605</v>
      </c>
      <c r="S2456" s="23" t="s">
        <v>6847</v>
      </c>
      <c r="T2456" s="23" t="s">
        <v>4866</v>
      </c>
      <c r="U2456" s="3">
        <v>35</v>
      </c>
      <c r="W2456" s="45" t="str">
        <f>HYPERLINK("http://ictvonline.org/taxonomy/p/taxonomy-history?taxnode_id=201904261","ICTVonline=201904261")</f>
        <v>ICTVonline=201904261</v>
      </c>
      <c r="AA2456" s="1">
        <v>201900000</v>
      </c>
      <c r="AB2456" s="1">
        <v>35</v>
      </c>
    </row>
    <row r="2457" spans="1:28" x14ac:dyDescent="0.2">
      <c r="A2457" s="1">
        <v>6704</v>
      </c>
      <c r="B2457" s="1" t="s">
        <v>10590</v>
      </c>
      <c r="D2457" s="1" t="s">
        <v>10685</v>
      </c>
      <c r="F2457" s="1" t="s">
        <v>10686</v>
      </c>
      <c r="H2457" s="1" t="s">
        <v>10926</v>
      </c>
      <c r="J2457" s="1" t="s">
        <v>10927</v>
      </c>
      <c r="L2457" s="1" t="s">
        <v>1906</v>
      </c>
      <c r="M2457" s="1" t="s">
        <v>1607</v>
      </c>
      <c r="N2457" s="1" t="s">
        <v>2548</v>
      </c>
      <c r="P2457" s="1" t="s">
        <v>2553</v>
      </c>
      <c r="Q2457" s="3">
        <v>0</v>
      </c>
      <c r="R2457" s="23" t="s">
        <v>10605</v>
      </c>
      <c r="S2457" s="23" t="s">
        <v>6847</v>
      </c>
      <c r="T2457" s="23" t="s">
        <v>4866</v>
      </c>
      <c r="U2457" s="3">
        <v>35</v>
      </c>
      <c r="W2457" s="45" t="str">
        <f>HYPERLINK("http://ictvonline.org/taxonomy/p/taxonomy-history?taxnode_id=201904262","ICTVonline=201904262")</f>
        <v>ICTVonline=201904262</v>
      </c>
      <c r="AA2457" s="1">
        <v>201900000</v>
      </c>
      <c r="AB2457" s="1">
        <v>35</v>
      </c>
    </row>
    <row r="2458" spans="1:28" x14ac:dyDescent="0.2">
      <c r="A2458" s="1">
        <v>6706</v>
      </c>
      <c r="B2458" s="1" t="s">
        <v>10590</v>
      </c>
      <c r="D2458" s="1" t="s">
        <v>10685</v>
      </c>
      <c r="F2458" s="1" t="s">
        <v>10686</v>
      </c>
      <c r="H2458" s="1" t="s">
        <v>10926</v>
      </c>
      <c r="J2458" s="1" t="s">
        <v>10927</v>
      </c>
      <c r="L2458" s="1" t="s">
        <v>1906</v>
      </c>
      <c r="M2458" s="1" t="s">
        <v>1607</v>
      </c>
      <c r="N2458" s="1" t="s">
        <v>2548</v>
      </c>
      <c r="P2458" s="1" t="s">
        <v>2554</v>
      </c>
      <c r="Q2458" s="3">
        <v>0</v>
      </c>
      <c r="R2458" s="23" t="s">
        <v>10605</v>
      </c>
      <c r="S2458" s="23" t="s">
        <v>6847</v>
      </c>
      <c r="T2458" s="23" t="s">
        <v>4866</v>
      </c>
      <c r="U2458" s="3">
        <v>35</v>
      </c>
      <c r="W2458" s="45" t="str">
        <f>HYPERLINK("http://ictvonline.org/taxonomy/p/taxonomy-history?taxnode_id=201904263","ICTVonline=201904263")</f>
        <v>ICTVonline=201904263</v>
      </c>
      <c r="AA2458" s="1">
        <v>201900000</v>
      </c>
      <c r="AB2458" s="1">
        <v>35</v>
      </c>
    </row>
    <row r="2459" spans="1:28" x14ac:dyDescent="0.2">
      <c r="A2459" s="1">
        <v>6708</v>
      </c>
      <c r="B2459" s="1" t="s">
        <v>10590</v>
      </c>
      <c r="D2459" s="1" t="s">
        <v>10685</v>
      </c>
      <c r="F2459" s="1" t="s">
        <v>10686</v>
      </c>
      <c r="H2459" s="1" t="s">
        <v>10926</v>
      </c>
      <c r="J2459" s="1" t="s">
        <v>10927</v>
      </c>
      <c r="L2459" s="1" t="s">
        <v>1906</v>
      </c>
      <c r="M2459" s="1" t="s">
        <v>1607</v>
      </c>
      <c r="N2459" s="1" t="s">
        <v>2548</v>
      </c>
      <c r="P2459" s="1" t="s">
        <v>11055</v>
      </c>
      <c r="Q2459" s="3">
        <v>0</v>
      </c>
      <c r="R2459" s="23" t="s">
        <v>10930</v>
      </c>
      <c r="S2459" s="23" t="s">
        <v>6849</v>
      </c>
      <c r="T2459" s="23" t="s">
        <v>4864</v>
      </c>
      <c r="U2459" s="3">
        <v>35</v>
      </c>
      <c r="V2459" s="3" t="s">
        <v>10931</v>
      </c>
      <c r="W2459" s="45" t="str">
        <f>HYPERLINK("http://ictvonline.org/taxonomy/p/taxonomy-history?taxnode_id=201907353","ICTVonline=201907353")</f>
        <v>ICTVonline=201907353</v>
      </c>
      <c r="X2459" s="1" t="s">
        <v>11056</v>
      </c>
      <c r="Y2459" s="1" t="s">
        <v>11057</v>
      </c>
      <c r="AA2459" s="1">
        <v>201900000</v>
      </c>
      <c r="AB2459" s="1">
        <v>35</v>
      </c>
    </row>
    <row r="2460" spans="1:28" x14ac:dyDescent="0.2">
      <c r="A2460" s="1">
        <v>6710</v>
      </c>
      <c r="B2460" s="1" t="s">
        <v>10590</v>
      </c>
      <c r="D2460" s="1" t="s">
        <v>10685</v>
      </c>
      <c r="F2460" s="1" t="s">
        <v>10686</v>
      </c>
      <c r="H2460" s="1" t="s">
        <v>10926</v>
      </c>
      <c r="J2460" s="1" t="s">
        <v>10927</v>
      </c>
      <c r="L2460" s="1" t="s">
        <v>1906</v>
      </c>
      <c r="M2460" s="1" t="s">
        <v>1607</v>
      </c>
      <c r="N2460" s="1" t="s">
        <v>2548</v>
      </c>
      <c r="P2460" s="1" t="s">
        <v>11058</v>
      </c>
      <c r="Q2460" s="3">
        <v>0</v>
      </c>
      <c r="R2460" s="23" t="s">
        <v>10930</v>
      </c>
      <c r="S2460" s="23" t="s">
        <v>6849</v>
      </c>
      <c r="T2460" s="23" t="s">
        <v>4864</v>
      </c>
      <c r="U2460" s="3">
        <v>35</v>
      </c>
      <c r="V2460" s="3" t="s">
        <v>10931</v>
      </c>
      <c r="W2460" s="45" t="str">
        <f>HYPERLINK("http://ictvonline.org/taxonomy/p/taxonomy-history?taxnode_id=201907354","ICTVonline=201907354")</f>
        <v>ICTVonline=201907354</v>
      </c>
      <c r="X2460" s="1" t="s">
        <v>11059</v>
      </c>
      <c r="Y2460" s="1" t="s">
        <v>11060</v>
      </c>
      <c r="AA2460" s="1">
        <v>201900000</v>
      </c>
      <c r="AB2460" s="1">
        <v>35</v>
      </c>
    </row>
    <row r="2461" spans="1:28" x14ac:dyDescent="0.2">
      <c r="A2461" s="1">
        <v>6712</v>
      </c>
      <c r="B2461" s="1" t="s">
        <v>10590</v>
      </c>
      <c r="D2461" s="1" t="s">
        <v>10685</v>
      </c>
      <c r="F2461" s="1" t="s">
        <v>10686</v>
      </c>
      <c r="H2461" s="1" t="s">
        <v>10926</v>
      </c>
      <c r="J2461" s="1" t="s">
        <v>10927</v>
      </c>
      <c r="L2461" s="1" t="s">
        <v>1906</v>
      </c>
      <c r="M2461" s="1" t="s">
        <v>1607</v>
      </c>
      <c r="N2461" s="1" t="s">
        <v>2548</v>
      </c>
      <c r="P2461" s="1" t="s">
        <v>2555</v>
      </c>
      <c r="Q2461" s="3">
        <v>0</v>
      </c>
      <c r="R2461" s="23" t="s">
        <v>10605</v>
      </c>
      <c r="S2461" s="23" t="s">
        <v>6847</v>
      </c>
      <c r="T2461" s="23" t="s">
        <v>4866</v>
      </c>
      <c r="U2461" s="3">
        <v>35</v>
      </c>
      <c r="W2461" s="45" t="str">
        <f>HYPERLINK("http://ictvonline.org/taxonomy/p/taxonomy-history?taxnode_id=201904264","ICTVonline=201904264")</f>
        <v>ICTVonline=201904264</v>
      </c>
      <c r="AA2461" s="1">
        <v>201900000</v>
      </c>
      <c r="AB2461" s="1">
        <v>35</v>
      </c>
    </row>
    <row r="2462" spans="1:28" x14ac:dyDescent="0.2">
      <c r="A2462" s="1">
        <v>6714</v>
      </c>
      <c r="B2462" s="1" t="s">
        <v>10590</v>
      </c>
      <c r="D2462" s="1" t="s">
        <v>10685</v>
      </c>
      <c r="F2462" s="1" t="s">
        <v>10686</v>
      </c>
      <c r="H2462" s="1" t="s">
        <v>10926</v>
      </c>
      <c r="J2462" s="1" t="s">
        <v>10927</v>
      </c>
      <c r="L2462" s="1" t="s">
        <v>1906</v>
      </c>
      <c r="M2462" s="1" t="s">
        <v>1607</v>
      </c>
      <c r="N2462" s="1" t="s">
        <v>2548</v>
      </c>
      <c r="P2462" s="1" t="s">
        <v>6809</v>
      </c>
      <c r="Q2462" s="3">
        <v>0</v>
      </c>
      <c r="R2462" s="23" t="s">
        <v>10605</v>
      </c>
      <c r="S2462" s="23" t="s">
        <v>6847</v>
      </c>
      <c r="T2462" s="23" t="s">
        <v>4866</v>
      </c>
      <c r="U2462" s="3">
        <v>35</v>
      </c>
      <c r="W2462" s="45" t="str">
        <f>HYPERLINK("http://ictvonline.org/taxonomy/p/taxonomy-history?taxnode_id=201906425","ICTVonline=201906425")</f>
        <v>ICTVonline=201906425</v>
      </c>
      <c r="X2462" s="1" t="s">
        <v>11061</v>
      </c>
      <c r="Y2462" s="1" t="s">
        <v>11062</v>
      </c>
      <c r="Z2462" s="1" t="s">
        <v>11063</v>
      </c>
      <c r="AA2462" s="1">
        <v>201900000</v>
      </c>
      <c r="AB2462" s="1">
        <v>35</v>
      </c>
    </row>
    <row r="2463" spans="1:28" x14ac:dyDescent="0.2">
      <c r="A2463" s="1">
        <v>6718</v>
      </c>
      <c r="B2463" s="1" t="s">
        <v>10590</v>
      </c>
      <c r="D2463" s="1" t="s">
        <v>10685</v>
      </c>
      <c r="F2463" s="1" t="s">
        <v>10686</v>
      </c>
      <c r="H2463" s="1" t="s">
        <v>10926</v>
      </c>
      <c r="J2463" s="1" t="s">
        <v>10927</v>
      </c>
      <c r="L2463" s="1" t="s">
        <v>1906</v>
      </c>
      <c r="M2463" s="1" t="s">
        <v>1607</v>
      </c>
      <c r="N2463" s="1" t="s">
        <v>2556</v>
      </c>
      <c r="P2463" s="1" t="s">
        <v>11064</v>
      </c>
      <c r="Q2463" s="3">
        <v>0</v>
      </c>
      <c r="R2463" s="23" t="s">
        <v>10930</v>
      </c>
      <c r="S2463" s="23" t="s">
        <v>6849</v>
      </c>
      <c r="T2463" s="23" t="s">
        <v>4864</v>
      </c>
      <c r="U2463" s="3">
        <v>35</v>
      </c>
      <c r="V2463" s="3" t="s">
        <v>10931</v>
      </c>
      <c r="W2463" s="45" t="str">
        <f>HYPERLINK("http://ictvonline.org/taxonomy/p/taxonomy-history?taxnode_id=201907345","ICTVonline=201907345")</f>
        <v>ICTVonline=201907345</v>
      </c>
      <c r="X2463" s="1" t="s">
        <v>11065</v>
      </c>
      <c r="Y2463" s="1" t="s">
        <v>11066</v>
      </c>
      <c r="AA2463" s="1">
        <v>201900000</v>
      </c>
      <c r="AB2463" s="1">
        <v>35</v>
      </c>
    </row>
    <row r="2464" spans="1:28" x14ac:dyDescent="0.2">
      <c r="A2464" s="1">
        <v>6720</v>
      </c>
      <c r="B2464" s="1" t="s">
        <v>10590</v>
      </c>
      <c r="D2464" s="1" t="s">
        <v>10685</v>
      </c>
      <c r="F2464" s="1" t="s">
        <v>10686</v>
      </c>
      <c r="H2464" s="1" t="s">
        <v>10926</v>
      </c>
      <c r="J2464" s="1" t="s">
        <v>10927</v>
      </c>
      <c r="L2464" s="1" t="s">
        <v>1906</v>
      </c>
      <c r="M2464" s="1" t="s">
        <v>1607</v>
      </c>
      <c r="N2464" s="1" t="s">
        <v>2556</v>
      </c>
      <c r="P2464" s="1" t="s">
        <v>2557</v>
      </c>
      <c r="Q2464" s="3">
        <v>1</v>
      </c>
      <c r="R2464" s="23" t="s">
        <v>10605</v>
      </c>
      <c r="S2464" s="23" t="s">
        <v>6847</v>
      </c>
      <c r="T2464" s="23" t="s">
        <v>4866</v>
      </c>
      <c r="U2464" s="3">
        <v>35</v>
      </c>
      <c r="W2464" s="45" t="str">
        <f>HYPERLINK("http://ictvonline.org/taxonomy/p/taxonomy-history?taxnode_id=201904266","ICTVonline=201904266")</f>
        <v>ICTVonline=201904266</v>
      </c>
      <c r="AA2464" s="1">
        <v>201900000</v>
      </c>
      <c r="AB2464" s="1">
        <v>35</v>
      </c>
    </row>
    <row r="2465" spans="1:28" x14ac:dyDescent="0.2">
      <c r="A2465" s="1">
        <v>6722</v>
      </c>
      <c r="B2465" s="1" t="s">
        <v>10590</v>
      </c>
      <c r="D2465" s="1" t="s">
        <v>10685</v>
      </c>
      <c r="F2465" s="1" t="s">
        <v>10686</v>
      </c>
      <c r="H2465" s="1" t="s">
        <v>10926</v>
      </c>
      <c r="J2465" s="1" t="s">
        <v>10927</v>
      </c>
      <c r="L2465" s="1" t="s">
        <v>1906</v>
      </c>
      <c r="M2465" s="1" t="s">
        <v>1607</v>
      </c>
      <c r="N2465" s="1" t="s">
        <v>2556</v>
      </c>
      <c r="P2465" s="1" t="s">
        <v>2558</v>
      </c>
      <c r="Q2465" s="3">
        <v>0</v>
      </c>
      <c r="R2465" s="23" t="s">
        <v>10605</v>
      </c>
      <c r="S2465" s="23" t="s">
        <v>6847</v>
      </c>
      <c r="T2465" s="23" t="s">
        <v>4866</v>
      </c>
      <c r="U2465" s="3">
        <v>35</v>
      </c>
      <c r="W2465" s="45" t="str">
        <f>HYPERLINK("http://ictvonline.org/taxonomy/p/taxonomy-history?taxnode_id=201904267","ICTVonline=201904267")</f>
        <v>ICTVonline=201904267</v>
      </c>
      <c r="AA2465" s="1">
        <v>201900000</v>
      </c>
      <c r="AB2465" s="1">
        <v>35</v>
      </c>
    </row>
    <row r="2466" spans="1:28" x14ac:dyDescent="0.2">
      <c r="A2466" s="1">
        <v>6724</v>
      </c>
      <c r="B2466" s="1" t="s">
        <v>10590</v>
      </c>
      <c r="D2466" s="1" t="s">
        <v>10685</v>
      </c>
      <c r="F2466" s="1" t="s">
        <v>10686</v>
      </c>
      <c r="H2466" s="1" t="s">
        <v>10926</v>
      </c>
      <c r="J2466" s="1" t="s">
        <v>10927</v>
      </c>
      <c r="L2466" s="1" t="s">
        <v>1906</v>
      </c>
      <c r="M2466" s="1" t="s">
        <v>1607</v>
      </c>
      <c r="N2466" s="1" t="s">
        <v>2556</v>
      </c>
      <c r="P2466" s="1" t="s">
        <v>2559</v>
      </c>
      <c r="Q2466" s="3">
        <v>0</v>
      </c>
      <c r="R2466" s="23" t="s">
        <v>10605</v>
      </c>
      <c r="S2466" s="23" t="s">
        <v>6847</v>
      </c>
      <c r="T2466" s="23" t="s">
        <v>4866</v>
      </c>
      <c r="U2466" s="3">
        <v>35</v>
      </c>
      <c r="W2466" s="45" t="str">
        <f>HYPERLINK("http://ictvonline.org/taxonomy/p/taxonomy-history?taxnode_id=201904268","ICTVonline=201904268")</f>
        <v>ICTVonline=201904268</v>
      </c>
      <c r="AA2466" s="1">
        <v>201900000</v>
      </c>
      <c r="AB2466" s="1">
        <v>35</v>
      </c>
    </row>
    <row r="2467" spans="1:28" x14ac:dyDescent="0.2">
      <c r="A2467" s="1">
        <v>6726</v>
      </c>
      <c r="B2467" s="1" t="s">
        <v>10590</v>
      </c>
      <c r="D2467" s="1" t="s">
        <v>10685</v>
      </c>
      <c r="F2467" s="1" t="s">
        <v>10686</v>
      </c>
      <c r="H2467" s="1" t="s">
        <v>10926</v>
      </c>
      <c r="J2467" s="1" t="s">
        <v>10927</v>
      </c>
      <c r="L2467" s="1" t="s">
        <v>1906</v>
      </c>
      <c r="M2467" s="1" t="s">
        <v>1607</v>
      </c>
      <c r="N2467" s="1" t="s">
        <v>2556</v>
      </c>
      <c r="P2467" s="1" t="s">
        <v>2560</v>
      </c>
      <c r="Q2467" s="3">
        <v>0</v>
      </c>
      <c r="R2467" s="23" t="s">
        <v>10605</v>
      </c>
      <c r="S2467" s="23" t="s">
        <v>6847</v>
      </c>
      <c r="T2467" s="23" t="s">
        <v>4866</v>
      </c>
      <c r="U2467" s="3">
        <v>35</v>
      </c>
      <c r="W2467" s="45" t="str">
        <f>HYPERLINK("http://ictvonline.org/taxonomy/p/taxonomy-history?taxnode_id=201904269","ICTVonline=201904269")</f>
        <v>ICTVonline=201904269</v>
      </c>
      <c r="AA2467" s="1">
        <v>201900000</v>
      </c>
      <c r="AB2467" s="1">
        <v>35</v>
      </c>
    </row>
    <row r="2468" spans="1:28" x14ac:dyDescent="0.2">
      <c r="A2468" s="1">
        <v>6728</v>
      </c>
      <c r="B2468" s="1" t="s">
        <v>10590</v>
      </c>
      <c r="D2468" s="1" t="s">
        <v>10685</v>
      </c>
      <c r="F2468" s="1" t="s">
        <v>10686</v>
      </c>
      <c r="H2468" s="1" t="s">
        <v>10926</v>
      </c>
      <c r="J2468" s="1" t="s">
        <v>10927</v>
      </c>
      <c r="L2468" s="1" t="s">
        <v>1906</v>
      </c>
      <c r="M2468" s="1" t="s">
        <v>1607</v>
      </c>
      <c r="N2468" s="1" t="s">
        <v>2556</v>
      </c>
      <c r="P2468" s="1" t="s">
        <v>2561</v>
      </c>
      <c r="Q2468" s="3">
        <v>0</v>
      </c>
      <c r="R2468" s="23" t="s">
        <v>10605</v>
      </c>
      <c r="S2468" s="23" t="s">
        <v>6847</v>
      </c>
      <c r="T2468" s="23" t="s">
        <v>4866</v>
      </c>
      <c r="U2468" s="3">
        <v>35</v>
      </c>
      <c r="W2468" s="45" t="str">
        <f>HYPERLINK("http://ictvonline.org/taxonomy/p/taxonomy-history?taxnode_id=201904270","ICTVonline=201904270")</f>
        <v>ICTVonline=201904270</v>
      </c>
      <c r="AA2468" s="1">
        <v>201900000</v>
      </c>
      <c r="AB2468" s="1">
        <v>35</v>
      </c>
    </row>
    <row r="2469" spans="1:28" x14ac:dyDescent="0.2">
      <c r="A2469" s="1">
        <v>6730</v>
      </c>
      <c r="B2469" s="1" t="s">
        <v>10590</v>
      </c>
      <c r="D2469" s="1" t="s">
        <v>10685</v>
      </c>
      <c r="F2469" s="1" t="s">
        <v>10686</v>
      </c>
      <c r="H2469" s="1" t="s">
        <v>10926</v>
      </c>
      <c r="J2469" s="1" t="s">
        <v>10927</v>
      </c>
      <c r="L2469" s="1" t="s">
        <v>1906</v>
      </c>
      <c r="M2469" s="1" t="s">
        <v>1607</v>
      </c>
      <c r="N2469" s="1" t="s">
        <v>2556</v>
      </c>
      <c r="P2469" s="1" t="s">
        <v>2562</v>
      </c>
      <c r="Q2469" s="3">
        <v>0</v>
      </c>
      <c r="R2469" s="23" t="s">
        <v>10605</v>
      </c>
      <c r="S2469" s="23" t="s">
        <v>6847</v>
      </c>
      <c r="T2469" s="23" t="s">
        <v>4866</v>
      </c>
      <c r="U2469" s="3">
        <v>35</v>
      </c>
      <c r="W2469" s="45" t="str">
        <f>HYPERLINK("http://ictvonline.org/taxonomy/p/taxonomy-history?taxnode_id=201904271","ICTVonline=201904271")</f>
        <v>ICTVonline=201904271</v>
      </c>
      <c r="AA2469" s="1">
        <v>201900000</v>
      </c>
      <c r="AB2469" s="1">
        <v>35</v>
      </c>
    </row>
    <row r="2470" spans="1:28" x14ac:dyDescent="0.2">
      <c r="A2470" s="1">
        <v>6734</v>
      </c>
      <c r="B2470" s="1" t="s">
        <v>10590</v>
      </c>
      <c r="D2470" s="1" t="s">
        <v>10685</v>
      </c>
      <c r="F2470" s="1" t="s">
        <v>10686</v>
      </c>
      <c r="H2470" s="1" t="s">
        <v>10926</v>
      </c>
      <c r="J2470" s="1" t="s">
        <v>10927</v>
      </c>
      <c r="L2470" s="1" t="s">
        <v>1906</v>
      </c>
      <c r="M2470" s="1" t="s">
        <v>1607</v>
      </c>
      <c r="N2470" s="1" t="s">
        <v>11067</v>
      </c>
      <c r="P2470" s="1" t="s">
        <v>11068</v>
      </c>
      <c r="Q2470" s="3">
        <v>1</v>
      </c>
      <c r="R2470" s="23" t="s">
        <v>10930</v>
      </c>
      <c r="S2470" s="23" t="s">
        <v>6849</v>
      </c>
      <c r="T2470" s="23" t="s">
        <v>4864</v>
      </c>
      <c r="U2470" s="3">
        <v>35</v>
      </c>
      <c r="V2470" s="3" t="s">
        <v>10931</v>
      </c>
      <c r="W2470" s="45" t="str">
        <f>HYPERLINK("http://ictvonline.org/taxonomy/p/taxonomy-history?taxnode_id=201907339","ICTVonline=201907339")</f>
        <v>ICTVonline=201907339</v>
      </c>
      <c r="X2470" s="1" t="s">
        <v>11069</v>
      </c>
      <c r="Y2470" s="1" t="s">
        <v>11070</v>
      </c>
      <c r="AA2470" s="1">
        <v>201900000</v>
      </c>
      <c r="AB2470" s="1">
        <v>35</v>
      </c>
    </row>
    <row r="2471" spans="1:28" x14ac:dyDescent="0.2">
      <c r="A2471" s="1">
        <v>6738</v>
      </c>
      <c r="B2471" s="1" t="s">
        <v>10590</v>
      </c>
      <c r="D2471" s="1" t="s">
        <v>10685</v>
      </c>
      <c r="F2471" s="1" t="s">
        <v>10686</v>
      </c>
      <c r="H2471" s="1" t="s">
        <v>10926</v>
      </c>
      <c r="J2471" s="1" t="s">
        <v>10927</v>
      </c>
      <c r="L2471" s="1" t="s">
        <v>1906</v>
      </c>
      <c r="M2471" s="1" t="s">
        <v>1607</v>
      </c>
      <c r="N2471" s="1" t="s">
        <v>2563</v>
      </c>
      <c r="P2471" s="1" t="s">
        <v>11071</v>
      </c>
      <c r="Q2471" s="3">
        <v>0</v>
      </c>
      <c r="R2471" s="23" t="s">
        <v>10930</v>
      </c>
      <c r="S2471" s="23" t="s">
        <v>6849</v>
      </c>
      <c r="T2471" s="23" t="s">
        <v>4864</v>
      </c>
      <c r="U2471" s="3">
        <v>35</v>
      </c>
      <c r="V2471" s="3" t="s">
        <v>10931</v>
      </c>
      <c r="W2471" s="45" t="str">
        <f>HYPERLINK("http://ictvonline.org/taxonomy/p/taxonomy-history?taxnode_id=201907352","ICTVonline=201907352")</f>
        <v>ICTVonline=201907352</v>
      </c>
      <c r="X2471" s="1" t="s">
        <v>11072</v>
      </c>
      <c r="Y2471" s="1" t="s">
        <v>11073</v>
      </c>
      <c r="AA2471" s="1">
        <v>201900000</v>
      </c>
      <c r="AB2471" s="1">
        <v>35</v>
      </c>
    </row>
    <row r="2472" spans="1:28" x14ac:dyDescent="0.2">
      <c r="A2472" s="1">
        <v>6740</v>
      </c>
      <c r="B2472" s="1" t="s">
        <v>10590</v>
      </c>
      <c r="D2472" s="1" t="s">
        <v>10685</v>
      </c>
      <c r="F2472" s="1" t="s">
        <v>10686</v>
      </c>
      <c r="H2472" s="1" t="s">
        <v>10926</v>
      </c>
      <c r="J2472" s="1" t="s">
        <v>10927</v>
      </c>
      <c r="L2472" s="1" t="s">
        <v>1906</v>
      </c>
      <c r="M2472" s="1" t="s">
        <v>1607</v>
      </c>
      <c r="N2472" s="1" t="s">
        <v>2563</v>
      </c>
      <c r="P2472" s="1" t="s">
        <v>2564</v>
      </c>
      <c r="Q2472" s="3">
        <v>0</v>
      </c>
      <c r="R2472" s="23" t="s">
        <v>10605</v>
      </c>
      <c r="S2472" s="23" t="s">
        <v>6847</v>
      </c>
      <c r="T2472" s="23" t="s">
        <v>4866</v>
      </c>
      <c r="U2472" s="3">
        <v>35</v>
      </c>
      <c r="W2472" s="45" t="str">
        <f>HYPERLINK("http://ictvonline.org/taxonomy/p/taxonomy-history?taxnode_id=201904273","ICTVonline=201904273")</f>
        <v>ICTVonline=201904273</v>
      </c>
      <c r="AA2472" s="1">
        <v>201900000</v>
      </c>
      <c r="AB2472" s="1">
        <v>35</v>
      </c>
    </row>
    <row r="2473" spans="1:28" x14ac:dyDescent="0.2">
      <c r="A2473" s="1">
        <v>6742</v>
      </c>
      <c r="B2473" s="1" t="s">
        <v>10590</v>
      </c>
      <c r="D2473" s="1" t="s">
        <v>10685</v>
      </c>
      <c r="F2473" s="1" t="s">
        <v>10686</v>
      </c>
      <c r="H2473" s="1" t="s">
        <v>10926</v>
      </c>
      <c r="J2473" s="1" t="s">
        <v>10927</v>
      </c>
      <c r="L2473" s="1" t="s">
        <v>1906</v>
      </c>
      <c r="M2473" s="1" t="s">
        <v>1607</v>
      </c>
      <c r="N2473" s="1" t="s">
        <v>2563</v>
      </c>
      <c r="P2473" s="1" t="s">
        <v>5433</v>
      </c>
      <c r="Q2473" s="3">
        <v>0</v>
      </c>
      <c r="R2473" s="23" t="s">
        <v>10605</v>
      </c>
      <c r="S2473" s="23" t="s">
        <v>6847</v>
      </c>
      <c r="T2473" s="23" t="s">
        <v>4866</v>
      </c>
      <c r="U2473" s="3">
        <v>35</v>
      </c>
      <c r="W2473" s="45" t="str">
        <f>HYPERLINK("http://ictvonline.org/taxonomy/p/taxonomy-history?taxnode_id=201905898","ICTVonline=201905898")</f>
        <v>ICTVonline=201905898</v>
      </c>
      <c r="AA2473" s="1">
        <v>201900000</v>
      </c>
      <c r="AB2473" s="1">
        <v>35</v>
      </c>
    </row>
    <row r="2474" spans="1:28" x14ac:dyDescent="0.2">
      <c r="A2474" s="1">
        <v>6744</v>
      </c>
      <c r="B2474" s="1" t="s">
        <v>10590</v>
      </c>
      <c r="D2474" s="1" t="s">
        <v>10685</v>
      </c>
      <c r="F2474" s="1" t="s">
        <v>10686</v>
      </c>
      <c r="H2474" s="1" t="s">
        <v>10926</v>
      </c>
      <c r="J2474" s="1" t="s">
        <v>10927</v>
      </c>
      <c r="L2474" s="1" t="s">
        <v>1906</v>
      </c>
      <c r="M2474" s="1" t="s">
        <v>1607</v>
      </c>
      <c r="N2474" s="1" t="s">
        <v>2563</v>
      </c>
      <c r="P2474" s="1" t="s">
        <v>5434</v>
      </c>
      <c r="Q2474" s="3">
        <v>0</v>
      </c>
      <c r="R2474" s="23" t="s">
        <v>10605</v>
      </c>
      <c r="S2474" s="23" t="s">
        <v>6847</v>
      </c>
      <c r="T2474" s="23" t="s">
        <v>4866</v>
      </c>
      <c r="U2474" s="3">
        <v>35</v>
      </c>
      <c r="W2474" s="45" t="str">
        <f>HYPERLINK("http://ictvonline.org/taxonomy/p/taxonomy-history?taxnode_id=201905899","ICTVonline=201905899")</f>
        <v>ICTVonline=201905899</v>
      </c>
      <c r="AA2474" s="1">
        <v>201900000</v>
      </c>
      <c r="AB2474" s="1">
        <v>35</v>
      </c>
    </row>
    <row r="2475" spans="1:28" x14ac:dyDescent="0.2">
      <c r="A2475" s="1">
        <v>6746</v>
      </c>
      <c r="B2475" s="1" t="s">
        <v>10590</v>
      </c>
      <c r="D2475" s="1" t="s">
        <v>10685</v>
      </c>
      <c r="F2475" s="1" t="s">
        <v>10686</v>
      </c>
      <c r="H2475" s="1" t="s">
        <v>10926</v>
      </c>
      <c r="J2475" s="1" t="s">
        <v>10927</v>
      </c>
      <c r="L2475" s="1" t="s">
        <v>1906</v>
      </c>
      <c r="M2475" s="1" t="s">
        <v>1607</v>
      </c>
      <c r="N2475" s="1" t="s">
        <v>2563</v>
      </c>
      <c r="P2475" s="1" t="s">
        <v>2565</v>
      </c>
      <c r="Q2475" s="3">
        <v>0</v>
      </c>
      <c r="R2475" s="23" t="s">
        <v>10605</v>
      </c>
      <c r="S2475" s="23" t="s">
        <v>6847</v>
      </c>
      <c r="T2475" s="23" t="s">
        <v>4866</v>
      </c>
      <c r="U2475" s="3">
        <v>35</v>
      </c>
      <c r="W2475" s="45" t="str">
        <f>HYPERLINK("http://ictvonline.org/taxonomy/p/taxonomy-history?taxnode_id=201904274","ICTVonline=201904274")</f>
        <v>ICTVonline=201904274</v>
      </c>
      <c r="AA2475" s="1">
        <v>201900000</v>
      </c>
      <c r="AB2475" s="1">
        <v>35</v>
      </c>
    </row>
    <row r="2476" spans="1:28" x14ac:dyDescent="0.2">
      <c r="A2476" s="1">
        <v>6748</v>
      </c>
      <c r="B2476" s="1" t="s">
        <v>10590</v>
      </c>
      <c r="D2476" s="1" t="s">
        <v>10685</v>
      </c>
      <c r="F2476" s="1" t="s">
        <v>10686</v>
      </c>
      <c r="H2476" s="1" t="s">
        <v>10926</v>
      </c>
      <c r="J2476" s="1" t="s">
        <v>10927</v>
      </c>
      <c r="L2476" s="1" t="s">
        <v>1906</v>
      </c>
      <c r="M2476" s="1" t="s">
        <v>1607</v>
      </c>
      <c r="N2476" s="1" t="s">
        <v>2563</v>
      </c>
      <c r="P2476" s="1" t="s">
        <v>5435</v>
      </c>
      <c r="Q2476" s="3">
        <v>0</v>
      </c>
      <c r="R2476" s="23" t="s">
        <v>10605</v>
      </c>
      <c r="S2476" s="23" t="s">
        <v>6847</v>
      </c>
      <c r="T2476" s="23" t="s">
        <v>4866</v>
      </c>
      <c r="U2476" s="3">
        <v>35</v>
      </c>
      <c r="W2476" s="45" t="str">
        <f>HYPERLINK("http://ictvonline.org/taxonomy/p/taxonomy-history?taxnode_id=201905900","ICTVonline=201905900")</f>
        <v>ICTVonline=201905900</v>
      </c>
      <c r="AA2476" s="1">
        <v>201900000</v>
      </c>
      <c r="AB2476" s="1">
        <v>35</v>
      </c>
    </row>
    <row r="2477" spans="1:28" x14ac:dyDescent="0.2">
      <c r="A2477" s="1">
        <v>6750</v>
      </c>
      <c r="B2477" s="1" t="s">
        <v>10590</v>
      </c>
      <c r="D2477" s="1" t="s">
        <v>10685</v>
      </c>
      <c r="F2477" s="1" t="s">
        <v>10686</v>
      </c>
      <c r="H2477" s="1" t="s">
        <v>10926</v>
      </c>
      <c r="J2477" s="1" t="s">
        <v>10927</v>
      </c>
      <c r="L2477" s="1" t="s">
        <v>1906</v>
      </c>
      <c r="M2477" s="1" t="s">
        <v>1607</v>
      </c>
      <c r="N2477" s="1" t="s">
        <v>2563</v>
      </c>
      <c r="P2477" s="1" t="s">
        <v>5436</v>
      </c>
      <c r="Q2477" s="3">
        <v>0</v>
      </c>
      <c r="R2477" s="23" t="s">
        <v>10605</v>
      </c>
      <c r="S2477" s="23" t="s">
        <v>6847</v>
      </c>
      <c r="T2477" s="23" t="s">
        <v>4866</v>
      </c>
      <c r="U2477" s="3">
        <v>35</v>
      </c>
      <c r="W2477" s="45" t="str">
        <f>HYPERLINK("http://ictvonline.org/taxonomy/p/taxonomy-history?taxnode_id=201905901","ICTVonline=201905901")</f>
        <v>ICTVonline=201905901</v>
      </c>
      <c r="AA2477" s="1">
        <v>201900000</v>
      </c>
      <c r="AB2477" s="1">
        <v>35</v>
      </c>
    </row>
    <row r="2478" spans="1:28" x14ac:dyDescent="0.2">
      <c r="A2478" s="1">
        <v>6752</v>
      </c>
      <c r="B2478" s="1" t="s">
        <v>10590</v>
      </c>
      <c r="D2478" s="1" t="s">
        <v>10685</v>
      </c>
      <c r="F2478" s="1" t="s">
        <v>10686</v>
      </c>
      <c r="H2478" s="1" t="s">
        <v>10926</v>
      </c>
      <c r="J2478" s="1" t="s">
        <v>10927</v>
      </c>
      <c r="L2478" s="1" t="s">
        <v>1906</v>
      </c>
      <c r="M2478" s="1" t="s">
        <v>1607</v>
      </c>
      <c r="N2478" s="1" t="s">
        <v>2563</v>
      </c>
      <c r="P2478" s="1" t="s">
        <v>11074</v>
      </c>
      <c r="Q2478" s="3">
        <v>0</v>
      </c>
      <c r="R2478" s="23" t="s">
        <v>10930</v>
      </c>
      <c r="S2478" s="23" t="s">
        <v>6849</v>
      </c>
      <c r="T2478" s="23" t="s">
        <v>4864</v>
      </c>
      <c r="U2478" s="3">
        <v>35</v>
      </c>
      <c r="V2478" s="3" t="s">
        <v>10931</v>
      </c>
      <c r="W2478" s="45" t="str">
        <f>HYPERLINK("http://ictvonline.org/taxonomy/p/taxonomy-history?taxnode_id=201907351","ICTVonline=201907351")</f>
        <v>ICTVonline=201907351</v>
      </c>
      <c r="X2478" s="1" t="s">
        <v>11075</v>
      </c>
      <c r="Y2478" s="1" t="s">
        <v>11076</v>
      </c>
      <c r="AA2478" s="1">
        <v>201900000</v>
      </c>
      <c r="AB2478" s="1">
        <v>35</v>
      </c>
    </row>
    <row r="2479" spans="1:28" x14ac:dyDescent="0.2">
      <c r="A2479" s="1">
        <v>6754</v>
      </c>
      <c r="B2479" s="1" t="s">
        <v>10590</v>
      </c>
      <c r="D2479" s="1" t="s">
        <v>10685</v>
      </c>
      <c r="F2479" s="1" t="s">
        <v>10686</v>
      </c>
      <c r="H2479" s="1" t="s">
        <v>10926</v>
      </c>
      <c r="J2479" s="1" t="s">
        <v>10927</v>
      </c>
      <c r="L2479" s="1" t="s">
        <v>1906</v>
      </c>
      <c r="M2479" s="1" t="s">
        <v>1607</v>
      </c>
      <c r="N2479" s="1" t="s">
        <v>2563</v>
      </c>
      <c r="P2479" s="1" t="s">
        <v>2566</v>
      </c>
      <c r="Q2479" s="3">
        <v>1</v>
      </c>
      <c r="R2479" s="23" t="s">
        <v>10605</v>
      </c>
      <c r="S2479" s="23" t="s">
        <v>6847</v>
      </c>
      <c r="T2479" s="23" t="s">
        <v>4866</v>
      </c>
      <c r="U2479" s="3">
        <v>35</v>
      </c>
      <c r="W2479" s="45" t="str">
        <f>HYPERLINK("http://ictvonline.org/taxonomy/p/taxonomy-history?taxnode_id=201904275","ICTVonline=201904275")</f>
        <v>ICTVonline=201904275</v>
      </c>
      <c r="AA2479" s="1">
        <v>201900000</v>
      </c>
      <c r="AB2479" s="1">
        <v>35</v>
      </c>
    </row>
    <row r="2480" spans="1:28" x14ac:dyDescent="0.2">
      <c r="A2480" s="1">
        <v>6756</v>
      </c>
      <c r="B2480" s="1" t="s">
        <v>10590</v>
      </c>
      <c r="D2480" s="1" t="s">
        <v>10685</v>
      </c>
      <c r="F2480" s="1" t="s">
        <v>10686</v>
      </c>
      <c r="H2480" s="1" t="s">
        <v>10926</v>
      </c>
      <c r="J2480" s="1" t="s">
        <v>10927</v>
      </c>
      <c r="L2480" s="1" t="s">
        <v>1906</v>
      </c>
      <c r="M2480" s="1" t="s">
        <v>1607</v>
      </c>
      <c r="N2480" s="1" t="s">
        <v>2563</v>
      </c>
      <c r="P2480" s="1" t="s">
        <v>2567</v>
      </c>
      <c r="Q2480" s="3">
        <v>0</v>
      </c>
      <c r="R2480" s="23" t="s">
        <v>10605</v>
      </c>
      <c r="S2480" s="23" t="s">
        <v>6847</v>
      </c>
      <c r="T2480" s="23" t="s">
        <v>4866</v>
      </c>
      <c r="U2480" s="3">
        <v>35</v>
      </c>
      <c r="W2480" s="45" t="str">
        <f>HYPERLINK("http://ictvonline.org/taxonomy/p/taxonomy-history?taxnode_id=201904276","ICTVonline=201904276")</f>
        <v>ICTVonline=201904276</v>
      </c>
      <c r="AA2480" s="1">
        <v>201900000</v>
      </c>
      <c r="AB2480" s="1">
        <v>35</v>
      </c>
    </row>
    <row r="2481" spans="1:28" x14ac:dyDescent="0.2">
      <c r="A2481" s="1">
        <v>6758</v>
      </c>
      <c r="B2481" s="1" t="s">
        <v>10590</v>
      </c>
      <c r="D2481" s="1" t="s">
        <v>10685</v>
      </c>
      <c r="F2481" s="1" t="s">
        <v>10686</v>
      </c>
      <c r="H2481" s="1" t="s">
        <v>10926</v>
      </c>
      <c r="J2481" s="1" t="s">
        <v>10927</v>
      </c>
      <c r="L2481" s="1" t="s">
        <v>1906</v>
      </c>
      <c r="M2481" s="1" t="s">
        <v>1607</v>
      </c>
      <c r="N2481" s="1" t="s">
        <v>2563</v>
      </c>
      <c r="P2481" s="1" t="s">
        <v>5437</v>
      </c>
      <c r="Q2481" s="3">
        <v>0</v>
      </c>
      <c r="R2481" s="23" t="s">
        <v>10605</v>
      </c>
      <c r="S2481" s="23" t="s">
        <v>6847</v>
      </c>
      <c r="T2481" s="23" t="s">
        <v>4866</v>
      </c>
      <c r="U2481" s="3">
        <v>35</v>
      </c>
      <c r="W2481" s="45" t="str">
        <f>HYPERLINK("http://ictvonline.org/taxonomy/p/taxonomy-history?taxnode_id=201905902","ICTVonline=201905902")</f>
        <v>ICTVonline=201905902</v>
      </c>
      <c r="AA2481" s="1">
        <v>201900000</v>
      </c>
      <c r="AB2481" s="1">
        <v>35</v>
      </c>
    </row>
    <row r="2482" spans="1:28" x14ac:dyDescent="0.2">
      <c r="A2482" s="1">
        <v>6760</v>
      </c>
      <c r="B2482" s="1" t="s">
        <v>10590</v>
      </c>
      <c r="D2482" s="1" t="s">
        <v>10685</v>
      </c>
      <c r="F2482" s="1" t="s">
        <v>10686</v>
      </c>
      <c r="H2482" s="1" t="s">
        <v>10926</v>
      </c>
      <c r="J2482" s="1" t="s">
        <v>10927</v>
      </c>
      <c r="L2482" s="1" t="s">
        <v>1906</v>
      </c>
      <c r="M2482" s="1" t="s">
        <v>1607</v>
      </c>
      <c r="N2482" s="1" t="s">
        <v>2563</v>
      </c>
      <c r="P2482" s="1" t="s">
        <v>2568</v>
      </c>
      <c r="Q2482" s="3">
        <v>0</v>
      </c>
      <c r="R2482" s="23" t="s">
        <v>10605</v>
      </c>
      <c r="S2482" s="23" t="s">
        <v>6847</v>
      </c>
      <c r="T2482" s="23" t="s">
        <v>4866</v>
      </c>
      <c r="U2482" s="3">
        <v>35</v>
      </c>
      <c r="W2482" s="45" t="str">
        <f>HYPERLINK("http://ictvonline.org/taxonomy/p/taxonomy-history?taxnode_id=201904277","ICTVonline=201904277")</f>
        <v>ICTVonline=201904277</v>
      </c>
      <c r="AA2482" s="1">
        <v>201900000</v>
      </c>
      <c r="AB2482" s="1">
        <v>35</v>
      </c>
    </row>
    <row r="2483" spans="1:28" x14ac:dyDescent="0.2">
      <c r="A2483" s="1">
        <v>6762</v>
      </c>
      <c r="B2483" s="1" t="s">
        <v>10590</v>
      </c>
      <c r="D2483" s="1" t="s">
        <v>10685</v>
      </c>
      <c r="F2483" s="1" t="s">
        <v>10686</v>
      </c>
      <c r="H2483" s="1" t="s">
        <v>10926</v>
      </c>
      <c r="J2483" s="1" t="s">
        <v>10927</v>
      </c>
      <c r="L2483" s="1" t="s">
        <v>1906</v>
      </c>
      <c r="M2483" s="1" t="s">
        <v>1607</v>
      </c>
      <c r="N2483" s="1" t="s">
        <v>2563</v>
      </c>
      <c r="P2483" s="1" t="s">
        <v>5438</v>
      </c>
      <c r="Q2483" s="3">
        <v>0</v>
      </c>
      <c r="R2483" s="23" t="s">
        <v>10605</v>
      </c>
      <c r="S2483" s="23" t="s">
        <v>6847</v>
      </c>
      <c r="T2483" s="23" t="s">
        <v>4866</v>
      </c>
      <c r="U2483" s="3">
        <v>35</v>
      </c>
      <c r="W2483" s="45" t="str">
        <f>HYPERLINK("http://ictvonline.org/taxonomy/p/taxonomy-history?taxnode_id=201905903","ICTVonline=201905903")</f>
        <v>ICTVonline=201905903</v>
      </c>
      <c r="AA2483" s="1">
        <v>201900000</v>
      </c>
      <c r="AB2483" s="1">
        <v>35</v>
      </c>
    </row>
    <row r="2484" spans="1:28" x14ac:dyDescent="0.2">
      <c r="A2484" s="1">
        <v>6766</v>
      </c>
      <c r="B2484" s="1" t="s">
        <v>10590</v>
      </c>
      <c r="D2484" s="1" t="s">
        <v>10685</v>
      </c>
      <c r="F2484" s="1" t="s">
        <v>10686</v>
      </c>
      <c r="H2484" s="1" t="s">
        <v>10926</v>
      </c>
      <c r="J2484" s="1" t="s">
        <v>10927</v>
      </c>
      <c r="L2484" s="1" t="s">
        <v>1906</v>
      </c>
      <c r="M2484" s="1" t="s">
        <v>1607</v>
      </c>
      <c r="N2484" s="1" t="s">
        <v>2569</v>
      </c>
      <c r="P2484" s="1" t="s">
        <v>2570</v>
      </c>
      <c r="Q2484" s="3">
        <v>0</v>
      </c>
      <c r="R2484" s="23" t="s">
        <v>10605</v>
      </c>
      <c r="S2484" s="23" t="s">
        <v>6847</v>
      </c>
      <c r="T2484" s="23" t="s">
        <v>4866</v>
      </c>
      <c r="U2484" s="3">
        <v>35</v>
      </c>
      <c r="W2484" s="45" t="str">
        <f>HYPERLINK("http://ictvonline.org/taxonomy/p/taxonomy-history?taxnode_id=201904279","ICTVonline=201904279")</f>
        <v>ICTVonline=201904279</v>
      </c>
      <c r="AA2484" s="1">
        <v>201900000</v>
      </c>
      <c r="AB2484" s="1">
        <v>35</v>
      </c>
    </row>
    <row r="2485" spans="1:28" x14ac:dyDescent="0.2">
      <c r="A2485" s="1">
        <v>6768</v>
      </c>
      <c r="B2485" s="1" t="s">
        <v>10590</v>
      </c>
      <c r="D2485" s="1" t="s">
        <v>10685</v>
      </c>
      <c r="F2485" s="1" t="s">
        <v>10686</v>
      </c>
      <c r="H2485" s="1" t="s">
        <v>10926</v>
      </c>
      <c r="J2485" s="1" t="s">
        <v>10927</v>
      </c>
      <c r="L2485" s="1" t="s">
        <v>1906</v>
      </c>
      <c r="M2485" s="1" t="s">
        <v>1607</v>
      </c>
      <c r="N2485" s="1" t="s">
        <v>2569</v>
      </c>
      <c r="P2485" s="1" t="s">
        <v>2571</v>
      </c>
      <c r="Q2485" s="3">
        <v>1</v>
      </c>
      <c r="R2485" s="23" t="s">
        <v>10605</v>
      </c>
      <c r="S2485" s="23" t="s">
        <v>6847</v>
      </c>
      <c r="T2485" s="23" t="s">
        <v>4866</v>
      </c>
      <c r="U2485" s="3">
        <v>35</v>
      </c>
      <c r="W2485" s="45" t="str">
        <f>HYPERLINK("http://ictvonline.org/taxonomy/p/taxonomy-history?taxnode_id=201904280","ICTVonline=201904280")</f>
        <v>ICTVonline=201904280</v>
      </c>
      <c r="AA2485" s="1">
        <v>201900000</v>
      </c>
      <c r="AB2485" s="1">
        <v>35</v>
      </c>
    </row>
    <row r="2486" spans="1:28" x14ac:dyDescent="0.2">
      <c r="A2486" s="1">
        <v>6770</v>
      </c>
      <c r="B2486" s="1" t="s">
        <v>10590</v>
      </c>
      <c r="D2486" s="1" t="s">
        <v>10685</v>
      </c>
      <c r="F2486" s="1" t="s">
        <v>10686</v>
      </c>
      <c r="H2486" s="1" t="s">
        <v>10926</v>
      </c>
      <c r="J2486" s="1" t="s">
        <v>10927</v>
      </c>
      <c r="L2486" s="1" t="s">
        <v>1906</v>
      </c>
      <c r="M2486" s="1" t="s">
        <v>1607</v>
      </c>
      <c r="N2486" s="1" t="s">
        <v>2569</v>
      </c>
      <c r="P2486" s="1" t="s">
        <v>2572</v>
      </c>
      <c r="Q2486" s="3">
        <v>0</v>
      </c>
      <c r="R2486" s="23" t="s">
        <v>10605</v>
      </c>
      <c r="S2486" s="23" t="s">
        <v>6847</v>
      </c>
      <c r="T2486" s="23" t="s">
        <v>4866</v>
      </c>
      <c r="U2486" s="3">
        <v>35</v>
      </c>
      <c r="W2486" s="45" t="str">
        <f>HYPERLINK("http://ictvonline.org/taxonomy/p/taxonomy-history?taxnode_id=201904281","ICTVonline=201904281")</f>
        <v>ICTVonline=201904281</v>
      </c>
      <c r="AA2486" s="1">
        <v>201900000</v>
      </c>
      <c r="AB2486" s="1">
        <v>35</v>
      </c>
    </row>
    <row r="2487" spans="1:28" x14ac:dyDescent="0.2">
      <c r="A2487" s="1">
        <v>6772</v>
      </c>
      <c r="B2487" s="1" t="s">
        <v>10590</v>
      </c>
      <c r="D2487" s="1" t="s">
        <v>10685</v>
      </c>
      <c r="F2487" s="1" t="s">
        <v>10686</v>
      </c>
      <c r="H2487" s="1" t="s">
        <v>10926</v>
      </c>
      <c r="J2487" s="1" t="s">
        <v>10927</v>
      </c>
      <c r="L2487" s="1" t="s">
        <v>1906</v>
      </c>
      <c r="M2487" s="1" t="s">
        <v>1607</v>
      </c>
      <c r="N2487" s="1" t="s">
        <v>2569</v>
      </c>
      <c r="P2487" s="1" t="s">
        <v>2573</v>
      </c>
      <c r="Q2487" s="3">
        <v>0</v>
      </c>
      <c r="R2487" s="23" t="s">
        <v>10605</v>
      </c>
      <c r="S2487" s="23" t="s">
        <v>6847</v>
      </c>
      <c r="T2487" s="23" t="s">
        <v>4866</v>
      </c>
      <c r="U2487" s="3">
        <v>35</v>
      </c>
      <c r="W2487" s="45" t="str">
        <f>HYPERLINK("http://ictvonline.org/taxonomy/p/taxonomy-history?taxnode_id=201904282","ICTVonline=201904282")</f>
        <v>ICTVonline=201904282</v>
      </c>
      <c r="AA2487" s="1">
        <v>201900000</v>
      </c>
      <c r="AB2487" s="1">
        <v>35</v>
      </c>
    </row>
    <row r="2488" spans="1:28" x14ac:dyDescent="0.2">
      <c r="A2488" s="1">
        <v>6774</v>
      </c>
      <c r="B2488" s="1" t="s">
        <v>10590</v>
      </c>
      <c r="D2488" s="1" t="s">
        <v>10685</v>
      </c>
      <c r="F2488" s="1" t="s">
        <v>10686</v>
      </c>
      <c r="H2488" s="1" t="s">
        <v>10926</v>
      </c>
      <c r="J2488" s="1" t="s">
        <v>10927</v>
      </c>
      <c r="L2488" s="1" t="s">
        <v>1906</v>
      </c>
      <c r="M2488" s="1" t="s">
        <v>1607</v>
      </c>
      <c r="N2488" s="1" t="s">
        <v>2569</v>
      </c>
      <c r="P2488" s="1" t="s">
        <v>2574</v>
      </c>
      <c r="Q2488" s="3">
        <v>0</v>
      </c>
      <c r="R2488" s="23" t="s">
        <v>10605</v>
      </c>
      <c r="S2488" s="23" t="s">
        <v>6847</v>
      </c>
      <c r="T2488" s="23" t="s">
        <v>4866</v>
      </c>
      <c r="U2488" s="3">
        <v>35</v>
      </c>
      <c r="W2488" s="45" t="str">
        <f>HYPERLINK("http://ictvonline.org/taxonomy/p/taxonomy-history?taxnode_id=201904283","ICTVonline=201904283")</f>
        <v>ICTVonline=201904283</v>
      </c>
      <c r="AA2488" s="1">
        <v>201900000</v>
      </c>
      <c r="AB2488" s="1">
        <v>35</v>
      </c>
    </row>
    <row r="2489" spans="1:28" x14ac:dyDescent="0.2">
      <c r="A2489" s="1">
        <v>6776</v>
      </c>
      <c r="B2489" s="1" t="s">
        <v>10590</v>
      </c>
      <c r="D2489" s="1" t="s">
        <v>10685</v>
      </c>
      <c r="F2489" s="1" t="s">
        <v>10686</v>
      </c>
      <c r="H2489" s="1" t="s">
        <v>10926</v>
      </c>
      <c r="J2489" s="1" t="s">
        <v>10927</v>
      </c>
      <c r="L2489" s="1" t="s">
        <v>1906</v>
      </c>
      <c r="M2489" s="1" t="s">
        <v>1607</v>
      </c>
      <c r="N2489" s="1" t="s">
        <v>2569</v>
      </c>
      <c r="P2489" s="1" t="s">
        <v>2575</v>
      </c>
      <c r="Q2489" s="3">
        <v>0</v>
      </c>
      <c r="R2489" s="23" t="s">
        <v>10605</v>
      </c>
      <c r="S2489" s="23" t="s">
        <v>6847</v>
      </c>
      <c r="T2489" s="23" t="s">
        <v>4866</v>
      </c>
      <c r="U2489" s="3">
        <v>35</v>
      </c>
      <c r="W2489" s="45" t="str">
        <f>HYPERLINK("http://ictvonline.org/taxonomy/p/taxonomy-history?taxnode_id=201904284","ICTVonline=201904284")</f>
        <v>ICTVonline=201904284</v>
      </c>
      <c r="AA2489" s="1">
        <v>201900000</v>
      </c>
      <c r="AB2489" s="1">
        <v>35</v>
      </c>
    </row>
    <row r="2490" spans="1:28" x14ac:dyDescent="0.2">
      <c r="A2490" s="1">
        <v>6789</v>
      </c>
      <c r="B2490" s="1" t="s">
        <v>10590</v>
      </c>
      <c r="D2490" s="1" t="s">
        <v>10685</v>
      </c>
      <c r="F2490" s="1" t="s">
        <v>11077</v>
      </c>
      <c r="H2490" s="1" t="s">
        <v>11078</v>
      </c>
      <c r="J2490" s="1" t="s">
        <v>11079</v>
      </c>
      <c r="L2490" s="1" t="s">
        <v>5252</v>
      </c>
      <c r="N2490" s="1" t="s">
        <v>5253</v>
      </c>
      <c r="P2490" s="1" t="s">
        <v>5254</v>
      </c>
      <c r="Q2490" s="3">
        <v>1</v>
      </c>
      <c r="R2490" s="23" t="s">
        <v>10605</v>
      </c>
      <c r="S2490" s="23" t="s">
        <v>6844</v>
      </c>
      <c r="T2490" s="23" t="s">
        <v>4866</v>
      </c>
      <c r="U2490" s="3">
        <v>35</v>
      </c>
      <c r="W2490" s="45" t="str">
        <f>HYPERLINK("http://ictvonline.org/taxonomy/p/taxonomy-history?taxnode_id=201905746","ICTVonline=201905746")</f>
        <v>ICTVonline=201905746</v>
      </c>
      <c r="AA2490" s="1">
        <v>201900000</v>
      </c>
      <c r="AB2490" s="1">
        <v>35</v>
      </c>
    </row>
    <row r="2491" spans="1:28" x14ac:dyDescent="0.2">
      <c r="A2491" s="1">
        <v>6793</v>
      </c>
      <c r="B2491" s="1" t="s">
        <v>10590</v>
      </c>
      <c r="D2491" s="1" t="s">
        <v>10685</v>
      </c>
      <c r="F2491" s="1" t="s">
        <v>11077</v>
      </c>
      <c r="H2491" s="1" t="s">
        <v>11078</v>
      </c>
      <c r="J2491" s="1" t="s">
        <v>11079</v>
      </c>
      <c r="L2491" s="1" t="s">
        <v>5252</v>
      </c>
      <c r="N2491" s="1" t="s">
        <v>5255</v>
      </c>
      <c r="P2491" s="1" t="s">
        <v>5256</v>
      </c>
      <c r="Q2491" s="3">
        <v>1</v>
      </c>
      <c r="R2491" s="23" t="s">
        <v>10605</v>
      </c>
      <c r="S2491" s="23" t="s">
        <v>6844</v>
      </c>
      <c r="T2491" s="23" t="s">
        <v>4866</v>
      </c>
      <c r="U2491" s="3">
        <v>35</v>
      </c>
      <c r="W2491" s="45" t="str">
        <f>HYPERLINK("http://ictvonline.org/taxonomy/p/taxonomy-history?taxnode_id=201905748","ICTVonline=201905748")</f>
        <v>ICTVonline=201905748</v>
      </c>
      <c r="AA2491" s="1">
        <v>201900000</v>
      </c>
      <c r="AB2491" s="1">
        <v>35</v>
      </c>
    </row>
    <row r="2492" spans="1:28" x14ac:dyDescent="0.2">
      <c r="A2492" s="1">
        <v>6797</v>
      </c>
      <c r="B2492" s="1" t="s">
        <v>10590</v>
      </c>
      <c r="D2492" s="1" t="s">
        <v>10685</v>
      </c>
      <c r="F2492" s="1" t="s">
        <v>11077</v>
      </c>
      <c r="H2492" s="1" t="s">
        <v>11078</v>
      </c>
      <c r="J2492" s="1" t="s">
        <v>11079</v>
      </c>
      <c r="L2492" s="1" t="s">
        <v>5252</v>
      </c>
      <c r="N2492" s="1" t="s">
        <v>5257</v>
      </c>
      <c r="P2492" s="1" t="s">
        <v>5258</v>
      </c>
      <c r="Q2492" s="3">
        <v>1</v>
      </c>
      <c r="R2492" s="23" t="s">
        <v>10605</v>
      </c>
      <c r="S2492" s="23" t="s">
        <v>6844</v>
      </c>
      <c r="T2492" s="23" t="s">
        <v>4866</v>
      </c>
      <c r="U2492" s="3">
        <v>35</v>
      </c>
      <c r="W2492" s="45" t="str">
        <f>HYPERLINK("http://ictvonline.org/taxonomy/p/taxonomy-history?taxnode_id=201905339","ICTVonline=201905339")</f>
        <v>ICTVonline=201905339</v>
      </c>
      <c r="AA2492" s="1">
        <v>201900000</v>
      </c>
      <c r="AB2492" s="1">
        <v>35</v>
      </c>
    </row>
    <row r="2493" spans="1:28" x14ac:dyDescent="0.2">
      <c r="A2493" s="1">
        <v>6799</v>
      </c>
      <c r="B2493" s="1" t="s">
        <v>10590</v>
      </c>
      <c r="D2493" s="1" t="s">
        <v>10685</v>
      </c>
      <c r="F2493" s="1" t="s">
        <v>11077</v>
      </c>
      <c r="H2493" s="1" t="s">
        <v>11078</v>
      </c>
      <c r="J2493" s="1" t="s">
        <v>11079</v>
      </c>
      <c r="L2493" s="1" t="s">
        <v>5252</v>
      </c>
      <c r="N2493" s="1" t="s">
        <v>5257</v>
      </c>
      <c r="P2493" s="1" t="s">
        <v>5259</v>
      </c>
      <c r="Q2493" s="3">
        <v>0</v>
      </c>
      <c r="R2493" s="23" t="s">
        <v>10605</v>
      </c>
      <c r="S2493" s="23" t="s">
        <v>6844</v>
      </c>
      <c r="T2493" s="23" t="s">
        <v>4866</v>
      </c>
      <c r="U2493" s="3">
        <v>35</v>
      </c>
      <c r="W2493" s="45" t="str">
        <f>HYPERLINK("http://ictvonline.org/taxonomy/p/taxonomy-history?taxnode_id=201905750","ICTVonline=201905750")</f>
        <v>ICTVonline=201905750</v>
      </c>
      <c r="AA2493" s="1">
        <v>201900000</v>
      </c>
      <c r="AB2493" s="1">
        <v>35</v>
      </c>
    </row>
    <row r="2494" spans="1:28" x14ac:dyDescent="0.2">
      <c r="A2494" s="1">
        <v>6801</v>
      </c>
      <c r="B2494" s="1" t="s">
        <v>10590</v>
      </c>
      <c r="D2494" s="1" t="s">
        <v>10685</v>
      </c>
      <c r="F2494" s="1" t="s">
        <v>11077</v>
      </c>
      <c r="H2494" s="1" t="s">
        <v>11078</v>
      </c>
      <c r="J2494" s="1" t="s">
        <v>11079</v>
      </c>
      <c r="L2494" s="1" t="s">
        <v>5252</v>
      </c>
      <c r="N2494" s="1" t="s">
        <v>5257</v>
      </c>
      <c r="P2494" s="1" t="s">
        <v>5260</v>
      </c>
      <c r="Q2494" s="3">
        <v>0</v>
      </c>
      <c r="R2494" s="23" t="s">
        <v>10605</v>
      </c>
      <c r="S2494" s="23" t="s">
        <v>6844</v>
      </c>
      <c r="T2494" s="23" t="s">
        <v>4866</v>
      </c>
      <c r="U2494" s="3">
        <v>35</v>
      </c>
      <c r="W2494" s="45" t="str">
        <f>HYPERLINK("http://ictvonline.org/taxonomy/p/taxonomy-history?taxnode_id=201905751","ICTVonline=201905751")</f>
        <v>ICTVonline=201905751</v>
      </c>
      <c r="AA2494" s="1">
        <v>201900000</v>
      </c>
      <c r="AB2494" s="1">
        <v>35</v>
      </c>
    </row>
    <row r="2495" spans="1:28" x14ac:dyDescent="0.2">
      <c r="A2495" s="1">
        <v>6803</v>
      </c>
      <c r="B2495" s="1" t="s">
        <v>10590</v>
      </c>
      <c r="D2495" s="1" t="s">
        <v>10685</v>
      </c>
      <c r="F2495" s="1" t="s">
        <v>11077</v>
      </c>
      <c r="H2495" s="1" t="s">
        <v>11078</v>
      </c>
      <c r="J2495" s="1" t="s">
        <v>11079</v>
      </c>
      <c r="L2495" s="1" t="s">
        <v>5252</v>
      </c>
      <c r="N2495" s="1" t="s">
        <v>5257</v>
      </c>
      <c r="P2495" s="1" t="s">
        <v>5261</v>
      </c>
      <c r="Q2495" s="3">
        <v>0</v>
      </c>
      <c r="R2495" s="23" t="s">
        <v>10605</v>
      </c>
      <c r="S2495" s="23" t="s">
        <v>6844</v>
      </c>
      <c r="T2495" s="23" t="s">
        <v>4866</v>
      </c>
      <c r="U2495" s="3">
        <v>35</v>
      </c>
      <c r="W2495" s="45" t="str">
        <f>HYPERLINK("http://ictvonline.org/taxonomy/p/taxonomy-history?taxnode_id=201905752","ICTVonline=201905752")</f>
        <v>ICTVonline=201905752</v>
      </c>
      <c r="AA2495" s="1">
        <v>201900000</v>
      </c>
      <c r="AB2495" s="1">
        <v>35</v>
      </c>
    </row>
    <row r="2496" spans="1:28" x14ac:dyDescent="0.2">
      <c r="A2496" s="1">
        <v>6805</v>
      </c>
      <c r="B2496" s="1" t="s">
        <v>10590</v>
      </c>
      <c r="D2496" s="1" t="s">
        <v>10685</v>
      </c>
      <c r="F2496" s="1" t="s">
        <v>11077</v>
      </c>
      <c r="H2496" s="1" t="s">
        <v>11078</v>
      </c>
      <c r="J2496" s="1" t="s">
        <v>11079</v>
      </c>
      <c r="L2496" s="1" t="s">
        <v>5252</v>
      </c>
      <c r="N2496" s="1" t="s">
        <v>5257</v>
      </c>
      <c r="P2496" s="1" t="s">
        <v>5262</v>
      </c>
      <c r="Q2496" s="3">
        <v>0</v>
      </c>
      <c r="R2496" s="23" t="s">
        <v>10605</v>
      </c>
      <c r="S2496" s="23" t="s">
        <v>6844</v>
      </c>
      <c r="T2496" s="23" t="s">
        <v>4866</v>
      </c>
      <c r="U2496" s="3">
        <v>35</v>
      </c>
      <c r="W2496" s="45" t="str">
        <f>HYPERLINK("http://ictvonline.org/taxonomy/p/taxonomy-history?taxnode_id=201905753","ICTVonline=201905753")</f>
        <v>ICTVonline=201905753</v>
      </c>
      <c r="AA2496" s="1">
        <v>201900000</v>
      </c>
      <c r="AB2496" s="1">
        <v>35</v>
      </c>
    </row>
    <row r="2497" spans="1:28" x14ac:dyDescent="0.2">
      <c r="A2497" s="1">
        <v>6807</v>
      </c>
      <c r="B2497" s="1" t="s">
        <v>10590</v>
      </c>
      <c r="D2497" s="1" t="s">
        <v>10685</v>
      </c>
      <c r="F2497" s="1" t="s">
        <v>11077</v>
      </c>
      <c r="H2497" s="1" t="s">
        <v>11078</v>
      </c>
      <c r="J2497" s="1" t="s">
        <v>11079</v>
      </c>
      <c r="L2497" s="1" t="s">
        <v>5252</v>
      </c>
      <c r="N2497" s="1" t="s">
        <v>5257</v>
      </c>
      <c r="P2497" s="1" t="s">
        <v>5263</v>
      </c>
      <c r="Q2497" s="3">
        <v>0</v>
      </c>
      <c r="R2497" s="23" t="s">
        <v>10605</v>
      </c>
      <c r="S2497" s="23" t="s">
        <v>6844</v>
      </c>
      <c r="T2497" s="23" t="s">
        <v>4866</v>
      </c>
      <c r="U2497" s="3">
        <v>35</v>
      </c>
      <c r="W2497" s="45" t="str">
        <f>HYPERLINK("http://ictvonline.org/taxonomy/p/taxonomy-history?taxnode_id=201905754","ICTVonline=201905754")</f>
        <v>ICTVonline=201905754</v>
      </c>
      <c r="AA2497" s="1">
        <v>201900000</v>
      </c>
      <c r="AB2497" s="1">
        <v>35</v>
      </c>
    </row>
    <row r="2498" spans="1:28" x14ac:dyDescent="0.2">
      <c r="A2498" s="1">
        <v>6809</v>
      </c>
      <c r="B2498" s="1" t="s">
        <v>10590</v>
      </c>
      <c r="D2498" s="1" t="s">
        <v>10685</v>
      </c>
      <c r="F2498" s="1" t="s">
        <v>11077</v>
      </c>
      <c r="H2498" s="1" t="s">
        <v>11078</v>
      </c>
      <c r="J2498" s="1" t="s">
        <v>11079</v>
      </c>
      <c r="L2498" s="1" t="s">
        <v>5252</v>
      </c>
      <c r="N2498" s="1" t="s">
        <v>5257</v>
      </c>
      <c r="P2498" s="1" t="s">
        <v>5264</v>
      </c>
      <c r="Q2498" s="3">
        <v>0</v>
      </c>
      <c r="R2498" s="23" t="s">
        <v>10605</v>
      </c>
      <c r="S2498" s="23" t="s">
        <v>6844</v>
      </c>
      <c r="T2498" s="23" t="s">
        <v>4866</v>
      </c>
      <c r="U2498" s="3">
        <v>35</v>
      </c>
      <c r="W2498" s="45" t="str">
        <f>HYPERLINK("http://ictvonline.org/taxonomy/p/taxonomy-history?taxnode_id=201905755","ICTVonline=201905755")</f>
        <v>ICTVonline=201905755</v>
      </c>
      <c r="AA2498" s="1">
        <v>201900000</v>
      </c>
      <c r="AB2498" s="1">
        <v>35</v>
      </c>
    </row>
    <row r="2499" spans="1:28" x14ac:dyDescent="0.2">
      <c r="A2499" s="1">
        <v>6817</v>
      </c>
      <c r="B2499" s="1" t="s">
        <v>10590</v>
      </c>
      <c r="D2499" s="1" t="s">
        <v>10685</v>
      </c>
      <c r="F2499" s="1" t="s">
        <v>11077</v>
      </c>
      <c r="H2499" s="1" t="s">
        <v>11078</v>
      </c>
      <c r="J2499" s="1" t="s">
        <v>11080</v>
      </c>
      <c r="L2499" s="1" t="s">
        <v>755</v>
      </c>
      <c r="N2499" s="1" t="s">
        <v>756</v>
      </c>
      <c r="P2499" s="1" t="s">
        <v>3696</v>
      </c>
      <c r="Q2499" s="3">
        <v>0</v>
      </c>
      <c r="R2499" s="23" t="s">
        <v>10605</v>
      </c>
      <c r="S2499" s="23" t="s">
        <v>6844</v>
      </c>
      <c r="T2499" s="23" t="s">
        <v>4866</v>
      </c>
      <c r="U2499" s="3">
        <v>35</v>
      </c>
      <c r="W2499" s="45" t="str">
        <f>HYPERLINK("http://ictvonline.org/taxonomy/p/taxonomy-history?taxnode_id=201902903","ICTVonline=201902903")</f>
        <v>ICTVonline=201902903</v>
      </c>
      <c r="Y2499" s="1" t="s">
        <v>11081</v>
      </c>
      <c r="Z2499" s="1" t="s">
        <v>11082</v>
      </c>
      <c r="AA2499" s="1">
        <v>201900000</v>
      </c>
      <c r="AB2499" s="1">
        <v>35</v>
      </c>
    </row>
    <row r="2500" spans="1:28" x14ac:dyDescent="0.2">
      <c r="A2500" s="1">
        <v>6819</v>
      </c>
      <c r="B2500" s="1" t="s">
        <v>10590</v>
      </c>
      <c r="D2500" s="1" t="s">
        <v>10685</v>
      </c>
      <c r="F2500" s="1" t="s">
        <v>11077</v>
      </c>
      <c r="H2500" s="1" t="s">
        <v>11078</v>
      </c>
      <c r="J2500" s="1" t="s">
        <v>11080</v>
      </c>
      <c r="L2500" s="1" t="s">
        <v>755</v>
      </c>
      <c r="N2500" s="1" t="s">
        <v>756</v>
      </c>
      <c r="P2500" s="1" t="s">
        <v>4891</v>
      </c>
      <c r="Q2500" s="3">
        <v>0</v>
      </c>
      <c r="R2500" s="23" t="s">
        <v>10605</v>
      </c>
      <c r="S2500" s="23" t="s">
        <v>6844</v>
      </c>
      <c r="T2500" s="23" t="s">
        <v>4866</v>
      </c>
      <c r="U2500" s="3">
        <v>35</v>
      </c>
      <c r="W2500" s="45" t="str">
        <f>HYPERLINK("http://ictvonline.org/taxonomy/p/taxonomy-history?taxnode_id=201902904","ICTVonline=201902904")</f>
        <v>ICTVonline=201902904</v>
      </c>
      <c r="AA2500" s="1">
        <v>201900000</v>
      </c>
      <c r="AB2500" s="1">
        <v>35</v>
      </c>
    </row>
    <row r="2501" spans="1:28" x14ac:dyDescent="0.2">
      <c r="A2501" s="1">
        <v>6821</v>
      </c>
      <c r="B2501" s="1" t="s">
        <v>10590</v>
      </c>
      <c r="D2501" s="1" t="s">
        <v>10685</v>
      </c>
      <c r="F2501" s="1" t="s">
        <v>11077</v>
      </c>
      <c r="H2501" s="1" t="s">
        <v>11078</v>
      </c>
      <c r="J2501" s="1" t="s">
        <v>11080</v>
      </c>
      <c r="L2501" s="1" t="s">
        <v>755</v>
      </c>
      <c r="N2501" s="1" t="s">
        <v>756</v>
      </c>
      <c r="P2501" s="1" t="s">
        <v>4892</v>
      </c>
      <c r="Q2501" s="3">
        <v>0</v>
      </c>
      <c r="R2501" s="23" t="s">
        <v>10605</v>
      </c>
      <c r="S2501" s="23" t="s">
        <v>6844</v>
      </c>
      <c r="T2501" s="23" t="s">
        <v>4866</v>
      </c>
      <c r="U2501" s="3">
        <v>35</v>
      </c>
      <c r="W2501" s="45" t="str">
        <f>HYPERLINK("http://ictvonline.org/taxonomy/p/taxonomy-history?taxnode_id=201902905","ICTVonline=201902905")</f>
        <v>ICTVonline=201902905</v>
      </c>
      <c r="AA2501" s="1">
        <v>201900000</v>
      </c>
      <c r="AB2501" s="1">
        <v>35</v>
      </c>
    </row>
    <row r="2502" spans="1:28" x14ac:dyDescent="0.2">
      <c r="A2502" s="1">
        <v>6823</v>
      </c>
      <c r="B2502" s="1" t="s">
        <v>10590</v>
      </c>
      <c r="D2502" s="1" t="s">
        <v>10685</v>
      </c>
      <c r="F2502" s="1" t="s">
        <v>11077</v>
      </c>
      <c r="H2502" s="1" t="s">
        <v>11078</v>
      </c>
      <c r="J2502" s="1" t="s">
        <v>11080</v>
      </c>
      <c r="L2502" s="1" t="s">
        <v>755</v>
      </c>
      <c r="N2502" s="1" t="s">
        <v>756</v>
      </c>
      <c r="P2502" s="1" t="s">
        <v>4893</v>
      </c>
      <c r="Q2502" s="3">
        <v>0</v>
      </c>
      <c r="R2502" s="23" t="s">
        <v>10605</v>
      </c>
      <c r="S2502" s="23" t="s">
        <v>6844</v>
      </c>
      <c r="T2502" s="23" t="s">
        <v>4866</v>
      </c>
      <c r="U2502" s="3">
        <v>35</v>
      </c>
      <c r="W2502" s="45" t="str">
        <f>HYPERLINK("http://ictvonline.org/taxonomy/p/taxonomy-history?taxnode_id=201902906","ICTVonline=201902906")</f>
        <v>ICTVonline=201902906</v>
      </c>
      <c r="AA2502" s="1">
        <v>201900000</v>
      </c>
      <c r="AB2502" s="1">
        <v>35</v>
      </c>
    </row>
    <row r="2503" spans="1:28" x14ac:dyDescent="0.2">
      <c r="A2503" s="1">
        <v>6825</v>
      </c>
      <c r="B2503" s="1" t="s">
        <v>10590</v>
      </c>
      <c r="D2503" s="1" t="s">
        <v>10685</v>
      </c>
      <c r="F2503" s="1" t="s">
        <v>11077</v>
      </c>
      <c r="H2503" s="1" t="s">
        <v>11078</v>
      </c>
      <c r="J2503" s="1" t="s">
        <v>11080</v>
      </c>
      <c r="L2503" s="1" t="s">
        <v>755</v>
      </c>
      <c r="N2503" s="1" t="s">
        <v>756</v>
      </c>
      <c r="P2503" s="1" t="s">
        <v>4587</v>
      </c>
      <c r="Q2503" s="3">
        <v>0</v>
      </c>
      <c r="R2503" s="23" t="s">
        <v>10605</v>
      </c>
      <c r="S2503" s="23" t="s">
        <v>6844</v>
      </c>
      <c r="T2503" s="23" t="s">
        <v>4866</v>
      </c>
      <c r="U2503" s="3">
        <v>35</v>
      </c>
      <c r="W2503" s="45" t="str">
        <f>HYPERLINK("http://ictvonline.org/taxonomy/p/taxonomy-history?taxnode_id=201902907","ICTVonline=201902907")</f>
        <v>ICTVonline=201902907</v>
      </c>
      <c r="Y2503" s="1" t="s">
        <v>11083</v>
      </c>
      <c r="Z2503" s="1" t="s">
        <v>11084</v>
      </c>
      <c r="AA2503" s="1">
        <v>201900000</v>
      </c>
      <c r="AB2503" s="1">
        <v>35</v>
      </c>
    </row>
    <row r="2504" spans="1:28" x14ac:dyDescent="0.2">
      <c r="A2504" s="1">
        <v>6827</v>
      </c>
      <c r="B2504" s="1" t="s">
        <v>10590</v>
      </c>
      <c r="D2504" s="1" t="s">
        <v>10685</v>
      </c>
      <c r="F2504" s="1" t="s">
        <v>11077</v>
      </c>
      <c r="H2504" s="1" t="s">
        <v>11078</v>
      </c>
      <c r="J2504" s="1" t="s">
        <v>11080</v>
      </c>
      <c r="L2504" s="1" t="s">
        <v>755</v>
      </c>
      <c r="N2504" s="1" t="s">
        <v>756</v>
      </c>
      <c r="P2504" s="1" t="s">
        <v>4588</v>
      </c>
      <c r="Q2504" s="3">
        <v>0</v>
      </c>
      <c r="R2504" s="23" t="s">
        <v>10605</v>
      </c>
      <c r="S2504" s="23" t="s">
        <v>6844</v>
      </c>
      <c r="T2504" s="23" t="s">
        <v>4866</v>
      </c>
      <c r="U2504" s="3">
        <v>35</v>
      </c>
      <c r="W2504" s="45" t="str">
        <f>HYPERLINK("http://ictvonline.org/taxonomy/p/taxonomy-history?taxnode_id=201902908","ICTVonline=201902908")</f>
        <v>ICTVonline=201902908</v>
      </c>
      <c r="Y2504" s="1" t="s">
        <v>11085</v>
      </c>
      <c r="Z2504" s="1" t="s">
        <v>11086</v>
      </c>
      <c r="AA2504" s="1">
        <v>201900000</v>
      </c>
      <c r="AB2504" s="1">
        <v>35</v>
      </c>
    </row>
    <row r="2505" spans="1:28" x14ac:dyDescent="0.2">
      <c r="A2505" s="1">
        <v>6829</v>
      </c>
      <c r="B2505" s="1" t="s">
        <v>10590</v>
      </c>
      <c r="D2505" s="1" t="s">
        <v>10685</v>
      </c>
      <c r="F2505" s="1" t="s">
        <v>11077</v>
      </c>
      <c r="H2505" s="1" t="s">
        <v>11078</v>
      </c>
      <c r="J2505" s="1" t="s">
        <v>11080</v>
      </c>
      <c r="L2505" s="1" t="s">
        <v>755</v>
      </c>
      <c r="N2505" s="1" t="s">
        <v>756</v>
      </c>
      <c r="P2505" s="1" t="s">
        <v>4589</v>
      </c>
      <c r="Q2505" s="3">
        <v>0</v>
      </c>
      <c r="R2505" s="23" t="s">
        <v>10605</v>
      </c>
      <c r="S2505" s="23" t="s">
        <v>6844</v>
      </c>
      <c r="T2505" s="23" t="s">
        <v>4866</v>
      </c>
      <c r="U2505" s="3">
        <v>35</v>
      </c>
      <c r="W2505" s="45" t="str">
        <f>HYPERLINK("http://ictvonline.org/taxonomy/p/taxonomy-history?taxnode_id=201902909","ICTVonline=201902909")</f>
        <v>ICTVonline=201902909</v>
      </c>
      <c r="Y2505" s="1" t="s">
        <v>11087</v>
      </c>
      <c r="Z2505" s="1" t="s">
        <v>11088</v>
      </c>
      <c r="AA2505" s="1">
        <v>201900000</v>
      </c>
      <c r="AB2505" s="1">
        <v>35</v>
      </c>
    </row>
    <row r="2506" spans="1:28" x14ac:dyDescent="0.2">
      <c r="A2506" s="1">
        <v>6831</v>
      </c>
      <c r="B2506" s="1" t="s">
        <v>10590</v>
      </c>
      <c r="D2506" s="1" t="s">
        <v>10685</v>
      </c>
      <c r="F2506" s="1" t="s">
        <v>11077</v>
      </c>
      <c r="H2506" s="1" t="s">
        <v>11078</v>
      </c>
      <c r="J2506" s="1" t="s">
        <v>11080</v>
      </c>
      <c r="L2506" s="1" t="s">
        <v>755</v>
      </c>
      <c r="N2506" s="1" t="s">
        <v>756</v>
      </c>
      <c r="P2506" s="1" t="s">
        <v>4590</v>
      </c>
      <c r="Q2506" s="3">
        <v>0</v>
      </c>
      <c r="R2506" s="23" t="s">
        <v>10605</v>
      </c>
      <c r="S2506" s="23" t="s">
        <v>6844</v>
      </c>
      <c r="T2506" s="23" t="s">
        <v>4866</v>
      </c>
      <c r="U2506" s="3">
        <v>35</v>
      </c>
      <c r="W2506" s="45" t="str">
        <f>HYPERLINK("http://ictvonline.org/taxonomy/p/taxonomy-history?taxnode_id=201902910","ICTVonline=201902910")</f>
        <v>ICTVonline=201902910</v>
      </c>
      <c r="Y2506" s="1" t="s">
        <v>11089</v>
      </c>
      <c r="Z2506" s="1" t="s">
        <v>11090</v>
      </c>
      <c r="AA2506" s="1">
        <v>201900000</v>
      </c>
      <c r="AB2506" s="1">
        <v>35</v>
      </c>
    </row>
    <row r="2507" spans="1:28" x14ac:dyDescent="0.2">
      <c r="A2507" s="1">
        <v>6833</v>
      </c>
      <c r="B2507" s="1" t="s">
        <v>10590</v>
      </c>
      <c r="D2507" s="1" t="s">
        <v>10685</v>
      </c>
      <c r="F2507" s="1" t="s">
        <v>11077</v>
      </c>
      <c r="H2507" s="1" t="s">
        <v>11078</v>
      </c>
      <c r="J2507" s="1" t="s">
        <v>11080</v>
      </c>
      <c r="L2507" s="1" t="s">
        <v>755</v>
      </c>
      <c r="N2507" s="1" t="s">
        <v>756</v>
      </c>
      <c r="P2507" s="1" t="s">
        <v>4591</v>
      </c>
      <c r="Q2507" s="3">
        <v>0</v>
      </c>
      <c r="R2507" s="23" t="s">
        <v>10605</v>
      </c>
      <c r="S2507" s="23" t="s">
        <v>6844</v>
      </c>
      <c r="T2507" s="23" t="s">
        <v>4866</v>
      </c>
      <c r="U2507" s="3">
        <v>35</v>
      </c>
      <c r="W2507" s="45" t="str">
        <f>HYPERLINK("http://ictvonline.org/taxonomy/p/taxonomy-history?taxnode_id=201902911","ICTVonline=201902911")</f>
        <v>ICTVonline=201902911</v>
      </c>
      <c r="Y2507" s="1" t="s">
        <v>11091</v>
      </c>
      <c r="Z2507" s="1" t="s">
        <v>11092</v>
      </c>
      <c r="AA2507" s="1">
        <v>201900000</v>
      </c>
      <c r="AB2507" s="1">
        <v>35</v>
      </c>
    </row>
    <row r="2508" spans="1:28" x14ac:dyDescent="0.2">
      <c r="A2508" s="1">
        <v>6835</v>
      </c>
      <c r="B2508" s="1" t="s">
        <v>10590</v>
      </c>
      <c r="D2508" s="1" t="s">
        <v>10685</v>
      </c>
      <c r="F2508" s="1" t="s">
        <v>11077</v>
      </c>
      <c r="H2508" s="1" t="s">
        <v>11078</v>
      </c>
      <c r="J2508" s="1" t="s">
        <v>11080</v>
      </c>
      <c r="L2508" s="1" t="s">
        <v>755</v>
      </c>
      <c r="N2508" s="1" t="s">
        <v>756</v>
      </c>
      <c r="P2508" s="1" t="s">
        <v>5273</v>
      </c>
      <c r="Q2508" s="3">
        <v>0</v>
      </c>
      <c r="R2508" s="23" t="s">
        <v>10605</v>
      </c>
      <c r="S2508" s="23" t="s">
        <v>6844</v>
      </c>
      <c r="T2508" s="23" t="s">
        <v>4866</v>
      </c>
      <c r="U2508" s="3">
        <v>35</v>
      </c>
      <c r="W2508" s="45" t="str">
        <f>HYPERLINK("http://ictvonline.org/taxonomy/p/taxonomy-history?taxnode_id=201905767","ICTVonline=201905767")</f>
        <v>ICTVonline=201905767</v>
      </c>
      <c r="AA2508" s="1">
        <v>201900000</v>
      </c>
      <c r="AB2508" s="1">
        <v>35</v>
      </c>
    </row>
    <row r="2509" spans="1:28" x14ac:dyDescent="0.2">
      <c r="A2509" s="1">
        <v>6837</v>
      </c>
      <c r="B2509" s="1" t="s">
        <v>10590</v>
      </c>
      <c r="D2509" s="1" t="s">
        <v>10685</v>
      </c>
      <c r="F2509" s="1" t="s">
        <v>11077</v>
      </c>
      <c r="H2509" s="1" t="s">
        <v>11078</v>
      </c>
      <c r="J2509" s="1" t="s">
        <v>11080</v>
      </c>
      <c r="L2509" s="1" t="s">
        <v>755</v>
      </c>
      <c r="N2509" s="1" t="s">
        <v>756</v>
      </c>
      <c r="P2509" s="1" t="s">
        <v>6730</v>
      </c>
      <c r="Q2509" s="3">
        <v>0</v>
      </c>
      <c r="R2509" s="23" t="s">
        <v>10605</v>
      </c>
      <c r="S2509" s="23" t="s">
        <v>6844</v>
      </c>
      <c r="T2509" s="23" t="s">
        <v>4866</v>
      </c>
      <c r="U2509" s="3">
        <v>35</v>
      </c>
      <c r="W2509" s="45" t="str">
        <f>HYPERLINK("http://ictvonline.org/taxonomy/p/taxonomy-history?taxnode_id=201906561","ICTVonline=201906561")</f>
        <v>ICTVonline=201906561</v>
      </c>
      <c r="X2509" s="1" t="s">
        <v>11093</v>
      </c>
      <c r="Y2509" s="1" t="s">
        <v>11094</v>
      </c>
      <c r="Z2509" s="1" t="s">
        <v>11095</v>
      </c>
      <c r="AA2509" s="1">
        <v>201900000</v>
      </c>
      <c r="AB2509" s="1">
        <v>35</v>
      </c>
    </row>
    <row r="2510" spans="1:28" x14ac:dyDescent="0.2">
      <c r="A2510" s="1">
        <v>6839</v>
      </c>
      <c r="B2510" s="1" t="s">
        <v>10590</v>
      </c>
      <c r="D2510" s="1" t="s">
        <v>10685</v>
      </c>
      <c r="F2510" s="1" t="s">
        <v>11077</v>
      </c>
      <c r="H2510" s="1" t="s">
        <v>11078</v>
      </c>
      <c r="J2510" s="1" t="s">
        <v>11080</v>
      </c>
      <c r="L2510" s="1" t="s">
        <v>755</v>
      </c>
      <c r="N2510" s="1" t="s">
        <v>756</v>
      </c>
      <c r="P2510" s="1" t="s">
        <v>6731</v>
      </c>
      <c r="Q2510" s="3">
        <v>0</v>
      </c>
      <c r="R2510" s="23" t="s">
        <v>10605</v>
      </c>
      <c r="S2510" s="23" t="s">
        <v>6844</v>
      </c>
      <c r="T2510" s="23" t="s">
        <v>4866</v>
      </c>
      <c r="U2510" s="3">
        <v>35</v>
      </c>
      <c r="W2510" s="45" t="str">
        <f>HYPERLINK("http://ictvonline.org/taxonomy/p/taxonomy-history?taxnode_id=201906562","ICTVonline=201906562")</f>
        <v>ICTVonline=201906562</v>
      </c>
      <c r="X2510" s="1" t="s">
        <v>11096</v>
      </c>
      <c r="Y2510" s="1" t="s">
        <v>11097</v>
      </c>
      <c r="Z2510" s="1" t="s">
        <v>11098</v>
      </c>
      <c r="AA2510" s="1">
        <v>201900000</v>
      </c>
      <c r="AB2510" s="1">
        <v>35</v>
      </c>
    </row>
    <row r="2511" spans="1:28" x14ac:dyDescent="0.2">
      <c r="A2511" s="1">
        <v>6841</v>
      </c>
      <c r="B2511" s="1" t="s">
        <v>10590</v>
      </c>
      <c r="D2511" s="1" t="s">
        <v>10685</v>
      </c>
      <c r="F2511" s="1" t="s">
        <v>11077</v>
      </c>
      <c r="H2511" s="1" t="s">
        <v>11078</v>
      </c>
      <c r="J2511" s="1" t="s">
        <v>11080</v>
      </c>
      <c r="L2511" s="1" t="s">
        <v>755</v>
      </c>
      <c r="N2511" s="1" t="s">
        <v>756</v>
      </c>
      <c r="P2511" s="1" t="s">
        <v>11099</v>
      </c>
      <c r="Q2511" s="3">
        <v>0</v>
      </c>
      <c r="R2511" s="23" t="s">
        <v>10596</v>
      </c>
      <c r="S2511" s="23" t="s">
        <v>6849</v>
      </c>
      <c r="T2511" s="23" t="s">
        <v>4864</v>
      </c>
      <c r="U2511" s="3">
        <v>35</v>
      </c>
      <c r="V2511" s="3" t="s">
        <v>11100</v>
      </c>
      <c r="W2511" s="45" t="str">
        <f>HYPERLINK("http://ictvonline.org/taxonomy/p/taxonomy-history?taxnode_id=201908676","ICTVonline=201908676")</f>
        <v>ICTVonline=201908676</v>
      </c>
      <c r="X2511" s="1" t="s">
        <v>11101</v>
      </c>
      <c r="Y2511" s="1" t="s">
        <v>11102</v>
      </c>
      <c r="Z2511" s="1" t="s">
        <v>11103</v>
      </c>
      <c r="AA2511" s="1">
        <v>201900000</v>
      </c>
      <c r="AB2511" s="1">
        <v>35</v>
      </c>
    </row>
    <row r="2512" spans="1:28" x14ac:dyDescent="0.2">
      <c r="A2512" s="1">
        <v>6843</v>
      </c>
      <c r="B2512" s="1" t="s">
        <v>10590</v>
      </c>
      <c r="D2512" s="1" t="s">
        <v>10685</v>
      </c>
      <c r="F2512" s="1" t="s">
        <v>11077</v>
      </c>
      <c r="H2512" s="1" t="s">
        <v>11078</v>
      </c>
      <c r="J2512" s="1" t="s">
        <v>11080</v>
      </c>
      <c r="L2512" s="1" t="s">
        <v>755</v>
      </c>
      <c r="N2512" s="1" t="s">
        <v>756</v>
      </c>
      <c r="P2512" s="1" t="s">
        <v>1781</v>
      </c>
      <c r="Q2512" s="3">
        <v>0</v>
      </c>
      <c r="R2512" s="23" t="s">
        <v>10605</v>
      </c>
      <c r="S2512" s="23" t="s">
        <v>6844</v>
      </c>
      <c r="T2512" s="23" t="s">
        <v>4866</v>
      </c>
      <c r="U2512" s="3">
        <v>35</v>
      </c>
      <c r="W2512" s="45" t="str">
        <f>HYPERLINK("http://ictvonline.org/taxonomy/p/taxonomy-history?taxnode_id=201902912","ICTVonline=201902912")</f>
        <v>ICTVonline=201902912</v>
      </c>
      <c r="AA2512" s="1">
        <v>201900000</v>
      </c>
      <c r="AB2512" s="1">
        <v>35</v>
      </c>
    </row>
    <row r="2513" spans="1:28" x14ac:dyDescent="0.2">
      <c r="A2513" s="1">
        <v>6845</v>
      </c>
      <c r="B2513" s="1" t="s">
        <v>10590</v>
      </c>
      <c r="D2513" s="1" t="s">
        <v>10685</v>
      </c>
      <c r="F2513" s="1" t="s">
        <v>11077</v>
      </c>
      <c r="H2513" s="1" t="s">
        <v>11078</v>
      </c>
      <c r="J2513" s="1" t="s">
        <v>11080</v>
      </c>
      <c r="L2513" s="1" t="s">
        <v>755</v>
      </c>
      <c r="N2513" s="1" t="s">
        <v>756</v>
      </c>
      <c r="P2513" s="1" t="s">
        <v>1782</v>
      </c>
      <c r="Q2513" s="3">
        <v>0</v>
      </c>
      <c r="R2513" s="23" t="s">
        <v>10605</v>
      </c>
      <c r="S2513" s="23" t="s">
        <v>6844</v>
      </c>
      <c r="T2513" s="23" t="s">
        <v>4866</v>
      </c>
      <c r="U2513" s="3">
        <v>35</v>
      </c>
      <c r="W2513" s="45" t="str">
        <f>HYPERLINK("http://ictvonline.org/taxonomy/p/taxonomy-history?taxnode_id=201902913","ICTVonline=201902913")</f>
        <v>ICTVonline=201902913</v>
      </c>
      <c r="AA2513" s="1">
        <v>201900000</v>
      </c>
      <c r="AB2513" s="1">
        <v>35</v>
      </c>
    </row>
    <row r="2514" spans="1:28" x14ac:dyDescent="0.2">
      <c r="A2514" s="1">
        <v>6847</v>
      </c>
      <c r="B2514" s="1" t="s">
        <v>10590</v>
      </c>
      <c r="D2514" s="1" t="s">
        <v>10685</v>
      </c>
      <c r="F2514" s="1" t="s">
        <v>11077</v>
      </c>
      <c r="H2514" s="1" t="s">
        <v>11078</v>
      </c>
      <c r="J2514" s="1" t="s">
        <v>11080</v>
      </c>
      <c r="L2514" s="1" t="s">
        <v>755</v>
      </c>
      <c r="N2514" s="1" t="s">
        <v>756</v>
      </c>
      <c r="P2514" s="1" t="s">
        <v>3697</v>
      </c>
      <c r="Q2514" s="3">
        <v>0</v>
      </c>
      <c r="R2514" s="23" t="s">
        <v>10605</v>
      </c>
      <c r="S2514" s="23" t="s">
        <v>6844</v>
      </c>
      <c r="T2514" s="23" t="s">
        <v>4866</v>
      </c>
      <c r="U2514" s="3">
        <v>35</v>
      </c>
      <c r="W2514" s="45" t="str">
        <f>HYPERLINK("http://ictvonline.org/taxonomy/p/taxonomy-history?taxnode_id=201902914","ICTVonline=201902914")</f>
        <v>ICTVonline=201902914</v>
      </c>
      <c r="Y2514" s="1" t="s">
        <v>11104</v>
      </c>
      <c r="Z2514" s="1" t="s">
        <v>11105</v>
      </c>
      <c r="AA2514" s="1">
        <v>201900000</v>
      </c>
      <c r="AB2514" s="1">
        <v>35</v>
      </c>
    </row>
    <row r="2515" spans="1:28" x14ac:dyDescent="0.2">
      <c r="A2515" s="1">
        <v>6849</v>
      </c>
      <c r="B2515" s="1" t="s">
        <v>10590</v>
      </c>
      <c r="D2515" s="1" t="s">
        <v>10685</v>
      </c>
      <c r="F2515" s="1" t="s">
        <v>11077</v>
      </c>
      <c r="H2515" s="1" t="s">
        <v>11078</v>
      </c>
      <c r="J2515" s="1" t="s">
        <v>11080</v>
      </c>
      <c r="L2515" s="1" t="s">
        <v>755</v>
      </c>
      <c r="N2515" s="1" t="s">
        <v>756</v>
      </c>
      <c r="P2515" s="1" t="s">
        <v>4894</v>
      </c>
      <c r="Q2515" s="3">
        <v>0</v>
      </c>
      <c r="R2515" s="23" t="s">
        <v>10605</v>
      </c>
      <c r="S2515" s="23" t="s">
        <v>6844</v>
      </c>
      <c r="T2515" s="23" t="s">
        <v>4866</v>
      </c>
      <c r="U2515" s="3">
        <v>35</v>
      </c>
      <c r="W2515" s="45" t="str">
        <f>HYPERLINK("http://ictvonline.org/taxonomy/p/taxonomy-history?taxnode_id=201902915","ICTVonline=201902915")</f>
        <v>ICTVonline=201902915</v>
      </c>
      <c r="AA2515" s="1">
        <v>201900000</v>
      </c>
      <c r="AB2515" s="1">
        <v>35</v>
      </c>
    </row>
    <row r="2516" spans="1:28" x14ac:dyDescent="0.2">
      <c r="A2516" s="1">
        <v>6851</v>
      </c>
      <c r="B2516" s="1" t="s">
        <v>10590</v>
      </c>
      <c r="D2516" s="1" t="s">
        <v>10685</v>
      </c>
      <c r="F2516" s="1" t="s">
        <v>11077</v>
      </c>
      <c r="H2516" s="1" t="s">
        <v>11078</v>
      </c>
      <c r="J2516" s="1" t="s">
        <v>11080</v>
      </c>
      <c r="L2516" s="1" t="s">
        <v>755</v>
      </c>
      <c r="N2516" s="1" t="s">
        <v>756</v>
      </c>
      <c r="P2516" s="1" t="s">
        <v>11106</v>
      </c>
      <c r="Q2516" s="3">
        <v>0</v>
      </c>
      <c r="R2516" s="23" t="s">
        <v>10596</v>
      </c>
      <c r="S2516" s="23" t="s">
        <v>6849</v>
      </c>
      <c r="T2516" s="23" t="s">
        <v>4864</v>
      </c>
      <c r="U2516" s="3">
        <v>35</v>
      </c>
      <c r="V2516" s="3" t="s">
        <v>11100</v>
      </c>
      <c r="W2516" s="45" t="str">
        <f>HYPERLINK("http://ictvonline.org/taxonomy/p/taxonomy-history?taxnode_id=201908677","ICTVonline=201908677")</f>
        <v>ICTVonline=201908677</v>
      </c>
      <c r="X2516" s="1" t="s">
        <v>11107</v>
      </c>
      <c r="Y2516" s="1" t="s">
        <v>11108</v>
      </c>
      <c r="Z2516" s="1" t="s">
        <v>11109</v>
      </c>
      <c r="AA2516" s="1">
        <v>201900000</v>
      </c>
      <c r="AB2516" s="1">
        <v>35</v>
      </c>
    </row>
    <row r="2517" spans="1:28" x14ac:dyDescent="0.2">
      <c r="A2517" s="1">
        <v>6853</v>
      </c>
      <c r="B2517" s="1" t="s">
        <v>10590</v>
      </c>
      <c r="D2517" s="1" t="s">
        <v>10685</v>
      </c>
      <c r="F2517" s="1" t="s">
        <v>11077</v>
      </c>
      <c r="H2517" s="1" t="s">
        <v>11078</v>
      </c>
      <c r="J2517" s="1" t="s">
        <v>11080</v>
      </c>
      <c r="L2517" s="1" t="s">
        <v>755</v>
      </c>
      <c r="N2517" s="1" t="s">
        <v>756</v>
      </c>
      <c r="P2517" s="1" t="s">
        <v>758</v>
      </c>
      <c r="Q2517" s="3">
        <v>0</v>
      </c>
      <c r="R2517" s="23" t="s">
        <v>10605</v>
      </c>
      <c r="S2517" s="23" t="s">
        <v>6844</v>
      </c>
      <c r="T2517" s="23" t="s">
        <v>4866</v>
      </c>
      <c r="U2517" s="3">
        <v>35</v>
      </c>
      <c r="W2517" s="45" t="str">
        <f>HYPERLINK("http://ictvonline.org/taxonomy/p/taxonomy-history?taxnode_id=201902916","ICTVonline=201902916")</f>
        <v>ICTVonline=201902916</v>
      </c>
      <c r="AA2517" s="1">
        <v>201900000</v>
      </c>
      <c r="AB2517" s="1">
        <v>35</v>
      </c>
    </row>
    <row r="2518" spans="1:28" x14ac:dyDescent="0.2">
      <c r="A2518" s="1">
        <v>6855</v>
      </c>
      <c r="B2518" s="1" t="s">
        <v>10590</v>
      </c>
      <c r="D2518" s="1" t="s">
        <v>10685</v>
      </c>
      <c r="F2518" s="1" t="s">
        <v>11077</v>
      </c>
      <c r="H2518" s="1" t="s">
        <v>11078</v>
      </c>
      <c r="J2518" s="1" t="s">
        <v>11080</v>
      </c>
      <c r="L2518" s="1" t="s">
        <v>755</v>
      </c>
      <c r="N2518" s="1" t="s">
        <v>756</v>
      </c>
      <c r="P2518" s="1" t="s">
        <v>3698</v>
      </c>
      <c r="Q2518" s="3">
        <v>0</v>
      </c>
      <c r="R2518" s="23" t="s">
        <v>10605</v>
      </c>
      <c r="S2518" s="23" t="s">
        <v>6844</v>
      </c>
      <c r="T2518" s="23" t="s">
        <v>4866</v>
      </c>
      <c r="U2518" s="3">
        <v>35</v>
      </c>
      <c r="W2518" s="45" t="str">
        <f>HYPERLINK("http://ictvonline.org/taxonomy/p/taxonomy-history?taxnode_id=201902917","ICTVonline=201902917")</f>
        <v>ICTVonline=201902917</v>
      </c>
      <c r="Y2518" s="1" t="s">
        <v>11110</v>
      </c>
      <c r="Z2518" s="1" t="s">
        <v>11111</v>
      </c>
      <c r="AA2518" s="1">
        <v>201900000</v>
      </c>
      <c r="AB2518" s="1">
        <v>35</v>
      </c>
    </row>
    <row r="2519" spans="1:28" x14ac:dyDescent="0.2">
      <c r="A2519" s="1">
        <v>6857</v>
      </c>
      <c r="B2519" s="1" t="s">
        <v>10590</v>
      </c>
      <c r="D2519" s="1" t="s">
        <v>10685</v>
      </c>
      <c r="F2519" s="1" t="s">
        <v>11077</v>
      </c>
      <c r="H2519" s="1" t="s">
        <v>11078</v>
      </c>
      <c r="J2519" s="1" t="s">
        <v>11080</v>
      </c>
      <c r="L2519" s="1" t="s">
        <v>755</v>
      </c>
      <c r="N2519" s="1" t="s">
        <v>756</v>
      </c>
      <c r="P2519" s="1" t="s">
        <v>1207</v>
      </c>
      <c r="Q2519" s="3">
        <v>0</v>
      </c>
      <c r="R2519" s="23" t="s">
        <v>10605</v>
      </c>
      <c r="S2519" s="23" t="s">
        <v>6844</v>
      </c>
      <c r="T2519" s="23" t="s">
        <v>4866</v>
      </c>
      <c r="U2519" s="3">
        <v>35</v>
      </c>
      <c r="W2519" s="45" t="str">
        <f>HYPERLINK("http://ictvonline.org/taxonomy/p/taxonomy-history?taxnode_id=201902918","ICTVonline=201902918")</f>
        <v>ICTVonline=201902918</v>
      </c>
      <c r="AA2519" s="1">
        <v>201900000</v>
      </c>
      <c r="AB2519" s="1">
        <v>35</v>
      </c>
    </row>
    <row r="2520" spans="1:28" x14ac:dyDescent="0.2">
      <c r="A2520" s="1">
        <v>6859</v>
      </c>
      <c r="B2520" s="1" t="s">
        <v>10590</v>
      </c>
      <c r="D2520" s="1" t="s">
        <v>10685</v>
      </c>
      <c r="F2520" s="1" t="s">
        <v>11077</v>
      </c>
      <c r="H2520" s="1" t="s">
        <v>11078</v>
      </c>
      <c r="J2520" s="1" t="s">
        <v>11080</v>
      </c>
      <c r="L2520" s="1" t="s">
        <v>755</v>
      </c>
      <c r="N2520" s="1" t="s">
        <v>756</v>
      </c>
      <c r="P2520" s="1" t="s">
        <v>1208</v>
      </c>
      <c r="Q2520" s="3">
        <v>0</v>
      </c>
      <c r="R2520" s="23" t="s">
        <v>10605</v>
      </c>
      <c r="S2520" s="23" t="s">
        <v>6844</v>
      </c>
      <c r="T2520" s="23" t="s">
        <v>4866</v>
      </c>
      <c r="U2520" s="3">
        <v>35</v>
      </c>
      <c r="W2520" s="45" t="str">
        <f>HYPERLINK("http://ictvonline.org/taxonomy/p/taxonomy-history?taxnode_id=201902919","ICTVonline=201902919")</f>
        <v>ICTVonline=201902919</v>
      </c>
      <c r="AA2520" s="1">
        <v>201900000</v>
      </c>
      <c r="AB2520" s="1">
        <v>35</v>
      </c>
    </row>
    <row r="2521" spans="1:28" x14ac:dyDescent="0.2">
      <c r="A2521" s="1">
        <v>6861</v>
      </c>
      <c r="B2521" s="1" t="s">
        <v>10590</v>
      </c>
      <c r="D2521" s="1" t="s">
        <v>10685</v>
      </c>
      <c r="F2521" s="1" t="s">
        <v>11077</v>
      </c>
      <c r="H2521" s="1" t="s">
        <v>11078</v>
      </c>
      <c r="J2521" s="1" t="s">
        <v>11080</v>
      </c>
      <c r="L2521" s="1" t="s">
        <v>755</v>
      </c>
      <c r="N2521" s="1" t="s">
        <v>756</v>
      </c>
      <c r="P2521" s="1" t="s">
        <v>1209</v>
      </c>
      <c r="Q2521" s="3">
        <v>0</v>
      </c>
      <c r="R2521" s="23" t="s">
        <v>10605</v>
      </c>
      <c r="S2521" s="23" t="s">
        <v>6844</v>
      </c>
      <c r="T2521" s="23" t="s">
        <v>4866</v>
      </c>
      <c r="U2521" s="3">
        <v>35</v>
      </c>
      <c r="W2521" s="45" t="str">
        <f>HYPERLINK("http://ictvonline.org/taxonomy/p/taxonomy-history?taxnode_id=201902920","ICTVonline=201902920")</f>
        <v>ICTVonline=201902920</v>
      </c>
      <c r="AA2521" s="1">
        <v>201900000</v>
      </c>
      <c r="AB2521" s="1">
        <v>35</v>
      </c>
    </row>
    <row r="2522" spans="1:28" x14ac:dyDescent="0.2">
      <c r="A2522" s="1">
        <v>6863</v>
      </c>
      <c r="B2522" s="1" t="s">
        <v>10590</v>
      </c>
      <c r="D2522" s="1" t="s">
        <v>10685</v>
      </c>
      <c r="F2522" s="1" t="s">
        <v>11077</v>
      </c>
      <c r="H2522" s="1" t="s">
        <v>11078</v>
      </c>
      <c r="J2522" s="1" t="s">
        <v>11080</v>
      </c>
      <c r="L2522" s="1" t="s">
        <v>755</v>
      </c>
      <c r="N2522" s="1" t="s">
        <v>756</v>
      </c>
      <c r="P2522" s="1" t="s">
        <v>4895</v>
      </c>
      <c r="Q2522" s="3">
        <v>0</v>
      </c>
      <c r="R2522" s="23" t="s">
        <v>10605</v>
      </c>
      <c r="S2522" s="23" t="s">
        <v>6844</v>
      </c>
      <c r="T2522" s="23" t="s">
        <v>4866</v>
      </c>
      <c r="U2522" s="3">
        <v>35</v>
      </c>
      <c r="W2522" s="45" t="str">
        <f>HYPERLINK("http://ictvonline.org/taxonomy/p/taxonomy-history?taxnode_id=201902921","ICTVonline=201902921")</f>
        <v>ICTVonline=201902921</v>
      </c>
      <c r="AA2522" s="1">
        <v>201900000</v>
      </c>
      <c r="AB2522" s="1">
        <v>35</v>
      </c>
    </row>
    <row r="2523" spans="1:28" x14ac:dyDescent="0.2">
      <c r="A2523" s="1">
        <v>6865</v>
      </c>
      <c r="B2523" s="1" t="s">
        <v>10590</v>
      </c>
      <c r="D2523" s="1" t="s">
        <v>10685</v>
      </c>
      <c r="F2523" s="1" t="s">
        <v>11077</v>
      </c>
      <c r="H2523" s="1" t="s">
        <v>11078</v>
      </c>
      <c r="J2523" s="1" t="s">
        <v>11080</v>
      </c>
      <c r="L2523" s="1" t="s">
        <v>755</v>
      </c>
      <c r="N2523" s="1" t="s">
        <v>756</v>
      </c>
      <c r="P2523" s="1" t="s">
        <v>3699</v>
      </c>
      <c r="Q2523" s="3">
        <v>0</v>
      </c>
      <c r="R2523" s="23" t="s">
        <v>10605</v>
      </c>
      <c r="S2523" s="23" t="s">
        <v>6844</v>
      </c>
      <c r="T2523" s="23" t="s">
        <v>4866</v>
      </c>
      <c r="U2523" s="3">
        <v>35</v>
      </c>
      <c r="W2523" s="45" t="str">
        <f>HYPERLINK("http://ictvonline.org/taxonomy/p/taxonomy-history?taxnode_id=201902922","ICTVonline=201902922")</f>
        <v>ICTVonline=201902922</v>
      </c>
      <c r="Y2523" s="1" t="s">
        <v>11112</v>
      </c>
      <c r="Z2523" s="1" t="s">
        <v>11113</v>
      </c>
      <c r="AA2523" s="1">
        <v>201900000</v>
      </c>
      <c r="AB2523" s="1">
        <v>35</v>
      </c>
    </row>
    <row r="2524" spans="1:28" x14ac:dyDescent="0.2">
      <c r="A2524" s="1">
        <v>6867</v>
      </c>
      <c r="B2524" s="1" t="s">
        <v>10590</v>
      </c>
      <c r="D2524" s="1" t="s">
        <v>10685</v>
      </c>
      <c r="F2524" s="1" t="s">
        <v>11077</v>
      </c>
      <c r="H2524" s="1" t="s">
        <v>11078</v>
      </c>
      <c r="J2524" s="1" t="s">
        <v>11080</v>
      </c>
      <c r="L2524" s="1" t="s">
        <v>755</v>
      </c>
      <c r="N2524" s="1" t="s">
        <v>756</v>
      </c>
      <c r="P2524" s="1" t="s">
        <v>11114</v>
      </c>
      <c r="Q2524" s="3">
        <v>0</v>
      </c>
      <c r="R2524" s="23" t="s">
        <v>10596</v>
      </c>
      <c r="S2524" s="23" t="s">
        <v>6849</v>
      </c>
      <c r="T2524" s="23" t="s">
        <v>4864</v>
      </c>
      <c r="U2524" s="3">
        <v>35</v>
      </c>
      <c r="V2524" s="3" t="s">
        <v>11100</v>
      </c>
      <c r="W2524" s="45" t="str">
        <f>HYPERLINK("http://ictvonline.org/taxonomy/p/taxonomy-history?taxnode_id=201908679","ICTVonline=201908679")</f>
        <v>ICTVonline=201908679</v>
      </c>
      <c r="X2524" s="1" t="s">
        <v>11115</v>
      </c>
      <c r="Y2524" s="1" t="s">
        <v>11116</v>
      </c>
      <c r="Z2524" s="1" t="s">
        <v>11117</v>
      </c>
      <c r="AA2524" s="1">
        <v>201900000</v>
      </c>
      <c r="AB2524" s="1">
        <v>35</v>
      </c>
    </row>
    <row r="2525" spans="1:28" x14ac:dyDescent="0.2">
      <c r="A2525" s="1">
        <v>6869</v>
      </c>
      <c r="B2525" s="1" t="s">
        <v>10590</v>
      </c>
      <c r="D2525" s="1" t="s">
        <v>10685</v>
      </c>
      <c r="F2525" s="1" t="s">
        <v>11077</v>
      </c>
      <c r="H2525" s="1" t="s">
        <v>11078</v>
      </c>
      <c r="J2525" s="1" t="s">
        <v>11080</v>
      </c>
      <c r="L2525" s="1" t="s">
        <v>755</v>
      </c>
      <c r="N2525" s="1" t="s">
        <v>756</v>
      </c>
      <c r="P2525" s="1" t="s">
        <v>757</v>
      </c>
      <c r="Q2525" s="3">
        <v>0</v>
      </c>
      <c r="R2525" s="23" t="s">
        <v>10605</v>
      </c>
      <c r="S2525" s="23" t="s">
        <v>6844</v>
      </c>
      <c r="T2525" s="23" t="s">
        <v>4866</v>
      </c>
      <c r="U2525" s="3">
        <v>35</v>
      </c>
      <c r="W2525" s="45" t="str">
        <f>HYPERLINK("http://ictvonline.org/taxonomy/p/taxonomy-history?taxnode_id=201902923","ICTVonline=201902923")</f>
        <v>ICTVonline=201902923</v>
      </c>
      <c r="AA2525" s="1">
        <v>201900000</v>
      </c>
      <c r="AB2525" s="1">
        <v>35</v>
      </c>
    </row>
    <row r="2526" spans="1:28" x14ac:dyDescent="0.2">
      <c r="A2526" s="1">
        <v>6871</v>
      </c>
      <c r="B2526" s="1" t="s">
        <v>10590</v>
      </c>
      <c r="D2526" s="1" t="s">
        <v>10685</v>
      </c>
      <c r="F2526" s="1" t="s">
        <v>11077</v>
      </c>
      <c r="H2526" s="1" t="s">
        <v>11078</v>
      </c>
      <c r="J2526" s="1" t="s">
        <v>11080</v>
      </c>
      <c r="L2526" s="1" t="s">
        <v>755</v>
      </c>
      <c r="N2526" s="1" t="s">
        <v>756</v>
      </c>
      <c r="P2526" s="1" t="s">
        <v>3700</v>
      </c>
      <c r="Q2526" s="3">
        <v>1</v>
      </c>
      <c r="R2526" s="23" t="s">
        <v>10605</v>
      </c>
      <c r="S2526" s="23" t="s">
        <v>6844</v>
      </c>
      <c r="T2526" s="23" t="s">
        <v>4866</v>
      </c>
      <c r="U2526" s="3">
        <v>35</v>
      </c>
      <c r="W2526" s="45" t="str">
        <f>HYPERLINK("http://ictvonline.org/taxonomy/p/taxonomy-history?taxnode_id=201902924","ICTVonline=201902924")</f>
        <v>ICTVonline=201902924</v>
      </c>
      <c r="AA2526" s="1">
        <v>201900000</v>
      </c>
      <c r="AB2526" s="1">
        <v>35</v>
      </c>
    </row>
    <row r="2527" spans="1:28" x14ac:dyDescent="0.2">
      <c r="A2527" s="1">
        <v>6873</v>
      </c>
      <c r="B2527" s="1" t="s">
        <v>10590</v>
      </c>
      <c r="D2527" s="1" t="s">
        <v>10685</v>
      </c>
      <c r="F2527" s="1" t="s">
        <v>11077</v>
      </c>
      <c r="H2527" s="1" t="s">
        <v>11078</v>
      </c>
      <c r="J2527" s="1" t="s">
        <v>11080</v>
      </c>
      <c r="L2527" s="1" t="s">
        <v>755</v>
      </c>
      <c r="N2527" s="1" t="s">
        <v>756</v>
      </c>
      <c r="P2527" s="1" t="s">
        <v>3701</v>
      </c>
      <c r="Q2527" s="3">
        <v>0</v>
      </c>
      <c r="R2527" s="23" t="s">
        <v>10605</v>
      </c>
      <c r="S2527" s="23" t="s">
        <v>6844</v>
      </c>
      <c r="T2527" s="23" t="s">
        <v>4866</v>
      </c>
      <c r="U2527" s="3">
        <v>35</v>
      </c>
      <c r="W2527" s="45" t="str">
        <f>HYPERLINK("http://ictvonline.org/taxonomy/p/taxonomy-history?taxnode_id=201902925","ICTVonline=201902925")</f>
        <v>ICTVonline=201902925</v>
      </c>
      <c r="AA2527" s="1">
        <v>201900000</v>
      </c>
      <c r="AB2527" s="1">
        <v>35</v>
      </c>
    </row>
    <row r="2528" spans="1:28" x14ac:dyDescent="0.2">
      <c r="A2528" s="1">
        <v>6875</v>
      </c>
      <c r="B2528" s="1" t="s">
        <v>10590</v>
      </c>
      <c r="D2528" s="1" t="s">
        <v>10685</v>
      </c>
      <c r="F2528" s="1" t="s">
        <v>11077</v>
      </c>
      <c r="H2528" s="1" t="s">
        <v>11078</v>
      </c>
      <c r="J2528" s="1" t="s">
        <v>11080</v>
      </c>
      <c r="L2528" s="1" t="s">
        <v>755</v>
      </c>
      <c r="N2528" s="1" t="s">
        <v>756</v>
      </c>
      <c r="P2528" s="1" t="s">
        <v>5274</v>
      </c>
      <c r="Q2528" s="3">
        <v>0</v>
      </c>
      <c r="R2528" s="23" t="s">
        <v>10605</v>
      </c>
      <c r="S2528" s="23" t="s">
        <v>6844</v>
      </c>
      <c r="T2528" s="23" t="s">
        <v>4866</v>
      </c>
      <c r="U2528" s="3">
        <v>35</v>
      </c>
      <c r="W2528" s="45" t="str">
        <f>HYPERLINK("http://ictvonline.org/taxonomy/p/taxonomy-history?taxnode_id=201905768","ICTVonline=201905768")</f>
        <v>ICTVonline=201905768</v>
      </c>
      <c r="AA2528" s="1">
        <v>201900000</v>
      </c>
      <c r="AB2528" s="1">
        <v>35</v>
      </c>
    </row>
    <row r="2529" spans="1:28" x14ac:dyDescent="0.2">
      <c r="A2529" s="1">
        <v>6877</v>
      </c>
      <c r="B2529" s="1" t="s">
        <v>10590</v>
      </c>
      <c r="D2529" s="1" t="s">
        <v>10685</v>
      </c>
      <c r="F2529" s="1" t="s">
        <v>11077</v>
      </c>
      <c r="H2529" s="1" t="s">
        <v>11078</v>
      </c>
      <c r="J2529" s="1" t="s">
        <v>11080</v>
      </c>
      <c r="L2529" s="1" t="s">
        <v>755</v>
      </c>
      <c r="N2529" s="1" t="s">
        <v>756</v>
      </c>
      <c r="P2529" s="1" t="s">
        <v>3702</v>
      </c>
      <c r="Q2529" s="3">
        <v>0</v>
      </c>
      <c r="R2529" s="23" t="s">
        <v>10605</v>
      </c>
      <c r="S2529" s="23" t="s">
        <v>6844</v>
      </c>
      <c r="T2529" s="23" t="s">
        <v>4866</v>
      </c>
      <c r="U2529" s="3">
        <v>35</v>
      </c>
      <c r="W2529" s="45" t="str">
        <f>HYPERLINK("http://ictvonline.org/taxonomy/p/taxonomy-history?taxnode_id=201902926","ICTVonline=201902926")</f>
        <v>ICTVonline=201902926</v>
      </c>
      <c r="Y2529" s="1" t="s">
        <v>11118</v>
      </c>
      <c r="Z2529" s="1" t="s">
        <v>11119</v>
      </c>
      <c r="AA2529" s="1">
        <v>201900000</v>
      </c>
      <c r="AB2529" s="1">
        <v>35</v>
      </c>
    </row>
    <row r="2530" spans="1:28" x14ac:dyDescent="0.2">
      <c r="A2530" s="1">
        <v>6879</v>
      </c>
      <c r="B2530" s="1" t="s">
        <v>10590</v>
      </c>
      <c r="D2530" s="1" t="s">
        <v>10685</v>
      </c>
      <c r="F2530" s="1" t="s">
        <v>11077</v>
      </c>
      <c r="H2530" s="1" t="s">
        <v>11078</v>
      </c>
      <c r="J2530" s="1" t="s">
        <v>11080</v>
      </c>
      <c r="L2530" s="1" t="s">
        <v>755</v>
      </c>
      <c r="N2530" s="1" t="s">
        <v>756</v>
      </c>
      <c r="P2530" s="1" t="s">
        <v>6732</v>
      </c>
      <c r="Q2530" s="3">
        <v>0</v>
      </c>
      <c r="R2530" s="23" t="s">
        <v>10605</v>
      </c>
      <c r="S2530" s="23" t="s">
        <v>6844</v>
      </c>
      <c r="T2530" s="23" t="s">
        <v>4866</v>
      </c>
      <c r="U2530" s="3">
        <v>35</v>
      </c>
      <c r="W2530" s="45" t="str">
        <f>HYPERLINK("http://ictvonline.org/taxonomy/p/taxonomy-history?taxnode_id=201906563","ICTVonline=201906563")</f>
        <v>ICTVonline=201906563</v>
      </c>
      <c r="X2530" s="1" t="s">
        <v>11120</v>
      </c>
      <c r="Y2530" s="1" t="s">
        <v>11121</v>
      </c>
      <c r="Z2530" s="1" t="s">
        <v>11122</v>
      </c>
      <c r="AA2530" s="1">
        <v>201900000</v>
      </c>
      <c r="AB2530" s="1">
        <v>35</v>
      </c>
    </row>
    <row r="2531" spans="1:28" x14ac:dyDescent="0.2">
      <c r="A2531" s="1">
        <v>6881</v>
      </c>
      <c r="B2531" s="1" t="s">
        <v>10590</v>
      </c>
      <c r="D2531" s="1" t="s">
        <v>10685</v>
      </c>
      <c r="F2531" s="1" t="s">
        <v>11077</v>
      </c>
      <c r="H2531" s="1" t="s">
        <v>11078</v>
      </c>
      <c r="J2531" s="1" t="s">
        <v>11080</v>
      </c>
      <c r="L2531" s="1" t="s">
        <v>755</v>
      </c>
      <c r="N2531" s="1" t="s">
        <v>756</v>
      </c>
      <c r="P2531" s="1" t="s">
        <v>6733</v>
      </c>
      <c r="Q2531" s="3">
        <v>0</v>
      </c>
      <c r="R2531" s="23" t="s">
        <v>10605</v>
      </c>
      <c r="S2531" s="23" t="s">
        <v>6844</v>
      </c>
      <c r="T2531" s="23" t="s">
        <v>4866</v>
      </c>
      <c r="U2531" s="3">
        <v>35</v>
      </c>
      <c r="W2531" s="45" t="str">
        <f>HYPERLINK("http://ictvonline.org/taxonomy/p/taxonomy-history?taxnode_id=201906564","ICTVonline=201906564")</f>
        <v>ICTVonline=201906564</v>
      </c>
      <c r="X2531" s="1" t="s">
        <v>11123</v>
      </c>
      <c r="Y2531" s="1" t="s">
        <v>11124</v>
      </c>
      <c r="Z2531" s="1" t="s">
        <v>11125</v>
      </c>
      <c r="AA2531" s="1">
        <v>201900000</v>
      </c>
      <c r="AB2531" s="1">
        <v>35</v>
      </c>
    </row>
    <row r="2532" spans="1:28" x14ac:dyDescent="0.2">
      <c r="A2532" s="1">
        <v>6883</v>
      </c>
      <c r="B2532" s="1" t="s">
        <v>10590</v>
      </c>
      <c r="D2532" s="1" t="s">
        <v>10685</v>
      </c>
      <c r="F2532" s="1" t="s">
        <v>11077</v>
      </c>
      <c r="H2532" s="1" t="s">
        <v>11078</v>
      </c>
      <c r="J2532" s="1" t="s">
        <v>11080</v>
      </c>
      <c r="L2532" s="1" t="s">
        <v>755</v>
      </c>
      <c r="N2532" s="1" t="s">
        <v>756</v>
      </c>
      <c r="P2532" s="1" t="s">
        <v>6734</v>
      </c>
      <c r="Q2532" s="3">
        <v>0</v>
      </c>
      <c r="R2532" s="23" t="s">
        <v>10605</v>
      </c>
      <c r="S2532" s="23" t="s">
        <v>6844</v>
      </c>
      <c r="T2532" s="23" t="s">
        <v>4866</v>
      </c>
      <c r="U2532" s="3">
        <v>35</v>
      </c>
      <c r="W2532" s="45" t="str">
        <f>HYPERLINK("http://ictvonline.org/taxonomy/p/taxonomy-history?taxnode_id=201906565","ICTVonline=201906565")</f>
        <v>ICTVonline=201906565</v>
      </c>
      <c r="X2532" s="1" t="s">
        <v>11126</v>
      </c>
      <c r="Y2532" s="1" t="s">
        <v>11127</v>
      </c>
      <c r="Z2532" s="1" t="s">
        <v>11128</v>
      </c>
      <c r="AA2532" s="1">
        <v>201900000</v>
      </c>
      <c r="AB2532" s="1">
        <v>35</v>
      </c>
    </row>
    <row r="2533" spans="1:28" x14ac:dyDescent="0.2">
      <c r="A2533" s="1">
        <v>6885</v>
      </c>
      <c r="B2533" s="1" t="s">
        <v>10590</v>
      </c>
      <c r="D2533" s="1" t="s">
        <v>10685</v>
      </c>
      <c r="F2533" s="1" t="s">
        <v>11077</v>
      </c>
      <c r="H2533" s="1" t="s">
        <v>11078</v>
      </c>
      <c r="J2533" s="1" t="s">
        <v>11080</v>
      </c>
      <c r="L2533" s="1" t="s">
        <v>755</v>
      </c>
      <c r="N2533" s="1" t="s">
        <v>756</v>
      </c>
      <c r="P2533" s="1" t="s">
        <v>6735</v>
      </c>
      <c r="Q2533" s="3">
        <v>0</v>
      </c>
      <c r="R2533" s="23" t="s">
        <v>10605</v>
      </c>
      <c r="S2533" s="23" t="s">
        <v>6844</v>
      </c>
      <c r="T2533" s="23" t="s">
        <v>4866</v>
      </c>
      <c r="U2533" s="3">
        <v>35</v>
      </c>
      <c r="W2533" s="45" t="str">
        <f>HYPERLINK("http://ictvonline.org/taxonomy/p/taxonomy-history?taxnode_id=201906566","ICTVonline=201906566")</f>
        <v>ICTVonline=201906566</v>
      </c>
      <c r="X2533" s="1" t="s">
        <v>11129</v>
      </c>
      <c r="Y2533" s="1" t="s">
        <v>11130</v>
      </c>
      <c r="Z2533" s="1" t="s">
        <v>11131</v>
      </c>
      <c r="AA2533" s="1">
        <v>201900000</v>
      </c>
      <c r="AB2533" s="1">
        <v>35</v>
      </c>
    </row>
    <row r="2534" spans="1:28" x14ac:dyDescent="0.2">
      <c r="A2534" s="1">
        <v>6887</v>
      </c>
      <c r="B2534" s="1" t="s">
        <v>10590</v>
      </c>
      <c r="D2534" s="1" t="s">
        <v>10685</v>
      </c>
      <c r="F2534" s="1" t="s">
        <v>11077</v>
      </c>
      <c r="H2534" s="1" t="s">
        <v>11078</v>
      </c>
      <c r="J2534" s="1" t="s">
        <v>11080</v>
      </c>
      <c r="L2534" s="1" t="s">
        <v>755</v>
      </c>
      <c r="N2534" s="1" t="s">
        <v>756</v>
      </c>
      <c r="P2534" s="1" t="s">
        <v>6736</v>
      </c>
      <c r="Q2534" s="3">
        <v>0</v>
      </c>
      <c r="R2534" s="23" t="s">
        <v>10605</v>
      </c>
      <c r="S2534" s="23" t="s">
        <v>6844</v>
      </c>
      <c r="T2534" s="23" t="s">
        <v>4866</v>
      </c>
      <c r="U2534" s="3">
        <v>35</v>
      </c>
      <c r="W2534" s="45" t="str">
        <f>HYPERLINK("http://ictvonline.org/taxonomy/p/taxonomy-history?taxnode_id=201906567","ICTVonline=201906567")</f>
        <v>ICTVonline=201906567</v>
      </c>
      <c r="X2534" s="1" t="s">
        <v>11132</v>
      </c>
      <c r="Y2534" s="1" t="s">
        <v>11133</v>
      </c>
      <c r="Z2534" s="1" t="s">
        <v>11134</v>
      </c>
      <c r="AA2534" s="1">
        <v>201900000</v>
      </c>
      <c r="AB2534" s="1">
        <v>35</v>
      </c>
    </row>
    <row r="2535" spans="1:28" x14ac:dyDescent="0.2">
      <c r="A2535" s="1">
        <v>6889</v>
      </c>
      <c r="B2535" s="1" t="s">
        <v>10590</v>
      </c>
      <c r="D2535" s="1" t="s">
        <v>10685</v>
      </c>
      <c r="F2535" s="1" t="s">
        <v>11077</v>
      </c>
      <c r="H2535" s="1" t="s">
        <v>11078</v>
      </c>
      <c r="J2535" s="1" t="s">
        <v>11080</v>
      </c>
      <c r="L2535" s="1" t="s">
        <v>755</v>
      </c>
      <c r="N2535" s="1" t="s">
        <v>756</v>
      </c>
      <c r="P2535" s="1" t="s">
        <v>6737</v>
      </c>
      <c r="Q2535" s="3">
        <v>0</v>
      </c>
      <c r="R2535" s="23" t="s">
        <v>10605</v>
      </c>
      <c r="S2535" s="23" t="s">
        <v>6844</v>
      </c>
      <c r="T2535" s="23" t="s">
        <v>4866</v>
      </c>
      <c r="U2535" s="3">
        <v>35</v>
      </c>
      <c r="W2535" s="45" t="str">
        <f>HYPERLINK("http://ictvonline.org/taxonomy/p/taxonomy-history?taxnode_id=201906568","ICTVonline=201906568")</f>
        <v>ICTVonline=201906568</v>
      </c>
      <c r="X2535" s="1" t="s">
        <v>11135</v>
      </c>
      <c r="Y2535" s="1" t="s">
        <v>11136</v>
      </c>
      <c r="Z2535" s="1" t="s">
        <v>11137</v>
      </c>
      <c r="AA2535" s="1">
        <v>201900000</v>
      </c>
      <c r="AB2535" s="1">
        <v>35</v>
      </c>
    </row>
    <row r="2536" spans="1:28" x14ac:dyDescent="0.2">
      <c r="A2536" s="1">
        <v>6891</v>
      </c>
      <c r="B2536" s="1" t="s">
        <v>10590</v>
      </c>
      <c r="D2536" s="1" t="s">
        <v>10685</v>
      </c>
      <c r="F2536" s="1" t="s">
        <v>11077</v>
      </c>
      <c r="H2536" s="1" t="s">
        <v>11078</v>
      </c>
      <c r="J2536" s="1" t="s">
        <v>11080</v>
      </c>
      <c r="L2536" s="1" t="s">
        <v>755</v>
      </c>
      <c r="N2536" s="1" t="s">
        <v>756</v>
      </c>
      <c r="P2536" s="1" t="s">
        <v>11138</v>
      </c>
      <c r="Q2536" s="3">
        <v>0</v>
      </c>
      <c r="R2536" s="23" t="s">
        <v>10596</v>
      </c>
      <c r="S2536" s="23" t="s">
        <v>6849</v>
      </c>
      <c r="T2536" s="23" t="s">
        <v>4864</v>
      </c>
      <c r="U2536" s="3">
        <v>35</v>
      </c>
      <c r="V2536" s="3" t="s">
        <v>11100</v>
      </c>
      <c r="W2536" s="45" t="str">
        <f>HYPERLINK("http://ictvonline.org/taxonomy/p/taxonomy-history?taxnode_id=201908678","ICTVonline=201908678")</f>
        <v>ICTVonline=201908678</v>
      </c>
      <c r="X2536" s="1" t="s">
        <v>11139</v>
      </c>
      <c r="Y2536" s="1" t="s">
        <v>11140</v>
      </c>
      <c r="Z2536" s="1" t="s">
        <v>11141</v>
      </c>
      <c r="AA2536" s="1">
        <v>201900000</v>
      </c>
      <c r="AB2536" s="1">
        <v>35</v>
      </c>
    </row>
    <row r="2537" spans="1:28" x14ac:dyDescent="0.2">
      <c r="A2537" s="1">
        <v>6893</v>
      </c>
      <c r="B2537" s="1" t="s">
        <v>10590</v>
      </c>
      <c r="D2537" s="1" t="s">
        <v>10685</v>
      </c>
      <c r="F2537" s="1" t="s">
        <v>11077</v>
      </c>
      <c r="H2537" s="1" t="s">
        <v>11078</v>
      </c>
      <c r="J2537" s="1" t="s">
        <v>11080</v>
      </c>
      <c r="L2537" s="1" t="s">
        <v>755</v>
      </c>
      <c r="N2537" s="1" t="s">
        <v>756</v>
      </c>
      <c r="P2537" s="1" t="s">
        <v>1944</v>
      </c>
      <c r="Q2537" s="3">
        <v>0</v>
      </c>
      <c r="R2537" s="23" t="s">
        <v>10605</v>
      </c>
      <c r="S2537" s="23" t="s">
        <v>6844</v>
      </c>
      <c r="T2537" s="23" t="s">
        <v>4866</v>
      </c>
      <c r="U2537" s="3">
        <v>35</v>
      </c>
      <c r="W2537" s="45" t="str">
        <f>HYPERLINK("http://ictvonline.org/taxonomy/p/taxonomy-history?taxnode_id=201902927","ICTVonline=201902927")</f>
        <v>ICTVonline=201902927</v>
      </c>
      <c r="AA2537" s="1">
        <v>201900000</v>
      </c>
      <c r="AB2537" s="1">
        <v>35</v>
      </c>
    </row>
    <row r="2538" spans="1:28" x14ac:dyDescent="0.2">
      <c r="A2538" s="1">
        <v>6895</v>
      </c>
      <c r="B2538" s="1" t="s">
        <v>10590</v>
      </c>
      <c r="D2538" s="1" t="s">
        <v>10685</v>
      </c>
      <c r="F2538" s="1" t="s">
        <v>11077</v>
      </c>
      <c r="H2538" s="1" t="s">
        <v>11078</v>
      </c>
      <c r="J2538" s="1" t="s">
        <v>11080</v>
      </c>
      <c r="L2538" s="1" t="s">
        <v>755</v>
      </c>
      <c r="N2538" s="1" t="s">
        <v>756</v>
      </c>
      <c r="P2538" s="1" t="s">
        <v>1827</v>
      </c>
      <c r="Q2538" s="3">
        <v>0</v>
      </c>
      <c r="R2538" s="23" t="s">
        <v>10605</v>
      </c>
      <c r="S2538" s="23" t="s">
        <v>6844</v>
      </c>
      <c r="T2538" s="23" t="s">
        <v>4866</v>
      </c>
      <c r="U2538" s="3">
        <v>35</v>
      </c>
      <c r="W2538" s="45" t="str">
        <f>HYPERLINK("http://ictvonline.org/taxonomy/p/taxonomy-history?taxnode_id=201902928","ICTVonline=201902928")</f>
        <v>ICTVonline=201902928</v>
      </c>
      <c r="AA2538" s="1">
        <v>201900000</v>
      </c>
      <c r="AB2538" s="1">
        <v>35</v>
      </c>
    </row>
    <row r="2539" spans="1:28" x14ac:dyDescent="0.2">
      <c r="A2539" s="1">
        <v>6897</v>
      </c>
      <c r="B2539" s="1" t="s">
        <v>10590</v>
      </c>
      <c r="D2539" s="1" t="s">
        <v>10685</v>
      </c>
      <c r="F2539" s="1" t="s">
        <v>11077</v>
      </c>
      <c r="H2539" s="1" t="s">
        <v>11078</v>
      </c>
      <c r="J2539" s="1" t="s">
        <v>11080</v>
      </c>
      <c r="L2539" s="1" t="s">
        <v>755</v>
      </c>
      <c r="N2539" s="1" t="s">
        <v>756</v>
      </c>
      <c r="P2539" s="1" t="s">
        <v>6738</v>
      </c>
      <c r="Q2539" s="3">
        <v>0</v>
      </c>
      <c r="R2539" s="23" t="s">
        <v>10605</v>
      </c>
      <c r="S2539" s="23" t="s">
        <v>6844</v>
      </c>
      <c r="T2539" s="23" t="s">
        <v>4866</v>
      </c>
      <c r="U2539" s="3">
        <v>35</v>
      </c>
      <c r="W2539" s="45" t="str">
        <f>HYPERLINK("http://ictvonline.org/taxonomy/p/taxonomy-history?taxnode_id=201906569","ICTVonline=201906569")</f>
        <v>ICTVonline=201906569</v>
      </c>
      <c r="X2539" s="1" t="s">
        <v>11142</v>
      </c>
      <c r="Y2539" s="1" t="s">
        <v>11143</v>
      </c>
      <c r="Z2539" s="1" t="s">
        <v>11144</v>
      </c>
      <c r="AA2539" s="1">
        <v>201900000</v>
      </c>
      <c r="AB2539" s="1">
        <v>35</v>
      </c>
    </row>
    <row r="2540" spans="1:28" x14ac:dyDescent="0.2">
      <c r="A2540" s="1">
        <v>6899</v>
      </c>
      <c r="B2540" s="1" t="s">
        <v>10590</v>
      </c>
      <c r="D2540" s="1" t="s">
        <v>10685</v>
      </c>
      <c r="F2540" s="1" t="s">
        <v>11077</v>
      </c>
      <c r="H2540" s="1" t="s">
        <v>11078</v>
      </c>
      <c r="J2540" s="1" t="s">
        <v>11080</v>
      </c>
      <c r="L2540" s="1" t="s">
        <v>755</v>
      </c>
      <c r="N2540" s="1" t="s">
        <v>756</v>
      </c>
      <c r="P2540" s="1" t="s">
        <v>6739</v>
      </c>
      <c r="Q2540" s="3">
        <v>0</v>
      </c>
      <c r="R2540" s="23" t="s">
        <v>10605</v>
      </c>
      <c r="S2540" s="23" t="s">
        <v>6844</v>
      </c>
      <c r="T2540" s="23" t="s">
        <v>4866</v>
      </c>
      <c r="U2540" s="3">
        <v>35</v>
      </c>
      <c r="W2540" s="45" t="str">
        <f>HYPERLINK("http://ictvonline.org/taxonomy/p/taxonomy-history?taxnode_id=201906570","ICTVonline=201906570")</f>
        <v>ICTVonline=201906570</v>
      </c>
      <c r="X2540" s="1" t="s">
        <v>11145</v>
      </c>
      <c r="Y2540" s="1" t="s">
        <v>11146</v>
      </c>
      <c r="Z2540" s="1" t="s">
        <v>11147</v>
      </c>
      <c r="AA2540" s="1">
        <v>201900000</v>
      </c>
      <c r="AB2540" s="1">
        <v>35</v>
      </c>
    </row>
    <row r="2541" spans="1:28" x14ac:dyDescent="0.2">
      <c r="A2541" s="1">
        <v>6901</v>
      </c>
      <c r="B2541" s="1" t="s">
        <v>10590</v>
      </c>
      <c r="D2541" s="1" t="s">
        <v>10685</v>
      </c>
      <c r="F2541" s="1" t="s">
        <v>11077</v>
      </c>
      <c r="H2541" s="1" t="s">
        <v>11078</v>
      </c>
      <c r="J2541" s="1" t="s">
        <v>11080</v>
      </c>
      <c r="L2541" s="1" t="s">
        <v>755</v>
      </c>
      <c r="N2541" s="1" t="s">
        <v>756</v>
      </c>
      <c r="P2541" s="1" t="s">
        <v>3703</v>
      </c>
      <c r="Q2541" s="3">
        <v>0</v>
      </c>
      <c r="R2541" s="23" t="s">
        <v>10605</v>
      </c>
      <c r="S2541" s="23" t="s">
        <v>6844</v>
      </c>
      <c r="T2541" s="23" t="s">
        <v>4866</v>
      </c>
      <c r="U2541" s="3">
        <v>35</v>
      </c>
      <c r="W2541" s="45" t="str">
        <f>HYPERLINK("http://ictvonline.org/taxonomy/p/taxonomy-history?taxnode_id=201902929","ICTVonline=201902929")</f>
        <v>ICTVonline=201902929</v>
      </c>
      <c r="Y2541" s="1" t="s">
        <v>11148</v>
      </c>
      <c r="Z2541" s="1" t="s">
        <v>11149</v>
      </c>
      <c r="AA2541" s="1">
        <v>201900000</v>
      </c>
      <c r="AB2541" s="1">
        <v>35</v>
      </c>
    </row>
    <row r="2542" spans="1:28" x14ac:dyDescent="0.2">
      <c r="A2542" s="1">
        <v>6905</v>
      </c>
      <c r="B2542" s="1" t="s">
        <v>10590</v>
      </c>
      <c r="D2542" s="1" t="s">
        <v>10685</v>
      </c>
      <c r="F2542" s="1" t="s">
        <v>11077</v>
      </c>
      <c r="H2542" s="1" t="s">
        <v>11078</v>
      </c>
      <c r="J2542" s="1" t="s">
        <v>11080</v>
      </c>
      <c r="L2542" s="1" t="s">
        <v>755</v>
      </c>
      <c r="N2542" s="1" t="s">
        <v>3704</v>
      </c>
      <c r="P2542" s="1" t="s">
        <v>11150</v>
      </c>
      <c r="Q2542" s="3">
        <v>0</v>
      </c>
      <c r="R2542" s="23" t="s">
        <v>10930</v>
      </c>
      <c r="S2542" s="23" t="s">
        <v>6849</v>
      </c>
      <c r="T2542" s="23" t="s">
        <v>4864</v>
      </c>
      <c r="U2542" s="3">
        <v>35</v>
      </c>
      <c r="V2542" s="3" t="s">
        <v>11100</v>
      </c>
      <c r="W2542" s="45" t="str">
        <f>HYPERLINK("http://ictvonline.org/taxonomy/p/taxonomy-history?taxnode_id=201908681","ICTVonline=201908681")</f>
        <v>ICTVonline=201908681</v>
      </c>
      <c r="X2542" s="1" t="s">
        <v>11151</v>
      </c>
      <c r="Y2542" s="1" t="s">
        <v>11152</v>
      </c>
      <c r="Z2542" s="1" t="s">
        <v>11153</v>
      </c>
      <c r="AA2542" s="1">
        <v>201900000</v>
      </c>
      <c r="AB2542" s="1">
        <v>35</v>
      </c>
    </row>
    <row r="2543" spans="1:28" x14ac:dyDescent="0.2">
      <c r="A2543" s="1">
        <v>6907</v>
      </c>
      <c r="B2543" s="1" t="s">
        <v>10590</v>
      </c>
      <c r="D2543" s="1" t="s">
        <v>10685</v>
      </c>
      <c r="F2543" s="1" t="s">
        <v>11077</v>
      </c>
      <c r="H2543" s="1" t="s">
        <v>11078</v>
      </c>
      <c r="J2543" s="1" t="s">
        <v>11080</v>
      </c>
      <c r="L2543" s="1" t="s">
        <v>755</v>
      </c>
      <c r="N2543" s="1" t="s">
        <v>3704</v>
      </c>
      <c r="P2543" s="1" t="s">
        <v>4896</v>
      </c>
      <c r="Q2543" s="3">
        <v>0</v>
      </c>
      <c r="R2543" s="23" t="s">
        <v>10605</v>
      </c>
      <c r="S2543" s="23" t="s">
        <v>6844</v>
      </c>
      <c r="T2543" s="23" t="s">
        <v>4866</v>
      </c>
      <c r="U2543" s="3">
        <v>35</v>
      </c>
      <c r="W2543" s="45" t="str">
        <f>HYPERLINK("http://ictvonline.org/taxonomy/p/taxonomy-history?taxnode_id=201902931","ICTVonline=201902931")</f>
        <v>ICTVonline=201902931</v>
      </c>
      <c r="AA2543" s="1">
        <v>201900000</v>
      </c>
      <c r="AB2543" s="1">
        <v>35</v>
      </c>
    </row>
    <row r="2544" spans="1:28" x14ac:dyDescent="0.2">
      <c r="A2544" s="1">
        <v>6909</v>
      </c>
      <c r="B2544" s="1" t="s">
        <v>10590</v>
      </c>
      <c r="D2544" s="1" t="s">
        <v>10685</v>
      </c>
      <c r="F2544" s="1" t="s">
        <v>11077</v>
      </c>
      <c r="H2544" s="1" t="s">
        <v>11078</v>
      </c>
      <c r="J2544" s="1" t="s">
        <v>11080</v>
      </c>
      <c r="L2544" s="1" t="s">
        <v>755</v>
      </c>
      <c r="N2544" s="1" t="s">
        <v>3704</v>
      </c>
      <c r="P2544" s="1" t="s">
        <v>4897</v>
      </c>
      <c r="Q2544" s="3">
        <v>0</v>
      </c>
      <c r="R2544" s="23" t="s">
        <v>10605</v>
      </c>
      <c r="S2544" s="23" t="s">
        <v>6844</v>
      </c>
      <c r="T2544" s="23" t="s">
        <v>4866</v>
      </c>
      <c r="U2544" s="3">
        <v>35</v>
      </c>
      <c r="W2544" s="45" t="str">
        <f>HYPERLINK("http://ictvonline.org/taxonomy/p/taxonomy-history?taxnode_id=201902932","ICTVonline=201902932")</f>
        <v>ICTVonline=201902932</v>
      </c>
      <c r="AA2544" s="1">
        <v>201900000</v>
      </c>
      <c r="AB2544" s="1">
        <v>35</v>
      </c>
    </row>
    <row r="2545" spans="1:28" x14ac:dyDescent="0.2">
      <c r="A2545" s="1">
        <v>6911</v>
      </c>
      <c r="B2545" s="1" t="s">
        <v>10590</v>
      </c>
      <c r="D2545" s="1" t="s">
        <v>10685</v>
      </c>
      <c r="F2545" s="1" t="s">
        <v>11077</v>
      </c>
      <c r="H2545" s="1" t="s">
        <v>11078</v>
      </c>
      <c r="J2545" s="1" t="s">
        <v>11080</v>
      </c>
      <c r="L2545" s="1" t="s">
        <v>755</v>
      </c>
      <c r="N2545" s="1" t="s">
        <v>3704</v>
      </c>
      <c r="P2545" s="1" t="s">
        <v>4898</v>
      </c>
      <c r="Q2545" s="3">
        <v>0</v>
      </c>
      <c r="R2545" s="23" t="s">
        <v>10605</v>
      </c>
      <c r="S2545" s="23" t="s">
        <v>6844</v>
      </c>
      <c r="T2545" s="23" t="s">
        <v>4866</v>
      </c>
      <c r="U2545" s="3">
        <v>35</v>
      </c>
      <c r="W2545" s="45" t="str">
        <f>HYPERLINK("http://ictvonline.org/taxonomy/p/taxonomy-history?taxnode_id=201902933","ICTVonline=201902933")</f>
        <v>ICTVonline=201902933</v>
      </c>
      <c r="AA2545" s="1">
        <v>201900000</v>
      </c>
      <c r="AB2545" s="1">
        <v>35</v>
      </c>
    </row>
    <row r="2546" spans="1:28" x14ac:dyDescent="0.2">
      <c r="A2546" s="1">
        <v>6913</v>
      </c>
      <c r="B2546" s="1" t="s">
        <v>10590</v>
      </c>
      <c r="D2546" s="1" t="s">
        <v>10685</v>
      </c>
      <c r="F2546" s="1" t="s">
        <v>11077</v>
      </c>
      <c r="H2546" s="1" t="s">
        <v>11078</v>
      </c>
      <c r="J2546" s="1" t="s">
        <v>11080</v>
      </c>
      <c r="L2546" s="1" t="s">
        <v>755</v>
      </c>
      <c r="N2546" s="1" t="s">
        <v>3704</v>
      </c>
      <c r="P2546" s="1" t="s">
        <v>4899</v>
      </c>
      <c r="Q2546" s="3">
        <v>0</v>
      </c>
      <c r="R2546" s="23" t="s">
        <v>10605</v>
      </c>
      <c r="S2546" s="23" t="s">
        <v>6844</v>
      </c>
      <c r="T2546" s="23" t="s">
        <v>4866</v>
      </c>
      <c r="U2546" s="3">
        <v>35</v>
      </c>
      <c r="W2546" s="45" t="str">
        <f>HYPERLINK("http://ictvonline.org/taxonomy/p/taxonomy-history?taxnode_id=201902934","ICTVonline=201902934")</f>
        <v>ICTVonline=201902934</v>
      </c>
      <c r="AA2546" s="1">
        <v>201900000</v>
      </c>
      <c r="AB2546" s="1">
        <v>35</v>
      </c>
    </row>
    <row r="2547" spans="1:28" x14ac:dyDescent="0.2">
      <c r="A2547" s="1">
        <v>6915</v>
      </c>
      <c r="B2547" s="1" t="s">
        <v>10590</v>
      </c>
      <c r="D2547" s="1" t="s">
        <v>10685</v>
      </c>
      <c r="F2547" s="1" t="s">
        <v>11077</v>
      </c>
      <c r="H2547" s="1" t="s">
        <v>11078</v>
      </c>
      <c r="J2547" s="1" t="s">
        <v>11080</v>
      </c>
      <c r="L2547" s="1" t="s">
        <v>755</v>
      </c>
      <c r="N2547" s="1" t="s">
        <v>3704</v>
      </c>
      <c r="P2547" s="1" t="s">
        <v>4900</v>
      </c>
      <c r="Q2547" s="3">
        <v>0</v>
      </c>
      <c r="R2547" s="23" t="s">
        <v>10605</v>
      </c>
      <c r="S2547" s="23" t="s">
        <v>6844</v>
      </c>
      <c r="T2547" s="23" t="s">
        <v>4866</v>
      </c>
      <c r="U2547" s="3">
        <v>35</v>
      </c>
      <c r="W2547" s="45" t="str">
        <f>HYPERLINK("http://ictvonline.org/taxonomy/p/taxonomy-history?taxnode_id=201902935","ICTVonline=201902935")</f>
        <v>ICTVonline=201902935</v>
      </c>
      <c r="AA2547" s="1">
        <v>201900000</v>
      </c>
      <c r="AB2547" s="1">
        <v>35</v>
      </c>
    </row>
    <row r="2548" spans="1:28" x14ac:dyDescent="0.2">
      <c r="A2548" s="1">
        <v>6917</v>
      </c>
      <c r="B2548" s="1" t="s">
        <v>10590</v>
      </c>
      <c r="D2548" s="1" t="s">
        <v>10685</v>
      </c>
      <c r="F2548" s="1" t="s">
        <v>11077</v>
      </c>
      <c r="H2548" s="1" t="s">
        <v>11078</v>
      </c>
      <c r="J2548" s="1" t="s">
        <v>11080</v>
      </c>
      <c r="L2548" s="1" t="s">
        <v>755</v>
      </c>
      <c r="N2548" s="1" t="s">
        <v>3704</v>
      </c>
      <c r="P2548" s="1" t="s">
        <v>4592</v>
      </c>
      <c r="Q2548" s="3">
        <v>0</v>
      </c>
      <c r="R2548" s="23" t="s">
        <v>10605</v>
      </c>
      <c r="S2548" s="23" t="s">
        <v>6844</v>
      </c>
      <c r="T2548" s="23" t="s">
        <v>4866</v>
      </c>
      <c r="U2548" s="3">
        <v>35</v>
      </c>
      <c r="W2548" s="45" t="str">
        <f>HYPERLINK("http://ictvonline.org/taxonomy/p/taxonomy-history?taxnode_id=201902936","ICTVonline=201902936")</f>
        <v>ICTVonline=201902936</v>
      </c>
      <c r="Y2548" s="1" t="s">
        <v>11154</v>
      </c>
      <c r="Z2548" s="1" t="s">
        <v>11155</v>
      </c>
      <c r="AA2548" s="1">
        <v>201900000</v>
      </c>
      <c r="AB2548" s="1">
        <v>35</v>
      </c>
    </row>
    <row r="2549" spans="1:28" x14ac:dyDescent="0.2">
      <c r="A2549" s="1">
        <v>6919</v>
      </c>
      <c r="B2549" s="1" t="s">
        <v>10590</v>
      </c>
      <c r="D2549" s="1" t="s">
        <v>10685</v>
      </c>
      <c r="F2549" s="1" t="s">
        <v>11077</v>
      </c>
      <c r="H2549" s="1" t="s">
        <v>11078</v>
      </c>
      <c r="J2549" s="1" t="s">
        <v>11080</v>
      </c>
      <c r="L2549" s="1" t="s">
        <v>755</v>
      </c>
      <c r="N2549" s="1" t="s">
        <v>3704</v>
      </c>
      <c r="P2549" s="1" t="s">
        <v>4593</v>
      </c>
      <c r="Q2549" s="3">
        <v>0</v>
      </c>
      <c r="R2549" s="23" t="s">
        <v>10605</v>
      </c>
      <c r="S2549" s="23" t="s">
        <v>6844</v>
      </c>
      <c r="T2549" s="23" t="s">
        <v>4866</v>
      </c>
      <c r="U2549" s="3">
        <v>35</v>
      </c>
      <c r="W2549" s="45" t="str">
        <f>HYPERLINK("http://ictvonline.org/taxonomy/p/taxonomy-history?taxnode_id=201902937","ICTVonline=201902937")</f>
        <v>ICTVonline=201902937</v>
      </c>
      <c r="Y2549" s="1" t="s">
        <v>11156</v>
      </c>
      <c r="Z2549" s="1" t="s">
        <v>11157</v>
      </c>
      <c r="AA2549" s="1">
        <v>201900000</v>
      </c>
      <c r="AB2549" s="1">
        <v>35</v>
      </c>
    </row>
    <row r="2550" spans="1:28" x14ac:dyDescent="0.2">
      <c r="A2550" s="1">
        <v>6921</v>
      </c>
      <c r="B2550" s="1" t="s">
        <v>10590</v>
      </c>
      <c r="D2550" s="1" t="s">
        <v>10685</v>
      </c>
      <c r="F2550" s="1" t="s">
        <v>11077</v>
      </c>
      <c r="H2550" s="1" t="s">
        <v>11078</v>
      </c>
      <c r="J2550" s="1" t="s">
        <v>11080</v>
      </c>
      <c r="L2550" s="1" t="s">
        <v>755</v>
      </c>
      <c r="N2550" s="1" t="s">
        <v>3704</v>
      </c>
      <c r="P2550" s="1" t="s">
        <v>4594</v>
      </c>
      <c r="Q2550" s="3">
        <v>0</v>
      </c>
      <c r="R2550" s="23" t="s">
        <v>10605</v>
      </c>
      <c r="S2550" s="23" t="s">
        <v>6844</v>
      </c>
      <c r="T2550" s="23" t="s">
        <v>4866</v>
      </c>
      <c r="U2550" s="3">
        <v>35</v>
      </c>
      <c r="W2550" s="45" t="str">
        <f>HYPERLINK("http://ictvonline.org/taxonomy/p/taxonomy-history?taxnode_id=201902938","ICTVonline=201902938")</f>
        <v>ICTVonline=201902938</v>
      </c>
      <c r="Y2550" s="1" t="s">
        <v>11158</v>
      </c>
      <c r="Z2550" s="1" t="s">
        <v>11159</v>
      </c>
      <c r="AA2550" s="1">
        <v>201900000</v>
      </c>
      <c r="AB2550" s="1">
        <v>35</v>
      </c>
    </row>
    <row r="2551" spans="1:28" x14ac:dyDescent="0.2">
      <c r="A2551" s="1">
        <v>6923</v>
      </c>
      <c r="B2551" s="1" t="s">
        <v>10590</v>
      </c>
      <c r="D2551" s="1" t="s">
        <v>10685</v>
      </c>
      <c r="F2551" s="1" t="s">
        <v>11077</v>
      </c>
      <c r="H2551" s="1" t="s">
        <v>11078</v>
      </c>
      <c r="J2551" s="1" t="s">
        <v>11080</v>
      </c>
      <c r="L2551" s="1" t="s">
        <v>755</v>
      </c>
      <c r="N2551" s="1" t="s">
        <v>3704</v>
      </c>
      <c r="P2551" s="1" t="s">
        <v>4595</v>
      </c>
      <c r="Q2551" s="3">
        <v>0</v>
      </c>
      <c r="R2551" s="23" t="s">
        <v>10605</v>
      </c>
      <c r="S2551" s="23" t="s">
        <v>6844</v>
      </c>
      <c r="T2551" s="23" t="s">
        <v>4866</v>
      </c>
      <c r="U2551" s="3">
        <v>35</v>
      </c>
      <c r="W2551" s="45" t="str">
        <f>HYPERLINK("http://ictvonline.org/taxonomy/p/taxonomy-history?taxnode_id=201902939","ICTVonline=201902939")</f>
        <v>ICTVonline=201902939</v>
      </c>
      <c r="Y2551" s="1" t="s">
        <v>11160</v>
      </c>
      <c r="Z2551" s="1" t="s">
        <v>11161</v>
      </c>
      <c r="AA2551" s="1">
        <v>201900000</v>
      </c>
      <c r="AB2551" s="1">
        <v>35</v>
      </c>
    </row>
    <row r="2552" spans="1:28" x14ac:dyDescent="0.2">
      <c r="A2552" s="1">
        <v>6925</v>
      </c>
      <c r="B2552" s="1" t="s">
        <v>10590</v>
      </c>
      <c r="D2552" s="1" t="s">
        <v>10685</v>
      </c>
      <c r="F2552" s="1" t="s">
        <v>11077</v>
      </c>
      <c r="H2552" s="1" t="s">
        <v>11078</v>
      </c>
      <c r="J2552" s="1" t="s">
        <v>11080</v>
      </c>
      <c r="L2552" s="1" t="s">
        <v>755</v>
      </c>
      <c r="N2552" s="1" t="s">
        <v>3704</v>
      </c>
      <c r="P2552" s="1" t="s">
        <v>4596</v>
      </c>
      <c r="Q2552" s="3">
        <v>0</v>
      </c>
      <c r="R2552" s="23" t="s">
        <v>10605</v>
      </c>
      <c r="S2552" s="23" t="s">
        <v>6844</v>
      </c>
      <c r="T2552" s="23" t="s">
        <v>4866</v>
      </c>
      <c r="U2552" s="3">
        <v>35</v>
      </c>
      <c r="W2552" s="45" t="str">
        <f>HYPERLINK("http://ictvonline.org/taxonomy/p/taxonomy-history?taxnode_id=201902940","ICTVonline=201902940")</f>
        <v>ICTVonline=201902940</v>
      </c>
      <c r="Y2552" s="1" t="s">
        <v>11162</v>
      </c>
      <c r="Z2552" s="1" t="s">
        <v>11163</v>
      </c>
      <c r="AA2552" s="1">
        <v>201900000</v>
      </c>
      <c r="AB2552" s="1">
        <v>35</v>
      </c>
    </row>
    <row r="2553" spans="1:28" x14ac:dyDescent="0.2">
      <c r="A2553" s="1">
        <v>6927</v>
      </c>
      <c r="B2553" s="1" t="s">
        <v>10590</v>
      </c>
      <c r="D2553" s="1" t="s">
        <v>10685</v>
      </c>
      <c r="F2553" s="1" t="s">
        <v>11077</v>
      </c>
      <c r="H2553" s="1" t="s">
        <v>11078</v>
      </c>
      <c r="J2553" s="1" t="s">
        <v>11080</v>
      </c>
      <c r="L2553" s="1" t="s">
        <v>755</v>
      </c>
      <c r="N2553" s="1" t="s">
        <v>3704</v>
      </c>
      <c r="P2553" s="1" t="s">
        <v>4597</v>
      </c>
      <c r="Q2553" s="3">
        <v>0</v>
      </c>
      <c r="R2553" s="23" t="s">
        <v>10605</v>
      </c>
      <c r="S2553" s="23" t="s">
        <v>6844</v>
      </c>
      <c r="T2553" s="23" t="s">
        <v>4866</v>
      </c>
      <c r="U2553" s="3">
        <v>35</v>
      </c>
      <c r="W2553" s="45" t="str">
        <f>HYPERLINK("http://ictvonline.org/taxonomy/p/taxonomy-history?taxnode_id=201902941","ICTVonline=201902941")</f>
        <v>ICTVonline=201902941</v>
      </c>
      <c r="Y2553" s="1" t="s">
        <v>11164</v>
      </c>
      <c r="Z2553" s="1" t="s">
        <v>11165</v>
      </c>
      <c r="AA2553" s="1">
        <v>201900000</v>
      </c>
      <c r="AB2553" s="1">
        <v>35</v>
      </c>
    </row>
    <row r="2554" spans="1:28" x14ac:dyDescent="0.2">
      <c r="A2554" s="1">
        <v>6929</v>
      </c>
      <c r="B2554" s="1" t="s">
        <v>10590</v>
      </c>
      <c r="D2554" s="1" t="s">
        <v>10685</v>
      </c>
      <c r="F2554" s="1" t="s">
        <v>11077</v>
      </c>
      <c r="H2554" s="1" t="s">
        <v>11078</v>
      </c>
      <c r="J2554" s="1" t="s">
        <v>11080</v>
      </c>
      <c r="L2554" s="1" t="s">
        <v>755</v>
      </c>
      <c r="N2554" s="1" t="s">
        <v>3704</v>
      </c>
      <c r="P2554" s="1" t="s">
        <v>4598</v>
      </c>
      <c r="Q2554" s="3">
        <v>0</v>
      </c>
      <c r="R2554" s="23" t="s">
        <v>10605</v>
      </c>
      <c r="S2554" s="23" t="s">
        <v>6844</v>
      </c>
      <c r="T2554" s="23" t="s">
        <v>4866</v>
      </c>
      <c r="U2554" s="3">
        <v>35</v>
      </c>
      <c r="W2554" s="45" t="str">
        <f>HYPERLINK("http://ictvonline.org/taxonomy/p/taxonomy-history?taxnode_id=201902942","ICTVonline=201902942")</f>
        <v>ICTVonline=201902942</v>
      </c>
      <c r="Y2554" s="1" t="s">
        <v>11166</v>
      </c>
      <c r="Z2554" s="1" t="s">
        <v>11167</v>
      </c>
      <c r="AA2554" s="1">
        <v>201900000</v>
      </c>
      <c r="AB2554" s="1">
        <v>35</v>
      </c>
    </row>
    <row r="2555" spans="1:28" x14ac:dyDescent="0.2">
      <c r="A2555" s="1">
        <v>6931</v>
      </c>
      <c r="B2555" s="1" t="s">
        <v>10590</v>
      </c>
      <c r="D2555" s="1" t="s">
        <v>10685</v>
      </c>
      <c r="F2555" s="1" t="s">
        <v>11077</v>
      </c>
      <c r="H2555" s="1" t="s">
        <v>11078</v>
      </c>
      <c r="J2555" s="1" t="s">
        <v>11080</v>
      </c>
      <c r="L2555" s="1" t="s">
        <v>755</v>
      </c>
      <c r="N2555" s="1" t="s">
        <v>3704</v>
      </c>
      <c r="P2555" s="1" t="s">
        <v>4599</v>
      </c>
      <c r="Q2555" s="3">
        <v>0</v>
      </c>
      <c r="R2555" s="23" t="s">
        <v>10605</v>
      </c>
      <c r="S2555" s="23" t="s">
        <v>6844</v>
      </c>
      <c r="T2555" s="23" t="s">
        <v>4866</v>
      </c>
      <c r="U2555" s="3">
        <v>35</v>
      </c>
      <c r="W2555" s="45" t="str">
        <f>HYPERLINK("http://ictvonline.org/taxonomy/p/taxonomy-history?taxnode_id=201902943","ICTVonline=201902943")</f>
        <v>ICTVonline=201902943</v>
      </c>
      <c r="Y2555" s="1" t="s">
        <v>11168</v>
      </c>
      <c r="Z2555" s="1" t="s">
        <v>11169</v>
      </c>
      <c r="AA2555" s="1">
        <v>201900000</v>
      </c>
      <c r="AB2555" s="1">
        <v>35</v>
      </c>
    </row>
    <row r="2556" spans="1:28" x14ac:dyDescent="0.2">
      <c r="A2556" s="1">
        <v>6933</v>
      </c>
      <c r="B2556" s="1" t="s">
        <v>10590</v>
      </c>
      <c r="D2556" s="1" t="s">
        <v>10685</v>
      </c>
      <c r="F2556" s="1" t="s">
        <v>11077</v>
      </c>
      <c r="H2556" s="1" t="s">
        <v>11078</v>
      </c>
      <c r="J2556" s="1" t="s">
        <v>11080</v>
      </c>
      <c r="L2556" s="1" t="s">
        <v>755</v>
      </c>
      <c r="N2556" s="1" t="s">
        <v>3704</v>
      </c>
      <c r="P2556" s="1" t="s">
        <v>4600</v>
      </c>
      <c r="Q2556" s="3">
        <v>0</v>
      </c>
      <c r="R2556" s="23" t="s">
        <v>10605</v>
      </c>
      <c r="S2556" s="23" t="s">
        <v>6844</v>
      </c>
      <c r="T2556" s="23" t="s">
        <v>4866</v>
      </c>
      <c r="U2556" s="3">
        <v>35</v>
      </c>
      <c r="W2556" s="45" t="str">
        <f>HYPERLINK("http://ictvonline.org/taxonomy/p/taxonomy-history?taxnode_id=201902944","ICTVonline=201902944")</f>
        <v>ICTVonline=201902944</v>
      </c>
      <c r="Y2556" s="1" t="s">
        <v>11170</v>
      </c>
      <c r="Z2556" s="1" t="s">
        <v>11171</v>
      </c>
      <c r="AA2556" s="1">
        <v>201900000</v>
      </c>
      <c r="AB2556" s="1">
        <v>35</v>
      </c>
    </row>
    <row r="2557" spans="1:28" x14ac:dyDescent="0.2">
      <c r="A2557" s="1">
        <v>6935</v>
      </c>
      <c r="B2557" s="1" t="s">
        <v>10590</v>
      </c>
      <c r="D2557" s="1" t="s">
        <v>10685</v>
      </c>
      <c r="F2557" s="1" t="s">
        <v>11077</v>
      </c>
      <c r="H2557" s="1" t="s">
        <v>11078</v>
      </c>
      <c r="J2557" s="1" t="s">
        <v>11080</v>
      </c>
      <c r="L2557" s="1" t="s">
        <v>755</v>
      </c>
      <c r="N2557" s="1" t="s">
        <v>3704</v>
      </c>
      <c r="P2557" s="1" t="s">
        <v>4601</v>
      </c>
      <c r="Q2557" s="3">
        <v>0</v>
      </c>
      <c r="R2557" s="23" t="s">
        <v>10605</v>
      </c>
      <c r="S2557" s="23" t="s">
        <v>6844</v>
      </c>
      <c r="T2557" s="23" t="s">
        <v>4866</v>
      </c>
      <c r="U2557" s="3">
        <v>35</v>
      </c>
      <c r="W2557" s="45" t="str">
        <f>HYPERLINK("http://ictvonline.org/taxonomy/p/taxonomy-history?taxnode_id=201902945","ICTVonline=201902945")</f>
        <v>ICTVonline=201902945</v>
      </c>
      <c r="Y2557" s="1" t="s">
        <v>11172</v>
      </c>
      <c r="Z2557" s="1" t="s">
        <v>11173</v>
      </c>
      <c r="AA2557" s="1">
        <v>201900000</v>
      </c>
      <c r="AB2557" s="1">
        <v>35</v>
      </c>
    </row>
    <row r="2558" spans="1:28" x14ac:dyDescent="0.2">
      <c r="A2558" s="1">
        <v>6937</v>
      </c>
      <c r="B2558" s="1" t="s">
        <v>10590</v>
      </c>
      <c r="D2558" s="1" t="s">
        <v>10685</v>
      </c>
      <c r="F2558" s="1" t="s">
        <v>11077</v>
      </c>
      <c r="H2558" s="1" t="s">
        <v>11078</v>
      </c>
      <c r="J2558" s="1" t="s">
        <v>11080</v>
      </c>
      <c r="L2558" s="1" t="s">
        <v>755</v>
      </c>
      <c r="N2558" s="1" t="s">
        <v>3704</v>
      </c>
      <c r="P2558" s="1" t="s">
        <v>4602</v>
      </c>
      <c r="Q2558" s="3">
        <v>0</v>
      </c>
      <c r="R2558" s="23" t="s">
        <v>10605</v>
      </c>
      <c r="S2558" s="23" t="s">
        <v>6844</v>
      </c>
      <c r="T2558" s="23" t="s">
        <v>4866</v>
      </c>
      <c r="U2558" s="3">
        <v>35</v>
      </c>
      <c r="W2558" s="45" t="str">
        <f>HYPERLINK("http://ictvonline.org/taxonomy/p/taxonomy-history?taxnode_id=201902946","ICTVonline=201902946")</f>
        <v>ICTVonline=201902946</v>
      </c>
      <c r="Y2558" s="1" t="s">
        <v>11174</v>
      </c>
      <c r="Z2558" s="1" t="s">
        <v>11175</v>
      </c>
      <c r="AA2558" s="1">
        <v>201900000</v>
      </c>
      <c r="AB2558" s="1">
        <v>35</v>
      </c>
    </row>
    <row r="2559" spans="1:28" x14ac:dyDescent="0.2">
      <c r="A2559" s="1">
        <v>6939</v>
      </c>
      <c r="B2559" s="1" t="s">
        <v>10590</v>
      </c>
      <c r="D2559" s="1" t="s">
        <v>10685</v>
      </c>
      <c r="F2559" s="1" t="s">
        <v>11077</v>
      </c>
      <c r="H2559" s="1" t="s">
        <v>11078</v>
      </c>
      <c r="J2559" s="1" t="s">
        <v>11080</v>
      </c>
      <c r="L2559" s="1" t="s">
        <v>755</v>
      </c>
      <c r="N2559" s="1" t="s">
        <v>3704</v>
      </c>
      <c r="P2559" s="1" t="s">
        <v>4901</v>
      </c>
      <c r="Q2559" s="3">
        <v>0</v>
      </c>
      <c r="R2559" s="23" t="s">
        <v>10605</v>
      </c>
      <c r="S2559" s="23" t="s">
        <v>6844</v>
      </c>
      <c r="T2559" s="23" t="s">
        <v>4866</v>
      </c>
      <c r="U2559" s="3">
        <v>35</v>
      </c>
      <c r="W2559" s="45" t="str">
        <f>HYPERLINK("http://ictvonline.org/taxonomy/p/taxonomy-history?taxnode_id=201902947","ICTVonline=201902947")</f>
        <v>ICTVonline=201902947</v>
      </c>
      <c r="AA2559" s="1">
        <v>201900000</v>
      </c>
      <c r="AB2559" s="1">
        <v>35</v>
      </c>
    </row>
    <row r="2560" spans="1:28" x14ac:dyDescent="0.2">
      <c r="A2560" s="1">
        <v>6941</v>
      </c>
      <c r="B2560" s="1" t="s">
        <v>10590</v>
      </c>
      <c r="D2560" s="1" t="s">
        <v>10685</v>
      </c>
      <c r="F2560" s="1" t="s">
        <v>11077</v>
      </c>
      <c r="H2560" s="1" t="s">
        <v>11078</v>
      </c>
      <c r="J2560" s="1" t="s">
        <v>11080</v>
      </c>
      <c r="L2560" s="1" t="s">
        <v>755</v>
      </c>
      <c r="N2560" s="1" t="s">
        <v>3704</v>
      </c>
      <c r="P2560" s="1" t="s">
        <v>4902</v>
      </c>
      <c r="Q2560" s="3">
        <v>0</v>
      </c>
      <c r="R2560" s="23" t="s">
        <v>10605</v>
      </c>
      <c r="S2560" s="23" t="s">
        <v>6844</v>
      </c>
      <c r="T2560" s="23" t="s">
        <v>4866</v>
      </c>
      <c r="U2560" s="3">
        <v>35</v>
      </c>
      <c r="W2560" s="45" t="str">
        <f>HYPERLINK("http://ictvonline.org/taxonomy/p/taxonomy-history?taxnode_id=201902948","ICTVonline=201902948")</f>
        <v>ICTVonline=201902948</v>
      </c>
      <c r="AA2560" s="1">
        <v>201900000</v>
      </c>
      <c r="AB2560" s="1">
        <v>35</v>
      </c>
    </row>
    <row r="2561" spans="1:28" x14ac:dyDescent="0.2">
      <c r="A2561" s="1">
        <v>6943</v>
      </c>
      <c r="B2561" s="1" t="s">
        <v>10590</v>
      </c>
      <c r="D2561" s="1" t="s">
        <v>10685</v>
      </c>
      <c r="F2561" s="1" t="s">
        <v>11077</v>
      </c>
      <c r="H2561" s="1" t="s">
        <v>11078</v>
      </c>
      <c r="J2561" s="1" t="s">
        <v>11080</v>
      </c>
      <c r="L2561" s="1" t="s">
        <v>755</v>
      </c>
      <c r="N2561" s="1" t="s">
        <v>3704</v>
      </c>
      <c r="P2561" s="1" t="s">
        <v>11176</v>
      </c>
      <c r="Q2561" s="3">
        <v>0</v>
      </c>
      <c r="R2561" s="23" t="s">
        <v>10930</v>
      </c>
      <c r="S2561" s="23" t="s">
        <v>6849</v>
      </c>
      <c r="T2561" s="23" t="s">
        <v>4864</v>
      </c>
      <c r="U2561" s="3">
        <v>35</v>
      </c>
      <c r="V2561" s="3" t="s">
        <v>11100</v>
      </c>
      <c r="W2561" s="45" t="str">
        <f>HYPERLINK("http://ictvonline.org/taxonomy/p/taxonomy-history?taxnode_id=201908680","ICTVonline=201908680")</f>
        <v>ICTVonline=201908680</v>
      </c>
      <c r="X2561" s="1" t="s">
        <v>11177</v>
      </c>
      <c r="Y2561" s="1" t="s">
        <v>11178</v>
      </c>
      <c r="Z2561" s="1" t="s">
        <v>11179</v>
      </c>
      <c r="AA2561" s="1">
        <v>201900000</v>
      </c>
      <c r="AB2561" s="1">
        <v>35</v>
      </c>
    </row>
    <row r="2562" spans="1:28" x14ac:dyDescent="0.2">
      <c r="A2562" s="1">
        <v>6945</v>
      </c>
      <c r="B2562" s="1" t="s">
        <v>10590</v>
      </c>
      <c r="D2562" s="1" t="s">
        <v>10685</v>
      </c>
      <c r="F2562" s="1" t="s">
        <v>11077</v>
      </c>
      <c r="H2562" s="1" t="s">
        <v>11078</v>
      </c>
      <c r="J2562" s="1" t="s">
        <v>11080</v>
      </c>
      <c r="L2562" s="1" t="s">
        <v>755</v>
      </c>
      <c r="N2562" s="1" t="s">
        <v>3704</v>
      </c>
      <c r="P2562" s="1" t="s">
        <v>4903</v>
      </c>
      <c r="Q2562" s="3">
        <v>0</v>
      </c>
      <c r="R2562" s="23" t="s">
        <v>10605</v>
      </c>
      <c r="S2562" s="23" t="s">
        <v>6844</v>
      </c>
      <c r="T2562" s="23" t="s">
        <v>4866</v>
      </c>
      <c r="U2562" s="3">
        <v>35</v>
      </c>
      <c r="W2562" s="45" t="str">
        <f>HYPERLINK("http://ictvonline.org/taxonomy/p/taxonomy-history?taxnode_id=201902949","ICTVonline=201902949")</f>
        <v>ICTVonline=201902949</v>
      </c>
      <c r="AA2562" s="1">
        <v>201900000</v>
      </c>
      <c r="AB2562" s="1">
        <v>35</v>
      </c>
    </row>
    <row r="2563" spans="1:28" x14ac:dyDescent="0.2">
      <c r="A2563" s="1">
        <v>6947</v>
      </c>
      <c r="B2563" s="1" t="s">
        <v>10590</v>
      </c>
      <c r="D2563" s="1" t="s">
        <v>10685</v>
      </c>
      <c r="F2563" s="1" t="s">
        <v>11077</v>
      </c>
      <c r="H2563" s="1" t="s">
        <v>11078</v>
      </c>
      <c r="J2563" s="1" t="s">
        <v>11080</v>
      </c>
      <c r="L2563" s="1" t="s">
        <v>755</v>
      </c>
      <c r="N2563" s="1" t="s">
        <v>3704</v>
      </c>
      <c r="P2563" s="1" t="s">
        <v>4904</v>
      </c>
      <c r="Q2563" s="3">
        <v>0</v>
      </c>
      <c r="R2563" s="23" t="s">
        <v>10605</v>
      </c>
      <c r="S2563" s="23" t="s">
        <v>6844</v>
      </c>
      <c r="T2563" s="23" t="s">
        <v>4866</v>
      </c>
      <c r="U2563" s="3">
        <v>35</v>
      </c>
      <c r="W2563" s="45" t="str">
        <f>HYPERLINK("http://ictvonline.org/taxonomy/p/taxonomy-history?taxnode_id=201902950","ICTVonline=201902950")</f>
        <v>ICTVonline=201902950</v>
      </c>
      <c r="AA2563" s="1">
        <v>201900000</v>
      </c>
      <c r="AB2563" s="1">
        <v>35</v>
      </c>
    </row>
    <row r="2564" spans="1:28" x14ac:dyDescent="0.2">
      <c r="A2564" s="1">
        <v>6949</v>
      </c>
      <c r="B2564" s="1" t="s">
        <v>10590</v>
      </c>
      <c r="D2564" s="1" t="s">
        <v>10685</v>
      </c>
      <c r="F2564" s="1" t="s">
        <v>11077</v>
      </c>
      <c r="H2564" s="1" t="s">
        <v>11078</v>
      </c>
      <c r="J2564" s="1" t="s">
        <v>11080</v>
      </c>
      <c r="L2564" s="1" t="s">
        <v>755</v>
      </c>
      <c r="N2564" s="1" t="s">
        <v>3704</v>
      </c>
      <c r="P2564" s="1" t="s">
        <v>4905</v>
      </c>
      <c r="Q2564" s="3">
        <v>0</v>
      </c>
      <c r="R2564" s="23" t="s">
        <v>10605</v>
      </c>
      <c r="S2564" s="23" t="s">
        <v>6844</v>
      </c>
      <c r="T2564" s="23" t="s">
        <v>4866</v>
      </c>
      <c r="U2564" s="3">
        <v>35</v>
      </c>
      <c r="W2564" s="45" t="str">
        <f>HYPERLINK("http://ictvonline.org/taxonomy/p/taxonomy-history?taxnode_id=201902951","ICTVonline=201902951")</f>
        <v>ICTVonline=201902951</v>
      </c>
      <c r="AA2564" s="1">
        <v>201900000</v>
      </c>
      <c r="AB2564" s="1">
        <v>35</v>
      </c>
    </row>
    <row r="2565" spans="1:28" x14ac:dyDescent="0.2">
      <c r="A2565" s="1">
        <v>6951</v>
      </c>
      <c r="B2565" s="1" t="s">
        <v>10590</v>
      </c>
      <c r="D2565" s="1" t="s">
        <v>10685</v>
      </c>
      <c r="F2565" s="1" t="s">
        <v>11077</v>
      </c>
      <c r="H2565" s="1" t="s">
        <v>11078</v>
      </c>
      <c r="J2565" s="1" t="s">
        <v>11080</v>
      </c>
      <c r="L2565" s="1" t="s">
        <v>755</v>
      </c>
      <c r="N2565" s="1" t="s">
        <v>3704</v>
      </c>
      <c r="P2565" s="1" t="s">
        <v>4906</v>
      </c>
      <c r="Q2565" s="3">
        <v>0</v>
      </c>
      <c r="R2565" s="23" t="s">
        <v>10605</v>
      </c>
      <c r="S2565" s="23" t="s">
        <v>6844</v>
      </c>
      <c r="T2565" s="23" t="s">
        <v>4866</v>
      </c>
      <c r="U2565" s="3">
        <v>35</v>
      </c>
      <c r="W2565" s="45" t="str">
        <f>HYPERLINK("http://ictvonline.org/taxonomy/p/taxonomy-history?taxnode_id=201902952","ICTVonline=201902952")</f>
        <v>ICTVonline=201902952</v>
      </c>
      <c r="AA2565" s="1">
        <v>201900000</v>
      </c>
      <c r="AB2565" s="1">
        <v>35</v>
      </c>
    </row>
    <row r="2566" spans="1:28" x14ac:dyDescent="0.2">
      <c r="A2566" s="1">
        <v>6953</v>
      </c>
      <c r="B2566" s="1" t="s">
        <v>10590</v>
      </c>
      <c r="D2566" s="1" t="s">
        <v>10685</v>
      </c>
      <c r="F2566" s="1" t="s">
        <v>11077</v>
      </c>
      <c r="H2566" s="1" t="s">
        <v>11078</v>
      </c>
      <c r="J2566" s="1" t="s">
        <v>11080</v>
      </c>
      <c r="L2566" s="1" t="s">
        <v>755</v>
      </c>
      <c r="N2566" s="1" t="s">
        <v>3704</v>
      </c>
      <c r="P2566" s="1" t="s">
        <v>4907</v>
      </c>
      <c r="Q2566" s="3">
        <v>0</v>
      </c>
      <c r="R2566" s="23" t="s">
        <v>10605</v>
      </c>
      <c r="S2566" s="23" t="s">
        <v>6844</v>
      </c>
      <c r="T2566" s="23" t="s">
        <v>4866</v>
      </c>
      <c r="U2566" s="3">
        <v>35</v>
      </c>
      <c r="W2566" s="45" t="str">
        <f>HYPERLINK("http://ictvonline.org/taxonomy/p/taxonomy-history?taxnode_id=201902953","ICTVonline=201902953")</f>
        <v>ICTVonline=201902953</v>
      </c>
      <c r="AA2566" s="1">
        <v>201900000</v>
      </c>
      <c r="AB2566" s="1">
        <v>35</v>
      </c>
    </row>
    <row r="2567" spans="1:28" x14ac:dyDescent="0.2">
      <c r="A2567" s="1">
        <v>6955</v>
      </c>
      <c r="B2567" s="1" t="s">
        <v>10590</v>
      </c>
      <c r="D2567" s="1" t="s">
        <v>10685</v>
      </c>
      <c r="F2567" s="1" t="s">
        <v>11077</v>
      </c>
      <c r="H2567" s="1" t="s">
        <v>11078</v>
      </c>
      <c r="J2567" s="1" t="s">
        <v>11080</v>
      </c>
      <c r="L2567" s="1" t="s">
        <v>755</v>
      </c>
      <c r="N2567" s="1" t="s">
        <v>3704</v>
      </c>
      <c r="P2567" s="1" t="s">
        <v>4908</v>
      </c>
      <c r="Q2567" s="3">
        <v>0</v>
      </c>
      <c r="R2567" s="23" t="s">
        <v>10605</v>
      </c>
      <c r="S2567" s="23" t="s">
        <v>6844</v>
      </c>
      <c r="T2567" s="23" t="s">
        <v>4866</v>
      </c>
      <c r="U2567" s="3">
        <v>35</v>
      </c>
      <c r="W2567" s="45" t="str">
        <f>HYPERLINK("http://ictvonline.org/taxonomy/p/taxonomy-history?taxnode_id=201902954","ICTVonline=201902954")</f>
        <v>ICTVonline=201902954</v>
      </c>
      <c r="AA2567" s="1">
        <v>201900000</v>
      </c>
      <c r="AB2567" s="1">
        <v>35</v>
      </c>
    </row>
    <row r="2568" spans="1:28" x14ac:dyDescent="0.2">
      <c r="A2568" s="1">
        <v>6957</v>
      </c>
      <c r="B2568" s="1" t="s">
        <v>10590</v>
      </c>
      <c r="D2568" s="1" t="s">
        <v>10685</v>
      </c>
      <c r="F2568" s="1" t="s">
        <v>11077</v>
      </c>
      <c r="H2568" s="1" t="s">
        <v>11078</v>
      </c>
      <c r="J2568" s="1" t="s">
        <v>11080</v>
      </c>
      <c r="L2568" s="1" t="s">
        <v>755</v>
      </c>
      <c r="N2568" s="1" t="s">
        <v>3704</v>
      </c>
      <c r="P2568" s="1" t="s">
        <v>4909</v>
      </c>
      <c r="Q2568" s="3">
        <v>0</v>
      </c>
      <c r="R2568" s="23" t="s">
        <v>10605</v>
      </c>
      <c r="S2568" s="23" t="s">
        <v>6844</v>
      </c>
      <c r="T2568" s="23" t="s">
        <v>4866</v>
      </c>
      <c r="U2568" s="3">
        <v>35</v>
      </c>
      <c r="W2568" s="45" t="str">
        <f>HYPERLINK("http://ictvonline.org/taxonomy/p/taxonomy-history?taxnode_id=201902955","ICTVonline=201902955")</f>
        <v>ICTVonline=201902955</v>
      </c>
      <c r="AA2568" s="1">
        <v>201900000</v>
      </c>
      <c r="AB2568" s="1">
        <v>35</v>
      </c>
    </row>
    <row r="2569" spans="1:28" x14ac:dyDescent="0.2">
      <c r="A2569" s="1">
        <v>6959</v>
      </c>
      <c r="B2569" s="1" t="s">
        <v>10590</v>
      </c>
      <c r="D2569" s="1" t="s">
        <v>10685</v>
      </c>
      <c r="F2569" s="1" t="s">
        <v>11077</v>
      </c>
      <c r="H2569" s="1" t="s">
        <v>11078</v>
      </c>
      <c r="J2569" s="1" t="s">
        <v>11080</v>
      </c>
      <c r="L2569" s="1" t="s">
        <v>755</v>
      </c>
      <c r="N2569" s="1" t="s">
        <v>3704</v>
      </c>
      <c r="P2569" s="1" t="s">
        <v>4910</v>
      </c>
      <c r="Q2569" s="3">
        <v>0</v>
      </c>
      <c r="R2569" s="23" t="s">
        <v>10605</v>
      </c>
      <c r="S2569" s="23" t="s">
        <v>6844</v>
      </c>
      <c r="T2569" s="23" t="s">
        <v>4866</v>
      </c>
      <c r="U2569" s="3">
        <v>35</v>
      </c>
      <c r="W2569" s="45" t="str">
        <f>HYPERLINK("http://ictvonline.org/taxonomy/p/taxonomy-history?taxnode_id=201902956","ICTVonline=201902956")</f>
        <v>ICTVonline=201902956</v>
      </c>
      <c r="AA2569" s="1">
        <v>201900000</v>
      </c>
      <c r="AB2569" s="1">
        <v>35</v>
      </c>
    </row>
    <row r="2570" spans="1:28" x14ac:dyDescent="0.2">
      <c r="A2570" s="1">
        <v>6961</v>
      </c>
      <c r="B2570" s="1" t="s">
        <v>10590</v>
      </c>
      <c r="D2570" s="1" t="s">
        <v>10685</v>
      </c>
      <c r="F2570" s="1" t="s">
        <v>11077</v>
      </c>
      <c r="H2570" s="1" t="s">
        <v>11078</v>
      </c>
      <c r="J2570" s="1" t="s">
        <v>11080</v>
      </c>
      <c r="L2570" s="1" t="s">
        <v>755</v>
      </c>
      <c r="N2570" s="1" t="s">
        <v>3704</v>
      </c>
      <c r="P2570" s="1" t="s">
        <v>4911</v>
      </c>
      <c r="Q2570" s="3">
        <v>0</v>
      </c>
      <c r="R2570" s="23" t="s">
        <v>10605</v>
      </c>
      <c r="S2570" s="23" t="s">
        <v>6844</v>
      </c>
      <c r="T2570" s="23" t="s">
        <v>4866</v>
      </c>
      <c r="U2570" s="3">
        <v>35</v>
      </c>
      <c r="W2570" s="45" t="str">
        <f>HYPERLINK("http://ictvonline.org/taxonomy/p/taxonomy-history?taxnode_id=201902957","ICTVonline=201902957")</f>
        <v>ICTVonline=201902957</v>
      </c>
      <c r="AA2570" s="1">
        <v>201900000</v>
      </c>
      <c r="AB2570" s="1">
        <v>35</v>
      </c>
    </row>
    <row r="2571" spans="1:28" x14ac:dyDescent="0.2">
      <c r="A2571" s="1">
        <v>6963</v>
      </c>
      <c r="B2571" s="1" t="s">
        <v>10590</v>
      </c>
      <c r="D2571" s="1" t="s">
        <v>10685</v>
      </c>
      <c r="F2571" s="1" t="s">
        <v>11077</v>
      </c>
      <c r="H2571" s="1" t="s">
        <v>11078</v>
      </c>
      <c r="J2571" s="1" t="s">
        <v>11080</v>
      </c>
      <c r="L2571" s="1" t="s">
        <v>755</v>
      </c>
      <c r="N2571" s="1" t="s">
        <v>3704</v>
      </c>
      <c r="P2571" s="1" t="s">
        <v>4912</v>
      </c>
      <c r="Q2571" s="3">
        <v>0</v>
      </c>
      <c r="R2571" s="23" t="s">
        <v>10605</v>
      </c>
      <c r="S2571" s="23" t="s">
        <v>6844</v>
      </c>
      <c r="T2571" s="23" t="s">
        <v>4866</v>
      </c>
      <c r="U2571" s="3">
        <v>35</v>
      </c>
      <c r="W2571" s="45" t="str">
        <f>HYPERLINK("http://ictvonline.org/taxonomy/p/taxonomy-history?taxnode_id=201902958","ICTVonline=201902958")</f>
        <v>ICTVonline=201902958</v>
      </c>
      <c r="AA2571" s="1">
        <v>201900000</v>
      </c>
      <c r="AB2571" s="1">
        <v>35</v>
      </c>
    </row>
    <row r="2572" spans="1:28" x14ac:dyDescent="0.2">
      <c r="A2572" s="1">
        <v>6965</v>
      </c>
      <c r="B2572" s="1" t="s">
        <v>10590</v>
      </c>
      <c r="D2572" s="1" t="s">
        <v>10685</v>
      </c>
      <c r="F2572" s="1" t="s">
        <v>11077</v>
      </c>
      <c r="H2572" s="1" t="s">
        <v>11078</v>
      </c>
      <c r="J2572" s="1" t="s">
        <v>11080</v>
      </c>
      <c r="L2572" s="1" t="s">
        <v>755</v>
      </c>
      <c r="N2572" s="1" t="s">
        <v>3704</v>
      </c>
      <c r="P2572" s="1" t="s">
        <v>6740</v>
      </c>
      <c r="Q2572" s="3">
        <v>0</v>
      </c>
      <c r="R2572" s="23" t="s">
        <v>10605</v>
      </c>
      <c r="S2572" s="23" t="s">
        <v>6844</v>
      </c>
      <c r="T2572" s="23" t="s">
        <v>4866</v>
      </c>
      <c r="U2572" s="3">
        <v>35</v>
      </c>
      <c r="W2572" s="45" t="str">
        <f>HYPERLINK("http://ictvonline.org/taxonomy/p/taxonomy-history?taxnode_id=201906318","ICTVonline=201906318")</f>
        <v>ICTVonline=201906318</v>
      </c>
      <c r="X2572" s="1" t="s">
        <v>11180</v>
      </c>
      <c r="Y2572" s="1" t="s">
        <v>11181</v>
      </c>
      <c r="Z2572" s="1" t="s">
        <v>11182</v>
      </c>
      <c r="AA2572" s="1">
        <v>201900000</v>
      </c>
      <c r="AB2572" s="1">
        <v>35</v>
      </c>
    </row>
    <row r="2573" spans="1:28" x14ac:dyDescent="0.2">
      <c r="A2573" s="1">
        <v>6967</v>
      </c>
      <c r="B2573" s="1" t="s">
        <v>10590</v>
      </c>
      <c r="D2573" s="1" t="s">
        <v>10685</v>
      </c>
      <c r="F2573" s="1" t="s">
        <v>11077</v>
      </c>
      <c r="H2573" s="1" t="s">
        <v>11078</v>
      </c>
      <c r="J2573" s="1" t="s">
        <v>11080</v>
      </c>
      <c r="L2573" s="1" t="s">
        <v>755</v>
      </c>
      <c r="N2573" s="1" t="s">
        <v>3704</v>
      </c>
      <c r="P2573" s="1" t="s">
        <v>4603</v>
      </c>
      <c r="Q2573" s="3">
        <v>0</v>
      </c>
      <c r="R2573" s="23" t="s">
        <v>10605</v>
      </c>
      <c r="S2573" s="23" t="s">
        <v>6844</v>
      </c>
      <c r="T2573" s="23" t="s">
        <v>4866</v>
      </c>
      <c r="U2573" s="3">
        <v>35</v>
      </c>
      <c r="W2573" s="45" t="str">
        <f>HYPERLINK("http://ictvonline.org/taxonomy/p/taxonomy-history?taxnode_id=201902959","ICTVonline=201902959")</f>
        <v>ICTVonline=201902959</v>
      </c>
      <c r="Y2573" s="1" t="s">
        <v>11183</v>
      </c>
      <c r="Z2573" s="1" t="s">
        <v>11184</v>
      </c>
      <c r="AA2573" s="1">
        <v>201900000</v>
      </c>
      <c r="AB2573" s="1">
        <v>35</v>
      </c>
    </row>
    <row r="2574" spans="1:28" x14ac:dyDescent="0.2">
      <c r="A2574" s="1">
        <v>6969</v>
      </c>
      <c r="B2574" s="1" t="s">
        <v>10590</v>
      </c>
      <c r="D2574" s="1" t="s">
        <v>10685</v>
      </c>
      <c r="F2574" s="1" t="s">
        <v>11077</v>
      </c>
      <c r="H2574" s="1" t="s">
        <v>11078</v>
      </c>
      <c r="J2574" s="1" t="s">
        <v>11080</v>
      </c>
      <c r="L2574" s="1" t="s">
        <v>755</v>
      </c>
      <c r="N2574" s="1" t="s">
        <v>3704</v>
      </c>
      <c r="P2574" s="1" t="s">
        <v>4913</v>
      </c>
      <c r="Q2574" s="3">
        <v>0</v>
      </c>
      <c r="R2574" s="23" t="s">
        <v>10605</v>
      </c>
      <c r="S2574" s="23" t="s">
        <v>6844</v>
      </c>
      <c r="T2574" s="23" t="s">
        <v>4866</v>
      </c>
      <c r="U2574" s="3">
        <v>35</v>
      </c>
      <c r="W2574" s="45" t="str">
        <f>HYPERLINK("http://ictvonline.org/taxonomy/p/taxonomy-history?taxnode_id=201902960","ICTVonline=201902960")</f>
        <v>ICTVonline=201902960</v>
      </c>
      <c r="AA2574" s="1">
        <v>201900000</v>
      </c>
      <c r="AB2574" s="1">
        <v>35</v>
      </c>
    </row>
    <row r="2575" spans="1:28" x14ac:dyDescent="0.2">
      <c r="A2575" s="1">
        <v>6971</v>
      </c>
      <c r="B2575" s="1" t="s">
        <v>10590</v>
      </c>
      <c r="D2575" s="1" t="s">
        <v>10685</v>
      </c>
      <c r="F2575" s="1" t="s">
        <v>11077</v>
      </c>
      <c r="H2575" s="1" t="s">
        <v>11078</v>
      </c>
      <c r="J2575" s="1" t="s">
        <v>11080</v>
      </c>
      <c r="L2575" s="1" t="s">
        <v>755</v>
      </c>
      <c r="N2575" s="1" t="s">
        <v>3704</v>
      </c>
      <c r="P2575" s="1" t="s">
        <v>4604</v>
      </c>
      <c r="Q2575" s="3">
        <v>0</v>
      </c>
      <c r="R2575" s="23" t="s">
        <v>10605</v>
      </c>
      <c r="S2575" s="23" t="s">
        <v>6844</v>
      </c>
      <c r="T2575" s="23" t="s">
        <v>4866</v>
      </c>
      <c r="U2575" s="3">
        <v>35</v>
      </c>
      <c r="W2575" s="45" t="str">
        <f>HYPERLINK("http://ictvonline.org/taxonomy/p/taxonomy-history?taxnode_id=201902961","ICTVonline=201902961")</f>
        <v>ICTVonline=201902961</v>
      </c>
      <c r="Y2575" s="1" t="s">
        <v>11185</v>
      </c>
      <c r="Z2575" s="1" t="s">
        <v>11186</v>
      </c>
      <c r="AA2575" s="1">
        <v>201900000</v>
      </c>
      <c r="AB2575" s="1">
        <v>35</v>
      </c>
    </row>
    <row r="2576" spans="1:28" x14ac:dyDescent="0.2">
      <c r="A2576" s="1">
        <v>6973</v>
      </c>
      <c r="B2576" s="1" t="s">
        <v>10590</v>
      </c>
      <c r="D2576" s="1" t="s">
        <v>10685</v>
      </c>
      <c r="F2576" s="1" t="s">
        <v>11077</v>
      </c>
      <c r="H2576" s="1" t="s">
        <v>11078</v>
      </c>
      <c r="J2576" s="1" t="s">
        <v>11080</v>
      </c>
      <c r="L2576" s="1" t="s">
        <v>755</v>
      </c>
      <c r="N2576" s="1" t="s">
        <v>3704</v>
      </c>
      <c r="P2576" s="1" t="s">
        <v>4914</v>
      </c>
      <c r="Q2576" s="3">
        <v>0</v>
      </c>
      <c r="R2576" s="23" t="s">
        <v>10605</v>
      </c>
      <c r="S2576" s="23" t="s">
        <v>6844</v>
      </c>
      <c r="T2576" s="23" t="s">
        <v>4866</v>
      </c>
      <c r="U2576" s="3">
        <v>35</v>
      </c>
      <c r="W2576" s="45" t="str">
        <f>HYPERLINK("http://ictvonline.org/taxonomy/p/taxonomy-history?taxnode_id=201902962","ICTVonline=201902962")</f>
        <v>ICTVonline=201902962</v>
      </c>
      <c r="AA2576" s="1">
        <v>201900000</v>
      </c>
      <c r="AB2576" s="1">
        <v>35</v>
      </c>
    </row>
    <row r="2577" spans="1:28" x14ac:dyDescent="0.2">
      <c r="A2577" s="1">
        <v>6975</v>
      </c>
      <c r="B2577" s="1" t="s">
        <v>10590</v>
      </c>
      <c r="D2577" s="1" t="s">
        <v>10685</v>
      </c>
      <c r="F2577" s="1" t="s">
        <v>11077</v>
      </c>
      <c r="H2577" s="1" t="s">
        <v>11078</v>
      </c>
      <c r="J2577" s="1" t="s">
        <v>11080</v>
      </c>
      <c r="L2577" s="1" t="s">
        <v>755</v>
      </c>
      <c r="N2577" s="1" t="s">
        <v>3704</v>
      </c>
      <c r="P2577" s="1" t="s">
        <v>4915</v>
      </c>
      <c r="Q2577" s="3">
        <v>0</v>
      </c>
      <c r="R2577" s="23" t="s">
        <v>10605</v>
      </c>
      <c r="S2577" s="23" t="s">
        <v>6844</v>
      </c>
      <c r="T2577" s="23" t="s">
        <v>4866</v>
      </c>
      <c r="U2577" s="3">
        <v>35</v>
      </c>
      <c r="W2577" s="45" t="str">
        <f>HYPERLINK("http://ictvonline.org/taxonomy/p/taxonomy-history?taxnode_id=201902963","ICTVonline=201902963")</f>
        <v>ICTVonline=201902963</v>
      </c>
      <c r="AA2577" s="1">
        <v>201900000</v>
      </c>
      <c r="AB2577" s="1">
        <v>35</v>
      </c>
    </row>
    <row r="2578" spans="1:28" x14ac:dyDescent="0.2">
      <c r="A2578" s="1">
        <v>6977</v>
      </c>
      <c r="B2578" s="1" t="s">
        <v>10590</v>
      </c>
      <c r="D2578" s="1" t="s">
        <v>10685</v>
      </c>
      <c r="F2578" s="1" t="s">
        <v>11077</v>
      </c>
      <c r="H2578" s="1" t="s">
        <v>11078</v>
      </c>
      <c r="J2578" s="1" t="s">
        <v>11080</v>
      </c>
      <c r="L2578" s="1" t="s">
        <v>755</v>
      </c>
      <c r="N2578" s="1" t="s">
        <v>3704</v>
      </c>
      <c r="P2578" s="1" t="s">
        <v>4916</v>
      </c>
      <c r="Q2578" s="3">
        <v>0</v>
      </c>
      <c r="R2578" s="23" t="s">
        <v>10605</v>
      </c>
      <c r="S2578" s="23" t="s">
        <v>6844</v>
      </c>
      <c r="T2578" s="23" t="s">
        <v>4866</v>
      </c>
      <c r="U2578" s="3">
        <v>35</v>
      </c>
      <c r="W2578" s="45" t="str">
        <f>HYPERLINK("http://ictvonline.org/taxonomy/p/taxonomy-history?taxnode_id=201902964","ICTVonline=201902964")</f>
        <v>ICTVonline=201902964</v>
      </c>
      <c r="AA2578" s="1">
        <v>201900000</v>
      </c>
      <c r="AB2578" s="1">
        <v>35</v>
      </c>
    </row>
    <row r="2579" spans="1:28" x14ac:dyDescent="0.2">
      <c r="A2579" s="1">
        <v>6979</v>
      </c>
      <c r="B2579" s="1" t="s">
        <v>10590</v>
      </c>
      <c r="D2579" s="1" t="s">
        <v>10685</v>
      </c>
      <c r="F2579" s="1" t="s">
        <v>11077</v>
      </c>
      <c r="H2579" s="1" t="s">
        <v>11078</v>
      </c>
      <c r="J2579" s="1" t="s">
        <v>11080</v>
      </c>
      <c r="L2579" s="1" t="s">
        <v>755</v>
      </c>
      <c r="N2579" s="1" t="s">
        <v>3704</v>
      </c>
      <c r="P2579" s="1" t="s">
        <v>4917</v>
      </c>
      <c r="Q2579" s="3">
        <v>0</v>
      </c>
      <c r="R2579" s="23" t="s">
        <v>10605</v>
      </c>
      <c r="S2579" s="23" t="s">
        <v>6844</v>
      </c>
      <c r="T2579" s="23" t="s">
        <v>4866</v>
      </c>
      <c r="U2579" s="3">
        <v>35</v>
      </c>
      <c r="W2579" s="45" t="str">
        <f>HYPERLINK("http://ictvonline.org/taxonomy/p/taxonomy-history?taxnode_id=201902965","ICTVonline=201902965")</f>
        <v>ICTVonline=201902965</v>
      </c>
      <c r="AA2579" s="1">
        <v>201900000</v>
      </c>
      <c r="AB2579" s="1">
        <v>35</v>
      </c>
    </row>
    <row r="2580" spans="1:28" x14ac:dyDescent="0.2">
      <c r="A2580" s="1">
        <v>6981</v>
      </c>
      <c r="B2580" s="1" t="s">
        <v>10590</v>
      </c>
      <c r="D2580" s="1" t="s">
        <v>10685</v>
      </c>
      <c r="F2580" s="1" t="s">
        <v>11077</v>
      </c>
      <c r="H2580" s="1" t="s">
        <v>11078</v>
      </c>
      <c r="J2580" s="1" t="s">
        <v>11080</v>
      </c>
      <c r="L2580" s="1" t="s">
        <v>755</v>
      </c>
      <c r="N2580" s="1" t="s">
        <v>3704</v>
      </c>
      <c r="P2580" s="1" t="s">
        <v>4918</v>
      </c>
      <c r="Q2580" s="3">
        <v>0</v>
      </c>
      <c r="R2580" s="23" t="s">
        <v>10605</v>
      </c>
      <c r="S2580" s="23" t="s">
        <v>6844</v>
      </c>
      <c r="T2580" s="23" t="s">
        <v>4866</v>
      </c>
      <c r="U2580" s="3">
        <v>35</v>
      </c>
      <c r="W2580" s="45" t="str">
        <f>HYPERLINK("http://ictvonline.org/taxonomy/p/taxonomy-history?taxnode_id=201902966","ICTVonline=201902966")</f>
        <v>ICTVonline=201902966</v>
      </c>
      <c r="AA2580" s="1">
        <v>201900000</v>
      </c>
      <c r="AB2580" s="1">
        <v>35</v>
      </c>
    </row>
    <row r="2581" spans="1:28" x14ac:dyDescent="0.2">
      <c r="A2581" s="1">
        <v>6983</v>
      </c>
      <c r="B2581" s="1" t="s">
        <v>10590</v>
      </c>
      <c r="D2581" s="1" t="s">
        <v>10685</v>
      </c>
      <c r="F2581" s="1" t="s">
        <v>11077</v>
      </c>
      <c r="H2581" s="1" t="s">
        <v>11078</v>
      </c>
      <c r="J2581" s="1" t="s">
        <v>11080</v>
      </c>
      <c r="L2581" s="1" t="s">
        <v>755</v>
      </c>
      <c r="N2581" s="1" t="s">
        <v>3704</v>
      </c>
      <c r="P2581" s="1" t="s">
        <v>4919</v>
      </c>
      <c r="Q2581" s="3">
        <v>0</v>
      </c>
      <c r="R2581" s="23" t="s">
        <v>10605</v>
      </c>
      <c r="S2581" s="23" t="s">
        <v>6844</v>
      </c>
      <c r="T2581" s="23" t="s">
        <v>4866</v>
      </c>
      <c r="U2581" s="3">
        <v>35</v>
      </c>
      <c r="W2581" s="45" t="str">
        <f>HYPERLINK("http://ictvonline.org/taxonomy/p/taxonomy-history?taxnode_id=201902967","ICTVonline=201902967")</f>
        <v>ICTVonline=201902967</v>
      </c>
      <c r="AA2581" s="1">
        <v>201900000</v>
      </c>
      <c r="AB2581" s="1">
        <v>35</v>
      </c>
    </row>
    <row r="2582" spans="1:28" x14ac:dyDescent="0.2">
      <c r="A2582" s="1">
        <v>6985</v>
      </c>
      <c r="B2582" s="1" t="s">
        <v>10590</v>
      </c>
      <c r="D2582" s="1" t="s">
        <v>10685</v>
      </c>
      <c r="F2582" s="1" t="s">
        <v>11077</v>
      </c>
      <c r="H2582" s="1" t="s">
        <v>11078</v>
      </c>
      <c r="J2582" s="1" t="s">
        <v>11080</v>
      </c>
      <c r="L2582" s="1" t="s">
        <v>755</v>
      </c>
      <c r="N2582" s="1" t="s">
        <v>3704</v>
      </c>
      <c r="P2582" s="1" t="s">
        <v>4920</v>
      </c>
      <c r="Q2582" s="3">
        <v>0</v>
      </c>
      <c r="R2582" s="23" t="s">
        <v>10605</v>
      </c>
      <c r="S2582" s="23" t="s">
        <v>6844</v>
      </c>
      <c r="T2582" s="23" t="s">
        <v>4866</v>
      </c>
      <c r="U2582" s="3">
        <v>35</v>
      </c>
      <c r="W2582" s="45" t="str">
        <f>HYPERLINK("http://ictvonline.org/taxonomy/p/taxonomy-history?taxnode_id=201902968","ICTVonline=201902968")</f>
        <v>ICTVonline=201902968</v>
      </c>
      <c r="AA2582" s="1">
        <v>201900000</v>
      </c>
      <c r="AB2582" s="1">
        <v>35</v>
      </c>
    </row>
    <row r="2583" spans="1:28" x14ac:dyDescent="0.2">
      <c r="A2583" s="1">
        <v>6987</v>
      </c>
      <c r="B2583" s="1" t="s">
        <v>10590</v>
      </c>
      <c r="D2583" s="1" t="s">
        <v>10685</v>
      </c>
      <c r="F2583" s="1" t="s">
        <v>11077</v>
      </c>
      <c r="H2583" s="1" t="s">
        <v>11078</v>
      </c>
      <c r="J2583" s="1" t="s">
        <v>11080</v>
      </c>
      <c r="L2583" s="1" t="s">
        <v>755</v>
      </c>
      <c r="N2583" s="1" t="s">
        <v>3704</v>
      </c>
      <c r="P2583" s="1" t="s">
        <v>4921</v>
      </c>
      <c r="Q2583" s="3">
        <v>1</v>
      </c>
      <c r="R2583" s="23" t="s">
        <v>10605</v>
      </c>
      <c r="S2583" s="23" t="s">
        <v>6844</v>
      </c>
      <c r="T2583" s="23" t="s">
        <v>4866</v>
      </c>
      <c r="U2583" s="3">
        <v>35</v>
      </c>
      <c r="W2583" s="45" t="str">
        <f>HYPERLINK("http://ictvonline.org/taxonomy/p/taxonomy-history?taxnode_id=201902969","ICTVonline=201902969")</f>
        <v>ICTVonline=201902969</v>
      </c>
      <c r="AA2583" s="1">
        <v>201900000</v>
      </c>
      <c r="AB2583" s="1">
        <v>35</v>
      </c>
    </row>
    <row r="2584" spans="1:28" x14ac:dyDescent="0.2">
      <c r="A2584" s="1">
        <v>6989</v>
      </c>
      <c r="B2584" s="1" t="s">
        <v>10590</v>
      </c>
      <c r="D2584" s="1" t="s">
        <v>10685</v>
      </c>
      <c r="F2584" s="1" t="s">
        <v>11077</v>
      </c>
      <c r="H2584" s="1" t="s">
        <v>11078</v>
      </c>
      <c r="J2584" s="1" t="s">
        <v>11080</v>
      </c>
      <c r="L2584" s="1" t="s">
        <v>755</v>
      </c>
      <c r="N2584" s="1" t="s">
        <v>3704</v>
      </c>
      <c r="P2584" s="1" t="s">
        <v>4922</v>
      </c>
      <c r="Q2584" s="3">
        <v>0</v>
      </c>
      <c r="R2584" s="23" t="s">
        <v>10605</v>
      </c>
      <c r="S2584" s="23" t="s">
        <v>6844</v>
      </c>
      <c r="T2584" s="23" t="s">
        <v>4866</v>
      </c>
      <c r="U2584" s="3">
        <v>35</v>
      </c>
      <c r="W2584" s="45" t="str">
        <f>HYPERLINK("http://ictvonline.org/taxonomy/p/taxonomy-history?taxnode_id=201902970","ICTVonline=201902970")</f>
        <v>ICTVonline=201902970</v>
      </c>
      <c r="AA2584" s="1">
        <v>201900000</v>
      </c>
      <c r="AB2584" s="1">
        <v>35</v>
      </c>
    </row>
    <row r="2585" spans="1:28" x14ac:dyDescent="0.2">
      <c r="A2585" s="1">
        <v>6991</v>
      </c>
      <c r="B2585" s="1" t="s">
        <v>10590</v>
      </c>
      <c r="D2585" s="1" t="s">
        <v>10685</v>
      </c>
      <c r="F2585" s="1" t="s">
        <v>11077</v>
      </c>
      <c r="H2585" s="1" t="s">
        <v>11078</v>
      </c>
      <c r="J2585" s="1" t="s">
        <v>11080</v>
      </c>
      <c r="L2585" s="1" t="s">
        <v>755</v>
      </c>
      <c r="N2585" s="1" t="s">
        <v>3704</v>
      </c>
      <c r="P2585" s="1" t="s">
        <v>4923</v>
      </c>
      <c r="Q2585" s="3">
        <v>0</v>
      </c>
      <c r="R2585" s="23" t="s">
        <v>10605</v>
      </c>
      <c r="S2585" s="23" t="s">
        <v>6844</v>
      </c>
      <c r="T2585" s="23" t="s">
        <v>4866</v>
      </c>
      <c r="U2585" s="3">
        <v>35</v>
      </c>
      <c r="W2585" s="45" t="str">
        <f>HYPERLINK("http://ictvonline.org/taxonomy/p/taxonomy-history?taxnode_id=201902971","ICTVonline=201902971")</f>
        <v>ICTVonline=201902971</v>
      </c>
      <c r="AA2585" s="1">
        <v>201900000</v>
      </c>
      <c r="AB2585" s="1">
        <v>35</v>
      </c>
    </row>
    <row r="2586" spans="1:28" x14ac:dyDescent="0.2">
      <c r="A2586" s="1">
        <v>6993</v>
      </c>
      <c r="B2586" s="1" t="s">
        <v>10590</v>
      </c>
      <c r="D2586" s="1" t="s">
        <v>10685</v>
      </c>
      <c r="F2586" s="1" t="s">
        <v>11077</v>
      </c>
      <c r="H2586" s="1" t="s">
        <v>11078</v>
      </c>
      <c r="J2586" s="1" t="s">
        <v>11080</v>
      </c>
      <c r="L2586" s="1" t="s">
        <v>755</v>
      </c>
      <c r="N2586" s="1" t="s">
        <v>3704</v>
      </c>
      <c r="P2586" s="1" t="s">
        <v>4605</v>
      </c>
      <c r="Q2586" s="3">
        <v>0</v>
      </c>
      <c r="R2586" s="23" t="s">
        <v>10605</v>
      </c>
      <c r="S2586" s="23" t="s">
        <v>6844</v>
      </c>
      <c r="T2586" s="23" t="s">
        <v>4866</v>
      </c>
      <c r="U2586" s="3">
        <v>35</v>
      </c>
      <c r="W2586" s="45" t="str">
        <f>HYPERLINK("http://ictvonline.org/taxonomy/p/taxonomy-history?taxnode_id=201902972","ICTVonline=201902972")</f>
        <v>ICTVonline=201902972</v>
      </c>
      <c r="Y2586" s="1" t="s">
        <v>11187</v>
      </c>
      <c r="Z2586" s="1" t="s">
        <v>11188</v>
      </c>
      <c r="AA2586" s="1">
        <v>201900000</v>
      </c>
      <c r="AB2586" s="1">
        <v>35</v>
      </c>
    </row>
    <row r="2587" spans="1:28" x14ac:dyDescent="0.2">
      <c r="A2587" s="1">
        <v>6995</v>
      </c>
      <c r="B2587" s="1" t="s">
        <v>10590</v>
      </c>
      <c r="D2587" s="1" t="s">
        <v>10685</v>
      </c>
      <c r="F2587" s="1" t="s">
        <v>11077</v>
      </c>
      <c r="H2587" s="1" t="s">
        <v>11078</v>
      </c>
      <c r="J2587" s="1" t="s">
        <v>11080</v>
      </c>
      <c r="L2587" s="1" t="s">
        <v>755</v>
      </c>
      <c r="N2587" s="1" t="s">
        <v>3704</v>
      </c>
      <c r="P2587" s="1" t="s">
        <v>5275</v>
      </c>
      <c r="Q2587" s="3">
        <v>0</v>
      </c>
      <c r="R2587" s="23" t="s">
        <v>10605</v>
      </c>
      <c r="S2587" s="23" t="s">
        <v>6844</v>
      </c>
      <c r="T2587" s="23" t="s">
        <v>4866</v>
      </c>
      <c r="U2587" s="3">
        <v>35</v>
      </c>
      <c r="W2587" s="45" t="str">
        <f>HYPERLINK("http://ictvonline.org/taxonomy/p/taxonomy-history?taxnode_id=201905769","ICTVonline=201905769")</f>
        <v>ICTVonline=201905769</v>
      </c>
      <c r="AA2587" s="1">
        <v>201900000</v>
      </c>
      <c r="AB2587" s="1">
        <v>35</v>
      </c>
    </row>
    <row r="2588" spans="1:28" x14ac:dyDescent="0.2">
      <c r="A2588" s="1">
        <v>6997</v>
      </c>
      <c r="B2588" s="1" t="s">
        <v>10590</v>
      </c>
      <c r="D2588" s="1" t="s">
        <v>10685</v>
      </c>
      <c r="F2588" s="1" t="s">
        <v>11077</v>
      </c>
      <c r="H2588" s="1" t="s">
        <v>11078</v>
      </c>
      <c r="J2588" s="1" t="s">
        <v>11080</v>
      </c>
      <c r="L2588" s="1" t="s">
        <v>755</v>
      </c>
      <c r="N2588" s="1" t="s">
        <v>3704</v>
      </c>
      <c r="P2588" s="1" t="s">
        <v>5276</v>
      </c>
      <c r="Q2588" s="3">
        <v>0</v>
      </c>
      <c r="R2588" s="23" t="s">
        <v>10605</v>
      </c>
      <c r="S2588" s="23" t="s">
        <v>6844</v>
      </c>
      <c r="T2588" s="23" t="s">
        <v>4866</v>
      </c>
      <c r="U2588" s="3">
        <v>35</v>
      </c>
      <c r="W2588" s="45" t="str">
        <f>HYPERLINK("http://ictvonline.org/taxonomy/p/taxonomy-history?taxnode_id=201905770","ICTVonline=201905770")</f>
        <v>ICTVonline=201905770</v>
      </c>
      <c r="AA2588" s="1">
        <v>201900000</v>
      </c>
      <c r="AB2588" s="1">
        <v>35</v>
      </c>
    </row>
    <row r="2589" spans="1:28" x14ac:dyDescent="0.2">
      <c r="A2589" s="1">
        <v>6999</v>
      </c>
      <c r="B2589" s="1" t="s">
        <v>10590</v>
      </c>
      <c r="D2589" s="1" t="s">
        <v>10685</v>
      </c>
      <c r="F2589" s="1" t="s">
        <v>11077</v>
      </c>
      <c r="H2589" s="1" t="s">
        <v>11078</v>
      </c>
      <c r="J2589" s="1" t="s">
        <v>11080</v>
      </c>
      <c r="L2589" s="1" t="s">
        <v>755</v>
      </c>
      <c r="N2589" s="1" t="s">
        <v>3704</v>
      </c>
      <c r="P2589" s="1" t="s">
        <v>6741</v>
      </c>
      <c r="Q2589" s="3">
        <v>0</v>
      </c>
      <c r="R2589" s="23" t="s">
        <v>10605</v>
      </c>
      <c r="S2589" s="23" t="s">
        <v>6844</v>
      </c>
      <c r="T2589" s="23" t="s">
        <v>4866</v>
      </c>
      <c r="U2589" s="3">
        <v>35</v>
      </c>
      <c r="W2589" s="45" t="str">
        <f>HYPERLINK("http://ictvonline.org/taxonomy/p/taxonomy-history?taxnode_id=201906571","ICTVonline=201906571")</f>
        <v>ICTVonline=201906571</v>
      </c>
      <c r="X2589" s="1" t="s">
        <v>11189</v>
      </c>
      <c r="Y2589" s="1" t="s">
        <v>11190</v>
      </c>
      <c r="Z2589" s="1" t="s">
        <v>11191</v>
      </c>
      <c r="AA2589" s="1">
        <v>201900000</v>
      </c>
      <c r="AB2589" s="1">
        <v>35</v>
      </c>
    </row>
    <row r="2590" spans="1:28" x14ac:dyDescent="0.2">
      <c r="A2590" s="1">
        <v>7001</v>
      </c>
      <c r="B2590" s="1" t="s">
        <v>10590</v>
      </c>
      <c r="D2590" s="1" t="s">
        <v>10685</v>
      </c>
      <c r="F2590" s="1" t="s">
        <v>11077</v>
      </c>
      <c r="H2590" s="1" t="s">
        <v>11078</v>
      </c>
      <c r="J2590" s="1" t="s">
        <v>11080</v>
      </c>
      <c r="L2590" s="1" t="s">
        <v>755</v>
      </c>
      <c r="N2590" s="1" t="s">
        <v>3704</v>
      </c>
      <c r="P2590" s="1" t="s">
        <v>6742</v>
      </c>
      <c r="Q2590" s="3">
        <v>0</v>
      </c>
      <c r="R2590" s="23" t="s">
        <v>10605</v>
      </c>
      <c r="S2590" s="23" t="s">
        <v>6844</v>
      </c>
      <c r="T2590" s="23" t="s">
        <v>4866</v>
      </c>
      <c r="U2590" s="3">
        <v>35</v>
      </c>
      <c r="W2590" s="45" t="str">
        <f>HYPERLINK("http://ictvonline.org/taxonomy/p/taxonomy-history?taxnode_id=201906572","ICTVonline=201906572")</f>
        <v>ICTVonline=201906572</v>
      </c>
      <c r="X2590" s="1" t="s">
        <v>11192</v>
      </c>
      <c r="Y2590" s="1" t="s">
        <v>11193</v>
      </c>
      <c r="Z2590" s="1" t="s">
        <v>11194</v>
      </c>
      <c r="AA2590" s="1">
        <v>201900000</v>
      </c>
      <c r="AB2590" s="1">
        <v>35</v>
      </c>
    </row>
    <row r="2591" spans="1:28" x14ac:dyDescent="0.2">
      <c r="A2591" s="1">
        <v>7003</v>
      </c>
      <c r="B2591" s="1" t="s">
        <v>10590</v>
      </c>
      <c r="D2591" s="1" t="s">
        <v>10685</v>
      </c>
      <c r="F2591" s="1" t="s">
        <v>11077</v>
      </c>
      <c r="H2591" s="1" t="s">
        <v>11078</v>
      </c>
      <c r="J2591" s="1" t="s">
        <v>11080</v>
      </c>
      <c r="L2591" s="1" t="s">
        <v>755</v>
      </c>
      <c r="N2591" s="1" t="s">
        <v>3704</v>
      </c>
      <c r="P2591" s="1" t="s">
        <v>11195</v>
      </c>
      <c r="Q2591" s="3">
        <v>0</v>
      </c>
      <c r="R2591" s="23" t="s">
        <v>10930</v>
      </c>
      <c r="S2591" s="23" t="s">
        <v>6849</v>
      </c>
      <c r="T2591" s="23" t="s">
        <v>4864</v>
      </c>
      <c r="U2591" s="3">
        <v>35</v>
      </c>
      <c r="V2591" s="3" t="s">
        <v>11100</v>
      </c>
      <c r="W2591" s="45" t="str">
        <f>HYPERLINK("http://ictvonline.org/taxonomy/p/taxonomy-history?taxnode_id=201908682","ICTVonline=201908682")</f>
        <v>ICTVonline=201908682</v>
      </c>
      <c r="X2591" s="1" t="s">
        <v>11196</v>
      </c>
      <c r="Y2591" s="1" t="s">
        <v>11197</v>
      </c>
      <c r="Z2591" s="1" t="s">
        <v>11198</v>
      </c>
      <c r="AA2591" s="1">
        <v>201900000</v>
      </c>
      <c r="AB2591" s="1">
        <v>35</v>
      </c>
    </row>
    <row r="2592" spans="1:28" x14ac:dyDescent="0.2">
      <c r="A2592" s="1">
        <v>7005</v>
      </c>
      <c r="B2592" s="1" t="s">
        <v>10590</v>
      </c>
      <c r="D2592" s="1" t="s">
        <v>10685</v>
      </c>
      <c r="F2592" s="1" t="s">
        <v>11077</v>
      </c>
      <c r="H2592" s="1" t="s">
        <v>11078</v>
      </c>
      <c r="J2592" s="1" t="s">
        <v>11080</v>
      </c>
      <c r="L2592" s="1" t="s">
        <v>755</v>
      </c>
      <c r="N2592" s="1" t="s">
        <v>3704</v>
      </c>
      <c r="P2592" s="1" t="s">
        <v>4606</v>
      </c>
      <c r="Q2592" s="3">
        <v>0</v>
      </c>
      <c r="R2592" s="23" t="s">
        <v>10605</v>
      </c>
      <c r="S2592" s="23" t="s">
        <v>6844</v>
      </c>
      <c r="T2592" s="23" t="s">
        <v>4866</v>
      </c>
      <c r="U2592" s="3">
        <v>35</v>
      </c>
      <c r="W2592" s="45" t="str">
        <f>HYPERLINK("http://ictvonline.org/taxonomy/p/taxonomy-history?taxnode_id=201902973","ICTVonline=201902973")</f>
        <v>ICTVonline=201902973</v>
      </c>
      <c r="Y2592" s="1" t="s">
        <v>11199</v>
      </c>
      <c r="Z2592" s="1" t="s">
        <v>11200</v>
      </c>
      <c r="AA2592" s="1">
        <v>201900000</v>
      </c>
      <c r="AB2592" s="1">
        <v>35</v>
      </c>
    </row>
    <row r="2593" spans="1:28" x14ac:dyDescent="0.2">
      <c r="A2593" s="1">
        <v>7013</v>
      </c>
      <c r="B2593" s="1" t="s">
        <v>10590</v>
      </c>
      <c r="D2593" s="1" t="s">
        <v>10685</v>
      </c>
      <c r="F2593" s="1" t="s">
        <v>11077</v>
      </c>
      <c r="H2593" s="1" t="s">
        <v>11078</v>
      </c>
      <c r="J2593" s="1" t="s">
        <v>11201</v>
      </c>
      <c r="L2593" s="1" t="s">
        <v>5467</v>
      </c>
      <c r="N2593" s="1" t="s">
        <v>5468</v>
      </c>
      <c r="P2593" s="1" t="s">
        <v>5469</v>
      </c>
      <c r="Q2593" s="3">
        <v>1</v>
      </c>
      <c r="R2593" s="23" t="s">
        <v>10605</v>
      </c>
      <c r="S2593" s="23" t="s">
        <v>6844</v>
      </c>
      <c r="T2593" s="23" t="s">
        <v>4866</v>
      </c>
      <c r="U2593" s="3">
        <v>35</v>
      </c>
      <c r="W2593" s="45" t="str">
        <f>HYPERLINK("http://ictvonline.org/taxonomy/p/taxonomy-history?taxnode_id=201905945","ICTVonline=201905945")</f>
        <v>ICTVonline=201905945</v>
      </c>
      <c r="AA2593" s="1">
        <v>201900000</v>
      </c>
      <c r="AB2593" s="1">
        <v>35</v>
      </c>
    </row>
    <row r="2594" spans="1:28" x14ac:dyDescent="0.2">
      <c r="A2594" s="1">
        <v>7015</v>
      </c>
      <c r="B2594" s="1" t="s">
        <v>10590</v>
      </c>
      <c r="D2594" s="1" t="s">
        <v>10685</v>
      </c>
      <c r="F2594" s="1" t="s">
        <v>11077</v>
      </c>
      <c r="H2594" s="1" t="s">
        <v>11078</v>
      </c>
      <c r="J2594" s="1" t="s">
        <v>11201</v>
      </c>
      <c r="L2594" s="1" t="s">
        <v>5467</v>
      </c>
      <c r="N2594" s="1" t="s">
        <v>5468</v>
      </c>
      <c r="P2594" s="1" t="s">
        <v>5470</v>
      </c>
      <c r="Q2594" s="3">
        <v>0</v>
      </c>
      <c r="R2594" s="23" t="s">
        <v>10605</v>
      </c>
      <c r="S2594" s="23" t="s">
        <v>6844</v>
      </c>
      <c r="T2594" s="23" t="s">
        <v>4866</v>
      </c>
      <c r="U2594" s="3">
        <v>35</v>
      </c>
      <c r="W2594" s="45" t="str">
        <f>HYPERLINK("http://ictvonline.org/taxonomy/p/taxonomy-history?taxnode_id=201905946","ICTVonline=201905946")</f>
        <v>ICTVonline=201905946</v>
      </c>
      <c r="AA2594" s="1">
        <v>201900000</v>
      </c>
      <c r="AB2594" s="1">
        <v>35</v>
      </c>
    </row>
    <row r="2595" spans="1:28" x14ac:dyDescent="0.2">
      <c r="A2595" s="1">
        <v>7017</v>
      </c>
      <c r="B2595" s="1" t="s">
        <v>10590</v>
      </c>
      <c r="D2595" s="1" t="s">
        <v>10685</v>
      </c>
      <c r="F2595" s="1" t="s">
        <v>11077</v>
      </c>
      <c r="H2595" s="1" t="s">
        <v>11078</v>
      </c>
      <c r="J2595" s="1" t="s">
        <v>11201</v>
      </c>
      <c r="L2595" s="1" t="s">
        <v>5467</v>
      </c>
      <c r="N2595" s="1" t="s">
        <v>5468</v>
      </c>
      <c r="P2595" s="1" t="s">
        <v>5471</v>
      </c>
      <c r="Q2595" s="3">
        <v>0</v>
      </c>
      <c r="R2595" s="23" t="s">
        <v>10605</v>
      </c>
      <c r="S2595" s="23" t="s">
        <v>6844</v>
      </c>
      <c r="T2595" s="23" t="s">
        <v>4866</v>
      </c>
      <c r="U2595" s="3">
        <v>35</v>
      </c>
      <c r="W2595" s="45" t="str">
        <f>HYPERLINK("http://ictvonline.org/taxonomy/p/taxonomy-history?taxnode_id=201905947","ICTVonline=201905947")</f>
        <v>ICTVonline=201905947</v>
      </c>
      <c r="AA2595" s="1">
        <v>201900000</v>
      </c>
      <c r="AB2595" s="1">
        <v>35</v>
      </c>
    </row>
    <row r="2596" spans="1:28" x14ac:dyDescent="0.2">
      <c r="A2596" s="1">
        <v>7021</v>
      </c>
      <c r="B2596" s="1" t="s">
        <v>10590</v>
      </c>
      <c r="D2596" s="1" t="s">
        <v>10685</v>
      </c>
      <c r="F2596" s="1" t="s">
        <v>11077</v>
      </c>
      <c r="H2596" s="1" t="s">
        <v>11078</v>
      </c>
      <c r="J2596" s="1" t="s">
        <v>11201</v>
      </c>
      <c r="L2596" s="1" t="s">
        <v>5467</v>
      </c>
      <c r="N2596" s="1" t="s">
        <v>5472</v>
      </c>
      <c r="P2596" s="1" t="s">
        <v>5473</v>
      </c>
      <c r="Q2596" s="3">
        <v>1</v>
      </c>
      <c r="R2596" s="23" t="s">
        <v>10605</v>
      </c>
      <c r="S2596" s="23" t="s">
        <v>6844</v>
      </c>
      <c r="T2596" s="23" t="s">
        <v>4866</v>
      </c>
      <c r="U2596" s="3">
        <v>35</v>
      </c>
      <c r="W2596" s="45" t="str">
        <f>HYPERLINK("http://ictvonline.org/taxonomy/p/taxonomy-history?taxnode_id=201905949","ICTVonline=201905949")</f>
        <v>ICTVonline=201905949</v>
      </c>
      <c r="AA2596" s="1">
        <v>201900000</v>
      </c>
      <c r="AB2596" s="1">
        <v>35</v>
      </c>
    </row>
    <row r="2597" spans="1:28" x14ac:dyDescent="0.2">
      <c r="A2597" s="1">
        <v>7025</v>
      </c>
      <c r="B2597" s="1" t="s">
        <v>10590</v>
      </c>
      <c r="D2597" s="1" t="s">
        <v>10685</v>
      </c>
      <c r="F2597" s="1" t="s">
        <v>11077</v>
      </c>
      <c r="H2597" s="1" t="s">
        <v>11078</v>
      </c>
      <c r="J2597" s="1" t="s">
        <v>11201</v>
      </c>
      <c r="L2597" s="1" t="s">
        <v>5467</v>
      </c>
      <c r="N2597" s="1" t="s">
        <v>5474</v>
      </c>
      <c r="P2597" s="1" t="s">
        <v>5475</v>
      </c>
      <c r="Q2597" s="3">
        <v>1</v>
      </c>
      <c r="R2597" s="23" t="s">
        <v>10605</v>
      </c>
      <c r="S2597" s="23" t="s">
        <v>6844</v>
      </c>
      <c r="T2597" s="23" t="s">
        <v>4866</v>
      </c>
      <c r="U2597" s="3">
        <v>35</v>
      </c>
      <c r="W2597" s="45" t="str">
        <f>HYPERLINK("http://ictvonline.org/taxonomy/p/taxonomy-history?taxnode_id=201905951","ICTVonline=201905951")</f>
        <v>ICTVonline=201905951</v>
      </c>
      <c r="AA2597" s="1">
        <v>201900000</v>
      </c>
      <c r="AB2597" s="1">
        <v>35</v>
      </c>
    </row>
    <row r="2598" spans="1:28" x14ac:dyDescent="0.2">
      <c r="A2598" s="1">
        <v>7029</v>
      </c>
      <c r="B2598" s="1" t="s">
        <v>10590</v>
      </c>
      <c r="D2598" s="1" t="s">
        <v>10685</v>
      </c>
      <c r="F2598" s="1" t="s">
        <v>11077</v>
      </c>
      <c r="H2598" s="1" t="s">
        <v>11078</v>
      </c>
      <c r="J2598" s="1" t="s">
        <v>11201</v>
      </c>
      <c r="L2598" s="1" t="s">
        <v>5467</v>
      </c>
      <c r="N2598" s="1" t="s">
        <v>5476</v>
      </c>
      <c r="P2598" s="1" t="s">
        <v>5477</v>
      </c>
      <c r="Q2598" s="3">
        <v>0</v>
      </c>
      <c r="R2598" s="23" t="s">
        <v>10605</v>
      </c>
      <c r="S2598" s="23" t="s">
        <v>6844</v>
      </c>
      <c r="T2598" s="23" t="s">
        <v>4866</v>
      </c>
      <c r="U2598" s="3">
        <v>35</v>
      </c>
      <c r="W2598" s="45" t="str">
        <f>HYPERLINK("http://ictvonline.org/taxonomy/p/taxonomy-history?taxnode_id=201905953","ICTVonline=201905953")</f>
        <v>ICTVonline=201905953</v>
      </c>
      <c r="AA2598" s="1">
        <v>201900000</v>
      </c>
      <c r="AB2598" s="1">
        <v>35</v>
      </c>
    </row>
    <row r="2599" spans="1:28" x14ac:dyDescent="0.2">
      <c r="A2599" s="1">
        <v>7031</v>
      </c>
      <c r="B2599" s="1" t="s">
        <v>10590</v>
      </c>
      <c r="D2599" s="1" t="s">
        <v>10685</v>
      </c>
      <c r="F2599" s="1" t="s">
        <v>11077</v>
      </c>
      <c r="H2599" s="1" t="s">
        <v>11078</v>
      </c>
      <c r="J2599" s="1" t="s">
        <v>11201</v>
      </c>
      <c r="L2599" s="1" t="s">
        <v>5467</v>
      </c>
      <c r="N2599" s="1" t="s">
        <v>5476</v>
      </c>
      <c r="P2599" s="1" t="s">
        <v>5478</v>
      </c>
      <c r="Q2599" s="3">
        <v>1</v>
      </c>
      <c r="R2599" s="23" t="s">
        <v>10605</v>
      </c>
      <c r="S2599" s="23" t="s">
        <v>6844</v>
      </c>
      <c r="T2599" s="23" t="s">
        <v>4866</v>
      </c>
      <c r="U2599" s="3">
        <v>35</v>
      </c>
      <c r="W2599" s="45" t="str">
        <f>HYPERLINK("http://ictvonline.org/taxonomy/p/taxonomy-history?taxnode_id=201905954","ICTVonline=201905954")</f>
        <v>ICTVonline=201905954</v>
      </c>
      <c r="AA2599" s="1">
        <v>201900000</v>
      </c>
      <c r="AB2599" s="1">
        <v>35</v>
      </c>
    </row>
    <row r="2600" spans="1:28" x14ac:dyDescent="0.2">
      <c r="A2600" s="1">
        <v>7033</v>
      </c>
      <c r="B2600" s="1" t="s">
        <v>10590</v>
      </c>
      <c r="D2600" s="1" t="s">
        <v>10685</v>
      </c>
      <c r="F2600" s="1" t="s">
        <v>11077</v>
      </c>
      <c r="H2600" s="1" t="s">
        <v>11078</v>
      </c>
      <c r="J2600" s="1" t="s">
        <v>11201</v>
      </c>
      <c r="L2600" s="1" t="s">
        <v>5467</v>
      </c>
      <c r="N2600" s="1" t="s">
        <v>5476</v>
      </c>
      <c r="P2600" s="1" t="s">
        <v>5479</v>
      </c>
      <c r="Q2600" s="3">
        <v>0</v>
      </c>
      <c r="R2600" s="23" t="s">
        <v>10605</v>
      </c>
      <c r="S2600" s="23" t="s">
        <v>6844</v>
      </c>
      <c r="T2600" s="23" t="s">
        <v>4866</v>
      </c>
      <c r="U2600" s="3">
        <v>35</v>
      </c>
      <c r="W2600" s="45" t="str">
        <f>HYPERLINK("http://ictvonline.org/taxonomy/p/taxonomy-history?taxnode_id=201905955","ICTVonline=201905955")</f>
        <v>ICTVonline=201905955</v>
      </c>
      <c r="AA2600" s="1">
        <v>201900000</v>
      </c>
      <c r="AB2600" s="1">
        <v>35</v>
      </c>
    </row>
    <row r="2601" spans="1:28" x14ac:dyDescent="0.2">
      <c r="A2601" s="1">
        <v>7037</v>
      </c>
      <c r="B2601" s="1" t="s">
        <v>10590</v>
      </c>
      <c r="D2601" s="1" t="s">
        <v>10685</v>
      </c>
      <c r="F2601" s="1" t="s">
        <v>11077</v>
      </c>
      <c r="H2601" s="1" t="s">
        <v>11078</v>
      </c>
      <c r="J2601" s="1" t="s">
        <v>11201</v>
      </c>
      <c r="L2601" s="1" t="s">
        <v>5467</v>
      </c>
      <c r="N2601" s="1" t="s">
        <v>5480</v>
      </c>
      <c r="P2601" s="1" t="s">
        <v>5481</v>
      </c>
      <c r="Q2601" s="3">
        <v>0</v>
      </c>
      <c r="R2601" s="23" t="s">
        <v>10605</v>
      </c>
      <c r="S2601" s="23" t="s">
        <v>6844</v>
      </c>
      <c r="T2601" s="23" t="s">
        <v>4866</v>
      </c>
      <c r="U2601" s="3">
        <v>35</v>
      </c>
      <c r="W2601" s="45" t="str">
        <f>HYPERLINK("http://ictvonline.org/taxonomy/p/taxonomy-history?taxnode_id=201905957","ICTVonline=201905957")</f>
        <v>ICTVonline=201905957</v>
      </c>
      <c r="AA2601" s="1">
        <v>201900000</v>
      </c>
      <c r="AB2601" s="1">
        <v>35</v>
      </c>
    </row>
    <row r="2602" spans="1:28" x14ac:dyDescent="0.2">
      <c r="A2602" s="1">
        <v>7039</v>
      </c>
      <c r="B2602" s="1" t="s">
        <v>10590</v>
      </c>
      <c r="D2602" s="1" t="s">
        <v>10685</v>
      </c>
      <c r="F2602" s="1" t="s">
        <v>11077</v>
      </c>
      <c r="H2602" s="1" t="s">
        <v>11078</v>
      </c>
      <c r="J2602" s="1" t="s">
        <v>11201</v>
      </c>
      <c r="L2602" s="1" t="s">
        <v>5467</v>
      </c>
      <c r="N2602" s="1" t="s">
        <v>5480</v>
      </c>
      <c r="P2602" s="1" t="s">
        <v>5482</v>
      </c>
      <c r="Q2602" s="3">
        <v>0</v>
      </c>
      <c r="R2602" s="23" t="s">
        <v>10605</v>
      </c>
      <c r="S2602" s="23" t="s">
        <v>6844</v>
      </c>
      <c r="T2602" s="23" t="s">
        <v>4866</v>
      </c>
      <c r="U2602" s="3">
        <v>35</v>
      </c>
      <c r="W2602" s="45" t="str">
        <f>HYPERLINK("http://ictvonline.org/taxonomy/p/taxonomy-history?taxnode_id=201905958","ICTVonline=201905958")</f>
        <v>ICTVonline=201905958</v>
      </c>
      <c r="AA2602" s="1">
        <v>201900000</v>
      </c>
      <c r="AB2602" s="1">
        <v>35</v>
      </c>
    </row>
    <row r="2603" spans="1:28" x14ac:dyDescent="0.2">
      <c r="A2603" s="1">
        <v>7041</v>
      </c>
      <c r="B2603" s="1" t="s">
        <v>10590</v>
      </c>
      <c r="D2603" s="1" t="s">
        <v>10685</v>
      </c>
      <c r="F2603" s="1" t="s">
        <v>11077</v>
      </c>
      <c r="H2603" s="1" t="s">
        <v>11078</v>
      </c>
      <c r="J2603" s="1" t="s">
        <v>11201</v>
      </c>
      <c r="L2603" s="1" t="s">
        <v>5467</v>
      </c>
      <c r="N2603" s="1" t="s">
        <v>5480</v>
      </c>
      <c r="P2603" s="1" t="s">
        <v>5483</v>
      </c>
      <c r="Q2603" s="3">
        <v>0</v>
      </c>
      <c r="R2603" s="23" t="s">
        <v>10605</v>
      </c>
      <c r="S2603" s="23" t="s">
        <v>6844</v>
      </c>
      <c r="T2603" s="23" t="s">
        <v>4866</v>
      </c>
      <c r="U2603" s="3">
        <v>35</v>
      </c>
      <c r="W2603" s="45" t="str">
        <f>HYPERLINK("http://ictvonline.org/taxonomy/p/taxonomy-history?taxnode_id=201905959","ICTVonline=201905959")</f>
        <v>ICTVonline=201905959</v>
      </c>
      <c r="AA2603" s="1">
        <v>201900000</v>
      </c>
      <c r="AB2603" s="1">
        <v>35</v>
      </c>
    </row>
    <row r="2604" spans="1:28" x14ac:dyDescent="0.2">
      <c r="A2604" s="1">
        <v>7043</v>
      </c>
      <c r="B2604" s="1" t="s">
        <v>10590</v>
      </c>
      <c r="D2604" s="1" t="s">
        <v>10685</v>
      </c>
      <c r="F2604" s="1" t="s">
        <v>11077</v>
      </c>
      <c r="H2604" s="1" t="s">
        <v>11078</v>
      </c>
      <c r="J2604" s="1" t="s">
        <v>11201</v>
      </c>
      <c r="L2604" s="1" t="s">
        <v>5467</v>
      </c>
      <c r="N2604" s="1" t="s">
        <v>5480</v>
      </c>
      <c r="P2604" s="1" t="s">
        <v>5484</v>
      </c>
      <c r="Q2604" s="3">
        <v>0</v>
      </c>
      <c r="R2604" s="23" t="s">
        <v>10605</v>
      </c>
      <c r="S2604" s="23" t="s">
        <v>6844</v>
      </c>
      <c r="T2604" s="23" t="s">
        <v>4866</v>
      </c>
      <c r="U2604" s="3">
        <v>35</v>
      </c>
      <c r="W2604" s="45" t="str">
        <f>HYPERLINK("http://ictvonline.org/taxonomy/p/taxonomy-history?taxnode_id=201905960","ICTVonline=201905960")</f>
        <v>ICTVonline=201905960</v>
      </c>
      <c r="AA2604" s="1">
        <v>201900000</v>
      </c>
      <c r="AB2604" s="1">
        <v>35</v>
      </c>
    </row>
    <row r="2605" spans="1:28" x14ac:dyDescent="0.2">
      <c r="A2605" s="1">
        <v>7045</v>
      </c>
      <c r="B2605" s="1" t="s">
        <v>10590</v>
      </c>
      <c r="D2605" s="1" t="s">
        <v>10685</v>
      </c>
      <c r="F2605" s="1" t="s">
        <v>11077</v>
      </c>
      <c r="H2605" s="1" t="s">
        <v>11078</v>
      </c>
      <c r="J2605" s="1" t="s">
        <v>11201</v>
      </c>
      <c r="L2605" s="1" t="s">
        <v>5467</v>
      </c>
      <c r="N2605" s="1" t="s">
        <v>5480</v>
      </c>
      <c r="P2605" s="1" t="s">
        <v>5485</v>
      </c>
      <c r="Q2605" s="3">
        <v>1</v>
      </c>
      <c r="R2605" s="23" t="s">
        <v>10605</v>
      </c>
      <c r="S2605" s="23" t="s">
        <v>6844</v>
      </c>
      <c r="T2605" s="23" t="s">
        <v>4866</v>
      </c>
      <c r="U2605" s="3">
        <v>35</v>
      </c>
      <c r="W2605" s="45" t="str">
        <f>HYPERLINK("http://ictvonline.org/taxonomy/p/taxonomy-history?taxnode_id=201905961","ICTVonline=201905961")</f>
        <v>ICTVonline=201905961</v>
      </c>
      <c r="AA2605" s="1">
        <v>201900000</v>
      </c>
      <c r="AB2605" s="1">
        <v>35</v>
      </c>
    </row>
    <row r="2606" spans="1:28" x14ac:dyDescent="0.2">
      <c r="A2606" s="1">
        <v>7047</v>
      </c>
      <c r="B2606" s="1" t="s">
        <v>10590</v>
      </c>
      <c r="D2606" s="1" t="s">
        <v>10685</v>
      </c>
      <c r="F2606" s="1" t="s">
        <v>11077</v>
      </c>
      <c r="H2606" s="1" t="s">
        <v>11078</v>
      </c>
      <c r="J2606" s="1" t="s">
        <v>11201</v>
      </c>
      <c r="L2606" s="1" t="s">
        <v>5467</v>
      </c>
      <c r="N2606" s="1" t="s">
        <v>5480</v>
      </c>
      <c r="P2606" s="1" t="s">
        <v>5486</v>
      </c>
      <c r="Q2606" s="3">
        <v>0</v>
      </c>
      <c r="R2606" s="23" t="s">
        <v>10605</v>
      </c>
      <c r="S2606" s="23" t="s">
        <v>6844</v>
      </c>
      <c r="T2606" s="23" t="s">
        <v>4866</v>
      </c>
      <c r="U2606" s="3">
        <v>35</v>
      </c>
      <c r="W2606" s="45" t="str">
        <f>HYPERLINK("http://ictvonline.org/taxonomy/p/taxonomy-history?taxnode_id=201905962","ICTVonline=201905962")</f>
        <v>ICTVonline=201905962</v>
      </c>
      <c r="AA2606" s="1">
        <v>201900000</v>
      </c>
      <c r="AB2606" s="1">
        <v>35</v>
      </c>
    </row>
    <row r="2607" spans="1:28" x14ac:dyDescent="0.2">
      <c r="A2607" s="1">
        <v>7049</v>
      </c>
      <c r="B2607" s="1" t="s">
        <v>10590</v>
      </c>
      <c r="D2607" s="1" t="s">
        <v>10685</v>
      </c>
      <c r="F2607" s="1" t="s">
        <v>11077</v>
      </c>
      <c r="H2607" s="1" t="s">
        <v>11078</v>
      </c>
      <c r="J2607" s="1" t="s">
        <v>11201</v>
      </c>
      <c r="L2607" s="1" t="s">
        <v>5467</v>
      </c>
      <c r="N2607" s="1" t="s">
        <v>5480</v>
      </c>
      <c r="P2607" s="1" t="s">
        <v>5487</v>
      </c>
      <c r="Q2607" s="3">
        <v>0</v>
      </c>
      <c r="R2607" s="23" t="s">
        <v>10605</v>
      </c>
      <c r="S2607" s="23" t="s">
        <v>6844</v>
      </c>
      <c r="T2607" s="23" t="s">
        <v>4866</v>
      </c>
      <c r="U2607" s="3">
        <v>35</v>
      </c>
      <c r="W2607" s="45" t="str">
        <f>HYPERLINK("http://ictvonline.org/taxonomy/p/taxonomy-history?taxnode_id=201905963","ICTVonline=201905963")</f>
        <v>ICTVonline=201905963</v>
      </c>
      <c r="AA2607" s="1">
        <v>201900000</v>
      </c>
      <c r="AB2607" s="1">
        <v>35</v>
      </c>
    </row>
    <row r="2608" spans="1:28" x14ac:dyDescent="0.2">
      <c r="A2608" s="1">
        <v>7053</v>
      </c>
      <c r="B2608" s="1" t="s">
        <v>10590</v>
      </c>
      <c r="D2608" s="1" t="s">
        <v>10685</v>
      </c>
      <c r="F2608" s="1" t="s">
        <v>11077</v>
      </c>
      <c r="H2608" s="1" t="s">
        <v>11078</v>
      </c>
      <c r="J2608" s="1" t="s">
        <v>11201</v>
      </c>
      <c r="L2608" s="1" t="s">
        <v>5467</v>
      </c>
      <c r="N2608" s="1" t="s">
        <v>5488</v>
      </c>
      <c r="P2608" s="1" t="s">
        <v>5489</v>
      </c>
      <c r="Q2608" s="3">
        <v>0</v>
      </c>
      <c r="R2608" s="23" t="s">
        <v>10605</v>
      </c>
      <c r="S2608" s="23" t="s">
        <v>6844</v>
      </c>
      <c r="T2608" s="23" t="s">
        <v>4866</v>
      </c>
      <c r="U2608" s="3">
        <v>35</v>
      </c>
      <c r="W2608" s="45" t="str">
        <f>HYPERLINK("http://ictvonline.org/taxonomy/p/taxonomy-history?taxnode_id=201905965","ICTVonline=201905965")</f>
        <v>ICTVonline=201905965</v>
      </c>
      <c r="AA2608" s="1">
        <v>201900000</v>
      </c>
      <c r="AB2608" s="1">
        <v>35</v>
      </c>
    </row>
    <row r="2609" spans="1:28" x14ac:dyDescent="0.2">
      <c r="A2609" s="1">
        <v>7055</v>
      </c>
      <c r="B2609" s="1" t="s">
        <v>10590</v>
      </c>
      <c r="D2609" s="1" t="s">
        <v>10685</v>
      </c>
      <c r="F2609" s="1" t="s">
        <v>11077</v>
      </c>
      <c r="H2609" s="1" t="s">
        <v>11078</v>
      </c>
      <c r="J2609" s="1" t="s">
        <v>11201</v>
      </c>
      <c r="L2609" s="1" t="s">
        <v>5467</v>
      </c>
      <c r="N2609" s="1" t="s">
        <v>5488</v>
      </c>
      <c r="P2609" s="1" t="s">
        <v>5490</v>
      </c>
      <c r="Q2609" s="3">
        <v>0</v>
      </c>
      <c r="R2609" s="23" t="s">
        <v>10605</v>
      </c>
      <c r="S2609" s="23" t="s">
        <v>6844</v>
      </c>
      <c r="T2609" s="23" t="s">
        <v>4866</v>
      </c>
      <c r="U2609" s="3">
        <v>35</v>
      </c>
      <c r="W2609" s="45" t="str">
        <f>HYPERLINK("http://ictvonline.org/taxonomy/p/taxonomy-history?taxnode_id=201905966","ICTVonline=201905966")</f>
        <v>ICTVonline=201905966</v>
      </c>
      <c r="Y2609" s="48"/>
      <c r="Z2609" s="48"/>
      <c r="AA2609" s="1">
        <v>201900000</v>
      </c>
      <c r="AB2609" s="48">
        <v>35</v>
      </c>
    </row>
    <row r="2610" spans="1:28" x14ac:dyDescent="0.2">
      <c r="A2610" s="1">
        <v>7057</v>
      </c>
      <c r="B2610" s="1" t="s">
        <v>10590</v>
      </c>
      <c r="D2610" s="1" t="s">
        <v>10685</v>
      </c>
      <c r="F2610" s="1" t="s">
        <v>11077</v>
      </c>
      <c r="H2610" s="1" t="s">
        <v>11078</v>
      </c>
      <c r="J2610" s="1" t="s">
        <v>11201</v>
      </c>
      <c r="L2610" s="1" t="s">
        <v>5467</v>
      </c>
      <c r="N2610" s="1" t="s">
        <v>5488</v>
      </c>
      <c r="P2610" s="1" t="s">
        <v>5491</v>
      </c>
      <c r="Q2610" s="3">
        <v>0</v>
      </c>
      <c r="R2610" s="23" t="s">
        <v>10605</v>
      </c>
      <c r="S2610" s="23" t="s">
        <v>6844</v>
      </c>
      <c r="T2610" s="23" t="s">
        <v>4866</v>
      </c>
      <c r="U2610" s="3">
        <v>35</v>
      </c>
      <c r="W2610" s="45" t="str">
        <f>HYPERLINK("http://ictvonline.org/taxonomy/p/taxonomy-history?taxnode_id=201905967","ICTVonline=201905967")</f>
        <v>ICTVonline=201905967</v>
      </c>
      <c r="AA2610" s="1">
        <v>201900000</v>
      </c>
      <c r="AB2610" s="1">
        <v>35</v>
      </c>
    </row>
    <row r="2611" spans="1:28" x14ac:dyDescent="0.2">
      <c r="A2611" s="1">
        <v>7059</v>
      </c>
      <c r="B2611" s="1" t="s">
        <v>10590</v>
      </c>
      <c r="D2611" s="1" t="s">
        <v>10685</v>
      </c>
      <c r="F2611" s="1" t="s">
        <v>11077</v>
      </c>
      <c r="H2611" s="1" t="s">
        <v>11078</v>
      </c>
      <c r="J2611" s="1" t="s">
        <v>11201</v>
      </c>
      <c r="L2611" s="1" t="s">
        <v>5467</v>
      </c>
      <c r="N2611" s="1" t="s">
        <v>5488</v>
      </c>
      <c r="P2611" s="1" t="s">
        <v>5492</v>
      </c>
      <c r="Q2611" s="3">
        <v>0</v>
      </c>
      <c r="R2611" s="23" t="s">
        <v>10605</v>
      </c>
      <c r="S2611" s="23" t="s">
        <v>6844</v>
      </c>
      <c r="T2611" s="23" t="s">
        <v>4866</v>
      </c>
      <c r="U2611" s="3">
        <v>35</v>
      </c>
      <c r="W2611" s="45" t="str">
        <f>HYPERLINK("http://ictvonline.org/taxonomy/p/taxonomy-history?taxnode_id=201905968","ICTVonline=201905968")</f>
        <v>ICTVonline=201905968</v>
      </c>
      <c r="AA2611" s="1">
        <v>201900000</v>
      </c>
      <c r="AB2611" s="1">
        <v>35</v>
      </c>
    </row>
    <row r="2612" spans="1:28" x14ac:dyDescent="0.2">
      <c r="A2612" s="1">
        <v>7061</v>
      </c>
      <c r="B2612" s="1" t="s">
        <v>10590</v>
      </c>
      <c r="D2612" s="1" t="s">
        <v>10685</v>
      </c>
      <c r="F2612" s="1" t="s">
        <v>11077</v>
      </c>
      <c r="H2612" s="1" t="s">
        <v>11078</v>
      </c>
      <c r="J2612" s="1" t="s">
        <v>11201</v>
      </c>
      <c r="L2612" s="1" t="s">
        <v>5467</v>
      </c>
      <c r="N2612" s="1" t="s">
        <v>5488</v>
      </c>
      <c r="P2612" s="1" t="s">
        <v>5493</v>
      </c>
      <c r="Q2612" s="3">
        <v>0</v>
      </c>
      <c r="R2612" s="23" t="s">
        <v>10605</v>
      </c>
      <c r="S2612" s="23" t="s">
        <v>6844</v>
      </c>
      <c r="T2612" s="23" t="s">
        <v>4866</v>
      </c>
      <c r="U2612" s="3">
        <v>35</v>
      </c>
      <c r="W2612" s="45" t="str">
        <f>HYPERLINK("http://ictvonline.org/taxonomy/p/taxonomy-history?taxnode_id=201905969","ICTVonline=201905969")</f>
        <v>ICTVonline=201905969</v>
      </c>
      <c r="AA2612" s="1">
        <v>201900000</v>
      </c>
      <c r="AB2612" s="1">
        <v>35</v>
      </c>
    </row>
    <row r="2613" spans="1:28" x14ac:dyDescent="0.2">
      <c r="A2613" s="1">
        <v>7063</v>
      </c>
      <c r="B2613" s="1" t="s">
        <v>10590</v>
      </c>
      <c r="D2613" s="1" t="s">
        <v>10685</v>
      </c>
      <c r="F2613" s="1" t="s">
        <v>11077</v>
      </c>
      <c r="H2613" s="1" t="s">
        <v>11078</v>
      </c>
      <c r="J2613" s="1" t="s">
        <v>11201</v>
      </c>
      <c r="L2613" s="1" t="s">
        <v>5467</v>
      </c>
      <c r="N2613" s="1" t="s">
        <v>5488</v>
      </c>
      <c r="P2613" s="1" t="s">
        <v>5494</v>
      </c>
      <c r="Q2613" s="3">
        <v>1</v>
      </c>
      <c r="R2613" s="23" t="s">
        <v>10605</v>
      </c>
      <c r="S2613" s="23" t="s">
        <v>6844</v>
      </c>
      <c r="T2613" s="23" t="s">
        <v>4866</v>
      </c>
      <c r="U2613" s="3">
        <v>35</v>
      </c>
      <c r="W2613" s="45" t="str">
        <f>HYPERLINK("http://ictvonline.org/taxonomy/p/taxonomy-history?taxnode_id=201905970","ICTVonline=201905970")</f>
        <v>ICTVonline=201905970</v>
      </c>
      <c r="AA2613" s="1">
        <v>201900000</v>
      </c>
      <c r="AB2613" s="1">
        <v>35</v>
      </c>
    </row>
    <row r="2614" spans="1:28" x14ac:dyDescent="0.2">
      <c r="A2614" s="1">
        <v>7065</v>
      </c>
      <c r="B2614" s="1" t="s">
        <v>10590</v>
      </c>
      <c r="D2614" s="1" t="s">
        <v>10685</v>
      </c>
      <c r="F2614" s="1" t="s">
        <v>11077</v>
      </c>
      <c r="H2614" s="1" t="s">
        <v>11078</v>
      </c>
      <c r="J2614" s="1" t="s">
        <v>11201</v>
      </c>
      <c r="L2614" s="1" t="s">
        <v>5467</v>
      </c>
      <c r="N2614" s="1" t="s">
        <v>5488</v>
      </c>
      <c r="P2614" s="1" t="s">
        <v>5495</v>
      </c>
      <c r="Q2614" s="3">
        <v>0</v>
      </c>
      <c r="R2614" s="23" t="s">
        <v>10605</v>
      </c>
      <c r="S2614" s="23" t="s">
        <v>6844</v>
      </c>
      <c r="T2614" s="23" t="s">
        <v>4866</v>
      </c>
      <c r="U2614" s="3">
        <v>35</v>
      </c>
      <c r="W2614" s="45" t="str">
        <f>HYPERLINK("http://ictvonline.org/taxonomy/p/taxonomy-history?taxnode_id=201905971","ICTVonline=201905971")</f>
        <v>ICTVonline=201905971</v>
      </c>
      <c r="AA2614" s="1">
        <v>201900000</v>
      </c>
      <c r="AB2614" s="1">
        <v>35</v>
      </c>
    </row>
    <row r="2615" spans="1:28" x14ac:dyDescent="0.2">
      <c r="A2615" s="1">
        <v>7067</v>
      </c>
      <c r="B2615" s="1" t="s">
        <v>10590</v>
      </c>
      <c r="D2615" s="1" t="s">
        <v>10685</v>
      </c>
      <c r="F2615" s="1" t="s">
        <v>11077</v>
      </c>
      <c r="H2615" s="1" t="s">
        <v>11078</v>
      </c>
      <c r="J2615" s="1" t="s">
        <v>11201</v>
      </c>
      <c r="L2615" s="1" t="s">
        <v>5467</v>
      </c>
      <c r="N2615" s="1" t="s">
        <v>5488</v>
      </c>
      <c r="P2615" s="1" t="s">
        <v>5496</v>
      </c>
      <c r="Q2615" s="3">
        <v>0</v>
      </c>
      <c r="R2615" s="23" t="s">
        <v>10605</v>
      </c>
      <c r="S2615" s="23" t="s">
        <v>6844</v>
      </c>
      <c r="T2615" s="23" t="s">
        <v>4866</v>
      </c>
      <c r="U2615" s="3">
        <v>35</v>
      </c>
      <c r="W2615" s="45" t="str">
        <f>HYPERLINK("http://ictvonline.org/taxonomy/p/taxonomy-history?taxnode_id=201905972","ICTVonline=201905972")</f>
        <v>ICTVonline=201905972</v>
      </c>
      <c r="Z2615" s="48"/>
      <c r="AA2615" s="1">
        <v>201900000</v>
      </c>
      <c r="AB2615" s="1">
        <v>35</v>
      </c>
    </row>
    <row r="2616" spans="1:28" x14ac:dyDescent="0.2">
      <c r="A2616" s="1">
        <v>7069</v>
      </c>
      <c r="B2616" s="1" t="s">
        <v>10590</v>
      </c>
      <c r="D2616" s="1" t="s">
        <v>10685</v>
      </c>
      <c r="F2616" s="1" t="s">
        <v>11077</v>
      </c>
      <c r="H2616" s="1" t="s">
        <v>11078</v>
      </c>
      <c r="J2616" s="1" t="s">
        <v>11201</v>
      </c>
      <c r="L2616" s="1" t="s">
        <v>5467</v>
      </c>
      <c r="N2616" s="1" t="s">
        <v>5488</v>
      </c>
      <c r="P2616" s="1" t="s">
        <v>5497</v>
      </c>
      <c r="Q2616" s="3">
        <v>0</v>
      </c>
      <c r="R2616" s="23" t="s">
        <v>10605</v>
      </c>
      <c r="S2616" s="23" t="s">
        <v>6844</v>
      </c>
      <c r="T2616" s="23" t="s">
        <v>4866</v>
      </c>
      <c r="U2616" s="3">
        <v>35</v>
      </c>
      <c r="W2616" s="45" t="str">
        <f>HYPERLINK("http://ictvonline.org/taxonomy/p/taxonomy-history?taxnode_id=201905973","ICTVonline=201905973")</f>
        <v>ICTVonline=201905973</v>
      </c>
      <c r="AA2616" s="1">
        <v>201900000</v>
      </c>
      <c r="AB2616" s="1">
        <v>35</v>
      </c>
    </row>
    <row r="2617" spans="1:28" x14ac:dyDescent="0.2">
      <c r="A2617" s="1">
        <v>7071</v>
      </c>
      <c r="B2617" s="1" t="s">
        <v>10590</v>
      </c>
      <c r="D2617" s="1" t="s">
        <v>10685</v>
      </c>
      <c r="F2617" s="1" t="s">
        <v>11077</v>
      </c>
      <c r="H2617" s="1" t="s">
        <v>11078</v>
      </c>
      <c r="J2617" s="1" t="s">
        <v>11201</v>
      </c>
      <c r="L2617" s="1" t="s">
        <v>5467</v>
      </c>
      <c r="N2617" s="1" t="s">
        <v>5488</v>
      </c>
      <c r="P2617" s="1" t="s">
        <v>5498</v>
      </c>
      <c r="Q2617" s="3">
        <v>0</v>
      </c>
      <c r="R2617" s="23" t="s">
        <v>10605</v>
      </c>
      <c r="S2617" s="23" t="s">
        <v>6844</v>
      </c>
      <c r="T2617" s="23" t="s">
        <v>4866</v>
      </c>
      <c r="U2617" s="3">
        <v>35</v>
      </c>
      <c r="W2617" s="45" t="str">
        <f>HYPERLINK("http://ictvonline.org/taxonomy/p/taxonomy-history?taxnode_id=201905974","ICTVonline=201905974")</f>
        <v>ICTVonline=201905974</v>
      </c>
      <c r="AA2617" s="1">
        <v>201900000</v>
      </c>
      <c r="AB2617" s="1">
        <v>35</v>
      </c>
    </row>
    <row r="2618" spans="1:28" x14ac:dyDescent="0.2">
      <c r="A2618" s="1">
        <v>7073</v>
      </c>
      <c r="B2618" s="1" t="s">
        <v>10590</v>
      </c>
      <c r="D2618" s="1" t="s">
        <v>10685</v>
      </c>
      <c r="F2618" s="1" t="s">
        <v>11077</v>
      </c>
      <c r="H2618" s="1" t="s">
        <v>11078</v>
      </c>
      <c r="J2618" s="1" t="s">
        <v>11201</v>
      </c>
      <c r="L2618" s="1" t="s">
        <v>5467</v>
      </c>
      <c r="N2618" s="1" t="s">
        <v>5488</v>
      </c>
      <c r="P2618" s="1" t="s">
        <v>5499</v>
      </c>
      <c r="Q2618" s="3">
        <v>0</v>
      </c>
      <c r="R2618" s="23" t="s">
        <v>10605</v>
      </c>
      <c r="S2618" s="23" t="s">
        <v>6844</v>
      </c>
      <c r="T2618" s="23" t="s">
        <v>4866</v>
      </c>
      <c r="U2618" s="3">
        <v>35</v>
      </c>
      <c r="W2618" s="45" t="str">
        <f>HYPERLINK("http://ictvonline.org/taxonomy/p/taxonomy-history?taxnode_id=201905975","ICTVonline=201905975")</f>
        <v>ICTVonline=201905975</v>
      </c>
      <c r="AA2618" s="1">
        <v>201900000</v>
      </c>
      <c r="AB2618" s="1">
        <v>35</v>
      </c>
    </row>
    <row r="2619" spans="1:28" x14ac:dyDescent="0.2">
      <c r="A2619" s="1">
        <v>7075</v>
      </c>
      <c r="B2619" s="1" t="s">
        <v>10590</v>
      </c>
      <c r="D2619" s="1" t="s">
        <v>10685</v>
      </c>
      <c r="F2619" s="1" t="s">
        <v>11077</v>
      </c>
      <c r="H2619" s="1" t="s">
        <v>11078</v>
      </c>
      <c r="J2619" s="1" t="s">
        <v>11201</v>
      </c>
      <c r="L2619" s="1" t="s">
        <v>5467</v>
      </c>
      <c r="N2619" s="1" t="s">
        <v>5488</v>
      </c>
      <c r="P2619" s="1" t="s">
        <v>5500</v>
      </c>
      <c r="Q2619" s="3">
        <v>0</v>
      </c>
      <c r="R2619" s="23" t="s">
        <v>10605</v>
      </c>
      <c r="S2619" s="23" t="s">
        <v>6844</v>
      </c>
      <c r="T2619" s="23" t="s">
        <v>4866</v>
      </c>
      <c r="U2619" s="3">
        <v>35</v>
      </c>
      <c r="W2619" s="45" t="str">
        <f>HYPERLINK("http://ictvonline.org/taxonomy/p/taxonomy-history?taxnode_id=201905976","ICTVonline=201905976")</f>
        <v>ICTVonline=201905976</v>
      </c>
      <c r="AA2619" s="1">
        <v>201900000</v>
      </c>
      <c r="AB2619" s="1">
        <v>35</v>
      </c>
    </row>
    <row r="2620" spans="1:28" x14ac:dyDescent="0.2">
      <c r="A2620" s="1">
        <v>7077</v>
      </c>
      <c r="B2620" s="1" t="s">
        <v>10590</v>
      </c>
      <c r="D2620" s="1" t="s">
        <v>10685</v>
      </c>
      <c r="F2620" s="1" t="s">
        <v>11077</v>
      </c>
      <c r="H2620" s="1" t="s">
        <v>11078</v>
      </c>
      <c r="J2620" s="1" t="s">
        <v>11201</v>
      </c>
      <c r="L2620" s="1" t="s">
        <v>5467</v>
      </c>
      <c r="N2620" s="1" t="s">
        <v>5488</v>
      </c>
      <c r="P2620" s="1" t="s">
        <v>5501</v>
      </c>
      <c r="Q2620" s="3">
        <v>0</v>
      </c>
      <c r="R2620" s="23" t="s">
        <v>10605</v>
      </c>
      <c r="S2620" s="23" t="s">
        <v>6844</v>
      </c>
      <c r="T2620" s="23" t="s">
        <v>4866</v>
      </c>
      <c r="U2620" s="3">
        <v>35</v>
      </c>
      <c r="W2620" s="45" t="str">
        <f>HYPERLINK("http://ictvonline.org/taxonomy/p/taxonomy-history?taxnode_id=201905977","ICTVonline=201905977")</f>
        <v>ICTVonline=201905977</v>
      </c>
      <c r="AA2620" s="1">
        <v>201900000</v>
      </c>
      <c r="AB2620" s="1">
        <v>35</v>
      </c>
    </row>
    <row r="2621" spans="1:28" x14ac:dyDescent="0.2">
      <c r="A2621" s="1">
        <v>7079</v>
      </c>
      <c r="B2621" s="1" t="s">
        <v>10590</v>
      </c>
      <c r="D2621" s="1" t="s">
        <v>10685</v>
      </c>
      <c r="F2621" s="1" t="s">
        <v>11077</v>
      </c>
      <c r="H2621" s="1" t="s">
        <v>11078</v>
      </c>
      <c r="J2621" s="1" t="s">
        <v>11201</v>
      </c>
      <c r="L2621" s="1" t="s">
        <v>5467</v>
      </c>
      <c r="N2621" s="1" t="s">
        <v>5488</v>
      </c>
      <c r="P2621" s="1" t="s">
        <v>5502</v>
      </c>
      <c r="Q2621" s="3">
        <v>0</v>
      </c>
      <c r="R2621" s="23" t="s">
        <v>10605</v>
      </c>
      <c r="S2621" s="23" t="s">
        <v>6844</v>
      </c>
      <c r="T2621" s="23" t="s">
        <v>4866</v>
      </c>
      <c r="U2621" s="3">
        <v>35</v>
      </c>
      <c r="W2621" s="45" t="str">
        <f>HYPERLINK("http://ictvonline.org/taxonomy/p/taxonomy-history?taxnode_id=201905979","ICTVonline=201905979")</f>
        <v>ICTVonline=201905979</v>
      </c>
      <c r="AA2621" s="1">
        <v>201900000</v>
      </c>
      <c r="AB2621" s="1">
        <v>35</v>
      </c>
    </row>
    <row r="2622" spans="1:28" x14ac:dyDescent="0.2">
      <c r="A2622" s="1">
        <v>7081</v>
      </c>
      <c r="B2622" s="1" t="s">
        <v>10590</v>
      </c>
      <c r="D2622" s="1" t="s">
        <v>10685</v>
      </c>
      <c r="F2622" s="1" t="s">
        <v>11077</v>
      </c>
      <c r="H2622" s="1" t="s">
        <v>11078</v>
      </c>
      <c r="J2622" s="1" t="s">
        <v>11201</v>
      </c>
      <c r="L2622" s="1" t="s">
        <v>5467</v>
      </c>
      <c r="N2622" s="1" t="s">
        <v>5488</v>
      </c>
      <c r="P2622" s="1" t="s">
        <v>5503</v>
      </c>
      <c r="Q2622" s="3">
        <v>0</v>
      </c>
      <c r="R2622" s="23" t="s">
        <v>10605</v>
      </c>
      <c r="S2622" s="23" t="s">
        <v>6844</v>
      </c>
      <c r="T2622" s="23" t="s">
        <v>4866</v>
      </c>
      <c r="U2622" s="3">
        <v>35</v>
      </c>
      <c r="W2622" s="45" t="str">
        <f>HYPERLINK("http://ictvonline.org/taxonomy/p/taxonomy-history?taxnode_id=201905980","ICTVonline=201905980")</f>
        <v>ICTVonline=201905980</v>
      </c>
      <c r="AA2622" s="1">
        <v>201900000</v>
      </c>
      <c r="AB2622" s="1">
        <v>35</v>
      </c>
    </row>
    <row r="2623" spans="1:28" x14ac:dyDescent="0.2">
      <c r="A2623" s="1">
        <v>7083</v>
      </c>
      <c r="B2623" s="1" t="s">
        <v>10590</v>
      </c>
      <c r="D2623" s="1" t="s">
        <v>10685</v>
      </c>
      <c r="F2623" s="1" t="s">
        <v>11077</v>
      </c>
      <c r="H2623" s="1" t="s">
        <v>11078</v>
      </c>
      <c r="J2623" s="1" t="s">
        <v>11201</v>
      </c>
      <c r="L2623" s="1" t="s">
        <v>5467</v>
      </c>
      <c r="N2623" s="1" t="s">
        <v>5488</v>
      </c>
      <c r="P2623" s="1" t="s">
        <v>5504</v>
      </c>
      <c r="Q2623" s="3">
        <v>0</v>
      </c>
      <c r="R2623" s="23" t="s">
        <v>10605</v>
      </c>
      <c r="S2623" s="23" t="s">
        <v>6844</v>
      </c>
      <c r="T2623" s="23" t="s">
        <v>4866</v>
      </c>
      <c r="U2623" s="3">
        <v>35</v>
      </c>
      <c r="W2623" s="45" t="str">
        <f>HYPERLINK("http://ictvonline.org/taxonomy/p/taxonomy-history?taxnode_id=201905981","ICTVonline=201905981")</f>
        <v>ICTVonline=201905981</v>
      </c>
      <c r="AA2623" s="1">
        <v>201900000</v>
      </c>
      <c r="AB2623" s="1">
        <v>35</v>
      </c>
    </row>
    <row r="2624" spans="1:28" x14ac:dyDescent="0.2">
      <c r="A2624" s="1">
        <v>7085</v>
      </c>
      <c r="B2624" s="1" t="s">
        <v>10590</v>
      </c>
      <c r="D2624" s="1" t="s">
        <v>10685</v>
      </c>
      <c r="F2624" s="1" t="s">
        <v>11077</v>
      </c>
      <c r="H2624" s="1" t="s">
        <v>11078</v>
      </c>
      <c r="J2624" s="1" t="s">
        <v>11201</v>
      </c>
      <c r="L2624" s="1" t="s">
        <v>5467</v>
      </c>
      <c r="N2624" s="1" t="s">
        <v>5488</v>
      </c>
      <c r="P2624" s="1" t="s">
        <v>5505</v>
      </c>
      <c r="Q2624" s="3">
        <v>0</v>
      </c>
      <c r="R2624" s="23" t="s">
        <v>10605</v>
      </c>
      <c r="S2624" s="23" t="s">
        <v>6844</v>
      </c>
      <c r="T2624" s="23" t="s">
        <v>4866</v>
      </c>
      <c r="U2624" s="3">
        <v>35</v>
      </c>
      <c r="W2624" s="45" t="str">
        <f>HYPERLINK("http://ictvonline.org/taxonomy/p/taxonomy-history?taxnode_id=201905982","ICTVonline=201905982")</f>
        <v>ICTVonline=201905982</v>
      </c>
      <c r="AA2624" s="1">
        <v>201900000</v>
      </c>
      <c r="AB2624" s="1">
        <v>35</v>
      </c>
    </row>
    <row r="2625" spans="1:28" x14ac:dyDescent="0.2">
      <c r="A2625" s="1">
        <v>7087</v>
      </c>
      <c r="B2625" s="1" t="s">
        <v>10590</v>
      </c>
      <c r="D2625" s="1" t="s">
        <v>10685</v>
      </c>
      <c r="F2625" s="1" t="s">
        <v>11077</v>
      </c>
      <c r="H2625" s="1" t="s">
        <v>11078</v>
      </c>
      <c r="J2625" s="1" t="s">
        <v>11201</v>
      </c>
      <c r="L2625" s="1" t="s">
        <v>5467</v>
      </c>
      <c r="N2625" s="1" t="s">
        <v>5488</v>
      </c>
      <c r="P2625" s="1" t="s">
        <v>5506</v>
      </c>
      <c r="Q2625" s="3">
        <v>0</v>
      </c>
      <c r="R2625" s="23" t="s">
        <v>10605</v>
      </c>
      <c r="S2625" s="23" t="s">
        <v>6844</v>
      </c>
      <c r="T2625" s="23" t="s">
        <v>4866</v>
      </c>
      <c r="U2625" s="3">
        <v>35</v>
      </c>
      <c r="W2625" s="45" t="str">
        <f>HYPERLINK("http://ictvonline.org/taxonomy/p/taxonomy-history?taxnode_id=201905983","ICTVonline=201905983")</f>
        <v>ICTVonline=201905983</v>
      </c>
      <c r="AA2625" s="1">
        <v>201900000</v>
      </c>
      <c r="AB2625" s="1">
        <v>35</v>
      </c>
    </row>
    <row r="2626" spans="1:28" x14ac:dyDescent="0.2">
      <c r="A2626" s="1">
        <v>7089</v>
      </c>
      <c r="B2626" s="1" t="s">
        <v>10590</v>
      </c>
      <c r="D2626" s="1" t="s">
        <v>10685</v>
      </c>
      <c r="F2626" s="1" t="s">
        <v>11077</v>
      </c>
      <c r="H2626" s="1" t="s">
        <v>11078</v>
      </c>
      <c r="J2626" s="1" t="s">
        <v>11201</v>
      </c>
      <c r="L2626" s="1" t="s">
        <v>5467</v>
      </c>
      <c r="N2626" s="1" t="s">
        <v>5488</v>
      </c>
      <c r="P2626" s="1" t="s">
        <v>5507</v>
      </c>
      <c r="Q2626" s="3">
        <v>0</v>
      </c>
      <c r="R2626" s="23" t="s">
        <v>10605</v>
      </c>
      <c r="S2626" s="23" t="s">
        <v>6844</v>
      </c>
      <c r="T2626" s="23" t="s">
        <v>4866</v>
      </c>
      <c r="U2626" s="3">
        <v>35</v>
      </c>
      <c r="W2626" s="45" t="str">
        <f>HYPERLINK("http://ictvonline.org/taxonomy/p/taxonomy-history?taxnode_id=201905984","ICTVonline=201905984")</f>
        <v>ICTVonline=201905984</v>
      </c>
      <c r="AA2626" s="1">
        <v>201900000</v>
      </c>
      <c r="AB2626" s="1">
        <v>35</v>
      </c>
    </row>
    <row r="2627" spans="1:28" x14ac:dyDescent="0.2">
      <c r="A2627" s="1">
        <v>7091</v>
      </c>
      <c r="B2627" s="1" t="s">
        <v>10590</v>
      </c>
      <c r="D2627" s="1" t="s">
        <v>10685</v>
      </c>
      <c r="F2627" s="1" t="s">
        <v>11077</v>
      </c>
      <c r="H2627" s="1" t="s">
        <v>11078</v>
      </c>
      <c r="J2627" s="1" t="s">
        <v>11201</v>
      </c>
      <c r="L2627" s="1" t="s">
        <v>5467</v>
      </c>
      <c r="N2627" s="1" t="s">
        <v>5488</v>
      </c>
      <c r="P2627" s="1" t="s">
        <v>5508</v>
      </c>
      <c r="Q2627" s="3">
        <v>0</v>
      </c>
      <c r="R2627" s="23" t="s">
        <v>10605</v>
      </c>
      <c r="S2627" s="23" t="s">
        <v>6844</v>
      </c>
      <c r="T2627" s="23" t="s">
        <v>4866</v>
      </c>
      <c r="U2627" s="3">
        <v>35</v>
      </c>
      <c r="W2627" s="45" t="str">
        <f>HYPERLINK("http://ictvonline.org/taxonomy/p/taxonomy-history?taxnode_id=201905985","ICTVonline=201905985")</f>
        <v>ICTVonline=201905985</v>
      </c>
      <c r="AA2627" s="1">
        <v>201900000</v>
      </c>
      <c r="AB2627" s="1">
        <v>35</v>
      </c>
    </row>
    <row r="2628" spans="1:28" x14ac:dyDescent="0.2">
      <c r="A2628" s="1">
        <v>7093</v>
      </c>
      <c r="B2628" s="1" t="s">
        <v>10590</v>
      </c>
      <c r="D2628" s="1" t="s">
        <v>10685</v>
      </c>
      <c r="F2628" s="1" t="s">
        <v>11077</v>
      </c>
      <c r="H2628" s="1" t="s">
        <v>11078</v>
      </c>
      <c r="J2628" s="1" t="s">
        <v>11201</v>
      </c>
      <c r="L2628" s="1" t="s">
        <v>5467</v>
      </c>
      <c r="N2628" s="1" t="s">
        <v>5488</v>
      </c>
      <c r="P2628" s="1" t="s">
        <v>5509</v>
      </c>
      <c r="Q2628" s="3">
        <v>0</v>
      </c>
      <c r="R2628" s="23" t="s">
        <v>10605</v>
      </c>
      <c r="S2628" s="23" t="s">
        <v>6844</v>
      </c>
      <c r="T2628" s="23" t="s">
        <v>4866</v>
      </c>
      <c r="U2628" s="3">
        <v>35</v>
      </c>
      <c r="W2628" s="45" t="str">
        <f>HYPERLINK("http://ictvonline.org/taxonomy/p/taxonomy-history?taxnode_id=201905986","ICTVonline=201905986")</f>
        <v>ICTVonline=201905986</v>
      </c>
      <c r="AA2628" s="1">
        <v>201900000</v>
      </c>
      <c r="AB2628" s="1">
        <v>35</v>
      </c>
    </row>
    <row r="2629" spans="1:28" x14ac:dyDescent="0.2">
      <c r="A2629" s="1">
        <v>7095</v>
      </c>
      <c r="B2629" s="1" t="s">
        <v>10590</v>
      </c>
      <c r="D2629" s="1" t="s">
        <v>10685</v>
      </c>
      <c r="F2629" s="1" t="s">
        <v>11077</v>
      </c>
      <c r="H2629" s="1" t="s">
        <v>11078</v>
      </c>
      <c r="J2629" s="1" t="s">
        <v>11201</v>
      </c>
      <c r="L2629" s="1" t="s">
        <v>5467</v>
      </c>
      <c r="N2629" s="1" t="s">
        <v>5488</v>
      </c>
      <c r="P2629" s="1" t="s">
        <v>5510</v>
      </c>
      <c r="Q2629" s="3">
        <v>0</v>
      </c>
      <c r="R2629" s="23" t="s">
        <v>10605</v>
      </c>
      <c r="S2629" s="23" t="s">
        <v>6844</v>
      </c>
      <c r="T2629" s="23" t="s">
        <v>4866</v>
      </c>
      <c r="U2629" s="3">
        <v>35</v>
      </c>
      <c r="W2629" s="45" t="str">
        <f>HYPERLINK("http://ictvonline.org/taxonomy/p/taxonomy-history?taxnode_id=201905978","ICTVonline=201905978")</f>
        <v>ICTVonline=201905978</v>
      </c>
      <c r="AA2629" s="1">
        <v>201900000</v>
      </c>
      <c r="AB2629" s="1">
        <v>35</v>
      </c>
    </row>
    <row r="2630" spans="1:28" x14ac:dyDescent="0.2">
      <c r="A2630" s="1">
        <v>7097</v>
      </c>
      <c r="B2630" s="1" t="s">
        <v>10590</v>
      </c>
      <c r="D2630" s="1" t="s">
        <v>10685</v>
      </c>
      <c r="F2630" s="1" t="s">
        <v>11077</v>
      </c>
      <c r="H2630" s="1" t="s">
        <v>11078</v>
      </c>
      <c r="J2630" s="1" t="s">
        <v>11201</v>
      </c>
      <c r="L2630" s="1" t="s">
        <v>5467</v>
      </c>
      <c r="N2630" s="1" t="s">
        <v>5488</v>
      </c>
      <c r="P2630" s="1" t="s">
        <v>5511</v>
      </c>
      <c r="Q2630" s="3">
        <v>0</v>
      </c>
      <c r="R2630" s="23" t="s">
        <v>10605</v>
      </c>
      <c r="S2630" s="23" t="s">
        <v>6844</v>
      </c>
      <c r="T2630" s="23" t="s">
        <v>4866</v>
      </c>
      <c r="U2630" s="3">
        <v>35</v>
      </c>
      <c r="W2630" s="45" t="str">
        <f>HYPERLINK("http://ictvonline.org/taxonomy/p/taxonomy-history?taxnode_id=201905987","ICTVonline=201905987")</f>
        <v>ICTVonline=201905987</v>
      </c>
      <c r="AA2630" s="1">
        <v>201900000</v>
      </c>
      <c r="AB2630" s="1">
        <v>35</v>
      </c>
    </row>
    <row r="2631" spans="1:28" x14ac:dyDescent="0.2">
      <c r="A2631" s="1">
        <v>7099</v>
      </c>
      <c r="B2631" s="1" t="s">
        <v>10590</v>
      </c>
      <c r="D2631" s="1" t="s">
        <v>10685</v>
      </c>
      <c r="F2631" s="1" t="s">
        <v>11077</v>
      </c>
      <c r="H2631" s="1" t="s">
        <v>11078</v>
      </c>
      <c r="J2631" s="1" t="s">
        <v>11201</v>
      </c>
      <c r="L2631" s="1" t="s">
        <v>5467</v>
      </c>
      <c r="N2631" s="1" t="s">
        <v>5488</v>
      </c>
      <c r="P2631" s="1" t="s">
        <v>5512</v>
      </c>
      <c r="Q2631" s="3">
        <v>0</v>
      </c>
      <c r="R2631" s="23" t="s">
        <v>10605</v>
      </c>
      <c r="S2631" s="23" t="s">
        <v>6844</v>
      </c>
      <c r="T2631" s="23" t="s">
        <v>4866</v>
      </c>
      <c r="U2631" s="3">
        <v>35</v>
      </c>
      <c r="W2631" s="45" t="str">
        <f>HYPERLINK("http://ictvonline.org/taxonomy/p/taxonomy-history?taxnode_id=201905988","ICTVonline=201905988")</f>
        <v>ICTVonline=201905988</v>
      </c>
      <c r="AA2631" s="1">
        <v>201900000</v>
      </c>
      <c r="AB2631" s="1">
        <v>35</v>
      </c>
    </row>
    <row r="2632" spans="1:28" x14ac:dyDescent="0.2">
      <c r="A2632" s="1">
        <v>7101</v>
      </c>
      <c r="B2632" s="1" t="s">
        <v>10590</v>
      </c>
      <c r="D2632" s="1" t="s">
        <v>10685</v>
      </c>
      <c r="F2632" s="1" t="s">
        <v>11077</v>
      </c>
      <c r="H2632" s="1" t="s">
        <v>11078</v>
      </c>
      <c r="J2632" s="1" t="s">
        <v>11201</v>
      </c>
      <c r="L2632" s="1" t="s">
        <v>5467</v>
      </c>
      <c r="N2632" s="1" t="s">
        <v>5488</v>
      </c>
      <c r="P2632" s="1" t="s">
        <v>5513</v>
      </c>
      <c r="Q2632" s="3">
        <v>0</v>
      </c>
      <c r="R2632" s="23" t="s">
        <v>10605</v>
      </c>
      <c r="S2632" s="23" t="s">
        <v>6844</v>
      </c>
      <c r="T2632" s="23" t="s">
        <v>4866</v>
      </c>
      <c r="U2632" s="3">
        <v>35</v>
      </c>
      <c r="W2632" s="45" t="str">
        <f>HYPERLINK("http://ictvonline.org/taxonomy/p/taxonomy-history?taxnode_id=201905989","ICTVonline=201905989")</f>
        <v>ICTVonline=201905989</v>
      </c>
      <c r="AA2632" s="1">
        <v>201900000</v>
      </c>
      <c r="AB2632" s="1">
        <v>35</v>
      </c>
    </row>
    <row r="2633" spans="1:28" x14ac:dyDescent="0.2">
      <c r="A2633" s="1">
        <v>7103</v>
      </c>
      <c r="B2633" s="1" t="s">
        <v>10590</v>
      </c>
      <c r="D2633" s="1" t="s">
        <v>10685</v>
      </c>
      <c r="F2633" s="1" t="s">
        <v>11077</v>
      </c>
      <c r="H2633" s="1" t="s">
        <v>11078</v>
      </c>
      <c r="J2633" s="1" t="s">
        <v>11201</v>
      </c>
      <c r="L2633" s="1" t="s">
        <v>5467</v>
      </c>
      <c r="N2633" s="1" t="s">
        <v>5488</v>
      </c>
      <c r="P2633" s="1" t="s">
        <v>5514</v>
      </c>
      <c r="Q2633" s="3">
        <v>0</v>
      </c>
      <c r="R2633" s="23" t="s">
        <v>10605</v>
      </c>
      <c r="S2633" s="23" t="s">
        <v>6844</v>
      </c>
      <c r="T2633" s="23" t="s">
        <v>4866</v>
      </c>
      <c r="U2633" s="3">
        <v>35</v>
      </c>
      <c r="W2633" s="45" t="str">
        <f>HYPERLINK("http://ictvonline.org/taxonomy/p/taxonomy-history?taxnode_id=201905990","ICTVonline=201905990")</f>
        <v>ICTVonline=201905990</v>
      </c>
      <c r="AA2633" s="1">
        <v>201900000</v>
      </c>
      <c r="AB2633" s="1">
        <v>35</v>
      </c>
    </row>
    <row r="2634" spans="1:28" x14ac:dyDescent="0.2">
      <c r="A2634" s="1">
        <v>7105</v>
      </c>
      <c r="B2634" s="1" t="s">
        <v>10590</v>
      </c>
      <c r="D2634" s="1" t="s">
        <v>10685</v>
      </c>
      <c r="F2634" s="1" t="s">
        <v>11077</v>
      </c>
      <c r="H2634" s="1" t="s">
        <v>11078</v>
      </c>
      <c r="J2634" s="1" t="s">
        <v>11201</v>
      </c>
      <c r="L2634" s="1" t="s">
        <v>5467</v>
      </c>
      <c r="N2634" s="1" t="s">
        <v>5488</v>
      </c>
      <c r="P2634" s="1" t="s">
        <v>5515</v>
      </c>
      <c r="Q2634" s="3">
        <v>0</v>
      </c>
      <c r="R2634" s="23" t="s">
        <v>10605</v>
      </c>
      <c r="S2634" s="23" t="s">
        <v>6844</v>
      </c>
      <c r="T2634" s="23" t="s">
        <v>4866</v>
      </c>
      <c r="U2634" s="3">
        <v>35</v>
      </c>
      <c r="W2634" s="45" t="str">
        <f>HYPERLINK("http://ictvonline.org/taxonomy/p/taxonomy-history?taxnode_id=201905991","ICTVonline=201905991")</f>
        <v>ICTVonline=201905991</v>
      </c>
      <c r="AA2634" s="1">
        <v>201900000</v>
      </c>
      <c r="AB2634" s="1">
        <v>35</v>
      </c>
    </row>
    <row r="2635" spans="1:28" x14ac:dyDescent="0.2">
      <c r="A2635" s="1">
        <v>7113</v>
      </c>
      <c r="B2635" s="1" t="s">
        <v>10590</v>
      </c>
      <c r="D2635" s="1" t="s">
        <v>10685</v>
      </c>
      <c r="F2635" s="1" t="s">
        <v>11077</v>
      </c>
      <c r="H2635" s="1" t="s">
        <v>11078</v>
      </c>
      <c r="J2635" s="1" t="s">
        <v>11202</v>
      </c>
      <c r="L2635" s="1" t="s">
        <v>2019</v>
      </c>
      <c r="N2635" s="1" t="s">
        <v>2020</v>
      </c>
      <c r="P2635" s="1" t="s">
        <v>542</v>
      </c>
      <c r="Q2635" s="3">
        <v>0</v>
      </c>
      <c r="R2635" s="23" t="s">
        <v>10605</v>
      </c>
      <c r="S2635" s="23" t="s">
        <v>6844</v>
      </c>
      <c r="T2635" s="23" t="s">
        <v>4866</v>
      </c>
      <c r="U2635" s="3">
        <v>35</v>
      </c>
      <c r="W2635" s="45" t="str">
        <f>HYPERLINK("http://ictvonline.org/taxonomy/p/taxonomy-history?taxnode_id=201903894","ICTVonline=201903894")</f>
        <v>ICTVonline=201903894</v>
      </c>
      <c r="Y2635" s="1" t="s">
        <v>11203</v>
      </c>
      <c r="Z2635" s="1" t="s">
        <v>11204</v>
      </c>
      <c r="AA2635" s="1">
        <v>201900000</v>
      </c>
      <c r="AB2635" s="1">
        <v>35</v>
      </c>
    </row>
    <row r="2636" spans="1:28" x14ac:dyDescent="0.2">
      <c r="A2636" s="1">
        <v>7115</v>
      </c>
      <c r="B2636" s="1" t="s">
        <v>10590</v>
      </c>
      <c r="D2636" s="1" t="s">
        <v>10685</v>
      </c>
      <c r="F2636" s="1" t="s">
        <v>11077</v>
      </c>
      <c r="H2636" s="1" t="s">
        <v>11078</v>
      </c>
      <c r="J2636" s="1" t="s">
        <v>11202</v>
      </c>
      <c r="L2636" s="1" t="s">
        <v>2019</v>
      </c>
      <c r="N2636" s="1" t="s">
        <v>2020</v>
      </c>
      <c r="P2636" s="1" t="s">
        <v>2021</v>
      </c>
      <c r="Q2636" s="3">
        <v>1</v>
      </c>
      <c r="R2636" s="23" t="s">
        <v>10605</v>
      </c>
      <c r="S2636" s="23" t="s">
        <v>6844</v>
      </c>
      <c r="T2636" s="23" t="s">
        <v>4866</v>
      </c>
      <c r="U2636" s="3">
        <v>35</v>
      </c>
      <c r="W2636" s="45" t="str">
        <f>HYPERLINK("http://ictvonline.org/taxonomy/p/taxonomy-history?taxnode_id=201903895","ICTVonline=201903895")</f>
        <v>ICTVonline=201903895</v>
      </c>
      <c r="Y2636" s="1" t="s">
        <v>11205</v>
      </c>
      <c r="Z2636" s="1" t="s">
        <v>11206</v>
      </c>
      <c r="AA2636" s="1">
        <v>201900000</v>
      </c>
      <c r="AB2636" s="1">
        <v>35</v>
      </c>
    </row>
    <row r="2637" spans="1:28" x14ac:dyDescent="0.2">
      <c r="A2637" s="1">
        <v>7117</v>
      </c>
      <c r="B2637" s="1" t="s">
        <v>10590</v>
      </c>
      <c r="D2637" s="1" t="s">
        <v>10685</v>
      </c>
      <c r="F2637" s="1" t="s">
        <v>11077</v>
      </c>
      <c r="H2637" s="1" t="s">
        <v>11078</v>
      </c>
      <c r="J2637" s="1" t="s">
        <v>11202</v>
      </c>
      <c r="L2637" s="1" t="s">
        <v>2019</v>
      </c>
      <c r="N2637" s="1" t="s">
        <v>2020</v>
      </c>
      <c r="P2637" s="1" t="s">
        <v>543</v>
      </c>
      <c r="Q2637" s="3">
        <v>0</v>
      </c>
      <c r="R2637" s="23" t="s">
        <v>10605</v>
      </c>
      <c r="S2637" s="23" t="s">
        <v>6844</v>
      </c>
      <c r="T2637" s="23" t="s">
        <v>4866</v>
      </c>
      <c r="U2637" s="3">
        <v>35</v>
      </c>
      <c r="W2637" s="45" t="str">
        <f>HYPERLINK("http://ictvonline.org/taxonomy/p/taxonomy-history?taxnode_id=201903896","ICTVonline=201903896")</f>
        <v>ICTVonline=201903896</v>
      </c>
      <c r="Y2637" s="1" t="s">
        <v>11207</v>
      </c>
      <c r="Z2637" s="1" t="s">
        <v>11208</v>
      </c>
      <c r="AA2637" s="1">
        <v>201900000</v>
      </c>
      <c r="AB2637" s="1">
        <v>35</v>
      </c>
    </row>
    <row r="2638" spans="1:28" x14ac:dyDescent="0.2">
      <c r="A2638" s="1">
        <v>7121</v>
      </c>
      <c r="B2638" s="1" t="s">
        <v>10590</v>
      </c>
      <c r="D2638" s="1" t="s">
        <v>10685</v>
      </c>
      <c r="F2638" s="1" t="s">
        <v>11077</v>
      </c>
      <c r="H2638" s="1" t="s">
        <v>11078</v>
      </c>
      <c r="J2638" s="1" t="s">
        <v>11202</v>
      </c>
      <c r="L2638" s="1" t="s">
        <v>2019</v>
      </c>
      <c r="N2638" s="1" t="s">
        <v>2022</v>
      </c>
      <c r="P2638" s="1" t="s">
        <v>3822</v>
      </c>
      <c r="Q2638" s="3">
        <v>0</v>
      </c>
      <c r="R2638" s="23" t="s">
        <v>10605</v>
      </c>
      <c r="S2638" s="23" t="s">
        <v>6844</v>
      </c>
      <c r="T2638" s="23" t="s">
        <v>4866</v>
      </c>
      <c r="U2638" s="3">
        <v>35</v>
      </c>
      <c r="W2638" s="45" t="str">
        <f>HYPERLINK("http://ictvonline.org/taxonomy/p/taxonomy-history?taxnode_id=201903898","ICTVonline=201903898")</f>
        <v>ICTVonline=201903898</v>
      </c>
      <c r="Y2638" s="1" t="s">
        <v>11209</v>
      </c>
      <c r="Z2638" s="1" t="s">
        <v>11210</v>
      </c>
      <c r="AA2638" s="1">
        <v>201900000</v>
      </c>
      <c r="AB2638" s="1">
        <v>35</v>
      </c>
    </row>
    <row r="2639" spans="1:28" x14ac:dyDescent="0.2">
      <c r="A2639" s="1">
        <v>7123</v>
      </c>
      <c r="B2639" s="1" t="s">
        <v>10590</v>
      </c>
      <c r="D2639" s="1" t="s">
        <v>10685</v>
      </c>
      <c r="F2639" s="1" t="s">
        <v>11077</v>
      </c>
      <c r="H2639" s="1" t="s">
        <v>11078</v>
      </c>
      <c r="J2639" s="1" t="s">
        <v>11202</v>
      </c>
      <c r="L2639" s="1" t="s">
        <v>2019</v>
      </c>
      <c r="N2639" s="1" t="s">
        <v>2022</v>
      </c>
      <c r="P2639" s="1" t="s">
        <v>102</v>
      </c>
      <c r="Q2639" s="3">
        <v>0</v>
      </c>
      <c r="R2639" s="23" t="s">
        <v>10605</v>
      </c>
      <c r="S2639" s="23" t="s">
        <v>6844</v>
      </c>
      <c r="T2639" s="23" t="s">
        <v>4866</v>
      </c>
      <c r="U2639" s="3">
        <v>35</v>
      </c>
      <c r="W2639" s="45" t="str">
        <f>HYPERLINK("http://ictvonline.org/taxonomy/p/taxonomy-history?taxnode_id=201903899","ICTVonline=201903899")</f>
        <v>ICTVonline=201903899</v>
      </c>
      <c r="Y2639" s="1" t="s">
        <v>11211</v>
      </c>
      <c r="Z2639" s="1" t="s">
        <v>11212</v>
      </c>
      <c r="AA2639" s="1">
        <v>201900000</v>
      </c>
      <c r="AB2639" s="1">
        <v>35</v>
      </c>
    </row>
    <row r="2640" spans="1:28" x14ac:dyDescent="0.2">
      <c r="A2640" s="1">
        <v>7125</v>
      </c>
      <c r="B2640" s="1" t="s">
        <v>10590</v>
      </c>
      <c r="D2640" s="1" t="s">
        <v>10685</v>
      </c>
      <c r="F2640" s="1" t="s">
        <v>11077</v>
      </c>
      <c r="H2640" s="1" t="s">
        <v>11078</v>
      </c>
      <c r="J2640" s="1" t="s">
        <v>11202</v>
      </c>
      <c r="L2640" s="1" t="s">
        <v>2019</v>
      </c>
      <c r="N2640" s="1" t="s">
        <v>2022</v>
      </c>
      <c r="P2640" s="1" t="s">
        <v>1602</v>
      </c>
      <c r="Q2640" s="3">
        <v>0</v>
      </c>
      <c r="R2640" s="23" t="s">
        <v>10605</v>
      </c>
      <c r="S2640" s="23" t="s">
        <v>6844</v>
      </c>
      <c r="T2640" s="23" t="s">
        <v>4866</v>
      </c>
      <c r="U2640" s="3">
        <v>35</v>
      </c>
      <c r="W2640" s="45" t="str">
        <f>HYPERLINK("http://ictvonline.org/taxonomy/p/taxonomy-history?taxnode_id=201903900","ICTVonline=201903900")</f>
        <v>ICTVonline=201903900</v>
      </c>
      <c r="Y2640" s="1" t="s">
        <v>11213</v>
      </c>
      <c r="Z2640" s="1" t="s">
        <v>11214</v>
      </c>
      <c r="AA2640" s="1">
        <v>201900000</v>
      </c>
      <c r="AB2640" s="1">
        <v>35</v>
      </c>
    </row>
    <row r="2641" spans="1:28" x14ac:dyDescent="0.2">
      <c r="A2641" s="1">
        <v>7127</v>
      </c>
      <c r="B2641" s="1" t="s">
        <v>10590</v>
      </c>
      <c r="D2641" s="1" t="s">
        <v>10685</v>
      </c>
      <c r="F2641" s="1" t="s">
        <v>11077</v>
      </c>
      <c r="H2641" s="1" t="s">
        <v>11078</v>
      </c>
      <c r="J2641" s="1" t="s">
        <v>11202</v>
      </c>
      <c r="L2641" s="1" t="s">
        <v>2019</v>
      </c>
      <c r="N2641" s="1" t="s">
        <v>2022</v>
      </c>
      <c r="P2641" s="1" t="s">
        <v>2256</v>
      </c>
      <c r="Q2641" s="3">
        <v>0</v>
      </c>
      <c r="R2641" s="23" t="s">
        <v>10605</v>
      </c>
      <c r="S2641" s="23" t="s">
        <v>6844</v>
      </c>
      <c r="T2641" s="23" t="s">
        <v>4866</v>
      </c>
      <c r="U2641" s="3">
        <v>35</v>
      </c>
      <c r="W2641" s="45" t="str">
        <f>HYPERLINK("http://ictvonline.org/taxonomy/p/taxonomy-history?taxnode_id=201903901","ICTVonline=201903901")</f>
        <v>ICTVonline=201903901</v>
      </c>
      <c r="Y2641" s="1" t="s">
        <v>11215</v>
      </c>
      <c r="Z2641" s="1" t="s">
        <v>11216</v>
      </c>
      <c r="AA2641" s="1">
        <v>201900000</v>
      </c>
      <c r="AB2641" s="1">
        <v>35</v>
      </c>
    </row>
    <row r="2642" spans="1:28" x14ac:dyDescent="0.2">
      <c r="A2642" s="1">
        <v>7129</v>
      </c>
      <c r="B2642" s="1" t="s">
        <v>10590</v>
      </c>
      <c r="D2642" s="1" t="s">
        <v>10685</v>
      </c>
      <c r="F2642" s="1" t="s">
        <v>11077</v>
      </c>
      <c r="H2642" s="1" t="s">
        <v>11078</v>
      </c>
      <c r="J2642" s="1" t="s">
        <v>11202</v>
      </c>
      <c r="L2642" s="1" t="s">
        <v>2019</v>
      </c>
      <c r="N2642" s="1" t="s">
        <v>2022</v>
      </c>
      <c r="P2642" s="1" t="s">
        <v>1079</v>
      </c>
      <c r="Q2642" s="3">
        <v>0</v>
      </c>
      <c r="R2642" s="23" t="s">
        <v>10605</v>
      </c>
      <c r="S2642" s="23" t="s">
        <v>6844</v>
      </c>
      <c r="T2642" s="23" t="s">
        <v>4866</v>
      </c>
      <c r="U2642" s="3">
        <v>35</v>
      </c>
      <c r="W2642" s="45" t="str">
        <f>HYPERLINK("http://ictvonline.org/taxonomy/p/taxonomy-history?taxnode_id=201903902","ICTVonline=201903902")</f>
        <v>ICTVonline=201903902</v>
      </c>
      <c r="Y2642" s="1" t="s">
        <v>11217</v>
      </c>
      <c r="Z2642" s="1" t="s">
        <v>11218</v>
      </c>
      <c r="AA2642" s="1">
        <v>201900000</v>
      </c>
      <c r="AB2642" s="1">
        <v>35</v>
      </c>
    </row>
    <row r="2643" spans="1:28" x14ac:dyDescent="0.2">
      <c r="A2643" s="1">
        <v>7131</v>
      </c>
      <c r="B2643" s="1" t="s">
        <v>10590</v>
      </c>
      <c r="D2643" s="1" t="s">
        <v>10685</v>
      </c>
      <c r="F2643" s="1" t="s">
        <v>11077</v>
      </c>
      <c r="H2643" s="1" t="s">
        <v>11078</v>
      </c>
      <c r="J2643" s="1" t="s">
        <v>11202</v>
      </c>
      <c r="L2643" s="1" t="s">
        <v>2019</v>
      </c>
      <c r="N2643" s="1" t="s">
        <v>2022</v>
      </c>
      <c r="P2643" s="1" t="s">
        <v>103</v>
      </c>
      <c r="Q2643" s="3">
        <v>0</v>
      </c>
      <c r="R2643" s="23" t="s">
        <v>10605</v>
      </c>
      <c r="S2643" s="23" t="s">
        <v>6844</v>
      </c>
      <c r="T2643" s="23" t="s">
        <v>4866</v>
      </c>
      <c r="U2643" s="3">
        <v>35</v>
      </c>
      <c r="W2643" s="45" t="str">
        <f>HYPERLINK("http://ictvonline.org/taxonomy/p/taxonomy-history?taxnode_id=201903903","ICTVonline=201903903")</f>
        <v>ICTVonline=201903903</v>
      </c>
      <c r="Y2643" s="1" t="s">
        <v>11219</v>
      </c>
      <c r="Z2643" s="1" t="s">
        <v>11220</v>
      </c>
      <c r="AA2643" s="1">
        <v>201900000</v>
      </c>
      <c r="AB2643" s="1">
        <v>35</v>
      </c>
    </row>
    <row r="2644" spans="1:28" x14ac:dyDescent="0.2">
      <c r="A2644" s="1">
        <v>7133</v>
      </c>
      <c r="B2644" s="1" t="s">
        <v>10590</v>
      </c>
      <c r="D2644" s="1" t="s">
        <v>10685</v>
      </c>
      <c r="F2644" s="1" t="s">
        <v>11077</v>
      </c>
      <c r="H2644" s="1" t="s">
        <v>11078</v>
      </c>
      <c r="J2644" s="1" t="s">
        <v>11202</v>
      </c>
      <c r="L2644" s="1" t="s">
        <v>2019</v>
      </c>
      <c r="N2644" s="1" t="s">
        <v>2022</v>
      </c>
      <c r="P2644" s="1" t="s">
        <v>3823</v>
      </c>
      <c r="Q2644" s="3">
        <v>0</v>
      </c>
      <c r="R2644" s="23" t="s">
        <v>10605</v>
      </c>
      <c r="S2644" s="23" t="s">
        <v>6844</v>
      </c>
      <c r="T2644" s="23" t="s">
        <v>4866</v>
      </c>
      <c r="U2644" s="3">
        <v>35</v>
      </c>
      <c r="W2644" s="45" t="str">
        <f>HYPERLINK("http://ictvonline.org/taxonomy/p/taxonomy-history?taxnode_id=201903904","ICTVonline=201903904")</f>
        <v>ICTVonline=201903904</v>
      </c>
      <c r="Y2644" s="1" t="s">
        <v>11221</v>
      </c>
      <c r="Z2644" s="1" t="s">
        <v>11222</v>
      </c>
      <c r="AA2644" s="1">
        <v>201900000</v>
      </c>
      <c r="AB2644" s="1">
        <v>35</v>
      </c>
    </row>
    <row r="2645" spans="1:28" x14ac:dyDescent="0.2">
      <c r="A2645" s="1">
        <v>7135</v>
      </c>
      <c r="B2645" s="1" t="s">
        <v>10590</v>
      </c>
      <c r="D2645" s="1" t="s">
        <v>10685</v>
      </c>
      <c r="F2645" s="1" t="s">
        <v>11077</v>
      </c>
      <c r="H2645" s="1" t="s">
        <v>11078</v>
      </c>
      <c r="J2645" s="1" t="s">
        <v>11202</v>
      </c>
      <c r="L2645" s="1" t="s">
        <v>2019</v>
      </c>
      <c r="N2645" s="1" t="s">
        <v>2022</v>
      </c>
      <c r="P2645" s="1" t="s">
        <v>1080</v>
      </c>
      <c r="Q2645" s="3">
        <v>1</v>
      </c>
      <c r="R2645" s="23" t="s">
        <v>10605</v>
      </c>
      <c r="S2645" s="23" t="s">
        <v>6844</v>
      </c>
      <c r="T2645" s="23" t="s">
        <v>4866</v>
      </c>
      <c r="U2645" s="3">
        <v>35</v>
      </c>
      <c r="W2645" s="45" t="str">
        <f>HYPERLINK("http://ictvonline.org/taxonomy/p/taxonomy-history?taxnode_id=201903905","ICTVonline=201903905")</f>
        <v>ICTVonline=201903905</v>
      </c>
      <c r="Y2645" s="1" t="s">
        <v>11223</v>
      </c>
      <c r="Z2645" s="1" t="s">
        <v>11224</v>
      </c>
      <c r="AA2645" s="1">
        <v>201900000</v>
      </c>
      <c r="AB2645" s="1">
        <v>35</v>
      </c>
    </row>
    <row r="2646" spans="1:28" x14ac:dyDescent="0.2">
      <c r="A2646" s="1">
        <v>7138</v>
      </c>
      <c r="B2646" s="1" t="s">
        <v>10590</v>
      </c>
      <c r="D2646" s="1" t="s">
        <v>10685</v>
      </c>
      <c r="F2646" s="1" t="s">
        <v>11077</v>
      </c>
      <c r="H2646" s="1" t="s">
        <v>11078</v>
      </c>
      <c r="J2646" s="1" t="s">
        <v>11202</v>
      </c>
      <c r="L2646" s="1" t="s">
        <v>2019</v>
      </c>
      <c r="P2646" s="1" t="s">
        <v>1081</v>
      </c>
      <c r="Q2646" s="3">
        <v>0</v>
      </c>
      <c r="R2646" s="23" t="s">
        <v>10605</v>
      </c>
      <c r="S2646" s="23" t="s">
        <v>6844</v>
      </c>
      <c r="T2646" s="23" t="s">
        <v>4866</v>
      </c>
      <c r="U2646" s="3">
        <v>35</v>
      </c>
      <c r="W2646" s="45" t="str">
        <f>HYPERLINK("http://ictvonline.org/taxonomy/p/taxonomy-history?taxnode_id=201903907","ICTVonline=201903907")</f>
        <v>ICTVonline=201903907</v>
      </c>
      <c r="AA2646" s="1">
        <v>201900000</v>
      </c>
      <c r="AB2646" s="1">
        <v>35</v>
      </c>
    </row>
    <row r="2647" spans="1:28" x14ac:dyDescent="0.2">
      <c r="A2647" s="1">
        <v>7145</v>
      </c>
      <c r="B2647" s="1" t="s">
        <v>10590</v>
      </c>
      <c r="D2647" s="1" t="s">
        <v>10685</v>
      </c>
      <c r="F2647" s="1" t="s">
        <v>11077</v>
      </c>
      <c r="H2647" s="1" t="s">
        <v>11078</v>
      </c>
      <c r="J2647" s="1" t="s">
        <v>11225</v>
      </c>
      <c r="L2647" s="1" t="s">
        <v>11226</v>
      </c>
      <c r="N2647" s="1" t="s">
        <v>11227</v>
      </c>
      <c r="P2647" s="1" t="s">
        <v>11228</v>
      </c>
      <c r="Q2647" s="3">
        <v>1</v>
      </c>
      <c r="R2647" s="23" t="s">
        <v>10605</v>
      </c>
      <c r="S2647" s="23" t="s">
        <v>6849</v>
      </c>
      <c r="T2647" s="23" t="s">
        <v>4864</v>
      </c>
      <c r="U2647" s="3">
        <v>35</v>
      </c>
      <c r="V2647" s="3" t="s">
        <v>11229</v>
      </c>
      <c r="W2647" s="45" t="str">
        <f>HYPERLINK("http://ictvonline.org/taxonomy/p/taxonomy-history?taxnode_id=201907364","ICTVonline=201907364")</f>
        <v>ICTVonline=201907364</v>
      </c>
      <c r="Y2647" s="1" t="s">
        <v>11230</v>
      </c>
      <c r="Z2647" s="1" t="s">
        <v>11231</v>
      </c>
      <c r="AA2647" s="1">
        <v>201900000</v>
      </c>
      <c r="AB2647" s="1">
        <v>35</v>
      </c>
    </row>
    <row r="2648" spans="1:28" x14ac:dyDescent="0.2">
      <c r="A2648" s="1">
        <v>7147</v>
      </c>
      <c r="B2648" s="1" t="s">
        <v>10590</v>
      </c>
      <c r="D2648" s="1" t="s">
        <v>10685</v>
      </c>
      <c r="F2648" s="1" t="s">
        <v>11077</v>
      </c>
      <c r="H2648" s="1" t="s">
        <v>11078</v>
      </c>
      <c r="J2648" s="1" t="s">
        <v>11225</v>
      </c>
      <c r="L2648" s="1" t="s">
        <v>11226</v>
      </c>
      <c r="N2648" s="1" t="s">
        <v>11227</v>
      </c>
      <c r="P2648" s="1" t="s">
        <v>11232</v>
      </c>
      <c r="Q2648" s="3">
        <v>0</v>
      </c>
      <c r="R2648" s="23" t="s">
        <v>10605</v>
      </c>
      <c r="S2648" s="23" t="s">
        <v>6849</v>
      </c>
      <c r="T2648" s="23" t="s">
        <v>4864</v>
      </c>
      <c r="U2648" s="3">
        <v>35</v>
      </c>
      <c r="V2648" s="3" t="s">
        <v>11229</v>
      </c>
      <c r="W2648" s="45" t="str">
        <f>HYPERLINK("http://ictvonline.org/taxonomy/p/taxonomy-history?taxnode_id=201907365","ICTVonline=201907365")</f>
        <v>ICTVonline=201907365</v>
      </c>
      <c r="Y2648" s="1" t="s">
        <v>11233</v>
      </c>
      <c r="Z2648" s="1" t="s">
        <v>11234</v>
      </c>
      <c r="AA2648" s="1">
        <v>201900000</v>
      </c>
      <c r="AB2648" s="1">
        <v>35</v>
      </c>
    </row>
    <row r="2649" spans="1:28" x14ac:dyDescent="0.2">
      <c r="A2649" s="1">
        <v>7157</v>
      </c>
      <c r="B2649" s="1" t="s">
        <v>10590</v>
      </c>
      <c r="D2649" s="1" t="s">
        <v>10685</v>
      </c>
      <c r="F2649" s="1" t="s">
        <v>11077</v>
      </c>
      <c r="H2649" s="1" t="s">
        <v>11235</v>
      </c>
      <c r="J2649" s="1" t="s">
        <v>11236</v>
      </c>
      <c r="L2649" s="1" t="s">
        <v>2078</v>
      </c>
      <c r="N2649" s="1" t="s">
        <v>2229</v>
      </c>
      <c r="P2649" s="1" t="s">
        <v>2135</v>
      </c>
      <c r="Q2649" s="3">
        <v>1</v>
      </c>
      <c r="R2649" s="23" t="s">
        <v>10605</v>
      </c>
      <c r="S2649" s="23" t="s">
        <v>6844</v>
      </c>
      <c r="T2649" s="23" t="s">
        <v>4866</v>
      </c>
      <c r="U2649" s="3">
        <v>35</v>
      </c>
      <c r="W2649" s="45" t="str">
        <f>HYPERLINK("http://ictvonline.org/taxonomy/p/taxonomy-history?taxnode_id=201903172","ICTVonline=201903172")</f>
        <v>ICTVonline=201903172</v>
      </c>
      <c r="AA2649" s="1">
        <v>201900000</v>
      </c>
      <c r="AB2649" s="1">
        <v>35</v>
      </c>
    </row>
    <row r="2650" spans="1:28" x14ac:dyDescent="0.2">
      <c r="A2650" s="1">
        <v>7159</v>
      </c>
      <c r="B2650" s="1" t="s">
        <v>10590</v>
      </c>
      <c r="D2650" s="1" t="s">
        <v>10685</v>
      </c>
      <c r="F2650" s="1" t="s">
        <v>11077</v>
      </c>
      <c r="H2650" s="1" t="s">
        <v>11235</v>
      </c>
      <c r="J2650" s="1" t="s">
        <v>11236</v>
      </c>
      <c r="L2650" s="1" t="s">
        <v>2078</v>
      </c>
      <c r="N2650" s="1" t="s">
        <v>2229</v>
      </c>
      <c r="P2650" s="1" t="s">
        <v>6746</v>
      </c>
      <c r="Q2650" s="3">
        <v>0</v>
      </c>
      <c r="R2650" s="23" t="s">
        <v>10605</v>
      </c>
      <c r="S2650" s="23" t="s">
        <v>6844</v>
      </c>
      <c r="T2650" s="23" t="s">
        <v>4866</v>
      </c>
      <c r="U2650" s="3">
        <v>35</v>
      </c>
      <c r="W2650" s="45" t="str">
        <f>HYPERLINK("http://ictvonline.org/taxonomy/p/taxonomy-history?taxnode_id=201906688","ICTVonline=201906688")</f>
        <v>ICTVonline=201906688</v>
      </c>
      <c r="X2650" s="1" t="s">
        <v>11237</v>
      </c>
      <c r="Y2650" s="1" t="s">
        <v>11238</v>
      </c>
      <c r="Z2650" s="1" t="s">
        <v>11239</v>
      </c>
      <c r="AA2650" s="1">
        <v>201900000</v>
      </c>
      <c r="AB2650" s="1">
        <v>35</v>
      </c>
    </row>
    <row r="2651" spans="1:28" x14ac:dyDescent="0.2">
      <c r="A2651" s="1">
        <v>7161</v>
      </c>
      <c r="B2651" s="1" t="s">
        <v>10590</v>
      </c>
      <c r="D2651" s="1" t="s">
        <v>10685</v>
      </c>
      <c r="F2651" s="1" t="s">
        <v>11077</v>
      </c>
      <c r="H2651" s="1" t="s">
        <v>11235</v>
      </c>
      <c r="J2651" s="1" t="s">
        <v>11236</v>
      </c>
      <c r="L2651" s="1" t="s">
        <v>2078</v>
      </c>
      <c r="N2651" s="1" t="s">
        <v>2229</v>
      </c>
      <c r="P2651" s="1" t="s">
        <v>2230</v>
      </c>
      <c r="Q2651" s="3">
        <v>0</v>
      </c>
      <c r="R2651" s="23" t="s">
        <v>10605</v>
      </c>
      <c r="S2651" s="23" t="s">
        <v>6844</v>
      </c>
      <c r="T2651" s="23" t="s">
        <v>4866</v>
      </c>
      <c r="U2651" s="3">
        <v>35</v>
      </c>
      <c r="W2651" s="45" t="str">
        <f>HYPERLINK("http://ictvonline.org/taxonomy/p/taxonomy-history?taxnode_id=201903173","ICTVonline=201903173")</f>
        <v>ICTVonline=201903173</v>
      </c>
      <c r="AA2651" s="1">
        <v>201900000</v>
      </c>
      <c r="AB2651" s="1">
        <v>35</v>
      </c>
    </row>
    <row r="2652" spans="1:28" x14ac:dyDescent="0.2">
      <c r="A2652" s="1">
        <v>7165</v>
      </c>
      <c r="B2652" s="1" t="s">
        <v>10590</v>
      </c>
      <c r="D2652" s="1" t="s">
        <v>10685</v>
      </c>
      <c r="F2652" s="1" t="s">
        <v>11077</v>
      </c>
      <c r="H2652" s="1" t="s">
        <v>11235</v>
      </c>
      <c r="J2652" s="1" t="s">
        <v>11236</v>
      </c>
      <c r="L2652" s="1" t="s">
        <v>2078</v>
      </c>
      <c r="N2652" s="1" t="s">
        <v>2079</v>
      </c>
      <c r="P2652" s="1" t="s">
        <v>3712</v>
      </c>
      <c r="Q2652" s="3">
        <v>0</v>
      </c>
      <c r="R2652" s="23" t="s">
        <v>10605</v>
      </c>
      <c r="S2652" s="23" t="s">
        <v>6844</v>
      </c>
      <c r="T2652" s="23" t="s">
        <v>4866</v>
      </c>
      <c r="U2652" s="3">
        <v>35</v>
      </c>
      <c r="W2652" s="45" t="str">
        <f>HYPERLINK("http://ictvonline.org/taxonomy/p/taxonomy-history?taxnode_id=201903175","ICTVonline=201903175")</f>
        <v>ICTVonline=201903175</v>
      </c>
      <c r="Y2652" s="1" t="s">
        <v>11240</v>
      </c>
      <c r="Z2652" s="1" t="s">
        <v>11241</v>
      </c>
      <c r="AA2652" s="1">
        <v>201900000</v>
      </c>
      <c r="AB2652" s="1">
        <v>35</v>
      </c>
    </row>
    <row r="2653" spans="1:28" x14ac:dyDescent="0.2">
      <c r="A2653" s="1">
        <v>7167</v>
      </c>
      <c r="B2653" s="1" t="s">
        <v>10590</v>
      </c>
      <c r="D2653" s="1" t="s">
        <v>10685</v>
      </c>
      <c r="F2653" s="1" t="s">
        <v>11077</v>
      </c>
      <c r="H2653" s="1" t="s">
        <v>11235</v>
      </c>
      <c r="J2653" s="1" t="s">
        <v>11236</v>
      </c>
      <c r="L2653" s="1" t="s">
        <v>2078</v>
      </c>
      <c r="N2653" s="1" t="s">
        <v>2079</v>
      </c>
      <c r="P2653" s="1" t="s">
        <v>2370</v>
      </c>
      <c r="Q2653" s="3">
        <v>0</v>
      </c>
      <c r="R2653" s="23" t="s">
        <v>10605</v>
      </c>
      <c r="S2653" s="23" t="s">
        <v>6844</v>
      </c>
      <c r="T2653" s="23" t="s">
        <v>4866</v>
      </c>
      <c r="U2653" s="3">
        <v>35</v>
      </c>
      <c r="W2653" s="45" t="str">
        <f>HYPERLINK("http://ictvonline.org/taxonomy/p/taxonomy-history?taxnode_id=201903176","ICTVonline=201903176")</f>
        <v>ICTVonline=201903176</v>
      </c>
      <c r="AA2653" s="1">
        <v>201900000</v>
      </c>
      <c r="AB2653" s="1">
        <v>35</v>
      </c>
    </row>
    <row r="2654" spans="1:28" x14ac:dyDescent="0.2">
      <c r="A2654" s="1">
        <v>7169</v>
      </c>
      <c r="B2654" s="1" t="s">
        <v>10590</v>
      </c>
      <c r="D2654" s="1" t="s">
        <v>10685</v>
      </c>
      <c r="F2654" s="1" t="s">
        <v>11077</v>
      </c>
      <c r="H2654" s="1" t="s">
        <v>11235</v>
      </c>
      <c r="J2654" s="1" t="s">
        <v>11236</v>
      </c>
      <c r="L2654" s="1" t="s">
        <v>2078</v>
      </c>
      <c r="N2654" s="1" t="s">
        <v>2079</v>
      </c>
      <c r="P2654" s="1" t="s">
        <v>2371</v>
      </c>
      <c r="Q2654" s="3">
        <v>0</v>
      </c>
      <c r="R2654" s="23" t="s">
        <v>10605</v>
      </c>
      <c r="S2654" s="23" t="s">
        <v>6844</v>
      </c>
      <c r="T2654" s="23" t="s">
        <v>4866</v>
      </c>
      <c r="U2654" s="3">
        <v>35</v>
      </c>
      <c r="W2654" s="45" t="str">
        <f>HYPERLINK("http://ictvonline.org/taxonomy/p/taxonomy-history?taxnode_id=201903177","ICTVonline=201903177")</f>
        <v>ICTVonline=201903177</v>
      </c>
      <c r="AA2654" s="1">
        <v>201900000</v>
      </c>
      <c r="AB2654" s="1">
        <v>35</v>
      </c>
    </row>
    <row r="2655" spans="1:28" x14ac:dyDescent="0.2">
      <c r="A2655" s="1">
        <v>7171</v>
      </c>
      <c r="B2655" s="1" t="s">
        <v>10590</v>
      </c>
      <c r="D2655" s="1" t="s">
        <v>10685</v>
      </c>
      <c r="F2655" s="1" t="s">
        <v>11077</v>
      </c>
      <c r="H2655" s="1" t="s">
        <v>11235</v>
      </c>
      <c r="J2655" s="1" t="s">
        <v>11236</v>
      </c>
      <c r="L2655" s="1" t="s">
        <v>2078</v>
      </c>
      <c r="N2655" s="1" t="s">
        <v>2079</v>
      </c>
      <c r="P2655" s="1" t="s">
        <v>2080</v>
      </c>
      <c r="Q2655" s="3">
        <v>0</v>
      </c>
      <c r="R2655" s="23" t="s">
        <v>10605</v>
      </c>
      <c r="S2655" s="23" t="s">
        <v>6844</v>
      </c>
      <c r="T2655" s="23" t="s">
        <v>4866</v>
      </c>
      <c r="U2655" s="3">
        <v>35</v>
      </c>
      <c r="W2655" s="45" t="str">
        <f>HYPERLINK("http://ictvonline.org/taxonomy/p/taxonomy-history?taxnode_id=201903178","ICTVonline=201903178")</f>
        <v>ICTVonline=201903178</v>
      </c>
      <c r="AA2655" s="1">
        <v>201900000</v>
      </c>
      <c r="AB2655" s="1">
        <v>35</v>
      </c>
    </row>
    <row r="2656" spans="1:28" x14ac:dyDescent="0.2">
      <c r="A2656" s="1">
        <v>7173</v>
      </c>
      <c r="B2656" s="1" t="s">
        <v>10590</v>
      </c>
      <c r="D2656" s="1" t="s">
        <v>10685</v>
      </c>
      <c r="F2656" s="1" t="s">
        <v>11077</v>
      </c>
      <c r="H2656" s="1" t="s">
        <v>11235</v>
      </c>
      <c r="J2656" s="1" t="s">
        <v>11236</v>
      </c>
      <c r="L2656" s="1" t="s">
        <v>2078</v>
      </c>
      <c r="N2656" s="1" t="s">
        <v>2079</v>
      </c>
      <c r="P2656" s="1" t="s">
        <v>6747</v>
      </c>
      <c r="Q2656" s="3">
        <v>0</v>
      </c>
      <c r="R2656" s="23" t="s">
        <v>10605</v>
      </c>
      <c r="S2656" s="23" t="s">
        <v>6844</v>
      </c>
      <c r="T2656" s="23" t="s">
        <v>4866</v>
      </c>
      <c r="U2656" s="3">
        <v>35</v>
      </c>
      <c r="W2656" s="45" t="str">
        <f>HYPERLINK("http://ictvonline.org/taxonomy/p/taxonomy-history?taxnode_id=201906693","ICTVonline=201906693")</f>
        <v>ICTVonline=201906693</v>
      </c>
      <c r="X2656" s="1" t="s">
        <v>11242</v>
      </c>
      <c r="Y2656" s="1" t="s">
        <v>11243</v>
      </c>
      <c r="Z2656" s="1" t="s">
        <v>11244</v>
      </c>
      <c r="AA2656" s="1">
        <v>201900000</v>
      </c>
      <c r="AB2656" s="1">
        <v>35</v>
      </c>
    </row>
    <row r="2657" spans="1:28" x14ac:dyDescent="0.2">
      <c r="A2657" s="1">
        <v>7175</v>
      </c>
      <c r="B2657" s="1" t="s">
        <v>10590</v>
      </c>
      <c r="D2657" s="1" t="s">
        <v>10685</v>
      </c>
      <c r="F2657" s="1" t="s">
        <v>11077</v>
      </c>
      <c r="H2657" s="1" t="s">
        <v>11235</v>
      </c>
      <c r="J2657" s="1" t="s">
        <v>11236</v>
      </c>
      <c r="L2657" s="1" t="s">
        <v>2078</v>
      </c>
      <c r="N2657" s="1" t="s">
        <v>2079</v>
      </c>
      <c r="P2657" s="1" t="s">
        <v>1970</v>
      </c>
      <c r="Q2657" s="3">
        <v>0</v>
      </c>
      <c r="R2657" s="23" t="s">
        <v>10605</v>
      </c>
      <c r="S2657" s="23" t="s">
        <v>6844</v>
      </c>
      <c r="T2657" s="23" t="s">
        <v>4866</v>
      </c>
      <c r="U2657" s="3">
        <v>35</v>
      </c>
      <c r="W2657" s="45" t="str">
        <f>HYPERLINK("http://ictvonline.org/taxonomy/p/taxonomy-history?taxnode_id=201903179","ICTVonline=201903179")</f>
        <v>ICTVonline=201903179</v>
      </c>
      <c r="AA2657" s="1">
        <v>201900000</v>
      </c>
      <c r="AB2657" s="1">
        <v>35</v>
      </c>
    </row>
    <row r="2658" spans="1:28" x14ac:dyDescent="0.2">
      <c r="A2658" s="1">
        <v>7177</v>
      </c>
      <c r="B2658" s="1" t="s">
        <v>10590</v>
      </c>
      <c r="D2658" s="1" t="s">
        <v>10685</v>
      </c>
      <c r="F2658" s="1" t="s">
        <v>11077</v>
      </c>
      <c r="H2658" s="1" t="s">
        <v>11235</v>
      </c>
      <c r="J2658" s="1" t="s">
        <v>11236</v>
      </c>
      <c r="L2658" s="1" t="s">
        <v>2078</v>
      </c>
      <c r="N2658" s="1" t="s">
        <v>2079</v>
      </c>
      <c r="P2658" s="1" t="s">
        <v>1971</v>
      </c>
      <c r="Q2658" s="3">
        <v>0</v>
      </c>
      <c r="R2658" s="23" t="s">
        <v>10605</v>
      </c>
      <c r="S2658" s="23" t="s">
        <v>6844</v>
      </c>
      <c r="T2658" s="23" t="s">
        <v>4866</v>
      </c>
      <c r="U2658" s="3">
        <v>35</v>
      </c>
      <c r="W2658" s="45" t="str">
        <f>HYPERLINK("http://ictvonline.org/taxonomy/p/taxonomy-history?taxnode_id=201903180","ICTVonline=201903180")</f>
        <v>ICTVonline=201903180</v>
      </c>
      <c r="AA2658" s="1">
        <v>201900000</v>
      </c>
      <c r="AB2658" s="1">
        <v>35</v>
      </c>
    </row>
    <row r="2659" spans="1:28" x14ac:dyDescent="0.2">
      <c r="A2659" s="1">
        <v>7179</v>
      </c>
      <c r="B2659" s="1" t="s">
        <v>10590</v>
      </c>
      <c r="D2659" s="1" t="s">
        <v>10685</v>
      </c>
      <c r="F2659" s="1" t="s">
        <v>11077</v>
      </c>
      <c r="H2659" s="1" t="s">
        <v>11235</v>
      </c>
      <c r="J2659" s="1" t="s">
        <v>11236</v>
      </c>
      <c r="L2659" s="1" t="s">
        <v>2078</v>
      </c>
      <c r="N2659" s="1" t="s">
        <v>2079</v>
      </c>
      <c r="P2659" s="1" t="s">
        <v>11245</v>
      </c>
      <c r="Q2659" s="3">
        <v>0</v>
      </c>
      <c r="R2659" s="23" t="s">
        <v>10596</v>
      </c>
      <c r="S2659" s="23" t="s">
        <v>6849</v>
      </c>
      <c r="T2659" s="23" t="s">
        <v>4864</v>
      </c>
      <c r="U2659" s="3">
        <v>35</v>
      </c>
      <c r="V2659" s="3" t="s">
        <v>11246</v>
      </c>
      <c r="W2659" s="45" t="str">
        <f>HYPERLINK("http://ictvonline.org/taxonomy/p/taxonomy-history?taxnode_id=201907518","ICTVonline=201907518")</f>
        <v>ICTVonline=201907518</v>
      </c>
      <c r="X2659" s="1" t="s">
        <v>11247</v>
      </c>
      <c r="Y2659" s="1" t="s">
        <v>11248</v>
      </c>
      <c r="Z2659" s="1" t="s">
        <v>11249</v>
      </c>
      <c r="AA2659" s="1">
        <v>201900000</v>
      </c>
      <c r="AB2659" s="1">
        <v>35</v>
      </c>
    </row>
    <row r="2660" spans="1:28" x14ac:dyDescent="0.2">
      <c r="A2660" s="1">
        <v>7181</v>
      </c>
      <c r="B2660" s="1" t="s">
        <v>10590</v>
      </c>
      <c r="D2660" s="1" t="s">
        <v>10685</v>
      </c>
      <c r="F2660" s="1" t="s">
        <v>11077</v>
      </c>
      <c r="H2660" s="1" t="s">
        <v>11235</v>
      </c>
      <c r="J2660" s="1" t="s">
        <v>11236</v>
      </c>
      <c r="L2660" s="1" t="s">
        <v>2078</v>
      </c>
      <c r="N2660" s="1" t="s">
        <v>2079</v>
      </c>
      <c r="P2660" s="1" t="s">
        <v>1972</v>
      </c>
      <c r="Q2660" s="3">
        <v>0</v>
      </c>
      <c r="R2660" s="23" t="s">
        <v>10605</v>
      </c>
      <c r="S2660" s="23" t="s">
        <v>6844</v>
      </c>
      <c r="T2660" s="23" t="s">
        <v>4866</v>
      </c>
      <c r="U2660" s="3">
        <v>35</v>
      </c>
      <c r="W2660" s="45" t="str">
        <f>HYPERLINK("http://ictvonline.org/taxonomy/p/taxonomy-history?taxnode_id=201903181","ICTVonline=201903181")</f>
        <v>ICTVonline=201903181</v>
      </c>
      <c r="AA2660" s="1">
        <v>201900000</v>
      </c>
      <c r="AB2660" s="1">
        <v>35</v>
      </c>
    </row>
    <row r="2661" spans="1:28" x14ac:dyDescent="0.2">
      <c r="A2661" s="1">
        <v>7183</v>
      </c>
      <c r="B2661" s="1" t="s">
        <v>10590</v>
      </c>
      <c r="D2661" s="1" t="s">
        <v>10685</v>
      </c>
      <c r="F2661" s="1" t="s">
        <v>11077</v>
      </c>
      <c r="H2661" s="1" t="s">
        <v>11235</v>
      </c>
      <c r="J2661" s="1" t="s">
        <v>11236</v>
      </c>
      <c r="L2661" s="1" t="s">
        <v>2078</v>
      </c>
      <c r="N2661" s="1" t="s">
        <v>2079</v>
      </c>
      <c r="P2661" s="1" t="s">
        <v>1973</v>
      </c>
      <c r="Q2661" s="3">
        <v>0</v>
      </c>
      <c r="R2661" s="23" t="s">
        <v>10605</v>
      </c>
      <c r="S2661" s="23" t="s">
        <v>6844</v>
      </c>
      <c r="T2661" s="23" t="s">
        <v>4866</v>
      </c>
      <c r="U2661" s="3">
        <v>35</v>
      </c>
      <c r="W2661" s="45" t="str">
        <f>HYPERLINK("http://ictvonline.org/taxonomy/p/taxonomy-history?taxnode_id=201903182","ICTVonline=201903182")</f>
        <v>ICTVonline=201903182</v>
      </c>
      <c r="AA2661" s="1">
        <v>201900000</v>
      </c>
      <c r="AB2661" s="1">
        <v>35</v>
      </c>
    </row>
    <row r="2662" spans="1:28" x14ac:dyDescent="0.2">
      <c r="A2662" s="1">
        <v>7185</v>
      </c>
      <c r="B2662" s="1" t="s">
        <v>10590</v>
      </c>
      <c r="D2662" s="1" t="s">
        <v>10685</v>
      </c>
      <c r="F2662" s="1" t="s">
        <v>11077</v>
      </c>
      <c r="H2662" s="1" t="s">
        <v>11235</v>
      </c>
      <c r="J2662" s="1" t="s">
        <v>11236</v>
      </c>
      <c r="L2662" s="1" t="s">
        <v>2078</v>
      </c>
      <c r="N2662" s="1" t="s">
        <v>2079</v>
      </c>
      <c r="P2662" s="1" t="s">
        <v>1974</v>
      </c>
      <c r="Q2662" s="3">
        <v>0</v>
      </c>
      <c r="R2662" s="23" t="s">
        <v>10605</v>
      </c>
      <c r="S2662" s="23" t="s">
        <v>6844</v>
      </c>
      <c r="T2662" s="23" t="s">
        <v>4866</v>
      </c>
      <c r="U2662" s="3">
        <v>35</v>
      </c>
      <c r="W2662" s="45" t="str">
        <f>HYPERLINK("http://ictvonline.org/taxonomy/p/taxonomy-history?taxnode_id=201903183","ICTVonline=201903183")</f>
        <v>ICTVonline=201903183</v>
      </c>
      <c r="AA2662" s="1">
        <v>201900000</v>
      </c>
      <c r="AB2662" s="1">
        <v>35</v>
      </c>
    </row>
    <row r="2663" spans="1:28" x14ac:dyDescent="0.2">
      <c r="A2663" s="1">
        <v>7187</v>
      </c>
      <c r="B2663" s="1" t="s">
        <v>10590</v>
      </c>
      <c r="D2663" s="1" t="s">
        <v>10685</v>
      </c>
      <c r="F2663" s="1" t="s">
        <v>11077</v>
      </c>
      <c r="H2663" s="1" t="s">
        <v>11235</v>
      </c>
      <c r="J2663" s="1" t="s">
        <v>11236</v>
      </c>
      <c r="L2663" s="1" t="s">
        <v>2078</v>
      </c>
      <c r="N2663" s="1" t="s">
        <v>2079</v>
      </c>
      <c r="P2663" s="1" t="s">
        <v>1975</v>
      </c>
      <c r="Q2663" s="3">
        <v>0</v>
      </c>
      <c r="R2663" s="23" t="s">
        <v>10605</v>
      </c>
      <c r="S2663" s="23" t="s">
        <v>6844</v>
      </c>
      <c r="T2663" s="23" t="s">
        <v>4866</v>
      </c>
      <c r="U2663" s="3">
        <v>35</v>
      </c>
      <c r="W2663" s="45" t="str">
        <f>HYPERLINK("http://ictvonline.org/taxonomy/p/taxonomy-history?taxnode_id=201903184","ICTVonline=201903184")</f>
        <v>ICTVonline=201903184</v>
      </c>
      <c r="AA2663" s="1">
        <v>201900000</v>
      </c>
      <c r="AB2663" s="1">
        <v>35</v>
      </c>
    </row>
    <row r="2664" spans="1:28" x14ac:dyDescent="0.2">
      <c r="A2664" s="1">
        <v>7189</v>
      </c>
      <c r="B2664" s="1" t="s">
        <v>10590</v>
      </c>
      <c r="D2664" s="1" t="s">
        <v>10685</v>
      </c>
      <c r="F2664" s="1" t="s">
        <v>11077</v>
      </c>
      <c r="H2664" s="1" t="s">
        <v>11235</v>
      </c>
      <c r="J2664" s="1" t="s">
        <v>11236</v>
      </c>
      <c r="L2664" s="1" t="s">
        <v>2078</v>
      </c>
      <c r="N2664" s="1" t="s">
        <v>2079</v>
      </c>
      <c r="P2664" s="1" t="s">
        <v>2372</v>
      </c>
      <c r="Q2664" s="3">
        <v>0</v>
      </c>
      <c r="R2664" s="23" t="s">
        <v>10605</v>
      </c>
      <c r="S2664" s="23" t="s">
        <v>6844</v>
      </c>
      <c r="T2664" s="23" t="s">
        <v>4866</v>
      </c>
      <c r="U2664" s="3">
        <v>35</v>
      </c>
      <c r="W2664" s="45" t="str">
        <f>HYPERLINK("http://ictvonline.org/taxonomy/p/taxonomy-history?taxnode_id=201903185","ICTVonline=201903185")</f>
        <v>ICTVonline=201903185</v>
      </c>
      <c r="AA2664" s="1">
        <v>201900000</v>
      </c>
      <c r="AB2664" s="1">
        <v>35</v>
      </c>
    </row>
    <row r="2665" spans="1:28" x14ac:dyDescent="0.2">
      <c r="A2665" s="1">
        <v>7191</v>
      </c>
      <c r="B2665" s="1" t="s">
        <v>10590</v>
      </c>
      <c r="D2665" s="1" t="s">
        <v>10685</v>
      </c>
      <c r="F2665" s="1" t="s">
        <v>11077</v>
      </c>
      <c r="H2665" s="1" t="s">
        <v>11235</v>
      </c>
      <c r="J2665" s="1" t="s">
        <v>11236</v>
      </c>
      <c r="L2665" s="1" t="s">
        <v>2078</v>
      </c>
      <c r="N2665" s="1" t="s">
        <v>2079</v>
      </c>
      <c r="P2665" s="1" t="s">
        <v>5298</v>
      </c>
      <c r="Q2665" s="3">
        <v>0</v>
      </c>
      <c r="R2665" s="23" t="s">
        <v>10605</v>
      </c>
      <c r="S2665" s="23" t="s">
        <v>6844</v>
      </c>
      <c r="T2665" s="23" t="s">
        <v>4866</v>
      </c>
      <c r="U2665" s="3">
        <v>35</v>
      </c>
      <c r="W2665" s="45" t="str">
        <f>HYPERLINK("http://ictvonline.org/taxonomy/p/taxonomy-history?taxnode_id=201905787","ICTVonline=201905787")</f>
        <v>ICTVonline=201905787</v>
      </c>
      <c r="AA2665" s="1">
        <v>201900000</v>
      </c>
      <c r="AB2665" s="1">
        <v>35</v>
      </c>
    </row>
    <row r="2666" spans="1:28" x14ac:dyDescent="0.2">
      <c r="A2666" s="1">
        <v>7193</v>
      </c>
      <c r="B2666" s="1" t="s">
        <v>10590</v>
      </c>
      <c r="D2666" s="1" t="s">
        <v>10685</v>
      </c>
      <c r="F2666" s="1" t="s">
        <v>11077</v>
      </c>
      <c r="H2666" s="1" t="s">
        <v>11235</v>
      </c>
      <c r="J2666" s="1" t="s">
        <v>11236</v>
      </c>
      <c r="L2666" s="1" t="s">
        <v>2078</v>
      </c>
      <c r="N2666" s="1" t="s">
        <v>2079</v>
      </c>
      <c r="P2666" s="1" t="s">
        <v>1976</v>
      </c>
      <c r="Q2666" s="3">
        <v>0</v>
      </c>
      <c r="R2666" s="23" t="s">
        <v>10605</v>
      </c>
      <c r="S2666" s="23" t="s">
        <v>6844</v>
      </c>
      <c r="T2666" s="23" t="s">
        <v>4866</v>
      </c>
      <c r="U2666" s="3">
        <v>35</v>
      </c>
      <c r="W2666" s="45" t="str">
        <f>HYPERLINK("http://ictvonline.org/taxonomy/p/taxonomy-history?taxnode_id=201903186","ICTVonline=201903186")</f>
        <v>ICTVonline=201903186</v>
      </c>
      <c r="AA2666" s="1">
        <v>201900000</v>
      </c>
      <c r="AB2666" s="1">
        <v>35</v>
      </c>
    </row>
    <row r="2667" spans="1:28" x14ac:dyDescent="0.2">
      <c r="A2667" s="1">
        <v>7195</v>
      </c>
      <c r="B2667" s="1" t="s">
        <v>10590</v>
      </c>
      <c r="D2667" s="1" t="s">
        <v>10685</v>
      </c>
      <c r="F2667" s="1" t="s">
        <v>11077</v>
      </c>
      <c r="H2667" s="1" t="s">
        <v>11235</v>
      </c>
      <c r="J2667" s="1" t="s">
        <v>11236</v>
      </c>
      <c r="L2667" s="1" t="s">
        <v>2078</v>
      </c>
      <c r="N2667" s="1" t="s">
        <v>2079</v>
      </c>
      <c r="P2667" s="1" t="s">
        <v>5299</v>
      </c>
      <c r="Q2667" s="3">
        <v>0</v>
      </c>
      <c r="R2667" s="23" t="s">
        <v>10605</v>
      </c>
      <c r="S2667" s="23" t="s">
        <v>6844</v>
      </c>
      <c r="T2667" s="23" t="s">
        <v>4866</v>
      </c>
      <c r="U2667" s="3">
        <v>35</v>
      </c>
      <c r="W2667" s="45" t="str">
        <f>HYPERLINK("http://ictvonline.org/taxonomy/p/taxonomy-history?taxnode_id=201905788","ICTVonline=201905788")</f>
        <v>ICTVonline=201905788</v>
      </c>
      <c r="AA2667" s="1">
        <v>201900000</v>
      </c>
      <c r="AB2667" s="1">
        <v>35</v>
      </c>
    </row>
    <row r="2668" spans="1:28" x14ac:dyDescent="0.2">
      <c r="A2668" s="1">
        <v>7197</v>
      </c>
      <c r="B2668" s="1" t="s">
        <v>10590</v>
      </c>
      <c r="D2668" s="1" t="s">
        <v>10685</v>
      </c>
      <c r="F2668" s="1" t="s">
        <v>11077</v>
      </c>
      <c r="H2668" s="1" t="s">
        <v>11235</v>
      </c>
      <c r="J2668" s="1" t="s">
        <v>11236</v>
      </c>
      <c r="L2668" s="1" t="s">
        <v>2078</v>
      </c>
      <c r="N2668" s="1" t="s">
        <v>2079</v>
      </c>
      <c r="P2668" s="1" t="s">
        <v>5300</v>
      </c>
      <c r="Q2668" s="3">
        <v>0</v>
      </c>
      <c r="R2668" s="23" t="s">
        <v>10605</v>
      </c>
      <c r="S2668" s="23" t="s">
        <v>6844</v>
      </c>
      <c r="T2668" s="23" t="s">
        <v>4866</v>
      </c>
      <c r="U2668" s="3">
        <v>35</v>
      </c>
      <c r="W2668" s="45" t="str">
        <f>HYPERLINK("http://ictvonline.org/taxonomy/p/taxonomy-history?taxnode_id=201905789","ICTVonline=201905789")</f>
        <v>ICTVonline=201905789</v>
      </c>
      <c r="AA2668" s="1">
        <v>201900000</v>
      </c>
      <c r="AB2668" s="1">
        <v>35</v>
      </c>
    </row>
    <row r="2669" spans="1:28" x14ac:dyDescent="0.2">
      <c r="A2669" s="1">
        <v>7199</v>
      </c>
      <c r="B2669" s="1" t="s">
        <v>10590</v>
      </c>
      <c r="D2669" s="1" t="s">
        <v>10685</v>
      </c>
      <c r="F2669" s="1" t="s">
        <v>11077</v>
      </c>
      <c r="H2669" s="1" t="s">
        <v>11235</v>
      </c>
      <c r="J2669" s="1" t="s">
        <v>11236</v>
      </c>
      <c r="L2669" s="1" t="s">
        <v>2078</v>
      </c>
      <c r="N2669" s="1" t="s">
        <v>2079</v>
      </c>
      <c r="P2669" s="1" t="s">
        <v>1977</v>
      </c>
      <c r="Q2669" s="3">
        <v>0</v>
      </c>
      <c r="R2669" s="23" t="s">
        <v>10605</v>
      </c>
      <c r="S2669" s="23" t="s">
        <v>6844</v>
      </c>
      <c r="T2669" s="23" t="s">
        <v>4866</v>
      </c>
      <c r="U2669" s="3">
        <v>35</v>
      </c>
      <c r="W2669" s="45" t="str">
        <f>HYPERLINK("http://ictvonline.org/taxonomy/p/taxonomy-history?taxnode_id=201903187","ICTVonline=201903187")</f>
        <v>ICTVonline=201903187</v>
      </c>
      <c r="AA2669" s="1">
        <v>201900000</v>
      </c>
      <c r="AB2669" s="1">
        <v>35</v>
      </c>
    </row>
    <row r="2670" spans="1:28" x14ac:dyDescent="0.2">
      <c r="A2670" s="1">
        <v>7201</v>
      </c>
      <c r="B2670" s="1" t="s">
        <v>10590</v>
      </c>
      <c r="D2670" s="1" t="s">
        <v>10685</v>
      </c>
      <c r="F2670" s="1" t="s">
        <v>11077</v>
      </c>
      <c r="H2670" s="1" t="s">
        <v>11235</v>
      </c>
      <c r="J2670" s="1" t="s">
        <v>11236</v>
      </c>
      <c r="L2670" s="1" t="s">
        <v>2078</v>
      </c>
      <c r="N2670" s="1" t="s">
        <v>2079</v>
      </c>
      <c r="P2670" s="1" t="s">
        <v>2373</v>
      </c>
      <c r="Q2670" s="3">
        <v>0</v>
      </c>
      <c r="R2670" s="23" t="s">
        <v>10605</v>
      </c>
      <c r="S2670" s="23" t="s">
        <v>6844</v>
      </c>
      <c r="T2670" s="23" t="s">
        <v>4866</v>
      </c>
      <c r="U2670" s="3">
        <v>35</v>
      </c>
      <c r="W2670" s="45" t="str">
        <f>HYPERLINK("http://ictvonline.org/taxonomy/p/taxonomy-history?taxnode_id=201903188","ICTVonline=201903188")</f>
        <v>ICTVonline=201903188</v>
      </c>
      <c r="AA2670" s="1">
        <v>201900000</v>
      </c>
      <c r="AB2670" s="1">
        <v>35</v>
      </c>
    </row>
    <row r="2671" spans="1:28" x14ac:dyDescent="0.2">
      <c r="A2671" s="1">
        <v>7203</v>
      </c>
      <c r="B2671" s="1" t="s">
        <v>10590</v>
      </c>
      <c r="D2671" s="1" t="s">
        <v>10685</v>
      </c>
      <c r="F2671" s="1" t="s">
        <v>11077</v>
      </c>
      <c r="H2671" s="1" t="s">
        <v>11235</v>
      </c>
      <c r="J2671" s="1" t="s">
        <v>11236</v>
      </c>
      <c r="L2671" s="1" t="s">
        <v>2078</v>
      </c>
      <c r="N2671" s="1" t="s">
        <v>2079</v>
      </c>
      <c r="P2671" s="1" t="s">
        <v>1978</v>
      </c>
      <c r="Q2671" s="3">
        <v>0</v>
      </c>
      <c r="R2671" s="23" t="s">
        <v>10605</v>
      </c>
      <c r="S2671" s="23" t="s">
        <v>6844</v>
      </c>
      <c r="T2671" s="23" t="s">
        <v>4866</v>
      </c>
      <c r="U2671" s="3">
        <v>35</v>
      </c>
      <c r="W2671" s="45" t="str">
        <f>HYPERLINK("http://ictvonline.org/taxonomy/p/taxonomy-history?taxnode_id=201903189","ICTVonline=201903189")</f>
        <v>ICTVonline=201903189</v>
      </c>
      <c r="AA2671" s="1">
        <v>201900000</v>
      </c>
      <c r="AB2671" s="1">
        <v>35</v>
      </c>
    </row>
    <row r="2672" spans="1:28" x14ac:dyDescent="0.2">
      <c r="A2672" s="1">
        <v>7205</v>
      </c>
      <c r="B2672" s="1" t="s">
        <v>10590</v>
      </c>
      <c r="D2672" s="1" t="s">
        <v>10685</v>
      </c>
      <c r="F2672" s="1" t="s">
        <v>11077</v>
      </c>
      <c r="H2672" s="1" t="s">
        <v>11235</v>
      </c>
      <c r="J2672" s="1" t="s">
        <v>11236</v>
      </c>
      <c r="L2672" s="1" t="s">
        <v>2078</v>
      </c>
      <c r="N2672" s="1" t="s">
        <v>2079</v>
      </c>
      <c r="P2672" s="1" t="s">
        <v>273</v>
      </c>
      <c r="Q2672" s="3">
        <v>0</v>
      </c>
      <c r="R2672" s="23" t="s">
        <v>10605</v>
      </c>
      <c r="S2672" s="23" t="s">
        <v>6844</v>
      </c>
      <c r="T2672" s="23" t="s">
        <v>4866</v>
      </c>
      <c r="U2672" s="3">
        <v>35</v>
      </c>
      <c r="W2672" s="45" t="str">
        <f>HYPERLINK("http://ictvonline.org/taxonomy/p/taxonomy-history?taxnode_id=201903190","ICTVonline=201903190")</f>
        <v>ICTVonline=201903190</v>
      </c>
      <c r="AA2672" s="1">
        <v>201900000</v>
      </c>
      <c r="AB2672" s="1">
        <v>35</v>
      </c>
    </row>
    <row r="2673" spans="1:28" x14ac:dyDescent="0.2">
      <c r="A2673" s="1">
        <v>7207</v>
      </c>
      <c r="B2673" s="1" t="s">
        <v>10590</v>
      </c>
      <c r="D2673" s="1" t="s">
        <v>10685</v>
      </c>
      <c r="F2673" s="1" t="s">
        <v>11077</v>
      </c>
      <c r="H2673" s="1" t="s">
        <v>11235</v>
      </c>
      <c r="J2673" s="1" t="s">
        <v>11236</v>
      </c>
      <c r="L2673" s="1" t="s">
        <v>2078</v>
      </c>
      <c r="N2673" s="1" t="s">
        <v>2079</v>
      </c>
      <c r="P2673" s="1" t="s">
        <v>274</v>
      </c>
      <c r="Q2673" s="3">
        <v>1</v>
      </c>
      <c r="R2673" s="23" t="s">
        <v>10605</v>
      </c>
      <c r="S2673" s="23" t="s">
        <v>6844</v>
      </c>
      <c r="T2673" s="23" t="s">
        <v>4866</v>
      </c>
      <c r="U2673" s="3">
        <v>35</v>
      </c>
      <c r="W2673" s="45" t="str">
        <f>HYPERLINK("http://ictvonline.org/taxonomy/p/taxonomy-history?taxnode_id=201903191","ICTVonline=201903191")</f>
        <v>ICTVonline=201903191</v>
      </c>
      <c r="AA2673" s="1">
        <v>201900000</v>
      </c>
      <c r="AB2673" s="1">
        <v>35</v>
      </c>
    </row>
    <row r="2674" spans="1:28" x14ac:dyDescent="0.2">
      <c r="A2674" s="1">
        <v>7209</v>
      </c>
      <c r="B2674" s="1" t="s">
        <v>10590</v>
      </c>
      <c r="D2674" s="1" t="s">
        <v>10685</v>
      </c>
      <c r="F2674" s="1" t="s">
        <v>11077</v>
      </c>
      <c r="H2674" s="1" t="s">
        <v>11235</v>
      </c>
      <c r="J2674" s="1" t="s">
        <v>11236</v>
      </c>
      <c r="L2674" s="1" t="s">
        <v>2078</v>
      </c>
      <c r="N2674" s="1" t="s">
        <v>2079</v>
      </c>
      <c r="P2674" s="1" t="s">
        <v>6748</v>
      </c>
      <c r="Q2674" s="3">
        <v>0</v>
      </c>
      <c r="R2674" s="23" t="s">
        <v>10605</v>
      </c>
      <c r="S2674" s="23" t="s">
        <v>6844</v>
      </c>
      <c r="T2674" s="23" t="s">
        <v>4866</v>
      </c>
      <c r="U2674" s="3">
        <v>35</v>
      </c>
      <c r="W2674" s="45" t="str">
        <f>HYPERLINK("http://ictvonline.org/taxonomy/p/taxonomy-history?taxnode_id=201906694","ICTVonline=201906694")</f>
        <v>ICTVonline=201906694</v>
      </c>
      <c r="X2674" s="1" t="s">
        <v>11250</v>
      </c>
      <c r="Y2674" s="1" t="s">
        <v>11251</v>
      </c>
      <c r="Z2674" s="1" t="s">
        <v>11252</v>
      </c>
      <c r="AA2674" s="1">
        <v>201900000</v>
      </c>
      <c r="AB2674" s="1">
        <v>35</v>
      </c>
    </row>
    <row r="2675" spans="1:28" x14ac:dyDescent="0.2">
      <c r="A2675" s="1">
        <v>7211</v>
      </c>
      <c r="B2675" s="1" t="s">
        <v>10590</v>
      </c>
      <c r="D2675" s="1" t="s">
        <v>10685</v>
      </c>
      <c r="F2675" s="1" t="s">
        <v>11077</v>
      </c>
      <c r="H2675" s="1" t="s">
        <v>11235</v>
      </c>
      <c r="J2675" s="1" t="s">
        <v>11236</v>
      </c>
      <c r="L2675" s="1" t="s">
        <v>2078</v>
      </c>
      <c r="N2675" s="1" t="s">
        <v>2079</v>
      </c>
      <c r="P2675" s="1" t="s">
        <v>5301</v>
      </c>
      <c r="Q2675" s="3">
        <v>0</v>
      </c>
      <c r="R2675" s="23" t="s">
        <v>10605</v>
      </c>
      <c r="S2675" s="23" t="s">
        <v>6844</v>
      </c>
      <c r="T2675" s="23" t="s">
        <v>4866</v>
      </c>
      <c r="U2675" s="3">
        <v>35</v>
      </c>
      <c r="W2675" s="45" t="str">
        <f>HYPERLINK("http://ictvonline.org/taxonomy/p/taxonomy-history?taxnode_id=201905790","ICTVonline=201905790")</f>
        <v>ICTVonline=201905790</v>
      </c>
      <c r="AA2675" s="1">
        <v>201900000</v>
      </c>
      <c r="AB2675" s="1">
        <v>35</v>
      </c>
    </row>
    <row r="2676" spans="1:28" x14ac:dyDescent="0.2">
      <c r="A2676" s="1">
        <v>7213</v>
      </c>
      <c r="B2676" s="1" t="s">
        <v>10590</v>
      </c>
      <c r="D2676" s="1" t="s">
        <v>10685</v>
      </c>
      <c r="F2676" s="1" t="s">
        <v>11077</v>
      </c>
      <c r="H2676" s="1" t="s">
        <v>11235</v>
      </c>
      <c r="J2676" s="1" t="s">
        <v>11236</v>
      </c>
      <c r="L2676" s="1" t="s">
        <v>2078</v>
      </c>
      <c r="N2676" s="1" t="s">
        <v>2079</v>
      </c>
      <c r="P2676" s="1" t="s">
        <v>2374</v>
      </c>
      <c r="Q2676" s="3">
        <v>0</v>
      </c>
      <c r="R2676" s="23" t="s">
        <v>10605</v>
      </c>
      <c r="S2676" s="23" t="s">
        <v>6844</v>
      </c>
      <c r="T2676" s="23" t="s">
        <v>4866</v>
      </c>
      <c r="U2676" s="3">
        <v>35</v>
      </c>
      <c r="W2676" s="45" t="str">
        <f>HYPERLINK("http://ictvonline.org/taxonomy/p/taxonomy-history?taxnode_id=201903192","ICTVonline=201903192")</f>
        <v>ICTVonline=201903192</v>
      </c>
      <c r="AA2676" s="1">
        <v>201900000</v>
      </c>
      <c r="AB2676" s="1">
        <v>35</v>
      </c>
    </row>
    <row r="2677" spans="1:28" x14ac:dyDescent="0.2">
      <c r="A2677" s="1">
        <v>7215</v>
      </c>
      <c r="B2677" s="1" t="s">
        <v>10590</v>
      </c>
      <c r="D2677" s="1" t="s">
        <v>10685</v>
      </c>
      <c r="F2677" s="1" t="s">
        <v>11077</v>
      </c>
      <c r="H2677" s="1" t="s">
        <v>11235</v>
      </c>
      <c r="J2677" s="1" t="s">
        <v>11236</v>
      </c>
      <c r="L2677" s="1" t="s">
        <v>2078</v>
      </c>
      <c r="N2677" s="1" t="s">
        <v>2079</v>
      </c>
      <c r="P2677" s="1" t="s">
        <v>2375</v>
      </c>
      <c r="Q2677" s="3">
        <v>0</v>
      </c>
      <c r="R2677" s="23" t="s">
        <v>10605</v>
      </c>
      <c r="S2677" s="23" t="s">
        <v>6844</v>
      </c>
      <c r="T2677" s="23" t="s">
        <v>4866</v>
      </c>
      <c r="U2677" s="3">
        <v>35</v>
      </c>
      <c r="W2677" s="45" t="str">
        <f>HYPERLINK("http://ictvonline.org/taxonomy/p/taxonomy-history?taxnode_id=201903193","ICTVonline=201903193")</f>
        <v>ICTVonline=201903193</v>
      </c>
      <c r="AA2677" s="1">
        <v>201900000</v>
      </c>
      <c r="AB2677" s="1">
        <v>35</v>
      </c>
    </row>
    <row r="2678" spans="1:28" x14ac:dyDescent="0.2">
      <c r="A2678" s="1">
        <v>7217</v>
      </c>
      <c r="B2678" s="1" t="s">
        <v>10590</v>
      </c>
      <c r="D2678" s="1" t="s">
        <v>10685</v>
      </c>
      <c r="F2678" s="1" t="s">
        <v>11077</v>
      </c>
      <c r="H2678" s="1" t="s">
        <v>11235</v>
      </c>
      <c r="J2678" s="1" t="s">
        <v>11236</v>
      </c>
      <c r="L2678" s="1" t="s">
        <v>2078</v>
      </c>
      <c r="N2678" s="1" t="s">
        <v>2079</v>
      </c>
      <c r="P2678" s="1" t="s">
        <v>2376</v>
      </c>
      <c r="Q2678" s="3">
        <v>0</v>
      </c>
      <c r="R2678" s="23" t="s">
        <v>10605</v>
      </c>
      <c r="S2678" s="23" t="s">
        <v>6844</v>
      </c>
      <c r="T2678" s="23" t="s">
        <v>4866</v>
      </c>
      <c r="U2678" s="3">
        <v>35</v>
      </c>
      <c r="W2678" s="45" t="str">
        <f>HYPERLINK("http://ictvonline.org/taxonomy/p/taxonomy-history?taxnode_id=201903194","ICTVonline=201903194")</f>
        <v>ICTVonline=201903194</v>
      </c>
      <c r="AA2678" s="1">
        <v>201900000</v>
      </c>
      <c r="AB2678" s="1">
        <v>35</v>
      </c>
    </row>
    <row r="2679" spans="1:28" x14ac:dyDescent="0.2">
      <c r="A2679" s="1">
        <v>7219</v>
      </c>
      <c r="B2679" s="1" t="s">
        <v>10590</v>
      </c>
      <c r="D2679" s="1" t="s">
        <v>10685</v>
      </c>
      <c r="F2679" s="1" t="s">
        <v>11077</v>
      </c>
      <c r="H2679" s="1" t="s">
        <v>11235</v>
      </c>
      <c r="J2679" s="1" t="s">
        <v>11236</v>
      </c>
      <c r="L2679" s="1" t="s">
        <v>2078</v>
      </c>
      <c r="N2679" s="1" t="s">
        <v>2079</v>
      </c>
      <c r="P2679" s="1" t="s">
        <v>6749</v>
      </c>
      <c r="Q2679" s="3">
        <v>0</v>
      </c>
      <c r="R2679" s="23" t="s">
        <v>10605</v>
      </c>
      <c r="S2679" s="23" t="s">
        <v>6844</v>
      </c>
      <c r="T2679" s="23" t="s">
        <v>4866</v>
      </c>
      <c r="U2679" s="3">
        <v>35</v>
      </c>
      <c r="W2679" s="45" t="str">
        <f>HYPERLINK("http://ictvonline.org/taxonomy/p/taxonomy-history?taxnode_id=201906703","ICTVonline=201906703")</f>
        <v>ICTVonline=201906703</v>
      </c>
      <c r="X2679" s="1" t="s">
        <v>11253</v>
      </c>
      <c r="Y2679" s="1" t="s">
        <v>11254</v>
      </c>
      <c r="Z2679" s="1" t="s">
        <v>11255</v>
      </c>
      <c r="AA2679" s="1">
        <v>201900000</v>
      </c>
      <c r="AB2679" s="1">
        <v>35</v>
      </c>
    </row>
    <row r="2680" spans="1:28" x14ac:dyDescent="0.2">
      <c r="A2680" s="1">
        <v>7221</v>
      </c>
      <c r="B2680" s="1" t="s">
        <v>10590</v>
      </c>
      <c r="D2680" s="1" t="s">
        <v>10685</v>
      </c>
      <c r="F2680" s="1" t="s">
        <v>11077</v>
      </c>
      <c r="H2680" s="1" t="s">
        <v>11235</v>
      </c>
      <c r="J2680" s="1" t="s">
        <v>11236</v>
      </c>
      <c r="L2680" s="1" t="s">
        <v>2078</v>
      </c>
      <c r="N2680" s="1" t="s">
        <v>2079</v>
      </c>
      <c r="P2680" s="1" t="s">
        <v>275</v>
      </c>
      <c r="Q2680" s="3">
        <v>0</v>
      </c>
      <c r="R2680" s="23" t="s">
        <v>10605</v>
      </c>
      <c r="S2680" s="23" t="s">
        <v>6844</v>
      </c>
      <c r="T2680" s="23" t="s">
        <v>4866</v>
      </c>
      <c r="U2680" s="3">
        <v>35</v>
      </c>
      <c r="W2680" s="45" t="str">
        <f>HYPERLINK("http://ictvonline.org/taxonomy/p/taxonomy-history?taxnode_id=201903195","ICTVonline=201903195")</f>
        <v>ICTVonline=201903195</v>
      </c>
      <c r="AA2680" s="1">
        <v>201900000</v>
      </c>
      <c r="AB2680" s="1">
        <v>35</v>
      </c>
    </row>
    <row r="2681" spans="1:28" x14ac:dyDescent="0.2">
      <c r="A2681" s="1">
        <v>7223</v>
      </c>
      <c r="B2681" s="1" t="s">
        <v>10590</v>
      </c>
      <c r="D2681" s="1" t="s">
        <v>10685</v>
      </c>
      <c r="F2681" s="1" t="s">
        <v>11077</v>
      </c>
      <c r="H2681" s="1" t="s">
        <v>11235</v>
      </c>
      <c r="J2681" s="1" t="s">
        <v>11236</v>
      </c>
      <c r="L2681" s="1" t="s">
        <v>2078</v>
      </c>
      <c r="N2681" s="1" t="s">
        <v>2079</v>
      </c>
      <c r="P2681" s="1" t="s">
        <v>11256</v>
      </c>
      <c r="Q2681" s="3">
        <v>0</v>
      </c>
      <c r="R2681" s="23" t="s">
        <v>10596</v>
      </c>
      <c r="S2681" s="23" t="s">
        <v>6849</v>
      </c>
      <c r="T2681" s="23" t="s">
        <v>4864</v>
      </c>
      <c r="U2681" s="3">
        <v>35</v>
      </c>
      <c r="V2681" s="3" t="s">
        <v>11246</v>
      </c>
      <c r="W2681" s="45" t="str">
        <f>HYPERLINK("http://ictvonline.org/taxonomy/p/taxonomy-history?taxnode_id=201907519","ICTVonline=201907519")</f>
        <v>ICTVonline=201907519</v>
      </c>
      <c r="X2681" s="1" t="s">
        <v>11257</v>
      </c>
      <c r="Y2681" s="1" t="s">
        <v>11258</v>
      </c>
      <c r="Z2681" s="1" t="s">
        <v>11259</v>
      </c>
      <c r="AA2681" s="1">
        <v>201900000</v>
      </c>
      <c r="AB2681" s="1">
        <v>35</v>
      </c>
    </row>
    <row r="2682" spans="1:28" x14ac:dyDescent="0.2">
      <c r="A2682" s="1">
        <v>7225</v>
      </c>
      <c r="B2682" s="1" t="s">
        <v>10590</v>
      </c>
      <c r="D2682" s="1" t="s">
        <v>10685</v>
      </c>
      <c r="F2682" s="1" t="s">
        <v>11077</v>
      </c>
      <c r="H2682" s="1" t="s">
        <v>11235</v>
      </c>
      <c r="J2682" s="1" t="s">
        <v>11236</v>
      </c>
      <c r="L2682" s="1" t="s">
        <v>2078</v>
      </c>
      <c r="N2682" s="1" t="s">
        <v>2079</v>
      </c>
      <c r="P2682" s="1" t="s">
        <v>2377</v>
      </c>
      <c r="Q2682" s="3">
        <v>0</v>
      </c>
      <c r="R2682" s="23" t="s">
        <v>10605</v>
      </c>
      <c r="S2682" s="23" t="s">
        <v>6844</v>
      </c>
      <c r="T2682" s="23" t="s">
        <v>4866</v>
      </c>
      <c r="U2682" s="3">
        <v>35</v>
      </c>
      <c r="W2682" s="45" t="str">
        <f>HYPERLINK("http://ictvonline.org/taxonomy/p/taxonomy-history?taxnode_id=201903196","ICTVonline=201903196")</f>
        <v>ICTVonline=201903196</v>
      </c>
      <c r="AA2682" s="1">
        <v>201900000</v>
      </c>
      <c r="AB2682" s="1">
        <v>35</v>
      </c>
    </row>
    <row r="2683" spans="1:28" x14ac:dyDescent="0.2">
      <c r="A2683" s="1">
        <v>7227</v>
      </c>
      <c r="B2683" s="1" t="s">
        <v>10590</v>
      </c>
      <c r="D2683" s="1" t="s">
        <v>10685</v>
      </c>
      <c r="F2683" s="1" t="s">
        <v>11077</v>
      </c>
      <c r="H2683" s="1" t="s">
        <v>11235</v>
      </c>
      <c r="J2683" s="1" t="s">
        <v>11236</v>
      </c>
      <c r="L2683" s="1" t="s">
        <v>2078</v>
      </c>
      <c r="N2683" s="1" t="s">
        <v>2079</v>
      </c>
      <c r="P2683" s="1" t="s">
        <v>2378</v>
      </c>
      <c r="Q2683" s="3">
        <v>0</v>
      </c>
      <c r="R2683" s="23" t="s">
        <v>10605</v>
      </c>
      <c r="S2683" s="23" t="s">
        <v>6844</v>
      </c>
      <c r="T2683" s="23" t="s">
        <v>4866</v>
      </c>
      <c r="U2683" s="3">
        <v>35</v>
      </c>
      <c r="W2683" s="45" t="str">
        <f>HYPERLINK("http://ictvonline.org/taxonomy/p/taxonomy-history?taxnode_id=201903197","ICTVonline=201903197")</f>
        <v>ICTVonline=201903197</v>
      </c>
      <c r="AA2683" s="1">
        <v>201900000</v>
      </c>
      <c r="AB2683" s="1">
        <v>35</v>
      </c>
    </row>
    <row r="2684" spans="1:28" x14ac:dyDescent="0.2">
      <c r="A2684" s="1">
        <v>7229</v>
      </c>
      <c r="B2684" s="1" t="s">
        <v>10590</v>
      </c>
      <c r="D2684" s="1" t="s">
        <v>10685</v>
      </c>
      <c r="F2684" s="1" t="s">
        <v>11077</v>
      </c>
      <c r="H2684" s="1" t="s">
        <v>11235</v>
      </c>
      <c r="J2684" s="1" t="s">
        <v>11236</v>
      </c>
      <c r="L2684" s="1" t="s">
        <v>2078</v>
      </c>
      <c r="N2684" s="1" t="s">
        <v>2079</v>
      </c>
      <c r="P2684" s="1" t="s">
        <v>6750</v>
      </c>
      <c r="Q2684" s="3">
        <v>0</v>
      </c>
      <c r="R2684" s="23" t="s">
        <v>10605</v>
      </c>
      <c r="S2684" s="23" t="s">
        <v>6844</v>
      </c>
      <c r="T2684" s="23" t="s">
        <v>4866</v>
      </c>
      <c r="U2684" s="3">
        <v>35</v>
      </c>
      <c r="W2684" s="45" t="str">
        <f>HYPERLINK("http://ictvonline.org/taxonomy/p/taxonomy-history?taxnode_id=201906695","ICTVonline=201906695")</f>
        <v>ICTVonline=201906695</v>
      </c>
      <c r="X2684" s="1" t="s">
        <v>11260</v>
      </c>
      <c r="Y2684" s="1" t="s">
        <v>11261</v>
      </c>
      <c r="Z2684" s="1" t="s">
        <v>11262</v>
      </c>
      <c r="AA2684" s="1">
        <v>201900000</v>
      </c>
      <c r="AB2684" s="1">
        <v>35</v>
      </c>
    </row>
    <row r="2685" spans="1:28" x14ac:dyDescent="0.2">
      <c r="A2685" s="1">
        <v>7231</v>
      </c>
      <c r="B2685" s="1" t="s">
        <v>10590</v>
      </c>
      <c r="D2685" s="1" t="s">
        <v>10685</v>
      </c>
      <c r="F2685" s="1" t="s">
        <v>11077</v>
      </c>
      <c r="H2685" s="1" t="s">
        <v>11235</v>
      </c>
      <c r="J2685" s="1" t="s">
        <v>11236</v>
      </c>
      <c r="L2685" s="1" t="s">
        <v>2078</v>
      </c>
      <c r="N2685" s="1" t="s">
        <v>2079</v>
      </c>
      <c r="P2685" s="1" t="s">
        <v>276</v>
      </c>
      <c r="Q2685" s="3">
        <v>0</v>
      </c>
      <c r="R2685" s="23" t="s">
        <v>10605</v>
      </c>
      <c r="S2685" s="23" t="s">
        <v>6844</v>
      </c>
      <c r="T2685" s="23" t="s">
        <v>4866</v>
      </c>
      <c r="U2685" s="3">
        <v>35</v>
      </c>
      <c r="W2685" s="45" t="str">
        <f>HYPERLINK("http://ictvonline.org/taxonomy/p/taxonomy-history?taxnode_id=201903198","ICTVonline=201903198")</f>
        <v>ICTVonline=201903198</v>
      </c>
      <c r="AA2685" s="1">
        <v>201900000</v>
      </c>
      <c r="AB2685" s="1">
        <v>35</v>
      </c>
    </row>
    <row r="2686" spans="1:28" x14ac:dyDescent="0.2">
      <c r="A2686" s="1">
        <v>7233</v>
      </c>
      <c r="B2686" s="1" t="s">
        <v>10590</v>
      </c>
      <c r="D2686" s="1" t="s">
        <v>10685</v>
      </c>
      <c r="F2686" s="1" t="s">
        <v>11077</v>
      </c>
      <c r="H2686" s="1" t="s">
        <v>11235</v>
      </c>
      <c r="J2686" s="1" t="s">
        <v>11236</v>
      </c>
      <c r="L2686" s="1" t="s">
        <v>2078</v>
      </c>
      <c r="N2686" s="1" t="s">
        <v>2079</v>
      </c>
      <c r="P2686" s="1" t="s">
        <v>277</v>
      </c>
      <c r="Q2686" s="3">
        <v>0</v>
      </c>
      <c r="R2686" s="23" t="s">
        <v>10605</v>
      </c>
      <c r="S2686" s="23" t="s">
        <v>6844</v>
      </c>
      <c r="T2686" s="23" t="s">
        <v>4866</v>
      </c>
      <c r="U2686" s="3">
        <v>35</v>
      </c>
      <c r="W2686" s="45" t="str">
        <f>HYPERLINK("http://ictvonline.org/taxonomy/p/taxonomy-history?taxnode_id=201903199","ICTVonline=201903199")</f>
        <v>ICTVonline=201903199</v>
      </c>
      <c r="AA2686" s="1">
        <v>201900000</v>
      </c>
      <c r="AB2686" s="1">
        <v>35</v>
      </c>
    </row>
    <row r="2687" spans="1:28" x14ac:dyDescent="0.2">
      <c r="A2687" s="1">
        <v>7235</v>
      </c>
      <c r="B2687" s="1" t="s">
        <v>10590</v>
      </c>
      <c r="D2687" s="1" t="s">
        <v>10685</v>
      </c>
      <c r="F2687" s="1" t="s">
        <v>11077</v>
      </c>
      <c r="H2687" s="1" t="s">
        <v>11235</v>
      </c>
      <c r="J2687" s="1" t="s">
        <v>11236</v>
      </c>
      <c r="L2687" s="1" t="s">
        <v>2078</v>
      </c>
      <c r="N2687" s="1" t="s">
        <v>2079</v>
      </c>
      <c r="P2687" s="1" t="s">
        <v>278</v>
      </c>
      <c r="Q2687" s="3">
        <v>0</v>
      </c>
      <c r="R2687" s="23" t="s">
        <v>10605</v>
      </c>
      <c r="S2687" s="23" t="s">
        <v>6844</v>
      </c>
      <c r="T2687" s="23" t="s">
        <v>4866</v>
      </c>
      <c r="U2687" s="3">
        <v>35</v>
      </c>
      <c r="W2687" s="45" t="str">
        <f>HYPERLINK("http://ictvonline.org/taxonomy/p/taxonomy-history?taxnode_id=201903200","ICTVonline=201903200")</f>
        <v>ICTVonline=201903200</v>
      </c>
      <c r="AA2687" s="1">
        <v>201900000</v>
      </c>
      <c r="AB2687" s="1">
        <v>35</v>
      </c>
    </row>
    <row r="2688" spans="1:28" x14ac:dyDescent="0.2">
      <c r="A2688" s="1">
        <v>7237</v>
      </c>
      <c r="B2688" s="1" t="s">
        <v>10590</v>
      </c>
      <c r="D2688" s="1" t="s">
        <v>10685</v>
      </c>
      <c r="F2688" s="1" t="s">
        <v>11077</v>
      </c>
      <c r="H2688" s="1" t="s">
        <v>11235</v>
      </c>
      <c r="J2688" s="1" t="s">
        <v>11236</v>
      </c>
      <c r="L2688" s="1" t="s">
        <v>2078</v>
      </c>
      <c r="N2688" s="1" t="s">
        <v>2079</v>
      </c>
      <c r="P2688" s="1" t="s">
        <v>3713</v>
      </c>
      <c r="Q2688" s="3">
        <v>0</v>
      </c>
      <c r="R2688" s="23" t="s">
        <v>10605</v>
      </c>
      <c r="S2688" s="23" t="s">
        <v>6844</v>
      </c>
      <c r="T2688" s="23" t="s">
        <v>4866</v>
      </c>
      <c r="U2688" s="3">
        <v>35</v>
      </c>
      <c r="W2688" s="45" t="str">
        <f>HYPERLINK("http://ictvonline.org/taxonomy/p/taxonomy-history?taxnode_id=201903201","ICTVonline=201903201")</f>
        <v>ICTVonline=201903201</v>
      </c>
      <c r="Y2688" s="1" t="s">
        <v>11263</v>
      </c>
      <c r="Z2688" s="1" t="s">
        <v>11264</v>
      </c>
      <c r="AA2688" s="1">
        <v>201900000</v>
      </c>
      <c r="AB2688" s="1">
        <v>35</v>
      </c>
    </row>
    <row r="2689" spans="1:28" x14ac:dyDescent="0.2">
      <c r="A2689" s="1">
        <v>7239</v>
      </c>
      <c r="B2689" s="1" t="s">
        <v>10590</v>
      </c>
      <c r="D2689" s="1" t="s">
        <v>10685</v>
      </c>
      <c r="F2689" s="1" t="s">
        <v>11077</v>
      </c>
      <c r="H2689" s="1" t="s">
        <v>11235</v>
      </c>
      <c r="J2689" s="1" t="s">
        <v>11236</v>
      </c>
      <c r="L2689" s="1" t="s">
        <v>2078</v>
      </c>
      <c r="N2689" s="1" t="s">
        <v>2079</v>
      </c>
      <c r="P2689" s="1" t="s">
        <v>3714</v>
      </c>
      <c r="Q2689" s="3">
        <v>0</v>
      </c>
      <c r="R2689" s="23" t="s">
        <v>10605</v>
      </c>
      <c r="S2689" s="23" t="s">
        <v>6844</v>
      </c>
      <c r="T2689" s="23" t="s">
        <v>4866</v>
      </c>
      <c r="U2689" s="3">
        <v>35</v>
      </c>
      <c r="W2689" s="45" t="str">
        <f>HYPERLINK("http://ictvonline.org/taxonomy/p/taxonomy-history?taxnode_id=201903202","ICTVonline=201903202")</f>
        <v>ICTVonline=201903202</v>
      </c>
      <c r="Y2689" s="1" t="s">
        <v>11265</v>
      </c>
      <c r="Z2689" s="1" t="s">
        <v>11266</v>
      </c>
      <c r="AA2689" s="1">
        <v>201900000</v>
      </c>
      <c r="AB2689" s="1">
        <v>35</v>
      </c>
    </row>
    <row r="2690" spans="1:28" x14ac:dyDescent="0.2">
      <c r="A2690" s="1">
        <v>7241</v>
      </c>
      <c r="B2690" s="1" t="s">
        <v>10590</v>
      </c>
      <c r="D2690" s="1" t="s">
        <v>10685</v>
      </c>
      <c r="F2690" s="1" t="s">
        <v>11077</v>
      </c>
      <c r="H2690" s="1" t="s">
        <v>11235</v>
      </c>
      <c r="J2690" s="1" t="s">
        <v>11236</v>
      </c>
      <c r="L2690" s="1" t="s">
        <v>2078</v>
      </c>
      <c r="N2690" s="1" t="s">
        <v>2079</v>
      </c>
      <c r="P2690" s="1" t="s">
        <v>3715</v>
      </c>
      <c r="Q2690" s="3">
        <v>0</v>
      </c>
      <c r="R2690" s="23" t="s">
        <v>10605</v>
      </c>
      <c r="S2690" s="23" t="s">
        <v>6844</v>
      </c>
      <c r="T2690" s="23" t="s">
        <v>4866</v>
      </c>
      <c r="U2690" s="3">
        <v>35</v>
      </c>
      <c r="W2690" s="45" t="str">
        <f>HYPERLINK("http://ictvonline.org/taxonomy/p/taxonomy-history?taxnode_id=201903203","ICTVonline=201903203")</f>
        <v>ICTVonline=201903203</v>
      </c>
      <c r="Y2690" s="1" t="s">
        <v>11267</v>
      </c>
      <c r="Z2690" s="1" t="s">
        <v>11268</v>
      </c>
      <c r="AA2690" s="1">
        <v>201900000</v>
      </c>
      <c r="AB2690" s="1">
        <v>35</v>
      </c>
    </row>
    <row r="2691" spans="1:28" x14ac:dyDescent="0.2">
      <c r="A2691" s="1">
        <v>7243</v>
      </c>
      <c r="B2691" s="1" t="s">
        <v>10590</v>
      </c>
      <c r="D2691" s="1" t="s">
        <v>10685</v>
      </c>
      <c r="F2691" s="1" t="s">
        <v>11077</v>
      </c>
      <c r="H2691" s="1" t="s">
        <v>11235</v>
      </c>
      <c r="J2691" s="1" t="s">
        <v>11236</v>
      </c>
      <c r="L2691" s="1" t="s">
        <v>2078</v>
      </c>
      <c r="N2691" s="1" t="s">
        <v>2079</v>
      </c>
      <c r="P2691" s="1" t="s">
        <v>2379</v>
      </c>
      <c r="Q2691" s="3">
        <v>0</v>
      </c>
      <c r="R2691" s="23" t="s">
        <v>10605</v>
      </c>
      <c r="S2691" s="23" t="s">
        <v>6844</v>
      </c>
      <c r="T2691" s="23" t="s">
        <v>4866</v>
      </c>
      <c r="U2691" s="3">
        <v>35</v>
      </c>
      <c r="W2691" s="45" t="str">
        <f>HYPERLINK("http://ictvonline.org/taxonomy/p/taxonomy-history?taxnode_id=201903204","ICTVonline=201903204")</f>
        <v>ICTVonline=201903204</v>
      </c>
      <c r="AA2691" s="1">
        <v>201900000</v>
      </c>
      <c r="AB2691" s="1">
        <v>35</v>
      </c>
    </row>
    <row r="2692" spans="1:28" x14ac:dyDescent="0.2">
      <c r="A2692" s="1">
        <v>7245</v>
      </c>
      <c r="B2692" s="1" t="s">
        <v>10590</v>
      </c>
      <c r="D2692" s="1" t="s">
        <v>10685</v>
      </c>
      <c r="F2692" s="1" t="s">
        <v>11077</v>
      </c>
      <c r="H2692" s="1" t="s">
        <v>11235</v>
      </c>
      <c r="J2692" s="1" t="s">
        <v>11236</v>
      </c>
      <c r="L2692" s="1" t="s">
        <v>2078</v>
      </c>
      <c r="N2692" s="1" t="s">
        <v>2079</v>
      </c>
      <c r="P2692" s="1" t="s">
        <v>279</v>
      </c>
      <c r="Q2692" s="3">
        <v>0</v>
      </c>
      <c r="R2692" s="23" t="s">
        <v>10605</v>
      </c>
      <c r="S2692" s="23" t="s">
        <v>6844</v>
      </c>
      <c r="T2692" s="23" t="s">
        <v>4866</v>
      </c>
      <c r="U2692" s="3">
        <v>35</v>
      </c>
      <c r="W2692" s="45" t="str">
        <f>HYPERLINK("http://ictvonline.org/taxonomy/p/taxonomy-history?taxnode_id=201903205","ICTVonline=201903205")</f>
        <v>ICTVonline=201903205</v>
      </c>
      <c r="AA2692" s="1">
        <v>201900000</v>
      </c>
      <c r="AB2692" s="1">
        <v>35</v>
      </c>
    </row>
    <row r="2693" spans="1:28" x14ac:dyDescent="0.2">
      <c r="A2693" s="1">
        <v>7247</v>
      </c>
      <c r="B2693" s="1" t="s">
        <v>10590</v>
      </c>
      <c r="D2693" s="1" t="s">
        <v>10685</v>
      </c>
      <c r="F2693" s="1" t="s">
        <v>11077</v>
      </c>
      <c r="H2693" s="1" t="s">
        <v>11235</v>
      </c>
      <c r="J2693" s="1" t="s">
        <v>11236</v>
      </c>
      <c r="L2693" s="1" t="s">
        <v>2078</v>
      </c>
      <c r="N2693" s="1" t="s">
        <v>2079</v>
      </c>
      <c r="P2693" s="1" t="s">
        <v>3716</v>
      </c>
      <c r="Q2693" s="3">
        <v>0</v>
      </c>
      <c r="R2693" s="23" t="s">
        <v>10605</v>
      </c>
      <c r="S2693" s="23" t="s">
        <v>6844</v>
      </c>
      <c r="T2693" s="23" t="s">
        <v>4866</v>
      </c>
      <c r="U2693" s="3">
        <v>35</v>
      </c>
      <c r="W2693" s="45" t="str">
        <f>HYPERLINK("http://ictvonline.org/taxonomy/p/taxonomy-history?taxnode_id=201903206","ICTVonline=201903206")</f>
        <v>ICTVonline=201903206</v>
      </c>
      <c r="Y2693" s="1" t="s">
        <v>11269</v>
      </c>
      <c r="Z2693" s="1" t="s">
        <v>11270</v>
      </c>
      <c r="AA2693" s="1">
        <v>201900000</v>
      </c>
      <c r="AB2693" s="1">
        <v>35</v>
      </c>
    </row>
    <row r="2694" spans="1:28" x14ac:dyDescent="0.2">
      <c r="A2694" s="1">
        <v>7249</v>
      </c>
      <c r="B2694" s="1" t="s">
        <v>10590</v>
      </c>
      <c r="D2694" s="1" t="s">
        <v>10685</v>
      </c>
      <c r="F2694" s="1" t="s">
        <v>11077</v>
      </c>
      <c r="H2694" s="1" t="s">
        <v>11235</v>
      </c>
      <c r="J2694" s="1" t="s">
        <v>11236</v>
      </c>
      <c r="L2694" s="1" t="s">
        <v>2078</v>
      </c>
      <c r="N2694" s="1" t="s">
        <v>2079</v>
      </c>
      <c r="P2694" s="1" t="s">
        <v>6751</v>
      </c>
      <c r="Q2694" s="3">
        <v>0</v>
      </c>
      <c r="R2694" s="23" t="s">
        <v>10605</v>
      </c>
      <c r="S2694" s="23" t="s">
        <v>6844</v>
      </c>
      <c r="T2694" s="23" t="s">
        <v>4866</v>
      </c>
      <c r="U2694" s="3">
        <v>35</v>
      </c>
      <c r="W2694" s="45" t="str">
        <f>HYPERLINK("http://ictvonline.org/taxonomy/p/taxonomy-history?taxnode_id=201906696","ICTVonline=201906696")</f>
        <v>ICTVonline=201906696</v>
      </c>
      <c r="X2694" s="1" t="s">
        <v>11271</v>
      </c>
      <c r="Y2694" s="1" t="s">
        <v>11272</v>
      </c>
      <c r="Z2694" s="1" t="s">
        <v>11273</v>
      </c>
      <c r="AA2694" s="1">
        <v>201900000</v>
      </c>
      <c r="AB2694" s="1">
        <v>35</v>
      </c>
    </row>
    <row r="2695" spans="1:28" x14ac:dyDescent="0.2">
      <c r="A2695" s="1">
        <v>7251</v>
      </c>
      <c r="B2695" s="1" t="s">
        <v>10590</v>
      </c>
      <c r="D2695" s="1" t="s">
        <v>10685</v>
      </c>
      <c r="F2695" s="1" t="s">
        <v>11077</v>
      </c>
      <c r="H2695" s="1" t="s">
        <v>11235</v>
      </c>
      <c r="J2695" s="1" t="s">
        <v>11236</v>
      </c>
      <c r="L2695" s="1" t="s">
        <v>2078</v>
      </c>
      <c r="N2695" s="1" t="s">
        <v>2079</v>
      </c>
      <c r="P2695" s="1" t="s">
        <v>6752</v>
      </c>
      <c r="Q2695" s="3">
        <v>0</v>
      </c>
      <c r="R2695" s="23" t="s">
        <v>10605</v>
      </c>
      <c r="S2695" s="23" t="s">
        <v>6844</v>
      </c>
      <c r="T2695" s="23" t="s">
        <v>4866</v>
      </c>
      <c r="U2695" s="3">
        <v>35</v>
      </c>
      <c r="W2695" s="45" t="str">
        <f>HYPERLINK("http://ictvonline.org/taxonomy/p/taxonomy-history?taxnode_id=201906697","ICTVonline=201906697")</f>
        <v>ICTVonline=201906697</v>
      </c>
      <c r="X2695" s="1" t="s">
        <v>11274</v>
      </c>
      <c r="Y2695" s="1" t="s">
        <v>11275</v>
      </c>
      <c r="Z2695" s="1" t="s">
        <v>11276</v>
      </c>
      <c r="AA2695" s="1">
        <v>201900000</v>
      </c>
      <c r="AB2695" s="1">
        <v>35</v>
      </c>
    </row>
    <row r="2696" spans="1:28" x14ac:dyDescent="0.2">
      <c r="A2696" s="1">
        <v>7253</v>
      </c>
      <c r="B2696" s="1" t="s">
        <v>10590</v>
      </c>
      <c r="D2696" s="1" t="s">
        <v>10685</v>
      </c>
      <c r="F2696" s="1" t="s">
        <v>11077</v>
      </c>
      <c r="H2696" s="1" t="s">
        <v>11235</v>
      </c>
      <c r="J2696" s="1" t="s">
        <v>11236</v>
      </c>
      <c r="L2696" s="1" t="s">
        <v>2078</v>
      </c>
      <c r="N2696" s="1" t="s">
        <v>2079</v>
      </c>
      <c r="P2696" s="1" t="s">
        <v>6753</v>
      </c>
      <c r="Q2696" s="3">
        <v>0</v>
      </c>
      <c r="R2696" s="23" t="s">
        <v>10605</v>
      </c>
      <c r="S2696" s="23" t="s">
        <v>6844</v>
      </c>
      <c r="T2696" s="23" t="s">
        <v>4866</v>
      </c>
      <c r="U2696" s="3">
        <v>35</v>
      </c>
      <c r="W2696" s="45" t="str">
        <f>HYPERLINK("http://ictvonline.org/taxonomy/p/taxonomy-history?taxnode_id=201906698","ICTVonline=201906698")</f>
        <v>ICTVonline=201906698</v>
      </c>
      <c r="X2696" s="1" t="s">
        <v>11277</v>
      </c>
      <c r="Y2696" s="1" t="s">
        <v>11278</v>
      </c>
      <c r="Z2696" s="1" t="s">
        <v>11279</v>
      </c>
      <c r="AA2696" s="1">
        <v>201900000</v>
      </c>
      <c r="AB2696" s="1">
        <v>35</v>
      </c>
    </row>
    <row r="2697" spans="1:28" x14ac:dyDescent="0.2">
      <c r="A2697" s="1">
        <v>7255</v>
      </c>
      <c r="B2697" s="1" t="s">
        <v>10590</v>
      </c>
      <c r="D2697" s="1" t="s">
        <v>10685</v>
      </c>
      <c r="F2697" s="1" t="s">
        <v>11077</v>
      </c>
      <c r="H2697" s="1" t="s">
        <v>11235</v>
      </c>
      <c r="J2697" s="1" t="s">
        <v>11236</v>
      </c>
      <c r="L2697" s="1" t="s">
        <v>2078</v>
      </c>
      <c r="N2697" s="1" t="s">
        <v>2079</v>
      </c>
      <c r="P2697" s="1" t="s">
        <v>3717</v>
      </c>
      <c r="Q2697" s="3">
        <v>0</v>
      </c>
      <c r="R2697" s="23" t="s">
        <v>10605</v>
      </c>
      <c r="S2697" s="23" t="s">
        <v>6844</v>
      </c>
      <c r="T2697" s="23" t="s">
        <v>4866</v>
      </c>
      <c r="U2697" s="3">
        <v>35</v>
      </c>
      <c r="W2697" s="45" t="str">
        <f>HYPERLINK("http://ictvonline.org/taxonomy/p/taxonomy-history?taxnode_id=201903207","ICTVonline=201903207")</f>
        <v>ICTVonline=201903207</v>
      </c>
      <c r="Y2697" s="1" t="s">
        <v>11280</v>
      </c>
      <c r="Z2697" s="1" t="s">
        <v>11281</v>
      </c>
      <c r="AA2697" s="1">
        <v>201900000</v>
      </c>
      <c r="AB2697" s="1">
        <v>35</v>
      </c>
    </row>
    <row r="2698" spans="1:28" x14ac:dyDescent="0.2">
      <c r="A2698" s="1">
        <v>7257</v>
      </c>
      <c r="B2698" s="1" t="s">
        <v>10590</v>
      </c>
      <c r="D2698" s="1" t="s">
        <v>10685</v>
      </c>
      <c r="F2698" s="1" t="s">
        <v>11077</v>
      </c>
      <c r="H2698" s="1" t="s">
        <v>11235</v>
      </c>
      <c r="J2698" s="1" t="s">
        <v>11236</v>
      </c>
      <c r="L2698" s="1" t="s">
        <v>2078</v>
      </c>
      <c r="N2698" s="1" t="s">
        <v>2079</v>
      </c>
      <c r="P2698" s="1" t="s">
        <v>3718</v>
      </c>
      <c r="Q2698" s="3">
        <v>0</v>
      </c>
      <c r="R2698" s="23" t="s">
        <v>10605</v>
      </c>
      <c r="S2698" s="23" t="s">
        <v>6844</v>
      </c>
      <c r="T2698" s="23" t="s">
        <v>4866</v>
      </c>
      <c r="U2698" s="3">
        <v>35</v>
      </c>
      <c r="W2698" s="45" t="str">
        <f>HYPERLINK("http://ictvonline.org/taxonomy/p/taxonomy-history?taxnode_id=201903208","ICTVonline=201903208")</f>
        <v>ICTVonline=201903208</v>
      </c>
      <c r="Y2698" s="1" t="s">
        <v>11282</v>
      </c>
      <c r="Z2698" s="1" t="s">
        <v>11283</v>
      </c>
      <c r="AA2698" s="1">
        <v>201900000</v>
      </c>
      <c r="AB2698" s="1">
        <v>35</v>
      </c>
    </row>
    <row r="2699" spans="1:28" x14ac:dyDescent="0.2">
      <c r="A2699" s="1">
        <v>7259</v>
      </c>
      <c r="B2699" s="1" t="s">
        <v>10590</v>
      </c>
      <c r="D2699" s="1" t="s">
        <v>10685</v>
      </c>
      <c r="F2699" s="1" t="s">
        <v>11077</v>
      </c>
      <c r="H2699" s="1" t="s">
        <v>11235</v>
      </c>
      <c r="J2699" s="1" t="s">
        <v>11236</v>
      </c>
      <c r="L2699" s="1" t="s">
        <v>2078</v>
      </c>
      <c r="N2699" s="1" t="s">
        <v>2079</v>
      </c>
      <c r="P2699" s="1" t="s">
        <v>6754</v>
      </c>
      <c r="Q2699" s="3">
        <v>0</v>
      </c>
      <c r="R2699" s="23" t="s">
        <v>10605</v>
      </c>
      <c r="S2699" s="23" t="s">
        <v>6844</v>
      </c>
      <c r="T2699" s="23" t="s">
        <v>4866</v>
      </c>
      <c r="U2699" s="3">
        <v>35</v>
      </c>
      <c r="W2699" s="45" t="str">
        <f>HYPERLINK("http://ictvonline.org/taxonomy/p/taxonomy-history?taxnode_id=201906699","ICTVonline=201906699")</f>
        <v>ICTVonline=201906699</v>
      </c>
      <c r="X2699" s="1" t="s">
        <v>11284</v>
      </c>
      <c r="Y2699" s="1" t="s">
        <v>11285</v>
      </c>
      <c r="Z2699" s="1" t="s">
        <v>11286</v>
      </c>
      <c r="AA2699" s="1">
        <v>201900000</v>
      </c>
      <c r="AB2699" s="1">
        <v>35</v>
      </c>
    </row>
    <row r="2700" spans="1:28" x14ac:dyDescent="0.2">
      <c r="A2700" s="1">
        <v>7261</v>
      </c>
      <c r="B2700" s="1" t="s">
        <v>10590</v>
      </c>
      <c r="D2700" s="1" t="s">
        <v>10685</v>
      </c>
      <c r="F2700" s="1" t="s">
        <v>11077</v>
      </c>
      <c r="H2700" s="1" t="s">
        <v>11235</v>
      </c>
      <c r="J2700" s="1" t="s">
        <v>11236</v>
      </c>
      <c r="L2700" s="1" t="s">
        <v>2078</v>
      </c>
      <c r="N2700" s="1" t="s">
        <v>2079</v>
      </c>
      <c r="P2700" s="1" t="s">
        <v>3719</v>
      </c>
      <c r="Q2700" s="3">
        <v>0</v>
      </c>
      <c r="R2700" s="23" t="s">
        <v>10605</v>
      </c>
      <c r="S2700" s="23" t="s">
        <v>6844</v>
      </c>
      <c r="T2700" s="23" t="s">
        <v>4866</v>
      </c>
      <c r="U2700" s="3">
        <v>35</v>
      </c>
      <c r="W2700" s="45" t="str">
        <f>HYPERLINK("http://ictvonline.org/taxonomy/p/taxonomy-history?taxnode_id=201903209","ICTVonline=201903209")</f>
        <v>ICTVonline=201903209</v>
      </c>
      <c r="Y2700" s="1" t="s">
        <v>11287</v>
      </c>
      <c r="Z2700" s="1" t="s">
        <v>11288</v>
      </c>
      <c r="AA2700" s="1">
        <v>201900000</v>
      </c>
      <c r="AB2700" s="1">
        <v>35</v>
      </c>
    </row>
    <row r="2701" spans="1:28" x14ac:dyDescent="0.2">
      <c r="A2701" s="1">
        <v>7263</v>
      </c>
      <c r="B2701" s="1" t="s">
        <v>10590</v>
      </c>
      <c r="D2701" s="1" t="s">
        <v>10685</v>
      </c>
      <c r="F2701" s="1" t="s">
        <v>11077</v>
      </c>
      <c r="H2701" s="1" t="s">
        <v>11235</v>
      </c>
      <c r="J2701" s="1" t="s">
        <v>11236</v>
      </c>
      <c r="L2701" s="1" t="s">
        <v>2078</v>
      </c>
      <c r="N2701" s="1" t="s">
        <v>2079</v>
      </c>
      <c r="P2701" s="1" t="s">
        <v>280</v>
      </c>
      <c r="Q2701" s="3">
        <v>0</v>
      </c>
      <c r="R2701" s="23" t="s">
        <v>10605</v>
      </c>
      <c r="S2701" s="23" t="s">
        <v>6844</v>
      </c>
      <c r="T2701" s="23" t="s">
        <v>4866</v>
      </c>
      <c r="U2701" s="3">
        <v>35</v>
      </c>
      <c r="W2701" s="45" t="str">
        <f>HYPERLINK("http://ictvonline.org/taxonomy/p/taxonomy-history?taxnode_id=201903210","ICTVonline=201903210")</f>
        <v>ICTVonline=201903210</v>
      </c>
      <c r="AA2701" s="1">
        <v>201900000</v>
      </c>
      <c r="AB2701" s="1">
        <v>35</v>
      </c>
    </row>
    <row r="2702" spans="1:28" x14ac:dyDescent="0.2">
      <c r="A2702" s="1">
        <v>7265</v>
      </c>
      <c r="B2702" s="1" t="s">
        <v>10590</v>
      </c>
      <c r="D2702" s="1" t="s">
        <v>10685</v>
      </c>
      <c r="F2702" s="1" t="s">
        <v>11077</v>
      </c>
      <c r="H2702" s="1" t="s">
        <v>11235</v>
      </c>
      <c r="J2702" s="1" t="s">
        <v>11236</v>
      </c>
      <c r="L2702" s="1" t="s">
        <v>2078</v>
      </c>
      <c r="N2702" s="1" t="s">
        <v>2079</v>
      </c>
      <c r="P2702" s="1" t="s">
        <v>2380</v>
      </c>
      <c r="Q2702" s="3">
        <v>0</v>
      </c>
      <c r="R2702" s="23" t="s">
        <v>10605</v>
      </c>
      <c r="S2702" s="23" t="s">
        <v>6844</v>
      </c>
      <c r="T2702" s="23" t="s">
        <v>4866</v>
      </c>
      <c r="U2702" s="3">
        <v>35</v>
      </c>
      <c r="W2702" s="45" t="str">
        <f>HYPERLINK("http://ictvonline.org/taxonomy/p/taxonomy-history?taxnode_id=201903211","ICTVonline=201903211")</f>
        <v>ICTVonline=201903211</v>
      </c>
      <c r="AA2702" s="1">
        <v>201900000</v>
      </c>
      <c r="AB2702" s="1">
        <v>35</v>
      </c>
    </row>
    <row r="2703" spans="1:28" x14ac:dyDescent="0.2">
      <c r="A2703" s="1">
        <v>7267</v>
      </c>
      <c r="B2703" s="1" t="s">
        <v>10590</v>
      </c>
      <c r="D2703" s="1" t="s">
        <v>10685</v>
      </c>
      <c r="F2703" s="1" t="s">
        <v>11077</v>
      </c>
      <c r="H2703" s="1" t="s">
        <v>11235</v>
      </c>
      <c r="J2703" s="1" t="s">
        <v>11236</v>
      </c>
      <c r="L2703" s="1" t="s">
        <v>2078</v>
      </c>
      <c r="N2703" s="1" t="s">
        <v>2079</v>
      </c>
      <c r="P2703" s="1" t="s">
        <v>281</v>
      </c>
      <c r="Q2703" s="3">
        <v>0</v>
      </c>
      <c r="R2703" s="23" t="s">
        <v>10605</v>
      </c>
      <c r="S2703" s="23" t="s">
        <v>6844</v>
      </c>
      <c r="T2703" s="23" t="s">
        <v>4866</v>
      </c>
      <c r="U2703" s="3">
        <v>35</v>
      </c>
      <c r="W2703" s="45" t="str">
        <f>HYPERLINK("http://ictvonline.org/taxonomy/p/taxonomy-history?taxnode_id=201903212","ICTVonline=201903212")</f>
        <v>ICTVonline=201903212</v>
      </c>
      <c r="AA2703" s="1">
        <v>201900000</v>
      </c>
      <c r="AB2703" s="1">
        <v>35</v>
      </c>
    </row>
    <row r="2704" spans="1:28" x14ac:dyDescent="0.2">
      <c r="A2704" s="1">
        <v>7269</v>
      </c>
      <c r="B2704" s="1" t="s">
        <v>10590</v>
      </c>
      <c r="D2704" s="1" t="s">
        <v>10685</v>
      </c>
      <c r="F2704" s="1" t="s">
        <v>11077</v>
      </c>
      <c r="H2704" s="1" t="s">
        <v>11235</v>
      </c>
      <c r="J2704" s="1" t="s">
        <v>11236</v>
      </c>
      <c r="L2704" s="1" t="s">
        <v>2078</v>
      </c>
      <c r="N2704" s="1" t="s">
        <v>2079</v>
      </c>
      <c r="P2704" s="1" t="s">
        <v>2381</v>
      </c>
      <c r="Q2704" s="3">
        <v>0</v>
      </c>
      <c r="R2704" s="23" t="s">
        <v>10605</v>
      </c>
      <c r="S2704" s="23" t="s">
        <v>6844</v>
      </c>
      <c r="T2704" s="23" t="s">
        <v>4866</v>
      </c>
      <c r="U2704" s="3">
        <v>35</v>
      </c>
      <c r="W2704" s="45" t="str">
        <f>HYPERLINK("http://ictvonline.org/taxonomy/p/taxonomy-history?taxnode_id=201903213","ICTVonline=201903213")</f>
        <v>ICTVonline=201903213</v>
      </c>
      <c r="AA2704" s="1">
        <v>201900000</v>
      </c>
      <c r="AB2704" s="1">
        <v>35</v>
      </c>
    </row>
    <row r="2705" spans="1:28" x14ac:dyDescent="0.2">
      <c r="A2705" s="1">
        <v>7271</v>
      </c>
      <c r="B2705" s="1" t="s">
        <v>10590</v>
      </c>
      <c r="D2705" s="1" t="s">
        <v>10685</v>
      </c>
      <c r="F2705" s="1" t="s">
        <v>11077</v>
      </c>
      <c r="H2705" s="1" t="s">
        <v>11235</v>
      </c>
      <c r="J2705" s="1" t="s">
        <v>11236</v>
      </c>
      <c r="L2705" s="1" t="s">
        <v>2078</v>
      </c>
      <c r="N2705" s="1" t="s">
        <v>2079</v>
      </c>
      <c r="P2705" s="1" t="s">
        <v>2382</v>
      </c>
      <c r="Q2705" s="3">
        <v>0</v>
      </c>
      <c r="R2705" s="23" t="s">
        <v>10605</v>
      </c>
      <c r="S2705" s="23" t="s">
        <v>6844</v>
      </c>
      <c r="T2705" s="23" t="s">
        <v>4866</v>
      </c>
      <c r="U2705" s="3">
        <v>35</v>
      </c>
      <c r="W2705" s="45" t="str">
        <f>HYPERLINK("http://ictvonline.org/taxonomy/p/taxonomy-history?taxnode_id=201903214","ICTVonline=201903214")</f>
        <v>ICTVonline=201903214</v>
      </c>
      <c r="AA2705" s="1">
        <v>201900000</v>
      </c>
      <c r="AB2705" s="1">
        <v>35</v>
      </c>
    </row>
    <row r="2706" spans="1:28" x14ac:dyDescent="0.2">
      <c r="A2706" s="1">
        <v>7273</v>
      </c>
      <c r="B2706" s="1" t="s">
        <v>10590</v>
      </c>
      <c r="D2706" s="1" t="s">
        <v>10685</v>
      </c>
      <c r="F2706" s="1" t="s">
        <v>11077</v>
      </c>
      <c r="H2706" s="1" t="s">
        <v>11235</v>
      </c>
      <c r="J2706" s="1" t="s">
        <v>11236</v>
      </c>
      <c r="L2706" s="1" t="s">
        <v>2078</v>
      </c>
      <c r="N2706" s="1" t="s">
        <v>2079</v>
      </c>
      <c r="P2706" s="1" t="s">
        <v>282</v>
      </c>
      <c r="Q2706" s="3">
        <v>0</v>
      </c>
      <c r="R2706" s="23" t="s">
        <v>10605</v>
      </c>
      <c r="S2706" s="23" t="s">
        <v>6844</v>
      </c>
      <c r="T2706" s="23" t="s">
        <v>4866</v>
      </c>
      <c r="U2706" s="3">
        <v>35</v>
      </c>
      <c r="W2706" s="45" t="str">
        <f>HYPERLINK("http://ictvonline.org/taxonomy/p/taxonomy-history?taxnode_id=201903215","ICTVonline=201903215")</f>
        <v>ICTVonline=201903215</v>
      </c>
      <c r="AA2706" s="1">
        <v>201900000</v>
      </c>
      <c r="AB2706" s="1">
        <v>35</v>
      </c>
    </row>
    <row r="2707" spans="1:28" x14ac:dyDescent="0.2">
      <c r="A2707" s="1">
        <v>7275</v>
      </c>
      <c r="B2707" s="1" t="s">
        <v>10590</v>
      </c>
      <c r="D2707" s="1" t="s">
        <v>10685</v>
      </c>
      <c r="F2707" s="1" t="s">
        <v>11077</v>
      </c>
      <c r="H2707" s="1" t="s">
        <v>11235</v>
      </c>
      <c r="J2707" s="1" t="s">
        <v>11236</v>
      </c>
      <c r="L2707" s="1" t="s">
        <v>2078</v>
      </c>
      <c r="N2707" s="1" t="s">
        <v>2079</v>
      </c>
      <c r="P2707" s="1" t="s">
        <v>3720</v>
      </c>
      <c r="Q2707" s="3">
        <v>0</v>
      </c>
      <c r="R2707" s="23" t="s">
        <v>10605</v>
      </c>
      <c r="S2707" s="23" t="s">
        <v>6844</v>
      </c>
      <c r="T2707" s="23" t="s">
        <v>4866</v>
      </c>
      <c r="U2707" s="3">
        <v>35</v>
      </c>
      <c r="W2707" s="45" t="str">
        <f>HYPERLINK("http://ictvonline.org/taxonomy/p/taxonomy-history?taxnode_id=201903216","ICTVonline=201903216")</f>
        <v>ICTVonline=201903216</v>
      </c>
      <c r="Y2707" s="1" t="s">
        <v>11289</v>
      </c>
      <c r="Z2707" s="1" t="s">
        <v>11290</v>
      </c>
      <c r="AA2707" s="1">
        <v>201900000</v>
      </c>
      <c r="AB2707" s="1">
        <v>35</v>
      </c>
    </row>
    <row r="2708" spans="1:28" x14ac:dyDescent="0.2">
      <c r="A2708" s="1">
        <v>7277</v>
      </c>
      <c r="B2708" s="1" t="s">
        <v>10590</v>
      </c>
      <c r="D2708" s="1" t="s">
        <v>10685</v>
      </c>
      <c r="F2708" s="1" t="s">
        <v>11077</v>
      </c>
      <c r="H2708" s="1" t="s">
        <v>11235</v>
      </c>
      <c r="J2708" s="1" t="s">
        <v>11236</v>
      </c>
      <c r="L2708" s="1" t="s">
        <v>2078</v>
      </c>
      <c r="N2708" s="1" t="s">
        <v>2079</v>
      </c>
      <c r="P2708" s="1" t="s">
        <v>3721</v>
      </c>
      <c r="Q2708" s="3">
        <v>0</v>
      </c>
      <c r="R2708" s="23" t="s">
        <v>10605</v>
      </c>
      <c r="S2708" s="23" t="s">
        <v>6844</v>
      </c>
      <c r="T2708" s="23" t="s">
        <v>4866</v>
      </c>
      <c r="U2708" s="3">
        <v>35</v>
      </c>
      <c r="W2708" s="45" t="str">
        <f>HYPERLINK("http://ictvonline.org/taxonomy/p/taxonomy-history?taxnode_id=201903217","ICTVonline=201903217")</f>
        <v>ICTVonline=201903217</v>
      </c>
      <c r="Y2708" s="1" t="s">
        <v>11291</v>
      </c>
      <c r="Z2708" s="1" t="s">
        <v>11292</v>
      </c>
      <c r="AA2708" s="1">
        <v>201900000</v>
      </c>
      <c r="AB2708" s="1">
        <v>35</v>
      </c>
    </row>
    <row r="2709" spans="1:28" x14ac:dyDescent="0.2">
      <c r="A2709" s="1">
        <v>7279</v>
      </c>
      <c r="B2709" s="1" t="s">
        <v>10590</v>
      </c>
      <c r="D2709" s="1" t="s">
        <v>10685</v>
      </c>
      <c r="F2709" s="1" t="s">
        <v>11077</v>
      </c>
      <c r="H2709" s="1" t="s">
        <v>11235</v>
      </c>
      <c r="J2709" s="1" t="s">
        <v>11236</v>
      </c>
      <c r="L2709" s="1" t="s">
        <v>2078</v>
      </c>
      <c r="N2709" s="1" t="s">
        <v>2079</v>
      </c>
      <c r="P2709" s="1" t="s">
        <v>3722</v>
      </c>
      <c r="Q2709" s="3">
        <v>0</v>
      </c>
      <c r="R2709" s="23" t="s">
        <v>10605</v>
      </c>
      <c r="S2709" s="23" t="s">
        <v>6844</v>
      </c>
      <c r="T2709" s="23" t="s">
        <v>4866</v>
      </c>
      <c r="U2709" s="3">
        <v>35</v>
      </c>
      <c r="W2709" s="45" t="str">
        <f>HYPERLINK("http://ictvonline.org/taxonomy/p/taxonomy-history?taxnode_id=201903218","ICTVonline=201903218")</f>
        <v>ICTVonline=201903218</v>
      </c>
      <c r="Y2709" s="1" t="s">
        <v>11293</v>
      </c>
      <c r="Z2709" s="1" t="s">
        <v>11294</v>
      </c>
      <c r="AA2709" s="1">
        <v>201900000</v>
      </c>
      <c r="AB2709" s="1">
        <v>35</v>
      </c>
    </row>
    <row r="2710" spans="1:28" x14ac:dyDescent="0.2">
      <c r="A2710" s="1">
        <v>7281</v>
      </c>
      <c r="B2710" s="1" t="s">
        <v>10590</v>
      </c>
      <c r="D2710" s="1" t="s">
        <v>10685</v>
      </c>
      <c r="F2710" s="1" t="s">
        <v>11077</v>
      </c>
      <c r="H2710" s="1" t="s">
        <v>11235</v>
      </c>
      <c r="J2710" s="1" t="s">
        <v>11236</v>
      </c>
      <c r="L2710" s="1" t="s">
        <v>2078</v>
      </c>
      <c r="N2710" s="1" t="s">
        <v>2079</v>
      </c>
      <c r="P2710" s="1" t="s">
        <v>5302</v>
      </c>
      <c r="Q2710" s="3">
        <v>0</v>
      </c>
      <c r="R2710" s="23" t="s">
        <v>10605</v>
      </c>
      <c r="S2710" s="23" t="s">
        <v>6844</v>
      </c>
      <c r="T2710" s="23" t="s">
        <v>4866</v>
      </c>
      <c r="U2710" s="3">
        <v>35</v>
      </c>
      <c r="W2710" s="45" t="str">
        <f>HYPERLINK("http://ictvonline.org/taxonomy/p/taxonomy-history?taxnode_id=201905791","ICTVonline=201905791")</f>
        <v>ICTVonline=201905791</v>
      </c>
      <c r="AA2710" s="1">
        <v>201900000</v>
      </c>
      <c r="AB2710" s="1">
        <v>35</v>
      </c>
    </row>
    <row r="2711" spans="1:28" x14ac:dyDescent="0.2">
      <c r="A2711" s="1">
        <v>7283</v>
      </c>
      <c r="B2711" s="1" t="s">
        <v>10590</v>
      </c>
      <c r="D2711" s="1" t="s">
        <v>10685</v>
      </c>
      <c r="F2711" s="1" t="s">
        <v>11077</v>
      </c>
      <c r="H2711" s="1" t="s">
        <v>11235</v>
      </c>
      <c r="J2711" s="1" t="s">
        <v>11236</v>
      </c>
      <c r="L2711" s="1" t="s">
        <v>2078</v>
      </c>
      <c r="N2711" s="1" t="s">
        <v>2079</v>
      </c>
      <c r="P2711" s="1" t="s">
        <v>5303</v>
      </c>
      <c r="Q2711" s="3">
        <v>0</v>
      </c>
      <c r="R2711" s="23" t="s">
        <v>10605</v>
      </c>
      <c r="S2711" s="23" t="s">
        <v>6844</v>
      </c>
      <c r="T2711" s="23" t="s">
        <v>4866</v>
      </c>
      <c r="U2711" s="3">
        <v>35</v>
      </c>
      <c r="W2711" s="45" t="str">
        <f>HYPERLINK("http://ictvonline.org/taxonomy/p/taxonomy-history?taxnode_id=201905792","ICTVonline=201905792")</f>
        <v>ICTVonline=201905792</v>
      </c>
      <c r="AA2711" s="1">
        <v>201900000</v>
      </c>
      <c r="AB2711" s="1">
        <v>35</v>
      </c>
    </row>
    <row r="2712" spans="1:28" x14ac:dyDescent="0.2">
      <c r="A2712" s="1">
        <v>7285</v>
      </c>
      <c r="B2712" s="1" t="s">
        <v>10590</v>
      </c>
      <c r="D2712" s="1" t="s">
        <v>10685</v>
      </c>
      <c r="F2712" s="1" t="s">
        <v>11077</v>
      </c>
      <c r="H2712" s="1" t="s">
        <v>11235</v>
      </c>
      <c r="J2712" s="1" t="s">
        <v>11236</v>
      </c>
      <c r="L2712" s="1" t="s">
        <v>2078</v>
      </c>
      <c r="N2712" s="1" t="s">
        <v>2079</v>
      </c>
      <c r="P2712" s="1" t="s">
        <v>5304</v>
      </c>
      <c r="Q2712" s="3">
        <v>0</v>
      </c>
      <c r="R2712" s="23" t="s">
        <v>10605</v>
      </c>
      <c r="S2712" s="23" t="s">
        <v>6844</v>
      </c>
      <c r="T2712" s="23" t="s">
        <v>4866</v>
      </c>
      <c r="U2712" s="3">
        <v>35</v>
      </c>
      <c r="W2712" s="45" t="str">
        <f>HYPERLINK("http://ictvonline.org/taxonomy/p/taxonomy-history?taxnode_id=201905793","ICTVonline=201905793")</f>
        <v>ICTVonline=201905793</v>
      </c>
      <c r="AA2712" s="1">
        <v>201900000</v>
      </c>
      <c r="AB2712" s="1">
        <v>35</v>
      </c>
    </row>
    <row r="2713" spans="1:28" x14ac:dyDescent="0.2">
      <c r="A2713" s="1">
        <v>7287</v>
      </c>
      <c r="B2713" s="1" t="s">
        <v>10590</v>
      </c>
      <c r="D2713" s="1" t="s">
        <v>10685</v>
      </c>
      <c r="F2713" s="1" t="s">
        <v>11077</v>
      </c>
      <c r="H2713" s="1" t="s">
        <v>11235</v>
      </c>
      <c r="J2713" s="1" t="s">
        <v>11236</v>
      </c>
      <c r="L2713" s="1" t="s">
        <v>2078</v>
      </c>
      <c r="N2713" s="1" t="s">
        <v>2079</v>
      </c>
      <c r="P2713" s="1" t="s">
        <v>5305</v>
      </c>
      <c r="Q2713" s="3">
        <v>0</v>
      </c>
      <c r="R2713" s="23" t="s">
        <v>10605</v>
      </c>
      <c r="S2713" s="23" t="s">
        <v>6844</v>
      </c>
      <c r="T2713" s="23" t="s">
        <v>4866</v>
      </c>
      <c r="U2713" s="3">
        <v>35</v>
      </c>
      <c r="W2713" s="45" t="str">
        <f>HYPERLINK("http://ictvonline.org/taxonomy/p/taxonomy-history?taxnode_id=201905794","ICTVonline=201905794")</f>
        <v>ICTVonline=201905794</v>
      </c>
      <c r="AA2713" s="1">
        <v>201900000</v>
      </c>
      <c r="AB2713" s="1">
        <v>35</v>
      </c>
    </row>
    <row r="2714" spans="1:28" x14ac:dyDescent="0.2">
      <c r="A2714" s="1">
        <v>7289</v>
      </c>
      <c r="B2714" s="1" t="s">
        <v>10590</v>
      </c>
      <c r="D2714" s="1" t="s">
        <v>10685</v>
      </c>
      <c r="F2714" s="1" t="s">
        <v>11077</v>
      </c>
      <c r="H2714" s="1" t="s">
        <v>11235</v>
      </c>
      <c r="J2714" s="1" t="s">
        <v>11236</v>
      </c>
      <c r="L2714" s="1" t="s">
        <v>2078</v>
      </c>
      <c r="N2714" s="1" t="s">
        <v>2079</v>
      </c>
      <c r="P2714" s="1" t="s">
        <v>283</v>
      </c>
      <c r="Q2714" s="3">
        <v>0</v>
      </c>
      <c r="R2714" s="23" t="s">
        <v>10605</v>
      </c>
      <c r="S2714" s="23" t="s">
        <v>6844</v>
      </c>
      <c r="T2714" s="23" t="s">
        <v>4866</v>
      </c>
      <c r="U2714" s="3">
        <v>35</v>
      </c>
      <c r="W2714" s="45" t="str">
        <f>HYPERLINK("http://ictvonline.org/taxonomy/p/taxonomy-history?taxnode_id=201903219","ICTVonline=201903219")</f>
        <v>ICTVonline=201903219</v>
      </c>
      <c r="AA2714" s="1">
        <v>201900000</v>
      </c>
      <c r="AB2714" s="1">
        <v>35</v>
      </c>
    </row>
    <row r="2715" spans="1:28" x14ac:dyDescent="0.2">
      <c r="A2715" s="1">
        <v>7291</v>
      </c>
      <c r="B2715" s="1" t="s">
        <v>10590</v>
      </c>
      <c r="D2715" s="1" t="s">
        <v>10685</v>
      </c>
      <c r="F2715" s="1" t="s">
        <v>11077</v>
      </c>
      <c r="H2715" s="1" t="s">
        <v>11235</v>
      </c>
      <c r="J2715" s="1" t="s">
        <v>11236</v>
      </c>
      <c r="L2715" s="1" t="s">
        <v>2078</v>
      </c>
      <c r="N2715" s="1" t="s">
        <v>2079</v>
      </c>
      <c r="P2715" s="1" t="s">
        <v>284</v>
      </c>
      <c r="Q2715" s="3">
        <v>0</v>
      </c>
      <c r="R2715" s="23" t="s">
        <v>10605</v>
      </c>
      <c r="S2715" s="23" t="s">
        <v>6844</v>
      </c>
      <c r="T2715" s="23" t="s">
        <v>4866</v>
      </c>
      <c r="U2715" s="3">
        <v>35</v>
      </c>
      <c r="W2715" s="45" t="str">
        <f>HYPERLINK("http://ictvonline.org/taxonomy/p/taxonomy-history?taxnode_id=201903220","ICTVonline=201903220")</f>
        <v>ICTVonline=201903220</v>
      </c>
      <c r="AA2715" s="1">
        <v>201900000</v>
      </c>
      <c r="AB2715" s="1">
        <v>35</v>
      </c>
    </row>
    <row r="2716" spans="1:28" x14ac:dyDescent="0.2">
      <c r="A2716" s="1">
        <v>7293</v>
      </c>
      <c r="B2716" s="1" t="s">
        <v>10590</v>
      </c>
      <c r="D2716" s="1" t="s">
        <v>10685</v>
      </c>
      <c r="F2716" s="1" t="s">
        <v>11077</v>
      </c>
      <c r="H2716" s="1" t="s">
        <v>11235</v>
      </c>
      <c r="J2716" s="1" t="s">
        <v>11236</v>
      </c>
      <c r="L2716" s="1" t="s">
        <v>2078</v>
      </c>
      <c r="N2716" s="1" t="s">
        <v>2079</v>
      </c>
      <c r="P2716" s="1" t="s">
        <v>3723</v>
      </c>
      <c r="Q2716" s="3">
        <v>0</v>
      </c>
      <c r="R2716" s="23" t="s">
        <v>10605</v>
      </c>
      <c r="S2716" s="23" t="s">
        <v>6844</v>
      </c>
      <c r="T2716" s="23" t="s">
        <v>4866</v>
      </c>
      <c r="U2716" s="3">
        <v>35</v>
      </c>
      <c r="W2716" s="45" t="str">
        <f>HYPERLINK("http://ictvonline.org/taxonomy/p/taxonomy-history?taxnode_id=201903221","ICTVonline=201903221")</f>
        <v>ICTVonline=201903221</v>
      </c>
      <c r="Y2716" s="1" t="s">
        <v>11295</v>
      </c>
      <c r="Z2716" s="1" t="s">
        <v>11296</v>
      </c>
      <c r="AA2716" s="1">
        <v>201900000</v>
      </c>
      <c r="AB2716" s="1">
        <v>35</v>
      </c>
    </row>
    <row r="2717" spans="1:28" x14ac:dyDescent="0.2">
      <c r="A2717" s="1">
        <v>7295</v>
      </c>
      <c r="B2717" s="1" t="s">
        <v>10590</v>
      </c>
      <c r="D2717" s="1" t="s">
        <v>10685</v>
      </c>
      <c r="F2717" s="1" t="s">
        <v>11077</v>
      </c>
      <c r="H2717" s="1" t="s">
        <v>11235</v>
      </c>
      <c r="J2717" s="1" t="s">
        <v>11236</v>
      </c>
      <c r="L2717" s="1" t="s">
        <v>2078</v>
      </c>
      <c r="N2717" s="1" t="s">
        <v>2079</v>
      </c>
      <c r="P2717" s="1" t="s">
        <v>94</v>
      </c>
      <c r="Q2717" s="3">
        <v>0</v>
      </c>
      <c r="R2717" s="23" t="s">
        <v>10605</v>
      </c>
      <c r="S2717" s="23" t="s">
        <v>6844</v>
      </c>
      <c r="T2717" s="23" t="s">
        <v>4866</v>
      </c>
      <c r="U2717" s="3">
        <v>35</v>
      </c>
      <c r="W2717" s="45" t="str">
        <f>HYPERLINK("http://ictvonline.org/taxonomy/p/taxonomy-history?taxnode_id=201903222","ICTVonline=201903222")</f>
        <v>ICTVonline=201903222</v>
      </c>
      <c r="AA2717" s="1">
        <v>201900000</v>
      </c>
      <c r="AB2717" s="1">
        <v>35</v>
      </c>
    </row>
    <row r="2718" spans="1:28" x14ac:dyDescent="0.2">
      <c r="A2718" s="1">
        <v>7297</v>
      </c>
      <c r="B2718" s="1" t="s">
        <v>10590</v>
      </c>
      <c r="D2718" s="1" t="s">
        <v>10685</v>
      </c>
      <c r="F2718" s="1" t="s">
        <v>11077</v>
      </c>
      <c r="H2718" s="1" t="s">
        <v>11235</v>
      </c>
      <c r="J2718" s="1" t="s">
        <v>11236</v>
      </c>
      <c r="L2718" s="1" t="s">
        <v>2078</v>
      </c>
      <c r="N2718" s="1" t="s">
        <v>2079</v>
      </c>
      <c r="P2718" s="1" t="s">
        <v>3724</v>
      </c>
      <c r="Q2718" s="3">
        <v>0</v>
      </c>
      <c r="R2718" s="23" t="s">
        <v>10605</v>
      </c>
      <c r="S2718" s="23" t="s">
        <v>6844</v>
      </c>
      <c r="T2718" s="23" t="s">
        <v>4866</v>
      </c>
      <c r="U2718" s="3">
        <v>35</v>
      </c>
      <c r="W2718" s="45" t="str">
        <f>HYPERLINK("http://ictvonline.org/taxonomy/p/taxonomy-history?taxnode_id=201903223","ICTVonline=201903223")</f>
        <v>ICTVonline=201903223</v>
      </c>
      <c r="Y2718" s="1" t="s">
        <v>11297</v>
      </c>
      <c r="Z2718" s="1" t="s">
        <v>11298</v>
      </c>
      <c r="AA2718" s="1">
        <v>201900000</v>
      </c>
      <c r="AB2718" s="1">
        <v>35</v>
      </c>
    </row>
    <row r="2719" spans="1:28" x14ac:dyDescent="0.2">
      <c r="A2719" s="1">
        <v>7299</v>
      </c>
      <c r="B2719" s="1" t="s">
        <v>10590</v>
      </c>
      <c r="D2719" s="1" t="s">
        <v>10685</v>
      </c>
      <c r="F2719" s="1" t="s">
        <v>11077</v>
      </c>
      <c r="H2719" s="1" t="s">
        <v>11235</v>
      </c>
      <c r="J2719" s="1" t="s">
        <v>11236</v>
      </c>
      <c r="L2719" s="1" t="s">
        <v>2078</v>
      </c>
      <c r="N2719" s="1" t="s">
        <v>2079</v>
      </c>
      <c r="P2719" s="1" t="s">
        <v>410</v>
      </c>
      <c r="Q2719" s="3">
        <v>0</v>
      </c>
      <c r="R2719" s="23" t="s">
        <v>10605</v>
      </c>
      <c r="S2719" s="23" t="s">
        <v>6844</v>
      </c>
      <c r="T2719" s="23" t="s">
        <v>4866</v>
      </c>
      <c r="U2719" s="3">
        <v>35</v>
      </c>
      <c r="W2719" s="45" t="str">
        <f>HYPERLINK("http://ictvonline.org/taxonomy/p/taxonomy-history?taxnode_id=201903224","ICTVonline=201903224")</f>
        <v>ICTVonline=201903224</v>
      </c>
      <c r="AA2719" s="1">
        <v>201900000</v>
      </c>
      <c r="AB2719" s="1">
        <v>35</v>
      </c>
    </row>
    <row r="2720" spans="1:28" x14ac:dyDescent="0.2">
      <c r="A2720" s="1">
        <v>7301</v>
      </c>
      <c r="B2720" s="1" t="s">
        <v>10590</v>
      </c>
      <c r="D2720" s="1" t="s">
        <v>10685</v>
      </c>
      <c r="F2720" s="1" t="s">
        <v>11077</v>
      </c>
      <c r="H2720" s="1" t="s">
        <v>11235</v>
      </c>
      <c r="J2720" s="1" t="s">
        <v>11236</v>
      </c>
      <c r="L2720" s="1" t="s">
        <v>2078</v>
      </c>
      <c r="N2720" s="1" t="s">
        <v>2079</v>
      </c>
      <c r="P2720" s="1" t="s">
        <v>287</v>
      </c>
      <c r="Q2720" s="3">
        <v>0</v>
      </c>
      <c r="R2720" s="23" t="s">
        <v>10605</v>
      </c>
      <c r="S2720" s="23" t="s">
        <v>6844</v>
      </c>
      <c r="T2720" s="23" t="s">
        <v>4866</v>
      </c>
      <c r="U2720" s="3">
        <v>35</v>
      </c>
      <c r="W2720" s="45" t="str">
        <f>HYPERLINK("http://ictvonline.org/taxonomy/p/taxonomy-history?taxnode_id=201903225","ICTVonline=201903225")</f>
        <v>ICTVonline=201903225</v>
      </c>
      <c r="AA2720" s="1">
        <v>201900000</v>
      </c>
      <c r="AB2720" s="1">
        <v>35</v>
      </c>
    </row>
    <row r="2721" spans="1:28" x14ac:dyDescent="0.2">
      <c r="A2721" s="1">
        <v>7303</v>
      </c>
      <c r="B2721" s="1" t="s">
        <v>10590</v>
      </c>
      <c r="D2721" s="1" t="s">
        <v>10685</v>
      </c>
      <c r="F2721" s="1" t="s">
        <v>11077</v>
      </c>
      <c r="H2721" s="1" t="s">
        <v>11235</v>
      </c>
      <c r="J2721" s="1" t="s">
        <v>11236</v>
      </c>
      <c r="L2721" s="1" t="s">
        <v>2078</v>
      </c>
      <c r="N2721" s="1" t="s">
        <v>2079</v>
      </c>
      <c r="P2721" s="1" t="s">
        <v>1276</v>
      </c>
      <c r="Q2721" s="3">
        <v>0</v>
      </c>
      <c r="R2721" s="23" t="s">
        <v>10605</v>
      </c>
      <c r="S2721" s="23" t="s">
        <v>6844</v>
      </c>
      <c r="T2721" s="23" t="s">
        <v>4866</v>
      </c>
      <c r="U2721" s="3">
        <v>35</v>
      </c>
      <c r="W2721" s="45" t="str">
        <f>HYPERLINK("http://ictvonline.org/taxonomy/p/taxonomy-history?taxnode_id=201903226","ICTVonline=201903226")</f>
        <v>ICTVonline=201903226</v>
      </c>
      <c r="AA2721" s="1">
        <v>201900000</v>
      </c>
      <c r="AB2721" s="1">
        <v>35</v>
      </c>
    </row>
    <row r="2722" spans="1:28" x14ac:dyDescent="0.2">
      <c r="A2722" s="1">
        <v>7305</v>
      </c>
      <c r="B2722" s="1" t="s">
        <v>10590</v>
      </c>
      <c r="D2722" s="1" t="s">
        <v>10685</v>
      </c>
      <c r="F2722" s="1" t="s">
        <v>11077</v>
      </c>
      <c r="H2722" s="1" t="s">
        <v>11235</v>
      </c>
      <c r="J2722" s="1" t="s">
        <v>11236</v>
      </c>
      <c r="L2722" s="1" t="s">
        <v>2078</v>
      </c>
      <c r="N2722" s="1" t="s">
        <v>2079</v>
      </c>
      <c r="P2722" s="1" t="s">
        <v>5306</v>
      </c>
      <c r="Q2722" s="3">
        <v>0</v>
      </c>
      <c r="R2722" s="23" t="s">
        <v>10605</v>
      </c>
      <c r="S2722" s="23" t="s">
        <v>6844</v>
      </c>
      <c r="T2722" s="23" t="s">
        <v>4866</v>
      </c>
      <c r="U2722" s="3">
        <v>35</v>
      </c>
      <c r="W2722" s="45" t="str">
        <f>HYPERLINK("http://ictvonline.org/taxonomy/p/taxonomy-history?taxnode_id=201905795","ICTVonline=201905795")</f>
        <v>ICTVonline=201905795</v>
      </c>
      <c r="AA2722" s="1">
        <v>201900000</v>
      </c>
      <c r="AB2722" s="1">
        <v>35</v>
      </c>
    </row>
    <row r="2723" spans="1:28" x14ac:dyDescent="0.2">
      <c r="A2723" s="1">
        <v>7307</v>
      </c>
      <c r="B2723" s="1" t="s">
        <v>10590</v>
      </c>
      <c r="D2723" s="1" t="s">
        <v>10685</v>
      </c>
      <c r="F2723" s="1" t="s">
        <v>11077</v>
      </c>
      <c r="H2723" s="1" t="s">
        <v>11235</v>
      </c>
      <c r="J2723" s="1" t="s">
        <v>11236</v>
      </c>
      <c r="L2723" s="1" t="s">
        <v>2078</v>
      </c>
      <c r="N2723" s="1" t="s">
        <v>2079</v>
      </c>
      <c r="P2723" s="1" t="s">
        <v>289</v>
      </c>
      <c r="Q2723" s="3">
        <v>0</v>
      </c>
      <c r="R2723" s="23" t="s">
        <v>10605</v>
      </c>
      <c r="S2723" s="23" t="s">
        <v>6844</v>
      </c>
      <c r="T2723" s="23" t="s">
        <v>4866</v>
      </c>
      <c r="U2723" s="3">
        <v>35</v>
      </c>
      <c r="W2723" s="45" t="str">
        <f>HYPERLINK("http://ictvonline.org/taxonomy/p/taxonomy-history?taxnode_id=201903227","ICTVonline=201903227")</f>
        <v>ICTVonline=201903227</v>
      </c>
      <c r="AA2723" s="1">
        <v>201900000</v>
      </c>
      <c r="AB2723" s="1">
        <v>35</v>
      </c>
    </row>
    <row r="2724" spans="1:28" x14ac:dyDescent="0.2">
      <c r="A2724" s="1">
        <v>7309</v>
      </c>
      <c r="B2724" s="1" t="s">
        <v>10590</v>
      </c>
      <c r="D2724" s="1" t="s">
        <v>10685</v>
      </c>
      <c r="F2724" s="1" t="s">
        <v>11077</v>
      </c>
      <c r="H2724" s="1" t="s">
        <v>11235</v>
      </c>
      <c r="J2724" s="1" t="s">
        <v>11236</v>
      </c>
      <c r="L2724" s="1" t="s">
        <v>2078</v>
      </c>
      <c r="N2724" s="1" t="s">
        <v>2079</v>
      </c>
      <c r="P2724" s="1" t="s">
        <v>290</v>
      </c>
      <c r="Q2724" s="3">
        <v>0</v>
      </c>
      <c r="R2724" s="23" t="s">
        <v>10605</v>
      </c>
      <c r="S2724" s="23" t="s">
        <v>6844</v>
      </c>
      <c r="T2724" s="23" t="s">
        <v>4866</v>
      </c>
      <c r="U2724" s="3">
        <v>35</v>
      </c>
      <c r="W2724" s="45" t="str">
        <f>HYPERLINK("http://ictvonline.org/taxonomy/p/taxonomy-history?taxnode_id=201903228","ICTVonline=201903228")</f>
        <v>ICTVonline=201903228</v>
      </c>
      <c r="AA2724" s="1">
        <v>201900000</v>
      </c>
      <c r="AB2724" s="1">
        <v>35</v>
      </c>
    </row>
    <row r="2725" spans="1:28" x14ac:dyDescent="0.2">
      <c r="A2725" s="1">
        <v>7311</v>
      </c>
      <c r="B2725" s="1" t="s">
        <v>10590</v>
      </c>
      <c r="D2725" s="1" t="s">
        <v>10685</v>
      </c>
      <c r="F2725" s="1" t="s">
        <v>11077</v>
      </c>
      <c r="H2725" s="1" t="s">
        <v>11235</v>
      </c>
      <c r="J2725" s="1" t="s">
        <v>11236</v>
      </c>
      <c r="L2725" s="1" t="s">
        <v>2078</v>
      </c>
      <c r="N2725" s="1" t="s">
        <v>2079</v>
      </c>
      <c r="P2725" s="1" t="s">
        <v>406</v>
      </c>
      <c r="Q2725" s="3">
        <v>0</v>
      </c>
      <c r="R2725" s="23" t="s">
        <v>10605</v>
      </c>
      <c r="S2725" s="23" t="s">
        <v>6844</v>
      </c>
      <c r="T2725" s="23" t="s">
        <v>4866</v>
      </c>
      <c r="U2725" s="3">
        <v>35</v>
      </c>
      <c r="W2725" s="45" t="str">
        <f>HYPERLINK("http://ictvonline.org/taxonomy/p/taxonomy-history?taxnode_id=201903229","ICTVonline=201903229")</f>
        <v>ICTVonline=201903229</v>
      </c>
      <c r="AA2725" s="1">
        <v>201900000</v>
      </c>
      <c r="AB2725" s="1">
        <v>35</v>
      </c>
    </row>
    <row r="2726" spans="1:28" x14ac:dyDescent="0.2">
      <c r="A2726" s="1">
        <v>7313</v>
      </c>
      <c r="B2726" s="1" t="s">
        <v>10590</v>
      </c>
      <c r="D2726" s="1" t="s">
        <v>10685</v>
      </c>
      <c r="F2726" s="1" t="s">
        <v>11077</v>
      </c>
      <c r="H2726" s="1" t="s">
        <v>11235</v>
      </c>
      <c r="J2726" s="1" t="s">
        <v>11236</v>
      </c>
      <c r="L2726" s="1" t="s">
        <v>2078</v>
      </c>
      <c r="N2726" s="1" t="s">
        <v>2079</v>
      </c>
      <c r="P2726" s="1" t="s">
        <v>5307</v>
      </c>
      <c r="Q2726" s="3">
        <v>0</v>
      </c>
      <c r="R2726" s="23" t="s">
        <v>10605</v>
      </c>
      <c r="S2726" s="23" t="s">
        <v>6844</v>
      </c>
      <c r="T2726" s="23" t="s">
        <v>4866</v>
      </c>
      <c r="U2726" s="3">
        <v>35</v>
      </c>
      <c r="W2726" s="45" t="str">
        <f>HYPERLINK("http://ictvonline.org/taxonomy/p/taxonomy-history?taxnode_id=201905796","ICTVonline=201905796")</f>
        <v>ICTVonline=201905796</v>
      </c>
      <c r="AA2726" s="1">
        <v>201900000</v>
      </c>
      <c r="AB2726" s="1">
        <v>35</v>
      </c>
    </row>
    <row r="2727" spans="1:28" x14ac:dyDescent="0.2">
      <c r="A2727" s="1">
        <v>7315</v>
      </c>
      <c r="B2727" s="1" t="s">
        <v>10590</v>
      </c>
      <c r="D2727" s="1" t="s">
        <v>10685</v>
      </c>
      <c r="F2727" s="1" t="s">
        <v>11077</v>
      </c>
      <c r="H2727" s="1" t="s">
        <v>11235</v>
      </c>
      <c r="J2727" s="1" t="s">
        <v>11236</v>
      </c>
      <c r="L2727" s="1" t="s">
        <v>2078</v>
      </c>
      <c r="N2727" s="1" t="s">
        <v>2079</v>
      </c>
      <c r="P2727" s="1" t="s">
        <v>11299</v>
      </c>
      <c r="Q2727" s="3">
        <v>0</v>
      </c>
      <c r="R2727" s="23" t="s">
        <v>10596</v>
      </c>
      <c r="S2727" s="23" t="s">
        <v>6849</v>
      </c>
      <c r="T2727" s="23" t="s">
        <v>4864</v>
      </c>
      <c r="U2727" s="3">
        <v>35</v>
      </c>
      <c r="V2727" s="3" t="s">
        <v>11246</v>
      </c>
      <c r="W2727" s="45" t="str">
        <f>HYPERLINK("http://ictvonline.org/taxonomy/p/taxonomy-history?taxnode_id=201907520","ICTVonline=201907520")</f>
        <v>ICTVonline=201907520</v>
      </c>
      <c r="X2727" s="1" t="s">
        <v>11300</v>
      </c>
      <c r="Y2727" s="1" t="s">
        <v>11301</v>
      </c>
      <c r="Z2727" s="1" t="s">
        <v>11302</v>
      </c>
      <c r="AA2727" s="1">
        <v>201900000</v>
      </c>
      <c r="AB2727" s="1">
        <v>35</v>
      </c>
    </row>
    <row r="2728" spans="1:28" x14ac:dyDescent="0.2">
      <c r="A2728" s="1">
        <v>7317</v>
      </c>
      <c r="B2728" s="1" t="s">
        <v>10590</v>
      </c>
      <c r="D2728" s="1" t="s">
        <v>10685</v>
      </c>
      <c r="F2728" s="1" t="s">
        <v>11077</v>
      </c>
      <c r="H2728" s="1" t="s">
        <v>11235</v>
      </c>
      <c r="J2728" s="1" t="s">
        <v>11236</v>
      </c>
      <c r="L2728" s="1" t="s">
        <v>2078</v>
      </c>
      <c r="N2728" s="1" t="s">
        <v>2079</v>
      </c>
      <c r="P2728" s="1" t="s">
        <v>407</v>
      </c>
      <c r="Q2728" s="3">
        <v>0</v>
      </c>
      <c r="R2728" s="23" t="s">
        <v>10605</v>
      </c>
      <c r="S2728" s="23" t="s">
        <v>6844</v>
      </c>
      <c r="T2728" s="23" t="s">
        <v>4866</v>
      </c>
      <c r="U2728" s="3">
        <v>35</v>
      </c>
      <c r="W2728" s="45" t="str">
        <f>HYPERLINK("http://ictvonline.org/taxonomy/p/taxonomy-history?taxnode_id=201903230","ICTVonline=201903230")</f>
        <v>ICTVonline=201903230</v>
      </c>
      <c r="AA2728" s="1">
        <v>201900000</v>
      </c>
      <c r="AB2728" s="1">
        <v>35</v>
      </c>
    </row>
    <row r="2729" spans="1:28" x14ac:dyDescent="0.2">
      <c r="A2729" s="1">
        <v>7319</v>
      </c>
      <c r="B2729" s="1" t="s">
        <v>10590</v>
      </c>
      <c r="D2729" s="1" t="s">
        <v>10685</v>
      </c>
      <c r="F2729" s="1" t="s">
        <v>11077</v>
      </c>
      <c r="H2729" s="1" t="s">
        <v>11235</v>
      </c>
      <c r="J2729" s="1" t="s">
        <v>11236</v>
      </c>
      <c r="L2729" s="1" t="s">
        <v>2078</v>
      </c>
      <c r="N2729" s="1" t="s">
        <v>2079</v>
      </c>
      <c r="P2729" s="1" t="s">
        <v>3725</v>
      </c>
      <c r="Q2729" s="3">
        <v>0</v>
      </c>
      <c r="R2729" s="23" t="s">
        <v>10605</v>
      </c>
      <c r="S2729" s="23" t="s">
        <v>6844</v>
      </c>
      <c r="T2729" s="23" t="s">
        <v>4866</v>
      </c>
      <c r="U2729" s="3">
        <v>35</v>
      </c>
      <c r="W2729" s="45" t="str">
        <f>HYPERLINK("http://ictvonline.org/taxonomy/p/taxonomy-history?taxnode_id=201903231","ICTVonline=201903231")</f>
        <v>ICTVonline=201903231</v>
      </c>
      <c r="Y2729" s="1" t="s">
        <v>11303</v>
      </c>
      <c r="Z2729" s="1" t="s">
        <v>11304</v>
      </c>
      <c r="AA2729" s="1">
        <v>201900000</v>
      </c>
      <c r="AB2729" s="1">
        <v>35</v>
      </c>
    </row>
    <row r="2730" spans="1:28" x14ac:dyDescent="0.2">
      <c r="A2730" s="1">
        <v>7321</v>
      </c>
      <c r="B2730" s="1" t="s">
        <v>10590</v>
      </c>
      <c r="D2730" s="1" t="s">
        <v>10685</v>
      </c>
      <c r="F2730" s="1" t="s">
        <v>11077</v>
      </c>
      <c r="H2730" s="1" t="s">
        <v>11235</v>
      </c>
      <c r="J2730" s="1" t="s">
        <v>11236</v>
      </c>
      <c r="L2730" s="1" t="s">
        <v>2078</v>
      </c>
      <c r="N2730" s="1" t="s">
        <v>2079</v>
      </c>
      <c r="P2730" s="1" t="s">
        <v>11305</v>
      </c>
      <c r="Q2730" s="3">
        <v>0</v>
      </c>
      <c r="R2730" s="23" t="s">
        <v>10596</v>
      </c>
      <c r="S2730" s="23" t="s">
        <v>6849</v>
      </c>
      <c r="T2730" s="23" t="s">
        <v>4864</v>
      </c>
      <c r="U2730" s="3">
        <v>35</v>
      </c>
      <c r="V2730" s="3" t="s">
        <v>11246</v>
      </c>
      <c r="W2730" s="45" t="str">
        <f>HYPERLINK("http://ictvonline.org/taxonomy/p/taxonomy-history?taxnode_id=201907521","ICTVonline=201907521")</f>
        <v>ICTVonline=201907521</v>
      </c>
      <c r="X2730" s="1" t="s">
        <v>11306</v>
      </c>
      <c r="Y2730" s="1" t="s">
        <v>11307</v>
      </c>
      <c r="Z2730" s="1" t="s">
        <v>11308</v>
      </c>
      <c r="AA2730" s="1">
        <v>201900000</v>
      </c>
      <c r="AB2730" s="1">
        <v>35</v>
      </c>
    </row>
    <row r="2731" spans="1:28" x14ac:dyDescent="0.2">
      <c r="A2731" s="1">
        <v>7323</v>
      </c>
      <c r="B2731" s="1" t="s">
        <v>10590</v>
      </c>
      <c r="D2731" s="1" t="s">
        <v>10685</v>
      </c>
      <c r="F2731" s="1" t="s">
        <v>11077</v>
      </c>
      <c r="H2731" s="1" t="s">
        <v>11235</v>
      </c>
      <c r="J2731" s="1" t="s">
        <v>11236</v>
      </c>
      <c r="L2731" s="1" t="s">
        <v>2078</v>
      </c>
      <c r="N2731" s="1" t="s">
        <v>2079</v>
      </c>
      <c r="P2731" s="1" t="s">
        <v>1490</v>
      </c>
      <c r="Q2731" s="3">
        <v>0</v>
      </c>
      <c r="R2731" s="23" t="s">
        <v>10605</v>
      </c>
      <c r="S2731" s="23" t="s">
        <v>6844</v>
      </c>
      <c r="T2731" s="23" t="s">
        <v>4866</v>
      </c>
      <c r="U2731" s="3">
        <v>35</v>
      </c>
      <c r="W2731" s="45" t="str">
        <f>HYPERLINK("http://ictvonline.org/taxonomy/p/taxonomy-history?taxnode_id=201903232","ICTVonline=201903232")</f>
        <v>ICTVonline=201903232</v>
      </c>
      <c r="AA2731" s="1">
        <v>201900000</v>
      </c>
      <c r="AB2731" s="1">
        <v>35</v>
      </c>
    </row>
    <row r="2732" spans="1:28" x14ac:dyDescent="0.2">
      <c r="A2732" s="1">
        <v>7325</v>
      </c>
      <c r="B2732" s="1" t="s">
        <v>10590</v>
      </c>
      <c r="D2732" s="1" t="s">
        <v>10685</v>
      </c>
      <c r="F2732" s="1" t="s">
        <v>11077</v>
      </c>
      <c r="H2732" s="1" t="s">
        <v>11235</v>
      </c>
      <c r="J2732" s="1" t="s">
        <v>11236</v>
      </c>
      <c r="L2732" s="1" t="s">
        <v>2078</v>
      </c>
      <c r="N2732" s="1" t="s">
        <v>2079</v>
      </c>
      <c r="P2732" s="1" t="s">
        <v>1711</v>
      </c>
      <c r="Q2732" s="3">
        <v>0</v>
      </c>
      <c r="R2732" s="23" t="s">
        <v>10605</v>
      </c>
      <c r="S2732" s="23" t="s">
        <v>6844</v>
      </c>
      <c r="T2732" s="23" t="s">
        <v>4866</v>
      </c>
      <c r="U2732" s="3">
        <v>35</v>
      </c>
      <c r="W2732" s="45" t="str">
        <f>HYPERLINK("http://ictvonline.org/taxonomy/p/taxonomy-history?taxnode_id=201903233","ICTVonline=201903233")</f>
        <v>ICTVonline=201903233</v>
      </c>
      <c r="AA2732" s="1">
        <v>201900000</v>
      </c>
      <c r="AB2732" s="1">
        <v>35</v>
      </c>
    </row>
    <row r="2733" spans="1:28" x14ac:dyDescent="0.2">
      <c r="A2733" s="1">
        <v>7327</v>
      </c>
      <c r="B2733" s="1" t="s">
        <v>10590</v>
      </c>
      <c r="D2733" s="1" t="s">
        <v>10685</v>
      </c>
      <c r="F2733" s="1" t="s">
        <v>11077</v>
      </c>
      <c r="H2733" s="1" t="s">
        <v>11235</v>
      </c>
      <c r="J2733" s="1" t="s">
        <v>11236</v>
      </c>
      <c r="L2733" s="1" t="s">
        <v>2078</v>
      </c>
      <c r="N2733" s="1" t="s">
        <v>2079</v>
      </c>
      <c r="P2733" s="1" t="s">
        <v>2383</v>
      </c>
      <c r="Q2733" s="3">
        <v>0</v>
      </c>
      <c r="R2733" s="23" t="s">
        <v>10605</v>
      </c>
      <c r="S2733" s="23" t="s">
        <v>6844</v>
      </c>
      <c r="T2733" s="23" t="s">
        <v>4866</v>
      </c>
      <c r="U2733" s="3">
        <v>35</v>
      </c>
      <c r="W2733" s="45" t="str">
        <f>HYPERLINK("http://ictvonline.org/taxonomy/p/taxonomy-history?taxnode_id=201903234","ICTVonline=201903234")</f>
        <v>ICTVonline=201903234</v>
      </c>
      <c r="AA2733" s="1">
        <v>201900000</v>
      </c>
      <c r="AB2733" s="1">
        <v>35</v>
      </c>
    </row>
    <row r="2734" spans="1:28" x14ac:dyDescent="0.2">
      <c r="A2734" s="1">
        <v>7329</v>
      </c>
      <c r="B2734" s="1" t="s">
        <v>10590</v>
      </c>
      <c r="D2734" s="1" t="s">
        <v>10685</v>
      </c>
      <c r="F2734" s="1" t="s">
        <v>11077</v>
      </c>
      <c r="H2734" s="1" t="s">
        <v>11235</v>
      </c>
      <c r="J2734" s="1" t="s">
        <v>11236</v>
      </c>
      <c r="L2734" s="1" t="s">
        <v>2078</v>
      </c>
      <c r="N2734" s="1" t="s">
        <v>2079</v>
      </c>
      <c r="P2734" s="1" t="s">
        <v>6755</v>
      </c>
      <c r="Q2734" s="3">
        <v>0</v>
      </c>
      <c r="R2734" s="23" t="s">
        <v>10605</v>
      </c>
      <c r="S2734" s="23" t="s">
        <v>6844</v>
      </c>
      <c r="T2734" s="23" t="s">
        <v>4866</v>
      </c>
      <c r="U2734" s="3">
        <v>35</v>
      </c>
      <c r="W2734" s="45" t="str">
        <f>HYPERLINK("http://ictvonline.org/taxonomy/p/taxonomy-history?taxnode_id=201906700","ICTVonline=201906700")</f>
        <v>ICTVonline=201906700</v>
      </c>
      <c r="X2734" s="1" t="s">
        <v>11309</v>
      </c>
      <c r="Y2734" s="1" t="s">
        <v>11310</v>
      </c>
      <c r="Z2734" s="1" t="s">
        <v>11311</v>
      </c>
      <c r="AA2734" s="1">
        <v>201900000</v>
      </c>
      <c r="AB2734" s="1">
        <v>35</v>
      </c>
    </row>
    <row r="2735" spans="1:28" x14ac:dyDescent="0.2">
      <c r="A2735" s="1">
        <v>7331</v>
      </c>
      <c r="B2735" s="1" t="s">
        <v>10590</v>
      </c>
      <c r="D2735" s="1" t="s">
        <v>10685</v>
      </c>
      <c r="F2735" s="1" t="s">
        <v>11077</v>
      </c>
      <c r="H2735" s="1" t="s">
        <v>11235</v>
      </c>
      <c r="J2735" s="1" t="s">
        <v>11236</v>
      </c>
      <c r="L2735" s="1" t="s">
        <v>2078</v>
      </c>
      <c r="N2735" s="1" t="s">
        <v>2079</v>
      </c>
      <c r="P2735" s="1" t="s">
        <v>2384</v>
      </c>
      <c r="Q2735" s="3">
        <v>0</v>
      </c>
      <c r="R2735" s="23" t="s">
        <v>10605</v>
      </c>
      <c r="S2735" s="23" t="s">
        <v>6844</v>
      </c>
      <c r="T2735" s="23" t="s">
        <v>4866</v>
      </c>
      <c r="U2735" s="3">
        <v>35</v>
      </c>
      <c r="W2735" s="45" t="str">
        <f>HYPERLINK("http://ictvonline.org/taxonomy/p/taxonomy-history?taxnode_id=201903235","ICTVonline=201903235")</f>
        <v>ICTVonline=201903235</v>
      </c>
      <c r="AA2735" s="1">
        <v>201900000</v>
      </c>
      <c r="AB2735" s="1">
        <v>35</v>
      </c>
    </row>
    <row r="2736" spans="1:28" x14ac:dyDescent="0.2">
      <c r="A2736" s="1">
        <v>7333</v>
      </c>
      <c r="B2736" s="1" t="s">
        <v>10590</v>
      </c>
      <c r="D2736" s="1" t="s">
        <v>10685</v>
      </c>
      <c r="F2736" s="1" t="s">
        <v>11077</v>
      </c>
      <c r="H2736" s="1" t="s">
        <v>11235</v>
      </c>
      <c r="J2736" s="1" t="s">
        <v>11236</v>
      </c>
      <c r="L2736" s="1" t="s">
        <v>2078</v>
      </c>
      <c r="N2736" s="1" t="s">
        <v>2079</v>
      </c>
      <c r="P2736" s="1" t="s">
        <v>5308</v>
      </c>
      <c r="Q2736" s="3">
        <v>0</v>
      </c>
      <c r="R2736" s="23" t="s">
        <v>10605</v>
      </c>
      <c r="S2736" s="23" t="s">
        <v>6844</v>
      </c>
      <c r="T2736" s="23" t="s">
        <v>4866</v>
      </c>
      <c r="U2736" s="3">
        <v>35</v>
      </c>
      <c r="W2736" s="45" t="str">
        <f>HYPERLINK("http://ictvonline.org/taxonomy/p/taxonomy-history?taxnode_id=201905797","ICTVonline=201905797")</f>
        <v>ICTVonline=201905797</v>
      </c>
      <c r="AA2736" s="1">
        <v>201900000</v>
      </c>
      <c r="AB2736" s="1">
        <v>35</v>
      </c>
    </row>
    <row r="2737" spans="1:28" x14ac:dyDescent="0.2">
      <c r="A2737" s="1">
        <v>7335</v>
      </c>
      <c r="B2737" s="1" t="s">
        <v>10590</v>
      </c>
      <c r="D2737" s="1" t="s">
        <v>10685</v>
      </c>
      <c r="F2737" s="1" t="s">
        <v>11077</v>
      </c>
      <c r="H2737" s="1" t="s">
        <v>11235</v>
      </c>
      <c r="J2737" s="1" t="s">
        <v>11236</v>
      </c>
      <c r="L2737" s="1" t="s">
        <v>2078</v>
      </c>
      <c r="N2737" s="1" t="s">
        <v>2079</v>
      </c>
      <c r="P2737" s="1" t="s">
        <v>1491</v>
      </c>
      <c r="Q2737" s="3">
        <v>0</v>
      </c>
      <c r="R2737" s="23" t="s">
        <v>10605</v>
      </c>
      <c r="S2737" s="23" t="s">
        <v>6844</v>
      </c>
      <c r="T2737" s="23" t="s">
        <v>4866</v>
      </c>
      <c r="U2737" s="3">
        <v>35</v>
      </c>
      <c r="W2737" s="45" t="str">
        <f>HYPERLINK("http://ictvonline.org/taxonomy/p/taxonomy-history?taxnode_id=201903236","ICTVonline=201903236")</f>
        <v>ICTVonline=201903236</v>
      </c>
      <c r="AA2737" s="1">
        <v>201900000</v>
      </c>
      <c r="AB2737" s="1">
        <v>35</v>
      </c>
    </row>
    <row r="2738" spans="1:28" x14ac:dyDescent="0.2">
      <c r="A2738" s="1">
        <v>7337</v>
      </c>
      <c r="B2738" s="1" t="s">
        <v>10590</v>
      </c>
      <c r="D2738" s="1" t="s">
        <v>10685</v>
      </c>
      <c r="F2738" s="1" t="s">
        <v>11077</v>
      </c>
      <c r="H2738" s="1" t="s">
        <v>11235</v>
      </c>
      <c r="J2738" s="1" t="s">
        <v>11236</v>
      </c>
      <c r="L2738" s="1" t="s">
        <v>2078</v>
      </c>
      <c r="N2738" s="1" t="s">
        <v>2079</v>
      </c>
      <c r="P2738" s="1" t="s">
        <v>5309</v>
      </c>
      <c r="Q2738" s="3">
        <v>0</v>
      </c>
      <c r="R2738" s="23" t="s">
        <v>10605</v>
      </c>
      <c r="S2738" s="23" t="s">
        <v>6844</v>
      </c>
      <c r="T2738" s="23" t="s">
        <v>4866</v>
      </c>
      <c r="U2738" s="3">
        <v>35</v>
      </c>
      <c r="W2738" s="45" t="str">
        <f>HYPERLINK("http://ictvonline.org/taxonomy/p/taxonomy-history?taxnode_id=201905798","ICTVonline=201905798")</f>
        <v>ICTVonline=201905798</v>
      </c>
      <c r="AA2738" s="1">
        <v>201900000</v>
      </c>
      <c r="AB2738" s="1">
        <v>35</v>
      </c>
    </row>
    <row r="2739" spans="1:28" x14ac:dyDescent="0.2">
      <c r="A2739" s="1">
        <v>7339</v>
      </c>
      <c r="B2739" s="1" t="s">
        <v>10590</v>
      </c>
      <c r="D2739" s="1" t="s">
        <v>10685</v>
      </c>
      <c r="F2739" s="1" t="s">
        <v>11077</v>
      </c>
      <c r="H2739" s="1" t="s">
        <v>11235</v>
      </c>
      <c r="J2739" s="1" t="s">
        <v>11236</v>
      </c>
      <c r="L2739" s="1" t="s">
        <v>2078</v>
      </c>
      <c r="N2739" s="1" t="s">
        <v>2079</v>
      </c>
      <c r="P2739" s="1" t="s">
        <v>1492</v>
      </c>
      <c r="Q2739" s="3">
        <v>0</v>
      </c>
      <c r="R2739" s="23" t="s">
        <v>10605</v>
      </c>
      <c r="S2739" s="23" t="s">
        <v>6844</v>
      </c>
      <c r="T2739" s="23" t="s">
        <v>4866</v>
      </c>
      <c r="U2739" s="3">
        <v>35</v>
      </c>
      <c r="W2739" s="45" t="str">
        <f>HYPERLINK("http://ictvonline.org/taxonomy/p/taxonomy-history?taxnode_id=201903237","ICTVonline=201903237")</f>
        <v>ICTVonline=201903237</v>
      </c>
      <c r="AA2739" s="1">
        <v>201900000</v>
      </c>
      <c r="AB2739" s="1">
        <v>35</v>
      </c>
    </row>
    <row r="2740" spans="1:28" x14ac:dyDescent="0.2">
      <c r="A2740" s="1">
        <v>7341</v>
      </c>
      <c r="B2740" s="1" t="s">
        <v>10590</v>
      </c>
      <c r="D2740" s="1" t="s">
        <v>10685</v>
      </c>
      <c r="F2740" s="1" t="s">
        <v>11077</v>
      </c>
      <c r="H2740" s="1" t="s">
        <v>11235</v>
      </c>
      <c r="J2740" s="1" t="s">
        <v>11236</v>
      </c>
      <c r="L2740" s="1" t="s">
        <v>2078</v>
      </c>
      <c r="N2740" s="1" t="s">
        <v>2079</v>
      </c>
      <c r="P2740" s="1" t="s">
        <v>1493</v>
      </c>
      <c r="Q2740" s="3">
        <v>0</v>
      </c>
      <c r="R2740" s="23" t="s">
        <v>10605</v>
      </c>
      <c r="S2740" s="23" t="s">
        <v>6844</v>
      </c>
      <c r="T2740" s="23" t="s">
        <v>4866</v>
      </c>
      <c r="U2740" s="3">
        <v>35</v>
      </c>
      <c r="W2740" s="45" t="str">
        <f>HYPERLINK("http://ictvonline.org/taxonomy/p/taxonomy-history?taxnode_id=201903238","ICTVonline=201903238")</f>
        <v>ICTVonline=201903238</v>
      </c>
      <c r="AA2740" s="1">
        <v>201900000</v>
      </c>
      <c r="AB2740" s="1">
        <v>35</v>
      </c>
    </row>
    <row r="2741" spans="1:28" x14ac:dyDescent="0.2">
      <c r="A2741" s="1">
        <v>7343</v>
      </c>
      <c r="B2741" s="1" t="s">
        <v>10590</v>
      </c>
      <c r="D2741" s="1" t="s">
        <v>10685</v>
      </c>
      <c r="F2741" s="1" t="s">
        <v>11077</v>
      </c>
      <c r="H2741" s="1" t="s">
        <v>11235</v>
      </c>
      <c r="J2741" s="1" t="s">
        <v>11236</v>
      </c>
      <c r="L2741" s="1" t="s">
        <v>2078</v>
      </c>
      <c r="N2741" s="1" t="s">
        <v>2079</v>
      </c>
      <c r="P2741" s="1" t="s">
        <v>1494</v>
      </c>
      <c r="Q2741" s="3">
        <v>0</v>
      </c>
      <c r="R2741" s="23" t="s">
        <v>10605</v>
      </c>
      <c r="S2741" s="23" t="s">
        <v>6844</v>
      </c>
      <c r="T2741" s="23" t="s">
        <v>4866</v>
      </c>
      <c r="U2741" s="3">
        <v>35</v>
      </c>
      <c r="W2741" s="45" t="str">
        <f>HYPERLINK("http://ictvonline.org/taxonomy/p/taxonomy-history?taxnode_id=201903239","ICTVonline=201903239")</f>
        <v>ICTVonline=201903239</v>
      </c>
      <c r="AA2741" s="1">
        <v>201900000</v>
      </c>
      <c r="AB2741" s="1">
        <v>35</v>
      </c>
    </row>
    <row r="2742" spans="1:28" x14ac:dyDescent="0.2">
      <c r="A2742" s="1">
        <v>7345</v>
      </c>
      <c r="B2742" s="1" t="s">
        <v>10590</v>
      </c>
      <c r="D2742" s="1" t="s">
        <v>10685</v>
      </c>
      <c r="F2742" s="1" t="s">
        <v>11077</v>
      </c>
      <c r="H2742" s="1" t="s">
        <v>11235</v>
      </c>
      <c r="J2742" s="1" t="s">
        <v>11236</v>
      </c>
      <c r="L2742" s="1" t="s">
        <v>2078</v>
      </c>
      <c r="N2742" s="1" t="s">
        <v>2079</v>
      </c>
      <c r="P2742" s="1" t="s">
        <v>5310</v>
      </c>
      <c r="Q2742" s="3">
        <v>0</v>
      </c>
      <c r="R2742" s="23" t="s">
        <v>10605</v>
      </c>
      <c r="S2742" s="23" t="s">
        <v>6844</v>
      </c>
      <c r="T2742" s="23" t="s">
        <v>4866</v>
      </c>
      <c r="U2742" s="3">
        <v>35</v>
      </c>
      <c r="W2742" s="45" t="str">
        <f>HYPERLINK("http://ictvonline.org/taxonomy/p/taxonomy-history?taxnode_id=201905799","ICTVonline=201905799")</f>
        <v>ICTVonline=201905799</v>
      </c>
      <c r="AA2742" s="1">
        <v>201900000</v>
      </c>
      <c r="AB2742" s="1">
        <v>35</v>
      </c>
    </row>
    <row r="2743" spans="1:28" x14ac:dyDescent="0.2">
      <c r="A2743" s="1">
        <v>7347</v>
      </c>
      <c r="B2743" s="1" t="s">
        <v>10590</v>
      </c>
      <c r="D2743" s="1" t="s">
        <v>10685</v>
      </c>
      <c r="F2743" s="1" t="s">
        <v>11077</v>
      </c>
      <c r="H2743" s="1" t="s">
        <v>11235</v>
      </c>
      <c r="J2743" s="1" t="s">
        <v>11236</v>
      </c>
      <c r="L2743" s="1" t="s">
        <v>2078</v>
      </c>
      <c r="N2743" s="1" t="s">
        <v>2079</v>
      </c>
      <c r="P2743" s="1" t="s">
        <v>432</v>
      </c>
      <c r="Q2743" s="3">
        <v>0</v>
      </c>
      <c r="R2743" s="23" t="s">
        <v>10605</v>
      </c>
      <c r="S2743" s="23" t="s">
        <v>6844</v>
      </c>
      <c r="T2743" s="23" t="s">
        <v>4866</v>
      </c>
      <c r="U2743" s="3">
        <v>35</v>
      </c>
      <c r="W2743" s="45" t="str">
        <f>HYPERLINK("http://ictvonline.org/taxonomy/p/taxonomy-history?taxnode_id=201903240","ICTVonline=201903240")</f>
        <v>ICTVonline=201903240</v>
      </c>
      <c r="AA2743" s="1">
        <v>201900000</v>
      </c>
      <c r="AB2743" s="1">
        <v>35</v>
      </c>
    </row>
    <row r="2744" spans="1:28" x14ac:dyDescent="0.2">
      <c r="A2744" s="1">
        <v>7349</v>
      </c>
      <c r="B2744" s="1" t="s">
        <v>10590</v>
      </c>
      <c r="D2744" s="1" t="s">
        <v>10685</v>
      </c>
      <c r="F2744" s="1" t="s">
        <v>11077</v>
      </c>
      <c r="H2744" s="1" t="s">
        <v>11235</v>
      </c>
      <c r="J2744" s="1" t="s">
        <v>11236</v>
      </c>
      <c r="L2744" s="1" t="s">
        <v>2078</v>
      </c>
      <c r="N2744" s="1" t="s">
        <v>2079</v>
      </c>
      <c r="P2744" s="1" t="s">
        <v>433</v>
      </c>
      <c r="Q2744" s="3">
        <v>0</v>
      </c>
      <c r="R2744" s="23" t="s">
        <v>10605</v>
      </c>
      <c r="S2744" s="23" t="s">
        <v>6844</v>
      </c>
      <c r="T2744" s="23" t="s">
        <v>4866</v>
      </c>
      <c r="U2744" s="3">
        <v>35</v>
      </c>
      <c r="W2744" s="45" t="str">
        <f>HYPERLINK("http://ictvonline.org/taxonomy/p/taxonomy-history?taxnode_id=201903241","ICTVonline=201903241")</f>
        <v>ICTVonline=201903241</v>
      </c>
      <c r="AA2744" s="1">
        <v>201900000</v>
      </c>
      <c r="AB2744" s="1">
        <v>35</v>
      </c>
    </row>
    <row r="2745" spans="1:28" x14ac:dyDescent="0.2">
      <c r="A2745" s="1">
        <v>7351</v>
      </c>
      <c r="B2745" s="1" t="s">
        <v>10590</v>
      </c>
      <c r="D2745" s="1" t="s">
        <v>10685</v>
      </c>
      <c r="F2745" s="1" t="s">
        <v>11077</v>
      </c>
      <c r="H2745" s="1" t="s">
        <v>11235</v>
      </c>
      <c r="J2745" s="1" t="s">
        <v>11236</v>
      </c>
      <c r="L2745" s="1" t="s">
        <v>2078</v>
      </c>
      <c r="N2745" s="1" t="s">
        <v>2079</v>
      </c>
      <c r="P2745" s="1" t="s">
        <v>434</v>
      </c>
      <c r="Q2745" s="3">
        <v>0</v>
      </c>
      <c r="R2745" s="23" t="s">
        <v>10605</v>
      </c>
      <c r="S2745" s="23" t="s">
        <v>6844</v>
      </c>
      <c r="T2745" s="23" t="s">
        <v>4866</v>
      </c>
      <c r="U2745" s="3">
        <v>35</v>
      </c>
      <c r="W2745" s="45" t="str">
        <f>HYPERLINK("http://ictvonline.org/taxonomy/p/taxonomy-history?taxnode_id=201903242","ICTVonline=201903242")</f>
        <v>ICTVonline=201903242</v>
      </c>
      <c r="AA2745" s="1">
        <v>201900000</v>
      </c>
      <c r="AB2745" s="1">
        <v>35</v>
      </c>
    </row>
    <row r="2746" spans="1:28" x14ac:dyDescent="0.2">
      <c r="A2746" s="1">
        <v>7353</v>
      </c>
      <c r="B2746" s="1" t="s">
        <v>10590</v>
      </c>
      <c r="D2746" s="1" t="s">
        <v>10685</v>
      </c>
      <c r="F2746" s="1" t="s">
        <v>11077</v>
      </c>
      <c r="H2746" s="1" t="s">
        <v>11235</v>
      </c>
      <c r="J2746" s="1" t="s">
        <v>11236</v>
      </c>
      <c r="L2746" s="1" t="s">
        <v>2078</v>
      </c>
      <c r="N2746" s="1" t="s">
        <v>2079</v>
      </c>
      <c r="P2746" s="1" t="s">
        <v>435</v>
      </c>
      <c r="Q2746" s="3">
        <v>0</v>
      </c>
      <c r="R2746" s="23" t="s">
        <v>10605</v>
      </c>
      <c r="S2746" s="23" t="s">
        <v>6844</v>
      </c>
      <c r="T2746" s="23" t="s">
        <v>4866</v>
      </c>
      <c r="U2746" s="3">
        <v>35</v>
      </c>
      <c r="W2746" s="45" t="str">
        <f>HYPERLINK("http://ictvonline.org/taxonomy/p/taxonomy-history?taxnode_id=201903243","ICTVonline=201903243")</f>
        <v>ICTVonline=201903243</v>
      </c>
      <c r="AA2746" s="1">
        <v>201900000</v>
      </c>
      <c r="AB2746" s="1">
        <v>35</v>
      </c>
    </row>
    <row r="2747" spans="1:28" x14ac:dyDescent="0.2">
      <c r="A2747" s="1">
        <v>7355</v>
      </c>
      <c r="B2747" s="1" t="s">
        <v>10590</v>
      </c>
      <c r="D2747" s="1" t="s">
        <v>10685</v>
      </c>
      <c r="F2747" s="1" t="s">
        <v>11077</v>
      </c>
      <c r="H2747" s="1" t="s">
        <v>11235</v>
      </c>
      <c r="J2747" s="1" t="s">
        <v>11236</v>
      </c>
      <c r="L2747" s="1" t="s">
        <v>2078</v>
      </c>
      <c r="N2747" s="1" t="s">
        <v>2079</v>
      </c>
      <c r="P2747" s="1" t="s">
        <v>436</v>
      </c>
      <c r="Q2747" s="3">
        <v>0</v>
      </c>
      <c r="R2747" s="23" t="s">
        <v>10605</v>
      </c>
      <c r="S2747" s="23" t="s">
        <v>6844</v>
      </c>
      <c r="T2747" s="23" t="s">
        <v>4866</v>
      </c>
      <c r="U2747" s="3">
        <v>35</v>
      </c>
      <c r="W2747" s="45" t="str">
        <f>HYPERLINK("http://ictvonline.org/taxonomy/p/taxonomy-history?taxnode_id=201903244","ICTVonline=201903244")</f>
        <v>ICTVonline=201903244</v>
      </c>
      <c r="AA2747" s="1">
        <v>201900000</v>
      </c>
      <c r="AB2747" s="1">
        <v>35</v>
      </c>
    </row>
    <row r="2748" spans="1:28" x14ac:dyDescent="0.2">
      <c r="A2748" s="1">
        <v>7357</v>
      </c>
      <c r="B2748" s="1" t="s">
        <v>10590</v>
      </c>
      <c r="D2748" s="1" t="s">
        <v>10685</v>
      </c>
      <c r="F2748" s="1" t="s">
        <v>11077</v>
      </c>
      <c r="H2748" s="1" t="s">
        <v>11235</v>
      </c>
      <c r="J2748" s="1" t="s">
        <v>11236</v>
      </c>
      <c r="L2748" s="1" t="s">
        <v>2078</v>
      </c>
      <c r="N2748" s="1" t="s">
        <v>2079</v>
      </c>
      <c r="P2748" s="1" t="s">
        <v>6756</v>
      </c>
      <c r="Q2748" s="3">
        <v>0</v>
      </c>
      <c r="R2748" s="23" t="s">
        <v>10605</v>
      </c>
      <c r="S2748" s="23" t="s">
        <v>6844</v>
      </c>
      <c r="T2748" s="23" t="s">
        <v>4866</v>
      </c>
      <c r="U2748" s="3">
        <v>35</v>
      </c>
      <c r="W2748" s="45" t="str">
        <f>HYPERLINK("http://ictvonline.org/taxonomy/p/taxonomy-history?taxnode_id=201906701","ICTVonline=201906701")</f>
        <v>ICTVonline=201906701</v>
      </c>
      <c r="X2748" s="1" t="s">
        <v>11312</v>
      </c>
      <c r="Y2748" s="1" t="s">
        <v>11313</v>
      </c>
      <c r="Z2748" s="1" t="s">
        <v>11314</v>
      </c>
      <c r="AA2748" s="1">
        <v>201900000</v>
      </c>
      <c r="AB2748" s="1">
        <v>35</v>
      </c>
    </row>
    <row r="2749" spans="1:28" x14ac:dyDescent="0.2">
      <c r="A2749" s="1">
        <v>7359</v>
      </c>
      <c r="B2749" s="1" t="s">
        <v>10590</v>
      </c>
      <c r="D2749" s="1" t="s">
        <v>10685</v>
      </c>
      <c r="F2749" s="1" t="s">
        <v>11077</v>
      </c>
      <c r="H2749" s="1" t="s">
        <v>11235</v>
      </c>
      <c r="J2749" s="1" t="s">
        <v>11236</v>
      </c>
      <c r="L2749" s="1" t="s">
        <v>2078</v>
      </c>
      <c r="N2749" s="1" t="s">
        <v>2079</v>
      </c>
      <c r="P2749" s="1" t="s">
        <v>11315</v>
      </c>
      <c r="Q2749" s="3">
        <v>0</v>
      </c>
      <c r="R2749" s="23" t="s">
        <v>10596</v>
      </c>
      <c r="S2749" s="23" t="s">
        <v>6849</v>
      </c>
      <c r="T2749" s="23" t="s">
        <v>4864</v>
      </c>
      <c r="U2749" s="3">
        <v>35</v>
      </c>
      <c r="V2749" s="3" t="s">
        <v>11246</v>
      </c>
      <c r="W2749" s="45" t="str">
        <f>HYPERLINK("http://ictvonline.org/taxonomy/p/taxonomy-history?taxnode_id=201907522","ICTVonline=201907522")</f>
        <v>ICTVonline=201907522</v>
      </c>
      <c r="X2749" s="1" t="s">
        <v>11316</v>
      </c>
      <c r="Y2749" s="1" t="s">
        <v>11317</v>
      </c>
      <c r="Z2749" s="1" t="s">
        <v>11318</v>
      </c>
      <c r="AA2749" s="1">
        <v>201900000</v>
      </c>
      <c r="AB2749" s="1">
        <v>35</v>
      </c>
    </row>
    <row r="2750" spans="1:28" x14ac:dyDescent="0.2">
      <c r="A2750" s="1">
        <v>7361</v>
      </c>
      <c r="B2750" s="1" t="s">
        <v>10590</v>
      </c>
      <c r="D2750" s="1" t="s">
        <v>10685</v>
      </c>
      <c r="F2750" s="1" t="s">
        <v>11077</v>
      </c>
      <c r="H2750" s="1" t="s">
        <v>11235</v>
      </c>
      <c r="J2750" s="1" t="s">
        <v>11236</v>
      </c>
      <c r="L2750" s="1" t="s">
        <v>2078</v>
      </c>
      <c r="N2750" s="1" t="s">
        <v>2079</v>
      </c>
      <c r="P2750" s="1" t="s">
        <v>6757</v>
      </c>
      <c r="Q2750" s="3">
        <v>0</v>
      </c>
      <c r="R2750" s="23" t="s">
        <v>10605</v>
      </c>
      <c r="S2750" s="23" t="s">
        <v>6844</v>
      </c>
      <c r="T2750" s="23" t="s">
        <v>4866</v>
      </c>
      <c r="U2750" s="3">
        <v>35</v>
      </c>
      <c r="W2750" s="45" t="str">
        <f>HYPERLINK("http://ictvonline.org/taxonomy/p/taxonomy-history?taxnode_id=201906702","ICTVonline=201906702")</f>
        <v>ICTVonline=201906702</v>
      </c>
      <c r="X2750" s="1" t="s">
        <v>11319</v>
      </c>
      <c r="Y2750" s="1" t="s">
        <v>11320</v>
      </c>
      <c r="Z2750" s="1" t="s">
        <v>11321</v>
      </c>
      <c r="AA2750" s="1">
        <v>201900000</v>
      </c>
      <c r="AB2750" s="1">
        <v>35</v>
      </c>
    </row>
    <row r="2751" spans="1:28" x14ac:dyDescent="0.2">
      <c r="A2751" s="1">
        <v>7363</v>
      </c>
      <c r="B2751" s="1" t="s">
        <v>10590</v>
      </c>
      <c r="D2751" s="1" t="s">
        <v>10685</v>
      </c>
      <c r="F2751" s="1" t="s">
        <v>11077</v>
      </c>
      <c r="H2751" s="1" t="s">
        <v>11235</v>
      </c>
      <c r="J2751" s="1" t="s">
        <v>11236</v>
      </c>
      <c r="L2751" s="1" t="s">
        <v>2078</v>
      </c>
      <c r="N2751" s="1" t="s">
        <v>2079</v>
      </c>
      <c r="P2751" s="1" t="s">
        <v>3726</v>
      </c>
      <c r="Q2751" s="3">
        <v>0</v>
      </c>
      <c r="R2751" s="23" t="s">
        <v>10605</v>
      </c>
      <c r="S2751" s="23" t="s">
        <v>6844</v>
      </c>
      <c r="T2751" s="23" t="s">
        <v>4866</v>
      </c>
      <c r="U2751" s="3">
        <v>35</v>
      </c>
      <c r="W2751" s="45" t="str">
        <f>HYPERLINK("http://ictvonline.org/taxonomy/p/taxonomy-history?taxnode_id=201903245","ICTVonline=201903245")</f>
        <v>ICTVonline=201903245</v>
      </c>
      <c r="Y2751" s="1" t="s">
        <v>11322</v>
      </c>
      <c r="Z2751" s="1" t="s">
        <v>11323</v>
      </c>
      <c r="AA2751" s="1">
        <v>201900000</v>
      </c>
      <c r="AB2751" s="1">
        <v>35</v>
      </c>
    </row>
    <row r="2752" spans="1:28" x14ac:dyDescent="0.2">
      <c r="A2752" s="1">
        <v>7365</v>
      </c>
      <c r="B2752" s="1" t="s">
        <v>10590</v>
      </c>
      <c r="D2752" s="1" t="s">
        <v>10685</v>
      </c>
      <c r="F2752" s="1" t="s">
        <v>11077</v>
      </c>
      <c r="H2752" s="1" t="s">
        <v>11235</v>
      </c>
      <c r="J2752" s="1" t="s">
        <v>11236</v>
      </c>
      <c r="L2752" s="1" t="s">
        <v>2078</v>
      </c>
      <c r="N2752" s="1" t="s">
        <v>2079</v>
      </c>
      <c r="P2752" s="1" t="s">
        <v>437</v>
      </c>
      <c r="Q2752" s="3">
        <v>0</v>
      </c>
      <c r="R2752" s="23" t="s">
        <v>10605</v>
      </c>
      <c r="S2752" s="23" t="s">
        <v>6844</v>
      </c>
      <c r="T2752" s="23" t="s">
        <v>4866</v>
      </c>
      <c r="U2752" s="3">
        <v>35</v>
      </c>
      <c r="W2752" s="45" t="str">
        <f>HYPERLINK("http://ictvonline.org/taxonomy/p/taxonomy-history?taxnode_id=201903246","ICTVonline=201903246")</f>
        <v>ICTVonline=201903246</v>
      </c>
      <c r="AA2752" s="1">
        <v>201900000</v>
      </c>
      <c r="AB2752" s="1">
        <v>35</v>
      </c>
    </row>
    <row r="2753" spans="1:28" x14ac:dyDescent="0.2">
      <c r="A2753" s="1">
        <v>7367</v>
      </c>
      <c r="B2753" s="1" t="s">
        <v>10590</v>
      </c>
      <c r="D2753" s="1" t="s">
        <v>10685</v>
      </c>
      <c r="F2753" s="1" t="s">
        <v>11077</v>
      </c>
      <c r="H2753" s="1" t="s">
        <v>11235</v>
      </c>
      <c r="J2753" s="1" t="s">
        <v>11236</v>
      </c>
      <c r="L2753" s="1" t="s">
        <v>2078</v>
      </c>
      <c r="N2753" s="1" t="s">
        <v>2079</v>
      </c>
      <c r="P2753" s="1" t="s">
        <v>294</v>
      </c>
      <c r="Q2753" s="3">
        <v>0</v>
      </c>
      <c r="R2753" s="23" t="s">
        <v>10605</v>
      </c>
      <c r="S2753" s="23" t="s">
        <v>6844</v>
      </c>
      <c r="T2753" s="23" t="s">
        <v>4866</v>
      </c>
      <c r="U2753" s="3">
        <v>35</v>
      </c>
      <c r="W2753" s="45" t="str">
        <f>HYPERLINK("http://ictvonline.org/taxonomy/p/taxonomy-history?taxnode_id=201903247","ICTVonline=201903247")</f>
        <v>ICTVonline=201903247</v>
      </c>
      <c r="AA2753" s="1">
        <v>201900000</v>
      </c>
      <c r="AB2753" s="1">
        <v>35</v>
      </c>
    </row>
    <row r="2754" spans="1:28" x14ac:dyDescent="0.2">
      <c r="A2754" s="1">
        <v>7369</v>
      </c>
      <c r="B2754" s="1" t="s">
        <v>10590</v>
      </c>
      <c r="D2754" s="1" t="s">
        <v>10685</v>
      </c>
      <c r="F2754" s="1" t="s">
        <v>11077</v>
      </c>
      <c r="H2754" s="1" t="s">
        <v>11235</v>
      </c>
      <c r="J2754" s="1" t="s">
        <v>11236</v>
      </c>
      <c r="L2754" s="1" t="s">
        <v>2078</v>
      </c>
      <c r="N2754" s="1" t="s">
        <v>2079</v>
      </c>
      <c r="P2754" s="1" t="s">
        <v>427</v>
      </c>
      <c r="Q2754" s="3">
        <v>0</v>
      </c>
      <c r="R2754" s="23" t="s">
        <v>10605</v>
      </c>
      <c r="S2754" s="23" t="s">
        <v>6844</v>
      </c>
      <c r="T2754" s="23" t="s">
        <v>4866</v>
      </c>
      <c r="U2754" s="3">
        <v>35</v>
      </c>
      <c r="W2754" s="45" t="str">
        <f>HYPERLINK("http://ictvonline.org/taxonomy/p/taxonomy-history?taxnode_id=201903248","ICTVonline=201903248")</f>
        <v>ICTVonline=201903248</v>
      </c>
      <c r="AA2754" s="1">
        <v>201900000</v>
      </c>
      <c r="AB2754" s="1">
        <v>35</v>
      </c>
    </row>
    <row r="2755" spans="1:28" x14ac:dyDescent="0.2">
      <c r="A2755" s="1">
        <v>7371</v>
      </c>
      <c r="B2755" s="1" t="s">
        <v>10590</v>
      </c>
      <c r="D2755" s="1" t="s">
        <v>10685</v>
      </c>
      <c r="F2755" s="1" t="s">
        <v>11077</v>
      </c>
      <c r="H2755" s="1" t="s">
        <v>11235</v>
      </c>
      <c r="J2755" s="1" t="s">
        <v>11236</v>
      </c>
      <c r="L2755" s="1" t="s">
        <v>2078</v>
      </c>
      <c r="N2755" s="1" t="s">
        <v>2079</v>
      </c>
      <c r="P2755" s="1" t="s">
        <v>297</v>
      </c>
      <c r="Q2755" s="3">
        <v>0</v>
      </c>
      <c r="R2755" s="23" t="s">
        <v>10605</v>
      </c>
      <c r="S2755" s="23" t="s">
        <v>6844</v>
      </c>
      <c r="T2755" s="23" t="s">
        <v>4866</v>
      </c>
      <c r="U2755" s="3">
        <v>35</v>
      </c>
      <c r="W2755" s="45" t="str">
        <f>HYPERLINK("http://ictvonline.org/taxonomy/p/taxonomy-history?taxnode_id=201903249","ICTVonline=201903249")</f>
        <v>ICTVonline=201903249</v>
      </c>
      <c r="AA2755" s="1">
        <v>201900000</v>
      </c>
      <c r="AB2755" s="1">
        <v>35</v>
      </c>
    </row>
    <row r="2756" spans="1:28" x14ac:dyDescent="0.2">
      <c r="A2756" s="1">
        <v>7373</v>
      </c>
      <c r="B2756" s="1" t="s">
        <v>10590</v>
      </c>
      <c r="D2756" s="1" t="s">
        <v>10685</v>
      </c>
      <c r="F2756" s="1" t="s">
        <v>11077</v>
      </c>
      <c r="H2756" s="1" t="s">
        <v>11235</v>
      </c>
      <c r="J2756" s="1" t="s">
        <v>11236</v>
      </c>
      <c r="L2756" s="1" t="s">
        <v>2078</v>
      </c>
      <c r="N2756" s="1" t="s">
        <v>2079</v>
      </c>
      <c r="P2756" s="1" t="s">
        <v>298</v>
      </c>
      <c r="Q2756" s="3">
        <v>0</v>
      </c>
      <c r="R2756" s="23" t="s">
        <v>10605</v>
      </c>
      <c r="S2756" s="23" t="s">
        <v>6844</v>
      </c>
      <c r="T2756" s="23" t="s">
        <v>4866</v>
      </c>
      <c r="U2756" s="3">
        <v>35</v>
      </c>
      <c r="W2756" s="45" t="str">
        <f>HYPERLINK("http://ictvonline.org/taxonomy/p/taxonomy-history?taxnode_id=201903250","ICTVonline=201903250")</f>
        <v>ICTVonline=201903250</v>
      </c>
      <c r="AA2756" s="1">
        <v>201900000</v>
      </c>
      <c r="AB2756" s="1">
        <v>35</v>
      </c>
    </row>
    <row r="2757" spans="1:28" x14ac:dyDescent="0.2">
      <c r="A2757" s="1">
        <v>7375</v>
      </c>
      <c r="B2757" s="1" t="s">
        <v>10590</v>
      </c>
      <c r="D2757" s="1" t="s">
        <v>10685</v>
      </c>
      <c r="F2757" s="1" t="s">
        <v>11077</v>
      </c>
      <c r="H2757" s="1" t="s">
        <v>11235</v>
      </c>
      <c r="J2757" s="1" t="s">
        <v>11236</v>
      </c>
      <c r="L2757" s="1" t="s">
        <v>2078</v>
      </c>
      <c r="N2757" s="1" t="s">
        <v>2079</v>
      </c>
      <c r="P2757" s="1" t="s">
        <v>5311</v>
      </c>
      <c r="Q2757" s="3">
        <v>0</v>
      </c>
      <c r="R2757" s="23" t="s">
        <v>10605</v>
      </c>
      <c r="S2757" s="23" t="s">
        <v>6844</v>
      </c>
      <c r="T2757" s="23" t="s">
        <v>4866</v>
      </c>
      <c r="U2757" s="3">
        <v>35</v>
      </c>
      <c r="W2757" s="45" t="str">
        <f>HYPERLINK("http://ictvonline.org/taxonomy/p/taxonomy-history?taxnode_id=201905800","ICTVonline=201905800")</f>
        <v>ICTVonline=201905800</v>
      </c>
      <c r="AA2757" s="1">
        <v>201900000</v>
      </c>
      <c r="AB2757" s="1">
        <v>35</v>
      </c>
    </row>
    <row r="2758" spans="1:28" x14ac:dyDescent="0.2">
      <c r="A2758" s="1">
        <v>7377</v>
      </c>
      <c r="B2758" s="1" t="s">
        <v>10590</v>
      </c>
      <c r="D2758" s="1" t="s">
        <v>10685</v>
      </c>
      <c r="F2758" s="1" t="s">
        <v>11077</v>
      </c>
      <c r="H2758" s="1" t="s">
        <v>11235</v>
      </c>
      <c r="J2758" s="1" t="s">
        <v>11236</v>
      </c>
      <c r="L2758" s="1" t="s">
        <v>2078</v>
      </c>
      <c r="N2758" s="1" t="s">
        <v>2079</v>
      </c>
      <c r="P2758" s="1" t="s">
        <v>299</v>
      </c>
      <c r="Q2758" s="3">
        <v>0</v>
      </c>
      <c r="R2758" s="23" t="s">
        <v>10605</v>
      </c>
      <c r="S2758" s="23" t="s">
        <v>6844</v>
      </c>
      <c r="T2758" s="23" t="s">
        <v>4866</v>
      </c>
      <c r="U2758" s="3">
        <v>35</v>
      </c>
      <c r="W2758" s="45" t="str">
        <f>HYPERLINK("http://ictvonline.org/taxonomy/p/taxonomy-history?taxnode_id=201903251","ICTVonline=201903251")</f>
        <v>ICTVonline=201903251</v>
      </c>
      <c r="AA2758" s="1">
        <v>201900000</v>
      </c>
      <c r="AB2758" s="1">
        <v>35</v>
      </c>
    </row>
    <row r="2759" spans="1:28" x14ac:dyDescent="0.2">
      <c r="A2759" s="1">
        <v>7379</v>
      </c>
      <c r="B2759" s="1" t="s">
        <v>10590</v>
      </c>
      <c r="D2759" s="1" t="s">
        <v>10685</v>
      </c>
      <c r="F2759" s="1" t="s">
        <v>11077</v>
      </c>
      <c r="H2759" s="1" t="s">
        <v>11235</v>
      </c>
      <c r="J2759" s="1" t="s">
        <v>11236</v>
      </c>
      <c r="L2759" s="1" t="s">
        <v>2078</v>
      </c>
      <c r="N2759" s="1" t="s">
        <v>2079</v>
      </c>
      <c r="P2759" s="1" t="s">
        <v>5312</v>
      </c>
      <c r="Q2759" s="3">
        <v>0</v>
      </c>
      <c r="R2759" s="23" t="s">
        <v>10605</v>
      </c>
      <c r="S2759" s="23" t="s">
        <v>6844</v>
      </c>
      <c r="T2759" s="23" t="s">
        <v>4866</v>
      </c>
      <c r="U2759" s="3">
        <v>35</v>
      </c>
      <c r="W2759" s="45" t="str">
        <f>HYPERLINK("http://ictvonline.org/taxonomy/p/taxonomy-history?taxnode_id=201905801","ICTVonline=201905801")</f>
        <v>ICTVonline=201905801</v>
      </c>
      <c r="AA2759" s="1">
        <v>201900000</v>
      </c>
      <c r="AB2759" s="1">
        <v>35</v>
      </c>
    </row>
    <row r="2760" spans="1:28" x14ac:dyDescent="0.2">
      <c r="A2760" s="1">
        <v>7381</v>
      </c>
      <c r="B2760" s="1" t="s">
        <v>10590</v>
      </c>
      <c r="D2760" s="1" t="s">
        <v>10685</v>
      </c>
      <c r="F2760" s="1" t="s">
        <v>11077</v>
      </c>
      <c r="H2760" s="1" t="s">
        <v>11235</v>
      </c>
      <c r="J2760" s="1" t="s">
        <v>11236</v>
      </c>
      <c r="L2760" s="1" t="s">
        <v>2078</v>
      </c>
      <c r="N2760" s="1" t="s">
        <v>2079</v>
      </c>
      <c r="P2760" s="1" t="s">
        <v>2385</v>
      </c>
      <c r="Q2760" s="3">
        <v>0</v>
      </c>
      <c r="R2760" s="23" t="s">
        <v>10605</v>
      </c>
      <c r="S2760" s="23" t="s">
        <v>6844</v>
      </c>
      <c r="T2760" s="23" t="s">
        <v>4866</v>
      </c>
      <c r="U2760" s="3">
        <v>35</v>
      </c>
      <c r="W2760" s="45" t="str">
        <f>HYPERLINK("http://ictvonline.org/taxonomy/p/taxonomy-history?taxnode_id=201903252","ICTVonline=201903252")</f>
        <v>ICTVonline=201903252</v>
      </c>
      <c r="AA2760" s="1">
        <v>201900000</v>
      </c>
      <c r="AB2760" s="1">
        <v>35</v>
      </c>
    </row>
    <row r="2761" spans="1:28" x14ac:dyDescent="0.2">
      <c r="A2761" s="1">
        <v>7383</v>
      </c>
      <c r="B2761" s="1" t="s">
        <v>10590</v>
      </c>
      <c r="D2761" s="1" t="s">
        <v>10685</v>
      </c>
      <c r="F2761" s="1" t="s">
        <v>11077</v>
      </c>
      <c r="H2761" s="1" t="s">
        <v>11235</v>
      </c>
      <c r="J2761" s="1" t="s">
        <v>11236</v>
      </c>
      <c r="L2761" s="1" t="s">
        <v>2078</v>
      </c>
      <c r="N2761" s="1" t="s">
        <v>2079</v>
      </c>
      <c r="P2761" s="1" t="s">
        <v>3727</v>
      </c>
      <c r="Q2761" s="3">
        <v>0</v>
      </c>
      <c r="R2761" s="23" t="s">
        <v>10605</v>
      </c>
      <c r="S2761" s="23" t="s">
        <v>6844</v>
      </c>
      <c r="T2761" s="23" t="s">
        <v>4866</v>
      </c>
      <c r="U2761" s="3">
        <v>35</v>
      </c>
      <c r="W2761" s="45" t="str">
        <f>HYPERLINK("http://ictvonline.org/taxonomy/p/taxonomy-history?taxnode_id=201903253","ICTVonline=201903253")</f>
        <v>ICTVonline=201903253</v>
      </c>
      <c r="Y2761" s="1" t="s">
        <v>11324</v>
      </c>
      <c r="Z2761" s="1" t="s">
        <v>11325</v>
      </c>
      <c r="AA2761" s="1">
        <v>201900000</v>
      </c>
      <c r="AB2761" s="1">
        <v>35</v>
      </c>
    </row>
    <row r="2762" spans="1:28" x14ac:dyDescent="0.2">
      <c r="A2762" s="1">
        <v>7385</v>
      </c>
      <c r="B2762" s="1" t="s">
        <v>10590</v>
      </c>
      <c r="D2762" s="1" t="s">
        <v>10685</v>
      </c>
      <c r="F2762" s="1" t="s">
        <v>11077</v>
      </c>
      <c r="H2762" s="1" t="s">
        <v>11235</v>
      </c>
      <c r="J2762" s="1" t="s">
        <v>11236</v>
      </c>
      <c r="L2762" s="1" t="s">
        <v>2078</v>
      </c>
      <c r="N2762" s="1" t="s">
        <v>2079</v>
      </c>
      <c r="P2762" s="1" t="s">
        <v>3728</v>
      </c>
      <c r="Q2762" s="3">
        <v>0</v>
      </c>
      <c r="R2762" s="23" t="s">
        <v>10605</v>
      </c>
      <c r="S2762" s="23" t="s">
        <v>6844</v>
      </c>
      <c r="T2762" s="23" t="s">
        <v>4866</v>
      </c>
      <c r="U2762" s="3">
        <v>35</v>
      </c>
      <c r="W2762" s="45" t="str">
        <f>HYPERLINK("http://ictvonline.org/taxonomy/p/taxonomy-history?taxnode_id=201903254","ICTVonline=201903254")</f>
        <v>ICTVonline=201903254</v>
      </c>
      <c r="Y2762" s="1" t="s">
        <v>11326</v>
      </c>
      <c r="Z2762" s="1" t="s">
        <v>11327</v>
      </c>
      <c r="AA2762" s="1">
        <v>201900000</v>
      </c>
      <c r="AB2762" s="1">
        <v>35</v>
      </c>
    </row>
    <row r="2763" spans="1:28" x14ac:dyDescent="0.2">
      <c r="A2763" s="1">
        <v>7387</v>
      </c>
      <c r="B2763" s="1" t="s">
        <v>10590</v>
      </c>
      <c r="D2763" s="1" t="s">
        <v>10685</v>
      </c>
      <c r="F2763" s="1" t="s">
        <v>11077</v>
      </c>
      <c r="H2763" s="1" t="s">
        <v>11235</v>
      </c>
      <c r="J2763" s="1" t="s">
        <v>11236</v>
      </c>
      <c r="L2763" s="1" t="s">
        <v>2078</v>
      </c>
      <c r="N2763" s="1" t="s">
        <v>2079</v>
      </c>
      <c r="P2763" s="1" t="s">
        <v>3729</v>
      </c>
      <c r="Q2763" s="3">
        <v>0</v>
      </c>
      <c r="R2763" s="23" t="s">
        <v>10605</v>
      </c>
      <c r="S2763" s="23" t="s">
        <v>6844</v>
      </c>
      <c r="T2763" s="23" t="s">
        <v>4866</v>
      </c>
      <c r="U2763" s="3">
        <v>35</v>
      </c>
      <c r="W2763" s="45" t="str">
        <f>HYPERLINK("http://ictvonline.org/taxonomy/p/taxonomy-history?taxnode_id=201903255","ICTVonline=201903255")</f>
        <v>ICTVonline=201903255</v>
      </c>
      <c r="Y2763" s="1" t="s">
        <v>11328</v>
      </c>
      <c r="Z2763" s="1" t="s">
        <v>11329</v>
      </c>
      <c r="AA2763" s="1">
        <v>201900000</v>
      </c>
      <c r="AB2763" s="1">
        <v>35</v>
      </c>
    </row>
    <row r="2764" spans="1:28" x14ac:dyDescent="0.2">
      <c r="A2764" s="1">
        <v>7389</v>
      </c>
      <c r="B2764" s="1" t="s">
        <v>10590</v>
      </c>
      <c r="D2764" s="1" t="s">
        <v>10685</v>
      </c>
      <c r="F2764" s="1" t="s">
        <v>11077</v>
      </c>
      <c r="H2764" s="1" t="s">
        <v>11235</v>
      </c>
      <c r="J2764" s="1" t="s">
        <v>11236</v>
      </c>
      <c r="L2764" s="1" t="s">
        <v>2078</v>
      </c>
      <c r="N2764" s="1" t="s">
        <v>2079</v>
      </c>
      <c r="P2764" s="1" t="s">
        <v>11330</v>
      </c>
      <c r="Q2764" s="3">
        <v>0</v>
      </c>
      <c r="R2764" s="23" t="s">
        <v>10596</v>
      </c>
      <c r="S2764" s="23" t="s">
        <v>6849</v>
      </c>
      <c r="T2764" s="23" t="s">
        <v>4864</v>
      </c>
      <c r="U2764" s="3">
        <v>35</v>
      </c>
      <c r="V2764" s="3" t="s">
        <v>11246</v>
      </c>
      <c r="W2764" s="45" t="str">
        <f>HYPERLINK("http://ictvonline.org/taxonomy/p/taxonomy-history?taxnode_id=201907523","ICTVonline=201907523")</f>
        <v>ICTVonline=201907523</v>
      </c>
      <c r="X2764" s="1" t="s">
        <v>11331</v>
      </c>
      <c r="Y2764" s="1" t="s">
        <v>11332</v>
      </c>
      <c r="Z2764" s="1" t="s">
        <v>11333</v>
      </c>
      <c r="AA2764" s="1">
        <v>201900000</v>
      </c>
      <c r="AB2764" s="1">
        <v>35</v>
      </c>
    </row>
    <row r="2765" spans="1:28" x14ac:dyDescent="0.2">
      <c r="A2765" s="1">
        <v>7391</v>
      </c>
      <c r="B2765" s="1" t="s">
        <v>10590</v>
      </c>
      <c r="D2765" s="1" t="s">
        <v>10685</v>
      </c>
      <c r="F2765" s="1" t="s">
        <v>11077</v>
      </c>
      <c r="H2765" s="1" t="s">
        <v>11235</v>
      </c>
      <c r="J2765" s="1" t="s">
        <v>11236</v>
      </c>
      <c r="L2765" s="1" t="s">
        <v>2078</v>
      </c>
      <c r="N2765" s="1" t="s">
        <v>2079</v>
      </c>
      <c r="P2765" s="1" t="s">
        <v>2386</v>
      </c>
      <c r="Q2765" s="3">
        <v>0</v>
      </c>
      <c r="R2765" s="23" t="s">
        <v>10605</v>
      </c>
      <c r="S2765" s="23" t="s">
        <v>6844</v>
      </c>
      <c r="T2765" s="23" t="s">
        <v>4866</v>
      </c>
      <c r="U2765" s="3">
        <v>35</v>
      </c>
      <c r="W2765" s="45" t="str">
        <f>HYPERLINK("http://ictvonline.org/taxonomy/p/taxonomy-history?taxnode_id=201903256","ICTVonline=201903256")</f>
        <v>ICTVonline=201903256</v>
      </c>
      <c r="AA2765" s="1">
        <v>201900000</v>
      </c>
      <c r="AB2765" s="1">
        <v>35</v>
      </c>
    </row>
    <row r="2766" spans="1:28" x14ac:dyDescent="0.2">
      <c r="A2766" s="1">
        <v>7393</v>
      </c>
      <c r="B2766" s="1" t="s">
        <v>10590</v>
      </c>
      <c r="D2766" s="1" t="s">
        <v>10685</v>
      </c>
      <c r="F2766" s="1" t="s">
        <v>11077</v>
      </c>
      <c r="H2766" s="1" t="s">
        <v>11235</v>
      </c>
      <c r="J2766" s="1" t="s">
        <v>11236</v>
      </c>
      <c r="L2766" s="1" t="s">
        <v>2078</v>
      </c>
      <c r="N2766" s="1" t="s">
        <v>2079</v>
      </c>
      <c r="P2766" s="1" t="s">
        <v>5313</v>
      </c>
      <c r="Q2766" s="3">
        <v>0</v>
      </c>
      <c r="R2766" s="23" t="s">
        <v>10605</v>
      </c>
      <c r="S2766" s="23" t="s">
        <v>6844</v>
      </c>
      <c r="T2766" s="23" t="s">
        <v>4866</v>
      </c>
      <c r="U2766" s="3">
        <v>35</v>
      </c>
      <c r="W2766" s="45" t="str">
        <f>HYPERLINK("http://ictvonline.org/taxonomy/p/taxonomy-history?taxnode_id=201905802","ICTVonline=201905802")</f>
        <v>ICTVonline=201905802</v>
      </c>
      <c r="AA2766" s="1">
        <v>201900000</v>
      </c>
      <c r="AB2766" s="1">
        <v>35</v>
      </c>
    </row>
    <row r="2767" spans="1:28" x14ac:dyDescent="0.2">
      <c r="A2767" s="1">
        <v>7395</v>
      </c>
      <c r="B2767" s="1" t="s">
        <v>10590</v>
      </c>
      <c r="D2767" s="1" t="s">
        <v>10685</v>
      </c>
      <c r="F2767" s="1" t="s">
        <v>11077</v>
      </c>
      <c r="H2767" s="1" t="s">
        <v>11235</v>
      </c>
      <c r="J2767" s="1" t="s">
        <v>11236</v>
      </c>
      <c r="L2767" s="1" t="s">
        <v>2078</v>
      </c>
      <c r="N2767" s="1" t="s">
        <v>2079</v>
      </c>
      <c r="P2767" s="1" t="s">
        <v>11334</v>
      </c>
      <c r="Q2767" s="3">
        <v>0</v>
      </c>
      <c r="R2767" s="23" t="s">
        <v>10596</v>
      </c>
      <c r="S2767" s="23" t="s">
        <v>6849</v>
      </c>
      <c r="T2767" s="23" t="s">
        <v>4864</v>
      </c>
      <c r="U2767" s="3">
        <v>35</v>
      </c>
      <c r="V2767" s="3" t="s">
        <v>11246</v>
      </c>
      <c r="W2767" s="45" t="str">
        <f>HYPERLINK("http://ictvonline.org/taxonomy/p/taxonomy-history?taxnode_id=201907524","ICTVonline=201907524")</f>
        <v>ICTVonline=201907524</v>
      </c>
      <c r="X2767" s="1" t="s">
        <v>11335</v>
      </c>
      <c r="Y2767" s="1" t="s">
        <v>11336</v>
      </c>
      <c r="Z2767" s="1" t="s">
        <v>11337</v>
      </c>
      <c r="AA2767" s="1">
        <v>201900000</v>
      </c>
      <c r="AB2767" s="1">
        <v>35</v>
      </c>
    </row>
    <row r="2768" spans="1:28" x14ac:dyDescent="0.2">
      <c r="A2768" s="1">
        <v>7397</v>
      </c>
      <c r="B2768" s="1" t="s">
        <v>10590</v>
      </c>
      <c r="D2768" s="1" t="s">
        <v>10685</v>
      </c>
      <c r="F2768" s="1" t="s">
        <v>11077</v>
      </c>
      <c r="H2768" s="1" t="s">
        <v>11235</v>
      </c>
      <c r="J2768" s="1" t="s">
        <v>11236</v>
      </c>
      <c r="L2768" s="1" t="s">
        <v>2078</v>
      </c>
      <c r="N2768" s="1" t="s">
        <v>2079</v>
      </c>
      <c r="P2768" s="1" t="s">
        <v>1679</v>
      </c>
      <c r="Q2768" s="3">
        <v>0</v>
      </c>
      <c r="R2768" s="23" t="s">
        <v>10605</v>
      </c>
      <c r="S2768" s="23" t="s">
        <v>6844</v>
      </c>
      <c r="T2768" s="23" t="s">
        <v>4866</v>
      </c>
      <c r="U2768" s="3">
        <v>35</v>
      </c>
      <c r="W2768" s="45" t="str">
        <f>HYPERLINK("http://ictvonline.org/taxonomy/p/taxonomy-history?taxnode_id=201903258","ICTVonline=201903258")</f>
        <v>ICTVonline=201903258</v>
      </c>
      <c r="AA2768" s="1">
        <v>201900000</v>
      </c>
      <c r="AB2768" s="1">
        <v>35</v>
      </c>
    </row>
    <row r="2769" spans="1:28" x14ac:dyDescent="0.2">
      <c r="A2769" s="1">
        <v>7399</v>
      </c>
      <c r="B2769" s="1" t="s">
        <v>10590</v>
      </c>
      <c r="D2769" s="1" t="s">
        <v>10685</v>
      </c>
      <c r="F2769" s="1" t="s">
        <v>11077</v>
      </c>
      <c r="H2769" s="1" t="s">
        <v>11235</v>
      </c>
      <c r="J2769" s="1" t="s">
        <v>11236</v>
      </c>
      <c r="L2769" s="1" t="s">
        <v>2078</v>
      </c>
      <c r="N2769" s="1" t="s">
        <v>2079</v>
      </c>
      <c r="P2769" s="1" t="s">
        <v>1166</v>
      </c>
      <c r="Q2769" s="3">
        <v>0</v>
      </c>
      <c r="R2769" s="23" t="s">
        <v>10605</v>
      </c>
      <c r="S2769" s="23" t="s">
        <v>6844</v>
      </c>
      <c r="T2769" s="23" t="s">
        <v>4866</v>
      </c>
      <c r="U2769" s="3">
        <v>35</v>
      </c>
      <c r="W2769" s="45" t="str">
        <f>HYPERLINK("http://ictvonline.org/taxonomy/p/taxonomy-history?taxnode_id=201903259","ICTVonline=201903259")</f>
        <v>ICTVonline=201903259</v>
      </c>
      <c r="AA2769" s="1">
        <v>201900000</v>
      </c>
      <c r="AB2769" s="1">
        <v>35</v>
      </c>
    </row>
    <row r="2770" spans="1:28" x14ac:dyDescent="0.2">
      <c r="A2770" s="1">
        <v>7401</v>
      </c>
      <c r="B2770" s="1" t="s">
        <v>10590</v>
      </c>
      <c r="D2770" s="1" t="s">
        <v>10685</v>
      </c>
      <c r="F2770" s="1" t="s">
        <v>11077</v>
      </c>
      <c r="H2770" s="1" t="s">
        <v>11235</v>
      </c>
      <c r="J2770" s="1" t="s">
        <v>11236</v>
      </c>
      <c r="L2770" s="1" t="s">
        <v>2078</v>
      </c>
      <c r="N2770" s="1" t="s">
        <v>2079</v>
      </c>
      <c r="P2770" s="1" t="s">
        <v>1167</v>
      </c>
      <c r="Q2770" s="3">
        <v>0</v>
      </c>
      <c r="R2770" s="23" t="s">
        <v>10605</v>
      </c>
      <c r="S2770" s="23" t="s">
        <v>6844</v>
      </c>
      <c r="T2770" s="23" t="s">
        <v>4866</v>
      </c>
      <c r="U2770" s="3">
        <v>35</v>
      </c>
      <c r="W2770" s="45" t="str">
        <f>HYPERLINK("http://ictvonline.org/taxonomy/p/taxonomy-history?taxnode_id=201903260","ICTVonline=201903260")</f>
        <v>ICTVonline=201903260</v>
      </c>
      <c r="AA2770" s="1">
        <v>201900000</v>
      </c>
      <c r="AB2770" s="1">
        <v>35</v>
      </c>
    </row>
    <row r="2771" spans="1:28" x14ac:dyDescent="0.2">
      <c r="A2771" s="1">
        <v>7403</v>
      </c>
      <c r="B2771" s="1" t="s">
        <v>10590</v>
      </c>
      <c r="D2771" s="1" t="s">
        <v>10685</v>
      </c>
      <c r="F2771" s="1" t="s">
        <v>11077</v>
      </c>
      <c r="H2771" s="1" t="s">
        <v>11235</v>
      </c>
      <c r="J2771" s="1" t="s">
        <v>11236</v>
      </c>
      <c r="L2771" s="1" t="s">
        <v>2078</v>
      </c>
      <c r="N2771" s="1" t="s">
        <v>2079</v>
      </c>
      <c r="P2771" s="1" t="s">
        <v>2387</v>
      </c>
      <c r="Q2771" s="3">
        <v>0</v>
      </c>
      <c r="R2771" s="23" t="s">
        <v>10605</v>
      </c>
      <c r="S2771" s="23" t="s">
        <v>6844</v>
      </c>
      <c r="T2771" s="23" t="s">
        <v>4866</v>
      </c>
      <c r="U2771" s="3">
        <v>35</v>
      </c>
      <c r="W2771" s="45" t="str">
        <f>HYPERLINK("http://ictvonline.org/taxonomy/p/taxonomy-history?taxnode_id=201903261","ICTVonline=201903261")</f>
        <v>ICTVonline=201903261</v>
      </c>
      <c r="AA2771" s="1">
        <v>201900000</v>
      </c>
      <c r="AB2771" s="1">
        <v>35</v>
      </c>
    </row>
    <row r="2772" spans="1:28" x14ac:dyDescent="0.2">
      <c r="A2772" s="1">
        <v>7405</v>
      </c>
      <c r="B2772" s="1" t="s">
        <v>10590</v>
      </c>
      <c r="D2772" s="1" t="s">
        <v>10685</v>
      </c>
      <c r="F2772" s="1" t="s">
        <v>11077</v>
      </c>
      <c r="H2772" s="1" t="s">
        <v>11235</v>
      </c>
      <c r="J2772" s="1" t="s">
        <v>11236</v>
      </c>
      <c r="L2772" s="1" t="s">
        <v>2078</v>
      </c>
      <c r="N2772" s="1" t="s">
        <v>2079</v>
      </c>
      <c r="P2772" s="1" t="s">
        <v>5314</v>
      </c>
      <c r="Q2772" s="3">
        <v>0</v>
      </c>
      <c r="R2772" s="23" t="s">
        <v>10605</v>
      </c>
      <c r="S2772" s="23" t="s">
        <v>6844</v>
      </c>
      <c r="T2772" s="23" t="s">
        <v>4866</v>
      </c>
      <c r="U2772" s="3">
        <v>35</v>
      </c>
      <c r="W2772" s="45" t="str">
        <f>HYPERLINK("http://ictvonline.org/taxonomy/p/taxonomy-history?taxnode_id=201905803","ICTVonline=201905803")</f>
        <v>ICTVonline=201905803</v>
      </c>
      <c r="AA2772" s="1">
        <v>201900000</v>
      </c>
      <c r="AB2772" s="1">
        <v>35</v>
      </c>
    </row>
    <row r="2773" spans="1:28" x14ac:dyDescent="0.2">
      <c r="A2773" s="1">
        <v>7407</v>
      </c>
      <c r="B2773" s="1" t="s">
        <v>10590</v>
      </c>
      <c r="D2773" s="1" t="s">
        <v>10685</v>
      </c>
      <c r="F2773" s="1" t="s">
        <v>11077</v>
      </c>
      <c r="H2773" s="1" t="s">
        <v>11235</v>
      </c>
      <c r="J2773" s="1" t="s">
        <v>11236</v>
      </c>
      <c r="L2773" s="1" t="s">
        <v>2078</v>
      </c>
      <c r="N2773" s="1" t="s">
        <v>2079</v>
      </c>
      <c r="P2773" s="1" t="s">
        <v>6758</v>
      </c>
      <c r="Q2773" s="3">
        <v>0</v>
      </c>
      <c r="R2773" s="23" t="s">
        <v>10605</v>
      </c>
      <c r="S2773" s="23" t="s">
        <v>6844</v>
      </c>
      <c r="T2773" s="23" t="s">
        <v>4866</v>
      </c>
      <c r="U2773" s="3">
        <v>35</v>
      </c>
      <c r="W2773" s="45" t="str">
        <f>HYPERLINK("http://ictvonline.org/taxonomy/p/taxonomy-history?taxnode_id=201906704","ICTVonline=201906704")</f>
        <v>ICTVonline=201906704</v>
      </c>
      <c r="X2773" s="1" t="s">
        <v>11338</v>
      </c>
      <c r="Y2773" s="1" t="s">
        <v>11339</v>
      </c>
      <c r="Z2773" s="1" t="s">
        <v>11340</v>
      </c>
      <c r="AA2773" s="1">
        <v>201900000</v>
      </c>
      <c r="AB2773" s="1">
        <v>35</v>
      </c>
    </row>
    <row r="2774" spans="1:28" x14ac:dyDescent="0.2">
      <c r="A2774" s="1">
        <v>7409</v>
      </c>
      <c r="B2774" s="1" t="s">
        <v>10590</v>
      </c>
      <c r="D2774" s="1" t="s">
        <v>10685</v>
      </c>
      <c r="F2774" s="1" t="s">
        <v>11077</v>
      </c>
      <c r="H2774" s="1" t="s">
        <v>11235</v>
      </c>
      <c r="J2774" s="1" t="s">
        <v>11236</v>
      </c>
      <c r="L2774" s="1" t="s">
        <v>2078</v>
      </c>
      <c r="N2774" s="1" t="s">
        <v>2079</v>
      </c>
      <c r="P2774" s="1" t="s">
        <v>5315</v>
      </c>
      <c r="Q2774" s="3">
        <v>0</v>
      </c>
      <c r="R2774" s="23" t="s">
        <v>10605</v>
      </c>
      <c r="S2774" s="23" t="s">
        <v>6844</v>
      </c>
      <c r="T2774" s="23" t="s">
        <v>4866</v>
      </c>
      <c r="U2774" s="3">
        <v>35</v>
      </c>
      <c r="W2774" s="45" t="str">
        <f>HYPERLINK("http://ictvonline.org/taxonomy/p/taxonomy-history?taxnode_id=201905804","ICTVonline=201905804")</f>
        <v>ICTVonline=201905804</v>
      </c>
      <c r="AA2774" s="1">
        <v>201900000</v>
      </c>
      <c r="AB2774" s="1">
        <v>35</v>
      </c>
    </row>
    <row r="2775" spans="1:28" x14ac:dyDescent="0.2">
      <c r="A2775" s="1">
        <v>7411</v>
      </c>
      <c r="B2775" s="1" t="s">
        <v>10590</v>
      </c>
      <c r="D2775" s="1" t="s">
        <v>10685</v>
      </c>
      <c r="F2775" s="1" t="s">
        <v>11077</v>
      </c>
      <c r="H2775" s="1" t="s">
        <v>11235</v>
      </c>
      <c r="J2775" s="1" t="s">
        <v>11236</v>
      </c>
      <c r="L2775" s="1" t="s">
        <v>2078</v>
      </c>
      <c r="N2775" s="1" t="s">
        <v>2079</v>
      </c>
      <c r="P2775" s="1" t="s">
        <v>3730</v>
      </c>
      <c r="Q2775" s="3">
        <v>0</v>
      </c>
      <c r="R2775" s="23" t="s">
        <v>10605</v>
      </c>
      <c r="S2775" s="23" t="s">
        <v>6844</v>
      </c>
      <c r="T2775" s="23" t="s">
        <v>4866</v>
      </c>
      <c r="U2775" s="3">
        <v>35</v>
      </c>
      <c r="W2775" s="45" t="str">
        <f>HYPERLINK("http://ictvonline.org/taxonomy/p/taxonomy-history?taxnode_id=201903262","ICTVonline=201903262")</f>
        <v>ICTVonline=201903262</v>
      </c>
      <c r="Y2775" s="1" t="s">
        <v>11341</v>
      </c>
      <c r="Z2775" s="1" t="s">
        <v>11342</v>
      </c>
      <c r="AA2775" s="1">
        <v>201900000</v>
      </c>
      <c r="AB2775" s="1">
        <v>35</v>
      </c>
    </row>
    <row r="2776" spans="1:28" x14ac:dyDescent="0.2">
      <c r="A2776" s="1">
        <v>7413</v>
      </c>
      <c r="B2776" s="1" t="s">
        <v>10590</v>
      </c>
      <c r="D2776" s="1" t="s">
        <v>10685</v>
      </c>
      <c r="F2776" s="1" t="s">
        <v>11077</v>
      </c>
      <c r="H2776" s="1" t="s">
        <v>11235</v>
      </c>
      <c r="J2776" s="1" t="s">
        <v>11236</v>
      </c>
      <c r="L2776" s="1" t="s">
        <v>2078</v>
      </c>
      <c r="N2776" s="1" t="s">
        <v>2079</v>
      </c>
      <c r="P2776" s="1" t="s">
        <v>5316</v>
      </c>
      <c r="Q2776" s="3">
        <v>0</v>
      </c>
      <c r="R2776" s="23" t="s">
        <v>10605</v>
      </c>
      <c r="S2776" s="23" t="s">
        <v>6844</v>
      </c>
      <c r="T2776" s="23" t="s">
        <v>4866</v>
      </c>
      <c r="U2776" s="3">
        <v>35</v>
      </c>
      <c r="W2776" s="45" t="str">
        <f>HYPERLINK("http://ictvonline.org/taxonomy/p/taxonomy-history?taxnode_id=201905805","ICTVonline=201905805")</f>
        <v>ICTVonline=201905805</v>
      </c>
      <c r="AA2776" s="1">
        <v>201900000</v>
      </c>
      <c r="AB2776" s="1">
        <v>35</v>
      </c>
    </row>
    <row r="2777" spans="1:28" x14ac:dyDescent="0.2">
      <c r="A2777" s="1">
        <v>7415</v>
      </c>
      <c r="B2777" s="1" t="s">
        <v>10590</v>
      </c>
      <c r="D2777" s="1" t="s">
        <v>10685</v>
      </c>
      <c r="F2777" s="1" t="s">
        <v>11077</v>
      </c>
      <c r="H2777" s="1" t="s">
        <v>11235</v>
      </c>
      <c r="J2777" s="1" t="s">
        <v>11236</v>
      </c>
      <c r="L2777" s="1" t="s">
        <v>2078</v>
      </c>
      <c r="N2777" s="1" t="s">
        <v>2079</v>
      </c>
      <c r="P2777" s="1" t="s">
        <v>2388</v>
      </c>
      <c r="Q2777" s="3">
        <v>0</v>
      </c>
      <c r="R2777" s="23" t="s">
        <v>10605</v>
      </c>
      <c r="S2777" s="23" t="s">
        <v>6844</v>
      </c>
      <c r="T2777" s="23" t="s">
        <v>4866</v>
      </c>
      <c r="U2777" s="3">
        <v>35</v>
      </c>
      <c r="W2777" s="45" t="str">
        <f>HYPERLINK("http://ictvonline.org/taxonomy/p/taxonomy-history?taxnode_id=201903263","ICTVonline=201903263")</f>
        <v>ICTVonline=201903263</v>
      </c>
      <c r="AA2777" s="1">
        <v>201900000</v>
      </c>
      <c r="AB2777" s="1">
        <v>35</v>
      </c>
    </row>
    <row r="2778" spans="1:28" x14ac:dyDescent="0.2">
      <c r="A2778" s="1">
        <v>7417</v>
      </c>
      <c r="B2778" s="1" t="s">
        <v>10590</v>
      </c>
      <c r="D2778" s="1" t="s">
        <v>10685</v>
      </c>
      <c r="F2778" s="1" t="s">
        <v>11077</v>
      </c>
      <c r="H2778" s="1" t="s">
        <v>11235</v>
      </c>
      <c r="J2778" s="1" t="s">
        <v>11236</v>
      </c>
      <c r="L2778" s="1" t="s">
        <v>2078</v>
      </c>
      <c r="N2778" s="1" t="s">
        <v>2079</v>
      </c>
      <c r="P2778" s="1" t="s">
        <v>3731</v>
      </c>
      <c r="Q2778" s="3">
        <v>0</v>
      </c>
      <c r="R2778" s="23" t="s">
        <v>10605</v>
      </c>
      <c r="S2778" s="23" t="s">
        <v>6844</v>
      </c>
      <c r="T2778" s="23" t="s">
        <v>4866</v>
      </c>
      <c r="U2778" s="3">
        <v>35</v>
      </c>
      <c r="W2778" s="45" t="str">
        <f>HYPERLINK("http://ictvonline.org/taxonomy/p/taxonomy-history?taxnode_id=201903264","ICTVonline=201903264")</f>
        <v>ICTVonline=201903264</v>
      </c>
      <c r="Y2778" s="1" t="s">
        <v>11343</v>
      </c>
      <c r="Z2778" s="1" t="s">
        <v>11344</v>
      </c>
      <c r="AA2778" s="1">
        <v>201900000</v>
      </c>
      <c r="AB2778" s="1">
        <v>35</v>
      </c>
    </row>
    <row r="2779" spans="1:28" x14ac:dyDescent="0.2">
      <c r="A2779" s="1">
        <v>7419</v>
      </c>
      <c r="B2779" s="1" t="s">
        <v>10590</v>
      </c>
      <c r="D2779" s="1" t="s">
        <v>10685</v>
      </c>
      <c r="F2779" s="1" t="s">
        <v>11077</v>
      </c>
      <c r="H2779" s="1" t="s">
        <v>11235</v>
      </c>
      <c r="J2779" s="1" t="s">
        <v>11236</v>
      </c>
      <c r="L2779" s="1" t="s">
        <v>2078</v>
      </c>
      <c r="N2779" s="1" t="s">
        <v>2079</v>
      </c>
      <c r="P2779" s="1" t="s">
        <v>3732</v>
      </c>
      <c r="Q2779" s="3">
        <v>0</v>
      </c>
      <c r="R2779" s="23" t="s">
        <v>10605</v>
      </c>
      <c r="S2779" s="23" t="s">
        <v>6844</v>
      </c>
      <c r="T2779" s="23" t="s">
        <v>4866</v>
      </c>
      <c r="U2779" s="3">
        <v>35</v>
      </c>
      <c r="W2779" s="45" t="str">
        <f>HYPERLINK("http://ictvonline.org/taxonomy/p/taxonomy-history?taxnode_id=201903265","ICTVonline=201903265")</f>
        <v>ICTVonline=201903265</v>
      </c>
      <c r="Y2779" s="1" t="s">
        <v>11345</v>
      </c>
      <c r="Z2779" s="1" t="s">
        <v>11346</v>
      </c>
      <c r="AA2779" s="1">
        <v>201900000</v>
      </c>
      <c r="AB2779" s="1">
        <v>35</v>
      </c>
    </row>
    <row r="2780" spans="1:28" x14ac:dyDescent="0.2">
      <c r="A2780" s="1">
        <v>7421</v>
      </c>
      <c r="B2780" s="1" t="s">
        <v>10590</v>
      </c>
      <c r="D2780" s="1" t="s">
        <v>10685</v>
      </c>
      <c r="F2780" s="1" t="s">
        <v>11077</v>
      </c>
      <c r="H2780" s="1" t="s">
        <v>11235</v>
      </c>
      <c r="J2780" s="1" t="s">
        <v>11236</v>
      </c>
      <c r="L2780" s="1" t="s">
        <v>2078</v>
      </c>
      <c r="N2780" s="1" t="s">
        <v>2079</v>
      </c>
      <c r="P2780" s="1" t="s">
        <v>3733</v>
      </c>
      <c r="Q2780" s="3">
        <v>0</v>
      </c>
      <c r="R2780" s="23" t="s">
        <v>10605</v>
      </c>
      <c r="S2780" s="23" t="s">
        <v>6844</v>
      </c>
      <c r="T2780" s="23" t="s">
        <v>4866</v>
      </c>
      <c r="U2780" s="3">
        <v>35</v>
      </c>
      <c r="W2780" s="45" t="str">
        <f>HYPERLINK("http://ictvonline.org/taxonomy/p/taxonomy-history?taxnode_id=201903266","ICTVonline=201903266")</f>
        <v>ICTVonline=201903266</v>
      </c>
      <c r="Y2780" s="1" t="s">
        <v>11347</v>
      </c>
      <c r="Z2780" s="1" t="s">
        <v>11348</v>
      </c>
      <c r="AA2780" s="1">
        <v>201900000</v>
      </c>
      <c r="AB2780" s="1">
        <v>35</v>
      </c>
    </row>
    <row r="2781" spans="1:28" x14ac:dyDescent="0.2">
      <c r="A2781" s="1">
        <v>7423</v>
      </c>
      <c r="B2781" s="1" t="s">
        <v>10590</v>
      </c>
      <c r="D2781" s="1" t="s">
        <v>10685</v>
      </c>
      <c r="F2781" s="1" t="s">
        <v>11077</v>
      </c>
      <c r="H2781" s="1" t="s">
        <v>11235</v>
      </c>
      <c r="J2781" s="1" t="s">
        <v>11236</v>
      </c>
      <c r="L2781" s="1" t="s">
        <v>2078</v>
      </c>
      <c r="N2781" s="1" t="s">
        <v>2079</v>
      </c>
      <c r="P2781" s="1" t="s">
        <v>1168</v>
      </c>
      <c r="Q2781" s="3">
        <v>0</v>
      </c>
      <c r="R2781" s="23" t="s">
        <v>10605</v>
      </c>
      <c r="S2781" s="23" t="s">
        <v>6844</v>
      </c>
      <c r="T2781" s="23" t="s">
        <v>4866</v>
      </c>
      <c r="U2781" s="3">
        <v>35</v>
      </c>
      <c r="W2781" s="45" t="str">
        <f>HYPERLINK("http://ictvonline.org/taxonomy/p/taxonomy-history?taxnode_id=201903267","ICTVonline=201903267")</f>
        <v>ICTVonline=201903267</v>
      </c>
      <c r="AA2781" s="1">
        <v>201900000</v>
      </c>
      <c r="AB2781" s="1">
        <v>35</v>
      </c>
    </row>
    <row r="2782" spans="1:28" x14ac:dyDescent="0.2">
      <c r="A2782" s="1">
        <v>7425</v>
      </c>
      <c r="B2782" s="1" t="s">
        <v>10590</v>
      </c>
      <c r="D2782" s="1" t="s">
        <v>10685</v>
      </c>
      <c r="F2782" s="1" t="s">
        <v>11077</v>
      </c>
      <c r="H2782" s="1" t="s">
        <v>11235</v>
      </c>
      <c r="J2782" s="1" t="s">
        <v>11236</v>
      </c>
      <c r="L2782" s="1" t="s">
        <v>2078</v>
      </c>
      <c r="N2782" s="1" t="s">
        <v>2079</v>
      </c>
      <c r="P2782" s="1" t="s">
        <v>2389</v>
      </c>
      <c r="Q2782" s="3">
        <v>0</v>
      </c>
      <c r="R2782" s="23" t="s">
        <v>10605</v>
      </c>
      <c r="S2782" s="23" t="s">
        <v>6844</v>
      </c>
      <c r="T2782" s="23" t="s">
        <v>4866</v>
      </c>
      <c r="U2782" s="3">
        <v>35</v>
      </c>
      <c r="W2782" s="45" t="str">
        <f>HYPERLINK("http://ictvonline.org/taxonomy/p/taxonomy-history?taxnode_id=201903268","ICTVonline=201903268")</f>
        <v>ICTVonline=201903268</v>
      </c>
      <c r="AA2782" s="1">
        <v>201900000</v>
      </c>
      <c r="AB2782" s="1">
        <v>35</v>
      </c>
    </row>
    <row r="2783" spans="1:28" x14ac:dyDescent="0.2">
      <c r="A2783" s="1">
        <v>7427</v>
      </c>
      <c r="B2783" s="1" t="s">
        <v>10590</v>
      </c>
      <c r="D2783" s="1" t="s">
        <v>10685</v>
      </c>
      <c r="F2783" s="1" t="s">
        <v>11077</v>
      </c>
      <c r="H2783" s="1" t="s">
        <v>11235</v>
      </c>
      <c r="J2783" s="1" t="s">
        <v>11236</v>
      </c>
      <c r="L2783" s="1" t="s">
        <v>2078</v>
      </c>
      <c r="N2783" s="1" t="s">
        <v>2079</v>
      </c>
      <c r="P2783" s="1" t="s">
        <v>1169</v>
      </c>
      <c r="Q2783" s="3">
        <v>0</v>
      </c>
      <c r="R2783" s="23" t="s">
        <v>10605</v>
      </c>
      <c r="S2783" s="23" t="s">
        <v>6844</v>
      </c>
      <c r="T2783" s="23" t="s">
        <v>4866</v>
      </c>
      <c r="U2783" s="3">
        <v>35</v>
      </c>
      <c r="W2783" s="45" t="str">
        <f>HYPERLINK("http://ictvonline.org/taxonomy/p/taxonomy-history?taxnode_id=201903269","ICTVonline=201903269")</f>
        <v>ICTVonline=201903269</v>
      </c>
      <c r="AA2783" s="1">
        <v>201900000</v>
      </c>
      <c r="AB2783" s="1">
        <v>35</v>
      </c>
    </row>
    <row r="2784" spans="1:28" x14ac:dyDescent="0.2">
      <c r="A2784" s="1">
        <v>7429</v>
      </c>
      <c r="B2784" s="1" t="s">
        <v>10590</v>
      </c>
      <c r="D2784" s="1" t="s">
        <v>10685</v>
      </c>
      <c r="F2784" s="1" t="s">
        <v>11077</v>
      </c>
      <c r="H2784" s="1" t="s">
        <v>11235</v>
      </c>
      <c r="J2784" s="1" t="s">
        <v>11236</v>
      </c>
      <c r="L2784" s="1" t="s">
        <v>2078</v>
      </c>
      <c r="N2784" s="1" t="s">
        <v>2079</v>
      </c>
      <c r="P2784" s="1" t="s">
        <v>5317</v>
      </c>
      <c r="Q2784" s="3">
        <v>0</v>
      </c>
      <c r="R2784" s="23" t="s">
        <v>10605</v>
      </c>
      <c r="S2784" s="23" t="s">
        <v>6844</v>
      </c>
      <c r="T2784" s="23" t="s">
        <v>4866</v>
      </c>
      <c r="U2784" s="3">
        <v>35</v>
      </c>
      <c r="W2784" s="45" t="str">
        <f>HYPERLINK("http://ictvonline.org/taxonomy/p/taxonomy-history?taxnode_id=201905806","ICTVonline=201905806")</f>
        <v>ICTVonline=201905806</v>
      </c>
      <c r="AA2784" s="1">
        <v>201900000</v>
      </c>
      <c r="AB2784" s="1">
        <v>35</v>
      </c>
    </row>
    <row r="2785" spans="1:28" x14ac:dyDescent="0.2">
      <c r="A2785" s="1">
        <v>7431</v>
      </c>
      <c r="B2785" s="1" t="s">
        <v>10590</v>
      </c>
      <c r="D2785" s="1" t="s">
        <v>10685</v>
      </c>
      <c r="F2785" s="1" t="s">
        <v>11077</v>
      </c>
      <c r="H2785" s="1" t="s">
        <v>11235</v>
      </c>
      <c r="J2785" s="1" t="s">
        <v>11236</v>
      </c>
      <c r="L2785" s="1" t="s">
        <v>2078</v>
      </c>
      <c r="N2785" s="1" t="s">
        <v>2079</v>
      </c>
      <c r="P2785" s="1" t="s">
        <v>1186</v>
      </c>
      <c r="Q2785" s="3">
        <v>0</v>
      </c>
      <c r="R2785" s="23" t="s">
        <v>10605</v>
      </c>
      <c r="S2785" s="23" t="s">
        <v>6844</v>
      </c>
      <c r="T2785" s="23" t="s">
        <v>4866</v>
      </c>
      <c r="U2785" s="3">
        <v>35</v>
      </c>
      <c r="W2785" s="45" t="str">
        <f>HYPERLINK("http://ictvonline.org/taxonomy/p/taxonomy-history?taxnode_id=201903270","ICTVonline=201903270")</f>
        <v>ICTVonline=201903270</v>
      </c>
      <c r="AA2785" s="1">
        <v>201900000</v>
      </c>
      <c r="AB2785" s="1">
        <v>35</v>
      </c>
    </row>
    <row r="2786" spans="1:28" x14ac:dyDescent="0.2">
      <c r="A2786" s="1">
        <v>7433</v>
      </c>
      <c r="B2786" s="1" t="s">
        <v>10590</v>
      </c>
      <c r="D2786" s="1" t="s">
        <v>10685</v>
      </c>
      <c r="F2786" s="1" t="s">
        <v>11077</v>
      </c>
      <c r="H2786" s="1" t="s">
        <v>11235</v>
      </c>
      <c r="J2786" s="1" t="s">
        <v>11236</v>
      </c>
      <c r="L2786" s="1" t="s">
        <v>2078</v>
      </c>
      <c r="N2786" s="1" t="s">
        <v>2079</v>
      </c>
      <c r="P2786" s="1" t="s">
        <v>1187</v>
      </c>
      <c r="Q2786" s="3">
        <v>0</v>
      </c>
      <c r="R2786" s="23" t="s">
        <v>10605</v>
      </c>
      <c r="S2786" s="23" t="s">
        <v>6844</v>
      </c>
      <c r="T2786" s="23" t="s">
        <v>4866</v>
      </c>
      <c r="U2786" s="3">
        <v>35</v>
      </c>
      <c r="W2786" s="45" t="str">
        <f>HYPERLINK("http://ictvonline.org/taxonomy/p/taxonomy-history?taxnode_id=201903271","ICTVonline=201903271")</f>
        <v>ICTVonline=201903271</v>
      </c>
      <c r="AA2786" s="1">
        <v>201900000</v>
      </c>
      <c r="AB2786" s="1">
        <v>35</v>
      </c>
    </row>
    <row r="2787" spans="1:28" x14ac:dyDescent="0.2">
      <c r="A2787" s="1">
        <v>7435</v>
      </c>
      <c r="B2787" s="1" t="s">
        <v>10590</v>
      </c>
      <c r="D2787" s="1" t="s">
        <v>10685</v>
      </c>
      <c r="F2787" s="1" t="s">
        <v>11077</v>
      </c>
      <c r="H2787" s="1" t="s">
        <v>11235</v>
      </c>
      <c r="J2787" s="1" t="s">
        <v>11236</v>
      </c>
      <c r="L2787" s="1" t="s">
        <v>2078</v>
      </c>
      <c r="N2787" s="1" t="s">
        <v>2079</v>
      </c>
      <c r="P2787" s="1" t="s">
        <v>1188</v>
      </c>
      <c r="Q2787" s="3">
        <v>0</v>
      </c>
      <c r="R2787" s="23" t="s">
        <v>10605</v>
      </c>
      <c r="S2787" s="23" t="s">
        <v>6844</v>
      </c>
      <c r="T2787" s="23" t="s">
        <v>4866</v>
      </c>
      <c r="U2787" s="3">
        <v>35</v>
      </c>
      <c r="W2787" s="45" t="str">
        <f>HYPERLINK("http://ictvonline.org/taxonomy/p/taxonomy-history?taxnode_id=201903272","ICTVonline=201903272")</f>
        <v>ICTVonline=201903272</v>
      </c>
      <c r="AA2787" s="1">
        <v>201900000</v>
      </c>
      <c r="AB2787" s="1">
        <v>35</v>
      </c>
    </row>
    <row r="2788" spans="1:28" x14ac:dyDescent="0.2">
      <c r="A2788" s="1">
        <v>7437</v>
      </c>
      <c r="B2788" s="1" t="s">
        <v>10590</v>
      </c>
      <c r="D2788" s="1" t="s">
        <v>10685</v>
      </c>
      <c r="F2788" s="1" t="s">
        <v>11077</v>
      </c>
      <c r="H2788" s="1" t="s">
        <v>11235</v>
      </c>
      <c r="J2788" s="1" t="s">
        <v>11236</v>
      </c>
      <c r="L2788" s="1" t="s">
        <v>2078</v>
      </c>
      <c r="N2788" s="1" t="s">
        <v>2079</v>
      </c>
      <c r="P2788" s="1" t="s">
        <v>5318</v>
      </c>
      <c r="Q2788" s="3">
        <v>0</v>
      </c>
      <c r="R2788" s="23" t="s">
        <v>10605</v>
      </c>
      <c r="S2788" s="23" t="s">
        <v>6844</v>
      </c>
      <c r="T2788" s="23" t="s">
        <v>4866</v>
      </c>
      <c r="U2788" s="3">
        <v>35</v>
      </c>
      <c r="W2788" s="45" t="str">
        <f>HYPERLINK("http://ictvonline.org/taxonomy/p/taxonomy-history?taxnode_id=201905807","ICTVonline=201905807")</f>
        <v>ICTVonline=201905807</v>
      </c>
      <c r="AA2788" s="1">
        <v>201900000</v>
      </c>
      <c r="AB2788" s="1">
        <v>35</v>
      </c>
    </row>
    <row r="2789" spans="1:28" x14ac:dyDescent="0.2">
      <c r="A2789" s="1">
        <v>7439</v>
      </c>
      <c r="B2789" s="1" t="s">
        <v>10590</v>
      </c>
      <c r="D2789" s="1" t="s">
        <v>10685</v>
      </c>
      <c r="F2789" s="1" t="s">
        <v>11077</v>
      </c>
      <c r="H2789" s="1" t="s">
        <v>11235</v>
      </c>
      <c r="J2789" s="1" t="s">
        <v>11236</v>
      </c>
      <c r="L2789" s="1" t="s">
        <v>2078</v>
      </c>
      <c r="N2789" s="1" t="s">
        <v>2079</v>
      </c>
      <c r="P2789" s="1" t="s">
        <v>5319</v>
      </c>
      <c r="Q2789" s="3">
        <v>0</v>
      </c>
      <c r="R2789" s="23" t="s">
        <v>10605</v>
      </c>
      <c r="S2789" s="23" t="s">
        <v>6844</v>
      </c>
      <c r="T2789" s="23" t="s">
        <v>4866</v>
      </c>
      <c r="U2789" s="3">
        <v>35</v>
      </c>
      <c r="W2789" s="45" t="str">
        <f>HYPERLINK("http://ictvonline.org/taxonomy/p/taxonomy-history?taxnode_id=201905808","ICTVonline=201905808")</f>
        <v>ICTVonline=201905808</v>
      </c>
      <c r="AA2789" s="1">
        <v>201900000</v>
      </c>
      <c r="AB2789" s="1">
        <v>35</v>
      </c>
    </row>
    <row r="2790" spans="1:28" x14ac:dyDescent="0.2">
      <c r="A2790" s="1">
        <v>7441</v>
      </c>
      <c r="B2790" s="1" t="s">
        <v>10590</v>
      </c>
      <c r="D2790" s="1" t="s">
        <v>10685</v>
      </c>
      <c r="F2790" s="1" t="s">
        <v>11077</v>
      </c>
      <c r="H2790" s="1" t="s">
        <v>11235</v>
      </c>
      <c r="J2790" s="1" t="s">
        <v>11236</v>
      </c>
      <c r="L2790" s="1" t="s">
        <v>2078</v>
      </c>
      <c r="N2790" s="1" t="s">
        <v>2079</v>
      </c>
      <c r="P2790" s="1" t="s">
        <v>5320</v>
      </c>
      <c r="Q2790" s="3">
        <v>0</v>
      </c>
      <c r="R2790" s="23" t="s">
        <v>10605</v>
      </c>
      <c r="S2790" s="23" t="s">
        <v>6844</v>
      </c>
      <c r="T2790" s="23" t="s">
        <v>4866</v>
      </c>
      <c r="U2790" s="3">
        <v>35</v>
      </c>
      <c r="W2790" s="45" t="str">
        <f>HYPERLINK("http://ictvonline.org/taxonomy/p/taxonomy-history?taxnode_id=201905809","ICTVonline=201905809")</f>
        <v>ICTVonline=201905809</v>
      </c>
      <c r="AA2790" s="1">
        <v>201900000</v>
      </c>
      <c r="AB2790" s="1">
        <v>35</v>
      </c>
    </row>
    <row r="2791" spans="1:28" x14ac:dyDescent="0.2">
      <c r="A2791" s="1">
        <v>7443</v>
      </c>
      <c r="B2791" s="1" t="s">
        <v>10590</v>
      </c>
      <c r="D2791" s="1" t="s">
        <v>10685</v>
      </c>
      <c r="F2791" s="1" t="s">
        <v>11077</v>
      </c>
      <c r="H2791" s="1" t="s">
        <v>11235</v>
      </c>
      <c r="J2791" s="1" t="s">
        <v>11236</v>
      </c>
      <c r="L2791" s="1" t="s">
        <v>2078</v>
      </c>
      <c r="N2791" s="1" t="s">
        <v>2079</v>
      </c>
      <c r="P2791" s="1" t="s">
        <v>2390</v>
      </c>
      <c r="Q2791" s="3">
        <v>0</v>
      </c>
      <c r="R2791" s="23" t="s">
        <v>10605</v>
      </c>
      <c r="S2791" s="23" t="s">
        <v>6844</v>
      </c>
      <c r="T2791" s="23" t="s">
        <v>4866</v>
      </c>
      <c r="U2791" s="3">
        <v>35</v>
      </c>
      <c r="W2791" s="45" t="str">
        <f>HYPERLINK("http://ictvonline.org/taxonomy/p/taxonomy-history?taxnode_id=201903273","ICTVonline=201903273")</f>
        <v>ICTVonline=201903273</v>
      </c>
      <c r="AA2791" s="1">
        <v>201900000</v>
      </c>
      <c r="AB2791" s="1">
        <v>35</v>
      </c>
    </row>
    <row r="2792" spans="1:28" x14ac:dyDescent="0.2">
      <c r="A2792" s="1">
        <v>7445</v>
      </c>
      <c r="B2792" s="1" t="s">
        <v>10590</v>
      </c>
      <c r="D2792" s="1" t="s">
        <v>10685</v>
      </c>
      <c r="F2792" s="1" t="s">
        <v>11077</v>
      </c>
      <c r="H2792" s="1" t="s">
        <v>11235</v>
      </c>
      <c r="J2792" s="1" t="s">
        <v>11236</v>
      </c>
      <c r="L2792" s="1" t="s">
        <v>2078</v>
      </c>
      <c r="N2792" s="1" t="s">
        <v>2079</v>
      </c>
      <c r="P2792" s="1" t="s">
        <v>1705</v>
      </c>
      <c r="Q2792" s="3">
        <v>0</v>
      </c>
      <c r="R2792" s="23" t="s">
        <v>10605</v>
      </c>
      <c r="S2792" s="23" t="s">
        <v>6844</v>
      </c>
      <c r="T2792" s="23" t="s">
        <v>4866</v>
      </c>
      <c r="U2792" s="3">
        <v>35</v>
      </c>
      <c r="W2792" s="45" t="str">
        <f>HYPERLINK("http://ictvonline.org/taxonomy/p/taxonomy-history?taxnode_id=201903274","ICTVonline=201903274")</f>
        <v>ICTVonline=201903274</v>
      </c>
      <c r="AA2792" s="1">
        <v>201900000</v>
      </c>
      <c r="AB2792" s="1">
        <v>35</v>
      </c>
    </row>
    <row r="2793" spans="1:28" x14ac:dyDescent="0.2">
      <c r="A2793" s="1">
        <v>7447</v>
      </c>
      <c r="B2793" s="1" t="s">
        <v>10590</v>
      </c>
      <c r="D2793" s="1" t="s">
        <v>10685</v>
      </c>
      <c r="F2793" s="1" t="s">
        <v>11077</v>
      </c>
      <c r="H2793" s="1" t="s">
        <v>11235</v>
      </c>
      <c r="J2793" s="1" t="s">
        <v>11236</v>
      </c>
      <c r="L2793" s="1" t="s">
        <v>2078</v>
      </c>
      <c r="N2793" s="1" t="s">
        <v>2079</v>
      </c>
      <c r="P2793" s="1" t="s">
        <v>1706</v>
      </c>
      <c r="Q2793" s="3">
        <v>0</v>
      </c>
      <c r="R2793" s="23" t="s">
        <v>10605</v>
      </c>
      <c r="S2793" s="23" t="s">
        <v>6844</v>
      </c>
      <c r="T2793" s="23" t="s">
        <v>4866</v>
      </c>
      <c r="U2793" s="3">
        <v>35</v>
      </c>
      <c r="W2793" s="45" t="str">
        <f>HYPERLINK("http://ictvonline.org/taxonomy/p/taxonomy-history?taxnode_id=201903275","ICTVonline=201903275")</f>
        <v>ICTVonline=201903275</v>
      </c>
      <c r="AA2793" s="1">
        <v>201900000</v>
      </c>
      <c r="AB2793" s="1">
        <v>35</v>
      </c>
    </row>
    <row r="2794" spans="1:28" x14ac:dyDescent="0.2">
      <c r="A2794" s="1">
        <v>7449</v>
      </c>
      <c r="B2794" s="1" t="s">
        <v>10590</v>
      </c>
      <c r="D2794" s="1" t="s">
        <v>10685</v>
      </c>
      <c r="F2794" s="1" t="s">
        <v>11077</v>
      </c>
      <c r="H2794" s="1" t="s">
        <v>11235</v>
      </c>
      <c r="J2794" s="1" t="s">
        <v>11236</v>
      </c>
      <c r="L2794" s="1" t="s">
        <v>2078</v>
      </c>
      <c r="N2794" s="1" t="s">
        <v>2079</v>
      </c>
      <c r="P2794" s="1" t="s">
        <v>1707</v>
      </c>
      <c r="Q2794" s="3">
        <v>0</v>
      </c>
      <c r="R2794" s="23" t="s">
        <v>10605</v>
      </c>
      <c r="S2794" s="23" t="s">
        <v>6844</v>
      </c>
      <c r="T2794" s="23" t="s">
        <v>4866</v>
      </c>
      <c r="U2794" s="3">
        <v>35</v>
      </c>
      <c r="W2794" s="45" t="str">
        <f>HYPERLINK("http://ictvonline.org/taxonomy/p/taxonomy-history?taxnode_id=201903276","ICTVonline=201903276")</f>
        <v>ICTVonline=201903276</v>
      </c>
      <c r="AA2794" s="1">
        <v>201900000</v>
      </c>
      <c r="AB2794" s="1">
        <v>35</v>
      </c>
    </row>
    <row r="2795" spans="1:28" x14ac:dyDescent="0.2">
      <c r="A2795" s="1">
        <v>7451</v>
      </c>
      <c r="B2795" s="1" t="s">
        <v>10590</v>
      </c>
      <c r="D2795" s="1" t="s">
        <v>10685</v>
      </c>
      <c r="F2795" s="1" t="s">
        <v>11077</v>
      </c>
      <c r="H2795" s="1" t="s">
        <v>11235</v>
      </c>
      <c r="J2795" s="1" t="s">
        <v>11236</v>
      </c>
      <c r="L2795" s="1" t="s">
        <v>2078</v>
      </c>
      <c r="N2795" s="1" t="s">
        <v>2079</v>
      </c>
      <c r="P2795" s="1" t="s">
        <v>2391</v>
      </c>
      <c r="Q2795" s="3">
        <v>0</v>
      </c>
      <c r="R2795" s="23" t="s">
        <v>10605</v>
      </c>
      <c r="S2795" s="23" t="s">
        <v>6844</v>
      </c>
      <c r="T2795" s="23" t="s">
        <v>4866</v>
      </c>
      <c r="U2795" s="3">
        <v>35</v>
      </c>
      <c r="W2795" s="45" t="str">
        <f>HYPERLINK("http://ictvonline.org/taxonomy/p/taxonomy-history?taxnode_id=201903277","ICTVonline=201903277")</f>
        <v>ICTVonline=201903277</v>
      </c>
      <c r="AA2795" s="1">
        <v>201900000</v>
      </c>
      <c r="AB2795" s="1">
        <v>35</v>
      </c>
    </row>
    <row r="2796" spans="1:28" x14ac:dyDescent="0.2">
      <c r="A2796" s="1">
        <v>7453</v>
      </c>
      <c r="B2796" s="1" t="s">
        <v>10590</v>
      </c>
      <c r="D2796" s="1" t="s">
        <v>10685</v>
      </c>
      <c r="F2796" s="1" t="s">
        <v>11077</v>
      </c>
      <c r="H2796" s="1" t="s">
        <v>11235</v>
      </c>
      <c r="J2796" s="1" t="s">
        <v>11236</v>
      </c>
      <c r="L2796" s="1" t="s">
        <v>2078</v>
      </c>
      <c r="N2796" s="1" t="s">
        <v>2079</v>
      </c>
      <c r="P2796" s="1" t="s">
        <v>2392</v>
      </c>
      <c r="Q2796" s="3">
        <v>0</v>
      </c>
      <c r="R2796" s="23" t="s">
        <v>10605</v>
      </c>
      <c r="S2796" s="23" t="s">
        <v>6844</v>
      </c>
      <c r="T2796" s="23" t="s">
        <v>4866</v>
      </c>
      <c r="U2796" s="3">
        <v>35</v>
      </c>
      <c r="W2796" s="45" t="str">
        <f>HYPERLINK("http://ictvonline.org/taxonomy/p/taxonomy-history?taxnode_id=201903278","ICTVonline=201903278")</f>
        <v>ICTVonline=201903278</v>
      </c>
      <c r="AA2796" s="1">
        <v>201900000</v>
      </c>
      <c r="AB2796" s="1">
        <v>35</v>
      </c>
    </row>
    <row r="2797" spans="1:28" x14ac:dyDescent="0.2">
      <c r="A2797" s="1">
        <v>7455</v>
      </c>
      <c r="B2797" s="1" t="s">
        <v>10590</v>
      </c>
      <c r="D2797" s="1" t="s">
        <v>10685</v>
      </c>
      <c r="F2797" s="1" t="s">
        <v>11077</v>
      </c>
      <c r="H2797" s="1" t="s">
        <v>11235</v>
      </c>
      <c r="J2797" s="1" t="s">
        <v>11236</v>
      </c>
      <c r="L2797" s="1" t="s">
        <v>2078</v>
      </c>
      <c r="N2797" s="1" t="s">
        <v>2079</v>
      </c>
      <c r="P2797" s="1" t="s">
        <v>5321</v>
      </c>
      <c r="Q2797" s="3">
        <v>0</v>
      </c>
      <c r="R2797" s="23" t="s">
        <v>10605</v>
      </c>
      <c r="S2797" s="23" t="s">
        <v>6844</v>
      </c>
      <c r="T2797" s="23" t="s">
        <v>4866</v>
      </c>
      <c r="U2797" s="3">
        <v>35</v>
      </c>
      <c r="W2797" s="45" t="str">
        <f>HYPERLINK("http://ictvonline.org/taxonomy/p/taxonomy-history?taxnode_id=201905810","ICTVonline=201905810")</f>
        <v>ICTVonline=201905810</v>
      </c>
      <c r="AA2797" s="1">
        <v>201900000</v>
      </c>
      <c r="AB2797" s="1">
        <v>35</v>
      </c>
    </row>
    <row r="2798" spans="1:28" x14ac:dyDescent="0.2">
      <c r="A2798" s="1">
        <v>7457</v>
      </c>
      <c r="B2798" s="1" t="s">
        <v>10590</v>
      </c>
      <c r="D2798" s="1" t="s">
        <v>10685</v>
      </c>
      <c r="F2798" s="1" t="s">
        <v>11077</v>
      </c>
      <c r="H2798" s="1" t="s">
        <v>11235</v>
      </c>
      <c r="J2798" s="1" t="s">
        <v>11236</v>
      </c>
      <c r="L2798" s="1" t="s">
        <v>2078</v>
      </c>
      <c r="N2798" s="1" t="s">
        <v>2079</v>
      </c>
      <c r="P2798" s="1" t="s">
        <v>3734</v>
      </c>
      <c r="Q2798" s="3">
        <v>0</v>
      </c>
      <c r="R2798" s="23" t="s">
        <v>10605</v>
      </c>
      <c r="S2798" s="23" t="s">
        <v>6844</v>
      </c>
      <c r="T2798" s="23" t="s">
        <v>4866</v>
      </c>
      <c r="U2798" s="3">
        <v>35</v>
      </c>
      <c r="W2798" s="45" t="str">
        <f>HYPERLINK("http://ictvonline.org/taxonomy/p/taxonomy-history?taxnode_id=201903279","ICTVonline=201903279")</f>
        <v>ICTVonline=201903279</v>
      </c>
      <c r="Y2798" s="1" t="s">
        <v>11349</v>
      </c>
      <c r="Z2798" s="1" t="s">
        <v>11350</v>
      </c>
      <c r="AA2798" s="1">
        <v>201900000</v>
      </c>
      <c r="AB2798" s="1">
        <v>35</v>
      </c>
    </row>
    <row r="2799" spans="1:28" x14ac:dyDescent="0.2">
      <c r="A2799" s="1">
        <v>7459</v>
      </c>
      <c r="B2799" s="1" t="s">
        <v>10590</v>
      </c>
      <c r="D2799" s="1" t="s">
        <v>10685</v>
      </c>
      <c r="F2799" s="1" t="s">
        <v>11077</v>
      </c>
      <c r="H2799" s="1" t="s">
        <v>11235</v>
      </c>
      <c r="J2799" s="1" t="s">
        <v>11236</v>
      </c>
      <c r="L2799" s="1" t="s">
        <v>2078</v>
      </c>
      <c r="N2799" s="1" t="s">
        <v>2079</v>
      </c>
      <c r="P2799" s="1" t="s">
        <v>1708</v>
      </c>
      <c r="Q2799" s="3">
        <v>0</v>
      </c>
      <c r="R2799" s="23" t="s">
        <v>10605</v>
      </c>
      <c r="S2799" s="23" t="s">
        <v>6844</v>
      </c>
      <c r="T2799" s="23" t="s">
        <v>4866</v>
      </c>
      <c r="U2799" s="3">
        <v>35</v>
      </c>
      <c r="W2799" s="45" t="str">
        <f>HYPERLINK("http://ictvonline.org/taxonomy/p/taxonomy-history?taxnode_id=201903280","ICTVonline=201903280")</f>
        <v>ICTVonline=201903280</v>
      </c>
      <c r="AA2799" s="1">
        <v>201900000</v>
      </c>
      <c r="AB2799" s="1">
        <v>35</v>
      </c>
    </row>
    <row r="2800" spans="1:28" x14ac:dyDescent="0.2">
      <c r="A2800" s="1">
        <v>7461</v>
      </c>
      <c r="B2800" s="1" t="s">
        <v>10590</v>
      </c>
      <c r="D2800" s="1" t="s">
        <v>10685</v>
      </c>
      <c r="F2800" s="1" t="s">
        <v>11077</v>
      </c>
      <c r="H2800" s="1" t="s">
        <v>11235</v>
      </c>
      <c r="J2800" s="1" t="s">
        <v>11236</v>
      </c>
      <c r="L2800" s="1" t="s">
        <v>2078</v>
      </c>
      <c r="N2800" s="1" t="s">
        <v>2079</v>
      </c>
      <c r="P2800" s="1" t="s">
        <v>2393</v>
      </c>
      <c r="Q2800" s="3">
        <v>0</v>
      </c>
      <c r="R2800" s="23" t="s">
        <v>10605</v>
      </c>
      <c r="S2800" s="23" t="s">
        <v>6844</v>
      </c>
      <c r="T2800" s="23" t="s">
        <v>4866</v>
      </c>
      <c r="U2800" s="3">
        <v>35</v>
      </c>
      <c r="W2800" s="45" t="str">
        <f>HYPERLINK("http://ictvonline.org/taxonomy/p/taxonomy-history?taxnode_id=201903281","ICTVonline=201903281")</f>
        <v>ICTVonline=201903281</v>
      </c>
      <c r="AA2800" s="1">
        <v>201900000</v>
      </c>
      <c r="AB2800" s="1">
        <v>35</v>
      </c>
    </row>
    <row r="2801" spans="1:28" x14ac:dyDescent="0.2">
      <c r="A2801" s="1">
        <v>7463</v>
      </c>
      <c r="B2801" s="1" t="s">
        <v>10590</v>
      </c>
      <c r="D2801" s="1" t="s">
        <v>10685</v>
      </c>
      <c r="F2801" s="1" t="s">
        <v>11077</v>
      </c>
      <c r="H2801" s="1" t="s">
        <v>11235</v>
      </c>
      <c r="J2801" s="1" t="s">
        <v>11236</v>
      </c>
      <c r="L2801" s="1" t="s">
        <v>2078</v>
      </c>
      <c r="N2801" s="1" t="s">
        <v>2079</v>
      </c>
      <c r="P2801" s="1" t="s">
        <v>2394</v>
      </c>
      <c r="Q2801" s="3">
        <v>0</v>
      </c>
      <c r="R2801" s="23" t="s">
        <v>10605</v>
      </c>
      <c r="S2801" s="23" t="s">
        <v>6844</v>
      </c>
      <c r="T2801" s="23" t="s">
        <v>4866</v>
      </c>
      <c r="U2801" s="3">
        <v>35</v>
      </c>
      <c r="W2801" s="45" t="str">
        <f>HYPERLINK("http://ictvonline.org/taxonomy/p/taxonomy-history?taxnode_id=201903282","ICTVonline=201903282")</f>
        <v>ICTVonline=201903282</v>
      </c>
      <c r="AA2801" s="1">
        <v>201900000</v>
      </c>
      <c r="AB2801" s="1">
        <v>35</v>
      </c>
    </row>
    <row r="2802" spans="1:28" x14ac:dyDescent="0.2">
      <c r="A2802" s="1">
        <v>7465</v>
      </c>
      <c r="B2802" s="1" t="s">
        <v>10590</v>
      </c>
      <c r="D2802" s="1" t="s">
        <v>10685</v>
      </c>
      <c r="F2802" s="1" t="s">
        <v>11077</v>
      </c>
      <c r="H2802" s="1" t="s">
        <v>11235</v>
      </c>
      <c r="J2802" s="1" t="s">
        <v>11236</v>
      </c>
      <c r="L2802" s="1" t="s">
        <v>2078</v>
      </c>
      <c r="N2802" s="1" t="s">
        <v>2079</v>
      </c>
      <c r="P2802" s="1" t="s">
        <v>1709</v>
      </c>
      <c r="Q2802" s="3">
        <v>0</v>
      </c>
      <c r="R2802" s="23" t="s">
        <v>10605</v>
      </c>
      <c r="S2802" s="23" t="s">
        <v>6844</v>
      </c>
      <c r="T2802" s="23" t="s">
        <v>4866</v>
      </c>
      <c r="U2802" s="3">
        <v>35</v>
      </c>
      <c r="W2802" s="45" t="str">
        <f>HYPERLINK("http://ictvonline.org/taxonomy/p/taxonomy-history?taxnode_id=201903283","ICTVonline=201903283")</f>
        <v>ICTVonline=201903283</v>
      </c>
      <c r="AA2802" s="1">
        <v>201900000</v>
      </c>
      <c r="AB2802" s="1">
        <v>35</v>
      </c>
    </row>
    <row r="2803" spans="1:28" x14ac:dyDescent="0.2">
      <c r="A2803" s="1">
        <v>7467</v>
      </c>
      <c r="B2803" s="1" t="s">
        <v>10590</v>
      </c>
      <c r="D2803" s="1" t="s">
        <v>10685</v>
      </c>
      <c r="F2803" s="1" t="s">
        <v>11077</v>
      </c>
      <c r="H2803" s="1" t="s">
        <v>11235</v>
      </c>
      <c r="J2803" s="1" t="s">
        <v>11236</v>
      </c>
      <c r="L2803" s="1" t="s">
        <v>2078</v>
      </c>
      <c r="N2803" s="1" t="s">
        <v>2079</v>
      </c>
      <c r="P2803" s="1" t="s">
        <v>5322</v>
      </c>
      <c r="Q2803" s="3">
        <v>0</v>
      </c>
      <c r="R2803" s="23" t="s">
        <v>10605</v>
      </c>
      <c r="S2803" s="23" t="s">
        <v>6844</v>
      </c>
      <c r="T2803" s="23" t="s">
        <v>4866</v>
      </c>
      <c r="U2803" s="3">
        <v>35</v>
      </c>
      <c r="W2803" s="45" t="str">
        <f>HYPERLINK("http://ictvonline.org/taxonomy/p/taxonomy-history?taxnode_id=201905811","ICTVonline=201905811")</f>
        <v>ICTVonline=201905811</v>
      </c>
      <c r="AA2803" s="1">
        <v>201900000</v>
      </c>
      <c r="AB2803" s="1">
        <v>35</v>
      </c>
    </row>
    <row r="2804" spans="1:28" x14ac:dyDescent="0.2">
      <c r="A2804" s="1">
        <v>7469</v>
      </c>
      <c r="B2804" s="1" t="s">
        <v>10590</v>
      </c>
      <c r="D2804" s="1" t="s">
        <v>10685</v>
      </c>
      <c r="F2804" s="1" t="s">
        <v>11077</v>
      </c>
      <c r="H2804" s="1" t="s">
        <v>11235</v>
      </c>
      <c r="J2804" s="1" t="s">
        <v>11236</v>
      </c>
      <c r="L2804" s="1" t="s">
        <v>2078</v>
      </c>
      <c r="N2804" s="1" t="s">
        <v>2079</v>
      </c>
      <c r="P2804" s="1" t="s">
        <v>2395</v>
      </c>
      <c r="Q2804" s="3">
        <v>0</v>
      </c>
      <c r="R2804" s="23" t="s">
        <v>10605</v>
      </c>
      <c r="S2804" s="23" t="s">
        <v>6844</v>
      </c>
      <c r="T2804" s="23" t="s">
        <v>4866</v>
      </c>
      <c r="U2804" s="3">
        <v>35</v>
      </c>
      <c r="W2804" s="45" t="str">
        <f>HYPERLINK("http://ictvonline.org/taxonomy/p/taxonomy-history?taxnode_id=201903284","ICTVonline=201903284")</f>
        <v>ICTVonline=201903284</v>
      </c>
      <c r="AA2804" s="1">
        <v>201900000</v>
      </c>
      <c r="AB2804" s="1">
        <v>35</v>
      </c>
    </row>
    <row r="2805" spans="1:28" x14ac:dyDescent="0.2">
      <c r="A2805" s="1">
        <v>7471</v>
      </c>
      <c r="B2805" s="1" t="s">
        <v>10590</v>
      </c>
      <c r="D2805" s="1" t="s">
        <v>10685</v>
      </c>
      <c r="F2805" s="1" t="s">
        <v>11077</v>
      </c>
      <c r="H2805" s="1" t="s">
        <v>11235</v>
      </c>
      <c r="J2805" s="1" t="s">
        <v>11236</v>
      </c>
      <c r="L2805" s="1" t="s">
        <v>2078</v>
      </c>
      <c r="N2805" s="1" t="s">
        <v>2079</v>
      </c>
      <c r="P2805" s="1" t="s">
        <v>11351</v>
      </c>
      <c r="Q2805" s="3">
        <v>0</v>
      </c>
      <c r="R2805" s="23" t="s">
        <v>10596</v>
      </c>
      <c r="S2805" s="23" t="s">
        <v>6849</v>
      </c>
      <c r="T2805" s="23" t="s">
        <v>4864</v>
      </c>
      <c r="U2805" s="3">
        <v>35</v>
      </c>
      <c r="V2805" s="3" t="s">
        <v>11246</v>
      </c>
      <c r="W2805" s="45" t="str">
        <f>HYPERLINK("http://ictvonline.org/taxonomy/p/taxonomy-history?taxnode_id=201907525","ICTVonline=201907525")</f>
        <v>ICTVonline=201907525</v>
      </c>
      <c r="X2805" s="1" t="s">
        <v>11352</v>
      </c>
      <c r="Y2805" s="1" t="s">
        <v>11353</v>
      </c>
      <c r="Z2805" s="1" t="s">
        <v>11354</v>
      </c>
      <c r="AA2805" s="1">
        <v>201900000</v>
      </c>
      <c r="AB2805" s="1">
        <v>35</v>
      </c>
    </row>
    <row r="2806" spans="1:28" x14ac:dyDescent="0.2">
      <c r="A2806" s="1">
        <v>7473</v>
      </c>
      <c r="B2806" s="1" t="s">
        <v>10590</v>
      </c>
      <c r="D2806" s="1" t="s">
        <v>10685</v>
      </c>
      <c r="F2806" s="1" t="s">
        <v>11077</v>
      </c>
      <c r="H2806" s="1" t="s">
        <v>11235</v>
      </c>
      <c r="J2806" s="1" t="s">
        <v>11236</v>
      </c>
      <c r="L2806" s="1" t="s">
        <v>2078</v>
      </c>
      <c r="N2806" s="1" t="s">
        <v>2079</v>
      </c>
      <c r="P2806" s="1" t="s">
        <v>1702</v>
      </c>
      <c r="Q2806" s="3">
        <v>0</v>
      </c>
      <c r="R2806" s="23" t="s">
        <v>10605</v>
      </c>
      <c r="S2806" s="23" t="s">
        <v>6844</v>
      </c>
      <c r="T2806" s="23" t="s">
        <v>4866</v>
      </c>
      <c r="U2806" s="3">
        <v>35</v>
      </c>
      <c r="W2806" s="45" t="str">
        <f>HYPERLINK("http://ictvonline.org/taxonomy/p/taxonomy-history?taxnode_id=201903285","ICTVonline=201903285")</f>
        <v>ICTVonline=201903285</v>
      </c>
      <c r="AA2806" s="1">
        <v>201900000</v>
      </c>
      <c r="AB2806" s="1">
        <v>35</v>
      </c>
    </row>
    <row r="2807" spans="1:28" x14ac:dyDescent="0.2">
      <c r="A2807" s="1">
        <v>7475</v>
      </c>
      <c r="B2807" s="1" t="s">
        <v>10590</v>
      </c>
      <c r="D2807" s="1" t="s">
        <v>10685</v>
      </c>
      <c r="F2807" s="1" t="s">
        <v>11077</v>
      </c>
      <c r="H2807" s="1" t="s">
        <v>11235</v>
      </c>
      <c r="J2807" s="1" t="s">
        <v>11236</v>
      </c>
      <c r="L2807" s="1" t="s">
        <v>2078</v>
      </c>
      <c r="N2807" s="1" t="s">
        <v>2079</v>
      </c>
      <c r="P2807" s="1" t="s">
        <v>1703</v>
      </c>
      <c r="Q2807" s="3">
        <v>0</v>
      </c>
      <c r="R2807" s="23" t="s">
        <v>10605</v>
      </c>
      <c r="S2807" s="23" t="s">
        <v>6844</v>
      </c>
      <c r="T2807" s="23" t="s">
        <v>4866</v>
      </c>
      <c r="U2807" s="3">
        <v>35</v>
      </c>
      <c r="W2807" s="45" t="str">
        <f>HYPERLINK("http://ictvonline.org/taxonomy/p/taxonomy-history?taxnode_id=201903286","ICTVonline=201903286")</f>
        <v>ICTVonline=201903286</v>
      </c>
      <c r="AA2807" s="1">
        <v>201900000</v>
      </c>
      <c r="AB2807" s="1">
        <v>35</v>
      </c>
    </row>
    <row r="2808" spans="1:28" x14ac:dyDescent="0.2">
      <c r="A2808" s="1">
        <v>7477</v>
      </c>
      <c r="B2808" s="1" t="s">
        <v>10590</v>
      </c>
      <c r="D2808" s="1" t="s">
        <v>10685</v>
      </c>
      <c r="F2808" s="1" t="s">
        <v>11077</v>
      </c>
      <c r="H2808" s="1" t="s">
        <v>11235</v>
      </c>
      <c r="J2808" s="1" t="s">
        <v>11236</v>
      </c>
      <c r="L2808" s="1" t="s">
        <v>2078</v>
      </c>
      <c r="N2808" s="1" t="s">
        <v>2079</v>
      </c>
      <c r="P2808" s="1" t="s">
        <v>5323</v>
      </c>
      <c r="Q2808" s="3">
        <v>0</v>
      </c>
      <c r="R2808" s="23" t="s">
        <v>10605</v>
      </c>
      <c r="S2808" s="23" t="s">
        <v>6844</v>
      </c>
      <c r="T2808" s="23" t="s">
        <v>4866</v>
      </c>
      <c r="U2808" s="3">
        <v>35</v>
      </c>
      <c r="W2808" s="45" t="str">
        <f>HYPERLINK("http://ictvonline.org/taxonomy/p/taxonomy-history?taxnode_id=201905812","ICTVonline=201905812")</f>
        <v>ICTVonline=201905812</v>
      </c>
      <c r="AA2808" s="1">
        <v>201900000</v>
      </c>
      <c r="AB2808" s="1">
        <v>35</v>
      </c>
    </row>
    <row r="2809" spans="1:28" x14ac:dyDescent="0.2">
      <c r="A2809" s="1">
        <v>7479</v>
      </c>
      <c r="B2809" s="1" t="s">
        <v>10590</v>
      </c>
      <c r="D2809" s="1" t="s">
        <v>10685</v>
      </c>
      <c r="F2809" s="1" t="s">
        <v>11077</v>
      </c>
      <c r="H2809" s="1" t="s">
        <v>11235</v>
      </c>
      <c r="J2809" s="1" t="s">
        <v>11236</v>
      </c>
      <c r="L2809" s="1" t="s">
        <v>2078</v>
      </c>
      <c r="N2809" s="1" t="s">
        <v>2079</v>
      </c>
      <c r="P2809" s="1" t="s">
        <v>5324</v>
      </c>
      <c r="Q2809" s="3">
        <v>0</v>
      </c>
      <c r="R2809" s="23" t="s">
        <v>10605</v>
      </c>
      <c r="S2809" s="23" t="s">
        <v>6844</v>
      </c>
      <c r="T2809" s="23" t="s">
        <v>4866</v>
      </c>
      <c r="U2809" s="3">
        <v>35</v>
      </c>
      <c r="W2809" s="45" t="str">
        <f>HYPERLINK("http://ictvonline.org/taxonomy/p/taxonomy-history?taxnode_id=201905813","ICTVonline=201905813")</f>
        <v>ICTVonline=201905813</v>
      </c>
      <c r="AA2809" s="1">
        <v>201900000</v>
      </c>
      <c r="AB2809" s="1">
        <v>35</v>
      </c>
    </row>
    <row r="2810" spans="1:28" x14ac:dyDescent="0.2">
      <c r="A2810" s="1">
        <v>7481</v>
      </c>
      <c r="B2810" s="1" t="s">
        <v>10590</v>
      </c>
      <c r="D2810" s="1" t="s">
        <v>10685</v>
      </c>
      <c r="F2810" s="1" t="s">
        <v>11077</v>
      </c>
      <c r="H2810" s="1" t="s">
        <v>11235</v>
      </c>
      <c r="J2810" s="1" t="s">
        <v>11236</v>
      </c>
      <c r="L2810" s="1" t="s">
        <v>2078</v>
      </c>
      <c r="N2810" s="1" t="s">
        <v>2079</v>
      </c>
      <c r="P2810" s="1" t="s">
        <v>1704</v>
      </c>
      <c r="Q2810" s="3">
        <v>0</v>
      </c>
      <c r="R2810" s="23" t="s">
        <v>10605</v>
      </c>
      <c r="S2810" s="23" t="s">
        <v>6844</v>
      </c>
      <c r="T2810" s="23" t="s">
        <v>4866</v>
      </c>
      <c r="U2810" s="3">
        <v>35</v>
      </c>
      <c r="W2810" s="45" t="str">
        <f>HYPERLINK("http://ictvonline.org/taxonomy/p/taxonomy-history?taxnode_id=201903287","ICTVonline=201903287")</f>
        <v>ICTVonline=201903287</v>
      </c>
      <c r="AA2810" s="1">
        <v>201900000</v>
      </c>
      <c r="AB2810" s="1">
        <v>35</v>
      </c>
    </row>
    <row r="2811" spans="1:28" x14ac:dyDescent="0.2">
      <c r="A2811" s="1">
        <v>7483</v>
      </c>
      <c r="B2811" s="1" t="s">
        <v>10590</v>
      </c>
      <c r="D2811" s="1" t="s">
        <v>10685</v>
      </c>
      <c r="F2811" s="1" t="s">
        <v>11077</v>
      </c>
      <c r="H2811" s="1" t="s">
        <v>11235</v>
      </c>
      <c r="J2811" s="1" t="s">
        <v>11236</v>
      </c>
      <c r="L2811" s="1" t="s">
        <v>2078</v>
      </c>
      <c r="N2811" s="1" t="s">
        <v>2079</v>
      </c>
      <c r="P2811" s="1" t="s">
        <v>2396</v>
      </c>
      <c r="Q2811" s="3">
        <v>0</v>
      </c>
      <c r="R2811" s="23" t="s">
        <v>10605</v>
      </c>
      <c r="S2811" s="23" t="s">
        <v>6844</v>
      </c>
      <c r="T2811" s="23" t="s">
        <v>4866</v>
      </c>
      <c r="U2811" s="3">
        <v>35</v>
      </c>
      <c r="W2811" s="45" t="str">
        <f>HYPERLINK("http://ictvonline.org/taxonomy/p/taxonomy-history?taxnode_id=201903288","ICTVonline=201903288")</f>
        <v>ICTVonline=201903288</v>
      </c>
      <c r="AA2811" s="1">
        <v>201900000</v>
      </c>
      <c r="AB2811" s="1">
        <v>35</v>
      </c>
    </row>
    <row r="2812" spans="1:28" x14ac:dyDescent="0.2">
      <c r="A2812" s="1">
        <v>7485</v>
      </c>
      <c r="B2812" s="1" t="s">
        <v>10590</v>
      </c>
      <c r="D2812" s="1" t="s">
        <v>10685</v>
      </c>
      <c r="F2812" s="1" t="s">
        <v>11077</v>
      </c>
      <c r="H2812" s="1" t="s">
        <v>11235</v>
      </c>
      <c r="J2812" s="1" t="s">
        <v>11236</v>
      </c>
      <c r="L2812" s="1" t="s">
        <v>2078</v>
      </c>
      <c r="N2812" s="1" t="s">
        <v>2079</v>
      </c>
      <c r="P2812" s="1" t="s">
        <v>11355</v>
      </c>
      <c r="Q2812" s="3">
        <v>0</v>
      </c>
      <c r="R2812" s="23" t="s">
        <v>10596</v>
      </c>
      <c r="S2812" s="23" t="s">
        <v>6849</v>
      </c>
      <c r="T2812" s="23" t="s">
        <v>4864</v>
      </c>
      <c r="U2812" s="3">
        <v>35</v>
      </c>
      <c r="V2812" s="3" t="s">
        <v>11246</v>
      </c>
      <c r="W2812" s="45" t="str">
        <f>HYPERLINK("http://ictvonline.org/taxonomy/p/taxonomy-history?taxnode_id=201907526","ICTVonline=201907526")</f>
        <v>ICTVonline=201907526</v>
      </c>
      <c r="X2812" s="1" t="s">
        <v>11356</v>
      </c>
      <c r="Y2812" s="1" t="s">
        <v>11357</v>
      </c>
      <c r="Z2812" s="1" t="s">
        <v>11358</v>
      </c>
      <c r="AA2812" s="1">
        <v>201900000</v>
      </c>
      <c r="AB2812" s="1">
        <v>35</v>
      </c>
    </row>
    <row r="2813" spans="1:28" x14ac:dyDescent="0.2">
      <c r="A2813" s="1">
        <v>7487</v>
      </c>
      <c r="B2813" s="1" t="s">
        <v>10590</v>
      </c>
      <c r="D2813" s="1" t="s">
        <v>10685</v>
      </c>
      <c r="F2813" s="1" t="s">
        <v>11077</v>
      </c>
      <c r="H2813" s="1" t="s">
        <v>11235</v>
      </c>
      <c r="J2813" s="1" t="s">
        <v>11236</v>
      </c>
      <c r="L2813" s="1" t="s">
        <v>2078</v>
      </c>
      <c r="N2813" s="1" t="s">
        <v>2079</v>
      </c>
      <c r="P2813" s="1" t="s">
        <v>2397</v>
      </c>
      <c r="Q2813" s="3">
        <v>0</v>
      </c>
      <c r="R2813" s="23" t="s">
        <v>10605</v>
      </c>
      <c r="S2813" s="23" t="s">
        <v>6844</v>
      </c>
      <c r="T2813" s="23" t="s">
        <v>4866</v>
      </c>
      <c r="U2813" s="3">
        <v>35</v>
      </c>
      <c r="W2813" s="45" t="str">
        <f>HYPERLINK("http://ictvonline.org/taxonomy/p/taxonomy-history?taxnode_id=201903289","ICTVonline=201903289")</f>
        <v>ICTVonline=201903289</v>
      </c>
      <c r="AA2813" s="1">
        <v>201900000</v>
      </c>
      <c r="AB2813" s="1">
        <v>35</v>
      </c>
    </row>
    <row r="2814" spans="1:28" x14ac:dyDescent="0.2">
      <c r="A2814" s="1">
        <v>7489</v>
      </c>
      <c r="B2814" s="1" t="s">
        <v>10590</v>
      </c>
      <c r="D2814" s="1" t="s">
        <v>10685</v>
      </c>
      <c r="F2814" s="1" t="s">
        <v>11077</v>
      </c>
      <c r="H2814" s="1" t="s">
        <v>11235</v>
      </c>
      <c r="J2814" s="1" t="s">
        <v>11236</v>
      </c>
      <c r="L2814" s="1" t="s">
        <v>2078</v>
      </c>
      <c r="N2814" s="1" t="s">
        <v>2079</v>
      </c>
      <c r="P2814" s="1" t="s">
        <v>95</v>
      </c>
      <c r="Q2814" s="3">
        <v>0</v>
      </c>
      <c r="R2814" s="23" t="s">
        <v>10605</v>
      </c>
      <c r="S2814" s="23" t="s">
        <v>6844</v>
      </c>
      <c r="T2814" s="23" t="s">
        <v>4866</v>
      </c>
      <c r="U2814" s="3">
        <v>35</v>
      </c>
      <c r="W2814" s="45" t="str">
        <f>HYPERLINK("http://ictvonline.org/taxonomy/p/taxonomy-history?taxnode_id=201903290","ICTVonline=201903290")</f>
        <v>ICTVonline=201903290</v>
      </c>
      <c r="AA2814" s="1">
        <v>201900000</v>
      </c>
      <c r="AB2814" s="1">
        <v>35</v>
      </c>
    </row>
    <row r="2815" spans="1:28" x14ac:dyDescent="0.2">
      <c r="A2815" s="1">
        <v>7491</v>
      </c>
      <c r="B2815" s="1" t="s">
        <v>10590</v>
      </c>
      <c r="D2815" s="1" t="s">
        <v>10685</v>
      </c>
      <c r="F2815" s="1" t="s">
        <v>11077</v>
      </c>
      <c r="H2815" s="1" t="s">
        <v>11235</v>
      </c>
      <c r="J2815" s="1" t="s">
        <v>11236</v>
      </c>
      <c r="L2815" s="1" t="s">
        <v>2078</v>
      </c>
      <c r="N2815" s="1" t="s">
        <v>2079</v>
      </c>
      <c r="P2815" s="1" t="s">
        <v>3735</v>
      </c>
      <c r="Q2815" s="3">
        <v>0</v>
      </c>
      <c r="R2815" s="23" t="s">
        <v>10605</v>
      </c>
      <c r="S2815" s="23" t="s">
        <v>6844</v>
      </c>
      <c r="T2815" s="23" t="s">
        <v>4866</v>
      </c>
      <c r="U2815" s="3">
        <v>35</v>
      </c>
      <c r="W2815" s="45" t="str">
        <f>HYPERLINK("http://ictvonline.org/taxonomy/p/taxonomy-history?taxnode_id=201903291","ICTVonline=201903291")</f>
        <v>ICTVonline=201903291</v>
      </c>
      <c r="Y2815" s="1" t="s">
        <v>11359</v>
      </c>
      <c r="Z2815" s="1" t="s">
        <v>11360</v>
      </c>
      <c r="AA2815" s="1">
        <v>201900000</v>
      </c>
      <c r="AB2815" s="1">
        <v>35</v>
      </c>
    </row>
    <row r="2816" spans="1:28" x14ac:dyDescent="0.2">
      <c r="A2816" s="1">
        <v>7493</v>
      </c>
      <c r="B2816" s="1" t="s">
        <v>10590</v>
      </c>
      <c r="D2816" s="1" t="s">
        <v>10685</v>
      </c>
      <c r="F2816" s="1" t="s">
        <v>11077</v>
      </c>
      <c r="H2816" s="1" t="s">
        <v>11235</v>
      </c>
      <c r="J2816" s="1" t="s">
        <v>11236</v>
      </c>
      <c r="L2816" s="1" t="s">
        <v>2078</v>
      </c>
      <c r="N2816" s="1" t="s">
        <v>2079</v>
      </c>
      <c r="P2816" s="1" t="s">
        <v>333</v>
      </c>
      <c r="Q2816" s="3">
        <v>0</v>
      </c>
      <c r="R2816" s="23" t="s">
        <v>10605</v>
      </c>
      <c r="S2816" s="23" t="s">
        <v>6844</v>
      </c>
      <c r="T2816" s="23" t="s">
        <v>4866</v>
      </c>
      <c r="U2816" s="3">
        <v>35</v>
      </c>
      <c r="W2816" s="45" t="str">
        <f>HYPERLINK("http://ictvonline.org/taxonomy/p/taxonomy-history?taxnode_id=201903293","ICTVonline=201903293")</f>
        <v>ICTVonline=201903293</v>
      </c>
      <c r="AA2816" s="1">
        <v>201900000</v>
      </c>
      <c r="AB2816" s="1">
        <v>35</v>
      </c>
    </row>
    <row r="2817" spans="1:28" x14ac:dyDescent="0.2">
      <c r="A2817" s="1">
        <v>7495</v>
      </c>
      <c r="B2817" s="1" t="s">
        <v>10590</v>
      </c>
      <c r="D2817" s="1" t="s">
        <v>10685</v>
      </c>
      <c r="F2817" s="1" t="s">
        <v>11077</v>
      </c>
      <c r="H2817" s="1" t="s">
        <v>11235</v>
      </c>
      <c r="J2817" s="1" t="s">
        <v>11236</v>
      </c>
      <c r="L2817" s="1" t="s">
        <v>2078</v>
      </c>
      <c r="N2817" s="1" t="s">
        <v>2079</v>
      </c>
      <c r="P2817" s="1" t="s">
        <v>5325</v>
      </c>
      <c r="Q2817" s="3">
        <v>0</v>
      </c>
      <c r="R2817" s="23" t="s">
        <v>10605</v>
      </c>
      <c r="S2817" s="23" t="s">
        <v>6844</v>
      </c>
      <c r="T2817" s="23" t="s">
        <v>4866</v>
      </c>
      <c r="U2817" s="3">
        <v>35</v>
      </c>
      <c r="W2817" s="45" t="str">
        <f>HYPERLINK("http://ictvonline.org/taxonomy/p/taxonomy-history?taxnode_id=201905814","ICTVonline=201905814")</f>
        <v>ICTVonline=201905814</v>
      </c>
      <c r="AA2817" s="1">
        <v>201900000</v>
      </c>
      <c r="AB2817" s="1">
        <v>35</v>
      </c>
    </row>
    <row r="2818" spans="1:28" x14ac:dyDescent="0.2">
      <c r="A2818" s="1">
        <v>7497</v>
      </c>
      <c r="B2818" s="1" t="s">
        <v>10590</v>
      </c>
      <c r="D2818" s="1" t="s">
        <v>10685</v>
      </c>
      <c r="F2818" s="1" t="s">
        <v>11077</v>
      </c>
      <c r="H2818" s="1" t="s">
        <v>11235</v>
      </c>
      <c r="J2818" s="1" t="s">
        <v>11236</v>
      </c>
      <c r="L2818" s="1" t="s">
        <v>2078</v>
      </c>
      <c r="N2818" s="1" t="s">
        <v>2079</v>
      </c>
      <c r="P2818" s="1" t="s">
        <v>334</v>
      </c>
      <c r="Q2818" s="3">
        <v>0</v>
      </c>
      <c r="R2818" s="23" t="s">
        <v>10605</v>
      </c>
      <c r="S2818" s="23" t="s">
        <v>6844</v>
      </c>
      <c r="T2818" s="23" t="s">
        <v>4866</v>
      </c>
      <c r="U2818" s="3">
        <v>35</v>
      </c>
      <c r="W2818" s="45" t="str">
        <f>HYPERLINK("http://ictvonline.org/taxonomy/p/taxonomy-history?taxnode_id=201903294","ICTVonline=201903294")</f>
        <v>ICTVonline=201903294</v>
      </c>
      <c r="AA2818" s="1">
        <v>201900000</v>
      </c>
      <c r="AB2818" s="1">
        <v>35</v>
      </c>
    </row>
    <row r="2819" spans="1:28" x14ac:dyDescent="0.2">
      <c r="A2819" s="1">
        <v>7499</v>
      </c>
      <c r="B2819" s="1" t="s">
        <v>10590</v>
      </c>
      <c r="D2819" s="1" t="s">
        <v>10685</v>
      </c>
      <c r="F2819" s="1" t="s">
        <v>11077</v>
      </c>
      <c r="H2819" s="1" t="s">
        <v>11235</v>
      </c>
      <c r="J2819" s="1" t="s">
        <v>11236</v>
      </c>
      <c r="L2819" s="1" t="s">
        <v>2078</v>
      </c>
      <c r="N2819" s="1" t="s">
        <v>2079</v>
      </c>
      <c r="P2819" s="1" t="s">
        <v>335</v>
      </c>
      <c r="Q2819" s="3">
        <v>0</v>
      </c>
      <c r="R2819" s="23" t="s">
        <v>10605</v>
      </c>
      <c r="S2819" s="23" t="s">
        <v>6844</v>
      </c>
      <c r="T2819" s="23" t="s">
        <v>4866</v>
      </c>
      <c r="U2819" s="3">
        <v>35</v>
      </c>
      <c r="W2819" s="45" t="str">
        <f>HYPERLINK("http://ictvonline.org/taxonomy/p/taxonomy-history?taxnode_id=201903295","ICTVonline=201903295")</f>
        <v>ICTVonline=201903295</v>
      </c>
      <c r="AA2819" s="1">
        <v>201900000</v>
      </c>
      <c r="AB2819" s="1">
        <v>35</v>
      </c>
    </row>
    <row r="2820" spans="1:28" x14ac:dyDescent="0.2">
      <c r="A2820" s="1">
        <v>7501</v>
      </c>
      <c r="B2820" s="1" t="s">
        <v>10590</v>
      </c>
      <c r="D2820" s="1" t="s">
        <v>10685</v>
      </c>
      <c r="F2820" s="1" t="s">
        <v>11077</v>
      </c>
      <c r="H2820" s="1" t="s">
        <v>11235</v>
      </c>
      <c r="J2820" s="1" t="s">
        <v>11236</v>
      </c>
      <c r="L2820" s="1" t="s">
        <v>2078</v>
      </c>
      <c r="N2820" s="1" t="s">
        <v>2079</v>
      </c>
      <c r="P2820" s="1" t="s">
        <v>2398</v>
      </c>
      <c r="Q2820" s="3">
        <v>0</v>
      </c>
      <c r="R2820" s="23" t="s">
        <v>10605</v>
      </c>
      <c r="S2820" s="23" t="s">
        <v>6844</v>
      </c>
      <c r="T2820" s="23" t="s">
        <v>4866</v>
      </c>
      <c r="U2820" s="3">
        <v>35</v>
      </c>
      <c r="W2820" s="45" t="str">
        <f>HYPERLINK("http://ictvonline.org/taxonomy/p/taxonomy-history?taxnode_id=201903296","ICTVonline=201903296")</f>
        <v>ICTVonline=201903296</v>
      </c>
      <c r="AA2820" s="1">
        <v>201900000</v>
      </c>
      <c r="AB2820" s="1">
        <v>35</v>
      </c>
    </row>
    <row r="2821" spans="1:28" x14ac:dyDescent="0.2">
      <c r="A2821" s="1">
        <v>7503</v>
      </c>
      <c r="B2821" s="1" t="s">
        <v>10590</v>
      </c>
      <c r="D2821" s="1" t="s">
        <v>10685</v>
      </c>
      <c r="F2821" s="1" t="s">
        <v>11077</v>
      </c>
      <c r="H2821" s="1" t="s">
        <v>11235</v>
      </c>
      <c r="J2821" s="1" t="s">
        <v>11236</v>
      </c>
      <c r="L2821" s="1" t="s">
        <v>2078</v>
      </c>
      <c r="N2821" s="1" t="s">
        <v>2079</v>
      </c>
      <c r="P2821" s="1" t="s">
        <v>5326</v>
      </c>
      <c r="Q2821" s="3">
        <v>0</v>
      </c>
      <c r="R2821" s="23" t="s">
        <v>10605</v>
      </c>
      <c r="S2821" s="23" t="s">
        <v>6844</v>
      </c>
      <c r="T2821" s="23" t="s">
        <v>4866</v>
      </c>
      <c r="U2821" s="3">
        <v>35</v>
      </c>
      <c r="W2821" s="45" t="str">
        <f>HYPERLINK("http://ictvonline.org/taxonomy/p/taxonomy-history?taxnode_id=201905815","ICTVonline=201905815")</f>
        <v>ICTVonline=201905815</v>
      </c>
      <c r="AA2821" s="1">
        <v>201900000</v>
      </c>
      <c r="AB2821" s="1">
        <v>35</v>
      </c>
    </row>
    <row r="2822" spans="1:28" x14ac:dyDescent="0.2">
      <c r="A2822" s="1">
        <v>7505</v>
      </c>
      <c r="B2822" s="1" t="s">
        <v>10590</v>
      </c>
      <c r="D2822" s="1" t="s">
        <v>10685</v>
      </c>
      <c r="F2822" s="1" t="s">
        <v>11077</v>
      </c>
      <c r="H2822" s="1" t="s">
        <v>11235</v>
      </c>
      <c r="J2822" s="1" t="s">
        <v>11236</v>
      </c>
      <c r="L2822" s="1" t="s">
        <v>2078</v>
      </c>
      <c r="N2822" s="1" t="s">
        <v>2079</v>
      </c>
      <c r="P2822" s="1" t="s">
        <v>2399</v>
      </c>
      <c r="Q2822" s="3">
        <v>0</v>
      </c>
      <c r="R2822" s="23" t="s">
        <v>10605</v>
      </c>
      <c r="S2822" s="23" t="s">
        <v>6844</v>
      </c>
      <c r="T2822" s="23" t="s">
        <v>4866</v>
      </c>
      <c r="U2822" s="3">
        <v>35</v>
      </c>
      <c r="W2822" s="45" t="str">
        <f>HYPERLINK("http://ictvonline.org/taxonomy/p/taxonomy-history?taxnode_id=201903297","ICTVonline=201903297")</f>
        <v>ICTVonline=201903297</v>
      </c>
      <c r="AA2822" s="1">
        <v>201900000</v>
      </c>
      <c r="AB2822" s="1">
        <v>35</v>
      </c>
    </row>
    <row r="2823" spans="1:28" x14ac:dyDescent="0.2">
      <c r="A2823" s="1">
        <v>7507</v>
      </c>
      <c r="B2823" s="1" t="s">
        <v>10590</v>
      </c>
      <c r="D2823" s="1" t="s">
        <v>10685</v>
      </c>
      <c r="F2823" s="1" t="s">
        <v>11077</v>
      </c>
      <c r="H2823" s="1" t="s">
        <v>11235</v>
      </c>
      <c r="J2823" s="1" t="s">
        <v>11236</v>
      </c>
      <c r="L2823" s="1" t="s">
        <v>2078</v>
      </c>
      <c r="N2823" s="1" t="s">
        <v>2079</v>
      </c>
      <c r="P2823" s="1" t="s">
        <v>336</v>
      </c>
      <c r="Q2823" s="3">
        <v>0</v>
      </c>
      <c r="R2823" s="23" t="s">
        <v>10605</v>
      </c>
      <c r="S2823" s="23" t="s">
        <v>6844</v>
      </c>
      <c r="T2823" s="23" t="s">
        <v>4866</v>
      </c>
      <c r="U2823" s="3">
        <v>35</v>
      </c>
      <c r="W2823" s="45" t="str">
        <f>HYPERLINK("http://ictvonline.org/taxonomy/p/taxonomy-history?taxnode_id=201903298","ICTVonline=201903298")</f>
        <v>ICTVonline=201903298</v>
      </c>
      <c r="AA2823" s="1">
        <v>201900000</v>
      </c>
      <c r="AB2823" s="1">
        <v>35</v>
      </c>
    </row>
    <row r="2824" spans="1:28" x14ac:dyDescent="0.2">
      <c r="A2824" s="1">
        <v>7509</v>
      </c>
      <c r="B2824" s="1" t="s">
        <v>10590</v>
      </c>
      <c r="D2824" s="1" t="s">
        <v>10685</v>
      </c>
      <c r="F2824" s="1" t="s">
        <v>11077</v>
      </c>
      <c r="H2824" s="1" t="s">
        <v>11235</v>
      </c>
      <c r="J2824" s="1" t="s">
        <v>11236</v>
      </c>
      <c r="L2824" s="1" t="s">
        <v>2078</v>
      </c>
      <c r="N2824" s="1" t="s">
        <v>2079</v>
      </c>
      <c r="P2824" s="1" t="s">
        <v>337</v>
      </c>
      <c r="Q2824" s="3">
        <v>0</v>
      </c>
      <c r="R2824" s="23" t="s">
        <v>10605</v>
      </c>
      <c r="S2824" s="23" t="s">
        <v>6844</v>
      </c>
      <c r="T2824" s="23" t="s">
        <v>4866</v>
      </c>
      <c r="U2824" s="3">
        <v>35</v>
      </c>
      <c r="W2824" s="45" t="str">
        <f>HYPERLINK("http://ictvonline.org/taxonomy/p/taxonomy-history?taxnode_id=201903299","ICTVonline=201903299")</f>
        <v>ICTVonline=201903299</v>
      </c>
      <c r="AA2824" s="1">
        <v>201900000</v>
      </c>
      <c r="AB2824" s="1">
        <v>35</v>
      </c>
    </row>
    <row r="2825" spans="1:28" x14ac:dyDescent="0.2">
      <c r="A2825" s="1">
        <v>7511</v>
      </c>
      <c r="B2825" s="1" t="s">
        <v>10590</v>
      </c>
      <c r="D2825" s="1" t="s">
        <v>10685</v>
      </c>
      <c r="F2825" s="1" t="s">
        <v>11077</v>
      </c>
      <c r="H2825" s="1" t="s">
        <v>11235</v>
      </c>
      <c r="J2825" s="1" t="s">
        <v>11236</v>
      </c>
      <c r="L2825" s="1" t="s">
        <v>2078</v>
      </c>
      <c r="N2825" s="1" t="s">
        <v>2079</v>
      </c>
      <c r="P2825" s="1" t="s">
        <v>5327</v>
      </c>
      <c r="Q2825" s="3">
        <v>0</v>
      </c>
      <c r="R2825" s="23" t="s">
        <v>10605</v>
      </c>
      <c r="S2825" s="23" t="s">
        <v>6844</v>
      </c>
      <c r="T2825" s="23" t="s">
        <v>4866</v>
      </c>
      <c r="U2825" s="3">
        <v>35</v>
      </c>
      <c r="W2825" s="45" t="str">
        <f>HYPERLINK("http://ictvonline.org/taxonomy/p/taxonomy-history?taxnode_id=201905816","ICTVonline=201905816")</f>
        <v>ICTVonline=201905816</v>
      </c>
      <c r="AA2825" s="1">
        <v>201900000</v>
      </c>
      <c r="AB2825" s="1">
        <v>35</v>
      </c>
    </row>
    <row r="2826" spans="1:28" x14ac:dyDescent="0.2">
      <c r="A2826" s="1">
        <v>7513</v>
      </c>
      <c r="B2826" s="1" t="s">
        <v>10590</v>
      </c>
      <c r="D2826" s="1" t="s">
        <v>10685</v>
      </c>
      <c r="F2826" s="1" t="s">
        <v>11077</v>
      </c>
      <c r="H2826" s="1" t="s">
        <v>11235</v>
      </c>
      <c r="J2826" s="1" t="s">
        <v>11236</v>
      </c>
      <c r="L2826" s="1" t="s">
        <v>2078</v>
      </c>
      <c r="N2826" s="1" t="s">
        <v>2079</v>
      </c>
      <c r="P2826" s="1" t="s">
        <v>2400</v>
      </c>
      <c r="Q2826" s="3">
        <v>0</v>
      </c>
      <c r="R2826" s="23" t="s">
        <v>10605</v>
      </c>
      <c r="S2826" s="23" t="s">
        <v>6844</v>
      </c>
      <c r="T2826" s="23" t="s">
        <v>4866</v>
      </c>
      <c r="U2826" s="3">
        <v>35</v>
      </c>
      <c r="W2826" s="45" t="str">
        <f>HYPERLINK("http://ictvonline.org/taxonomy/p/taxonomy-history?taxnode_id=201903300","ICTVonline=201903300")</f>
        <v>ICTVonline=201903300</v>
      </c>
      <c r="AA2826" s="1">
        <v>201900000</v>
      </c>
      <c r="AB2826" s="1">
        <v>35</v>
      </c>
    </row>
    <row r="2827" spans="1:28" x14ac:dyDescent="0.2">
      <c r="A2827" s="1">
        <v>7515</v>
      </c>
      <c r="B2827" s="1" t="s">
        <v>10590</v>
      </c>
      <c r="D2827" s="1" t="s">
        <v>10685</v>
      </c>
      <c r="F2827" s="1" t="s">
        <v>11077</v>
      </c>
      <c r="H2827" s="1" t="s">
        <v>11235</v>
      </c>
      <c r="J2827" s="1" t="s">
        <v>11236</v>
      </c>
      <c r="L2827" s="1" t="s">
        <v>2078</v>
      </c>
      <c r="N2827" s="1" t="s">
        <v>2079</v>
      </c>
      <c r="P2827" s="1" t="s">
        <v>338</v>
      </c>
      <c r="Q2827" s="3">
        <v>0</v>
      </c>
      <c r="R2827" s="23" t="s">
        <v>10605</v>
      </c>
      <c r="S2827" s="23" t="s">
        <v>6844</v>
      </c>
      <c r="T2827" s="23" t="s">
        <v>4866</v>
      </c>
      <c r="U2827" s="3">
        <v>35</v>
      </c>
      <c r="W2827" s="45" t="str">
        <f>HYPERLINK("http://ictvonline.org/taxonomy/p/taxonomy-history?taxnode_id=201903301","ICTVonline=201903301")</f>
        <v>ICTVonline=201903301</v>
      </c>
      <c r="AA2827" s="1">
        <v>201900000</v>
      </c>
      <c r="AB2827" s="1">
        <v>35</v>
      </c>
    </row>
    <row r="2828" spans="1:28" x14ac:dyDescent="0.2">
      <c r="A2828" s="1">
        <v>7517</v>
      </c>
      <c r="B2828" s="1" t="s">
        <v>10590</v>
      </c>
      <c r="D2828" s="1" t="s">
        <v>10685</v>
      </c>
      <c r="F2828" s="1" t="s">
        <v>11077</v>
      </c>
      <c r="H2828" s="1" t="s">
        <v>11235</v>
      </c>
      <c r="J2828" s="1" t="s">
        <v>11236</v>
      </c>
      <c r="L2828" s="1" t="s">
        <v>2078</v>
      </c>
      <c r="N2828" s="1" t="s">
        <v>2079</v>
      </c>
      <c r="P2828" s="1" t="s">
        <v>339</v>
      </c>
      <c r="Q2828" s="3">
        <v>0</v>
      </c>
      <c r="R2828" s="23" t="s">
        <v>10605</v>
      </c>
      <c r="S2828" s="23" t="s">
        <v>6844</v>
      </c>
      <c r="T2828" s="23" t="s">
        <v>4866</v>
      </c>
      <c r="U2828" s="3">
        <v>35</v>
      </c>
      <c r="W2828" s="45" t="str">
        <f>HYPERLINK("http://ictvonline.org/taxonomy/p/taxonomy-history?taxnode_id=201903302","ICTVonline=201903302")</f>
        <v>ICTVonline=201903302</v>
      </c>
      <c r="AA2828" s="1">
        <v>201900000</v>
      </c>
      <c r="AB2828" s="1">
        <v>35</v>
      </c>
    </row>
    <row r="2829" spans="1:28" x14ac:dyDescent="0.2">
      <c r="A2829" s="1">
        <v>7519</v>
      </c>
      <c r="B2829" s="1" t="s">
        <v>10590</v>
      </c>
      <c r="D2829" s="1" t="s">
        <v>10685</v>
      </c>
      <c r="F2829" s="1" t="s">
        <v>11077</v>
      </c>
      <c r="H2829" s="1" t="s">
        <v>11235</v>
      </c>
      <c r="J2829" s="1" t="s">
        <v>11236</v>
      </c>
      <c r="L2829" s="1" t="s">
        <v>2078</v>
      </c>
      <c r="N2829" s="1" t="s">
        <v>2079</v>
      </c>
      <c r="P2829" s="1" t="s">
        <v>340</v>
      </c>
      <c r="Q2829" s="3">
        <v>0</v>
      </c>
      <c r="R2829" s="23" t="s">
        <v>10605</v>
      </c>
      <c r="S2829" s="23" t="s">
        <v>6844</v>
      </c>
      <c r="T2829" s="23" t="s">
        <v>4866</v>
      </c>
      <c r="U2829" s="3">
        <v>35</v>
      </c>
      <c r="W2829" s="45" t="str">
        <f>HYPERLINK("http://ictvonline.org/taxonomy/p/taxonomy-history?taxnode_id=201903303","ICTVonline=201903303")</f>
        <v>ICTVonline=201903303</v>
      </c>
      <c r="AA2829" s="1">
        <v>201900000</v>
      </c>
      <c r="AB2829" s="1">
        <v>35</v>
      </c>
    </row>
    <row r="2830" spans="1:28" x14ac:dyDescent="0.2">
      <c r="A2830" s="1">
        <v>7521</v>
      </c>
      <c r="B2830" s="1" t="s">
        <v>10590</v>
      </c>
      <c r="D2830" s="1" t="s">
        <v>10685</v>
      </c>
      <c r="F2830" s="1" t="s">
        <v>11077</v>
      </c>
      <c r="H2830" s="1" t="s">
        <v>11235</v>
      </c>
      <c r="J2830" s="1" t="s">
        <v>11236</v>
      </c>
      <c r="L2830" s="1" t="s">
        <v>2078</v>
      </c>
      <c r="N2830" s="1" t="s">
        <v>2079</v>
      </c>
      <c r="P2830" s="1" t="s">
        <v>11361</v>
      </c>
      <c r="Q2830" s="3">
        <v>0</v>
      </c>
      <c r="R2830" s="23" t="s">
        <v>10596</v>
      </c>
      <c r="S2830" s="23" t="s">
        <v>6849</v>
      </c>
      <c r="T2830" s="23" t="s">
        <v>4864</v>
      </c>
      <c r="U2830" s="3">
        <v>35</v>
      </c>
      <c r="V2830" s="3" t="s">
        <v>11246</v>
      </c>
      <c r="W2830" s="45" t="str">
        <f>HYPERLINK("http://ictvonline.org/taxonomy/p/taxonomy-history?taxnode_id=201907527","ICTVonline=201907527")</f>
        <v>ICTVonline=201907527</v>
      </c>
      <c r="X2830" s="1" t="s">
        <v>11362</v>
      </c>
      <c r="Y2830" s="1" t="s">
        <v>11363</v>
      </c>
      <c r="Z2830" s="1" t="s">
        <v>11364</v>
      </c>
      <c r="AA2830" s="1">
        <v>201900000</v>
      </c>
      <c r="AB2830" s="1">
        <v>35</v>
      </c>
    </row>
    <row r="2831" spans="1:28" x14ac:dyDescent="0.2">
      <c r="A2831" s="1">
        <v>7523</v>
      </c>
      <c r="B2831" s="1" t="s">
        <v>10590</v>
      </c>
      <c r="D2831" s="1" t="s">
        <v>10685</v>
      </c>
      <c r="F2831" s="1" t="s">
        <v>11077</v>
      </c>
      <c r="H2831" s="1" t="s">
        <v>11235</v>
      </c>
      <c r="J2831" s="1" t="s">
        <v>11236</v>
      </c>
      <c r="L2831" s="1" t="s">
        <v>2078</v>
      </c>
      <c r="N2831" s="1" t="s">
        <v>2079</v>
      </c>
      <c r="P2831" s="1" t="s">
        <v>5328</v>
      </c>
      <c r="Q2831" s="3">
        <v>0</v>
      </c>
      <c r="R2831" s="23" t="s">
        <v>10605</v>
      </c>
      <c r="S2831" s="23" t="s">
        <v>6844</v>
      </c>
      <c r="T2831" s="23" t="s">
        <v>4866</v>
      </c>
      <c r="U2831" s="3">
        <v>35</v>
      </c>
      <c r="W2831" s="45" t="str">
        <f>HYPERLINK("http://ictvonline.org/taxonomy/p/taxonomy-history?taxnode_id=201905817","ICTVonline=201905817")</f>
        <v>ICTVonline=201905817</v>
      </c>
      <c r="AA2831" s="1">
        <v>201900000</v>
      </c>
      <c r="AB2831" s="1">
        <v>35</v>
      </c>
    </row>
    <row r="2832" spans="1:28" x14ac:dyDescent="0.2">
      <c r="A2832" s="1">
        <v>7525</v>
      </c>
      <c r="B2832" s="1" t="s">
        <v>10590</v>
      </c>
      <c r="D2832" s="1" t="s">
        <v>10685</v>
      </c>
      <c r="F2832" s="1" t="s">
        <v>11077</v>
      </c>
      <c r="H2832" s="1" t="s">
        <v>11235</v>
      </c>
      <c r="J2832" s="1" t="s">
        <v>11236</v>
      </c>
      <c r="L2832" s="1" t="s">
        <v>2078</v>
      </c>
      <c r="N2832" s="1" t="s">
        <v>2079</v>
      </c>
      <c r="P2832" s="1" t="s">
        <v>2401</v>
      </c>
      <c r="Q2832" s="3">
        <v>0</v>
      </c>
      <c r="R2832" s="23" t="s">
        <v>10605</v>
      </c>
      <c r="S2832" s="23" t="s">
        <v>6844</v>
      </c>
      <c r="T2832" s="23" t="s">
        <v>4866</v>
      </c>
      <c r="U2832" s="3">
        <v>35</v>
      </c>
      <c r="W2832" s="45" t="str">
        <f>HYPERLINK("http://ictvonline.org/taxonomy/p/taxonomy-history?taxnode_id=201903304","ICTVonline=201903304")</f>
        <v>ICTVonline=201903304</v>
      </c>
      <c r="AA2832" s="1">
        <v>201900000</v>
      </c>
      <c r="AB2832" s="1">
        <v>35</v>
      </c>
    </row>
    <row r="2833" spans="1:28" x14ac:dyDescent="0.2">
      <c r="A2833" s="1">
        <v>7527</v>
      </c>
      <c r="B2833" s="1" t="s">
        <v>10590</v>
      </c>
      <c r="D2833" s="1" t="s">
        <v>10685</v>
      </c>
      <c r="F2833" s="1" t="s">
        <v>11077</v>
      </c>
      <c r="H2833" s="1" t="s">
        <v>11235</v>
      </c>
      <c r="J2833" s="1" t="s">
        <v>11236</v>
      </c>
      <c r="L2833" s="1" t="s">
        <v>2078</v>
      </c>
      <c r="N2833" s="1" t="s">
        <v>2079</v>
      </c>
      <c r="P2833" s="1" t="s">
        <v>5329</v>
      </c>
      <c r="Q2833" s="3">
        <v>0</v>
      </c>
      <c r="R2833" s="23" t="s">
        <v>10605</v>
      </c>
      <c r="S2833" s="23" t="s">
        <v>6844</v>
      </c>
      <c r="T2833" s="23" t="s">
        <v>4866</v>
      </c>
      <c r="U2833" s="3">
        <v>35</v>
      </c>
      <c r="W2833" s="45" t="str">
        <f>HYPERLINK("http://ictvonline.org/taxonomy/p/taxonomy-history?taxnode_id=201905818","ICTVonline=201905818")</f>
        <v>ICTVonline=201905818</v>
      </c>
      <c r="AA2833" s="1">
        <v>201900000</v>
      </c>
      <c r="AB2833" s="1">
        <v>35</v>
      </c>
    </row>
    <row r="2834" spans="1:28" x14ac:dyDescent="0.2">
      <c r="A2834" s="1">
        <v>7529</v>
      </c>
      <c r="B2834" s="1" t="s">
        <v>10590</v>
      </c>
      <c r="D2834" s="1" t="s">
        <v>10685</v>
      </c>
      <c r="F2834" s="1" t="s">
        <v>11077</v>
      </c>
      <c r="H2834" s="1" t="s">
        <v>11235</v>
      </c>
      <c r="J2834" s="1" t="s">
        <v>11236</v>
      </c>
      <c r="L2834" s="1" t="s">
        <v>2078</v>
      </c>
      <c r="N2834" s="1" t="s">
        <v>2079</v>
      </c>
      <c r="P2834" s="1" t="s">
        <v>5330</v>
      </c>
      <c r="Q2834" s="3">
        <v>0</v>
      </c>
      <c r="R2834" s="23" t="s">
        <v>10605</v>
      </c>
      <c r="S2834" s="23" t="s">
        <v>6844</v>
      </c>
      <c r="T2834" s="23" t="s">
        <v>4866</v>
      </c>
      <c r="U2834" s="3">
        <v>35</v>
      </c>
      <c r="W2834" s="45" t="str">
        <f>HYPERLINK("http://ictvonline.org/taxonomy/p/taxonomy-history?taxnode_id=201905819","ICTVonline=201905819")</f>
        <v>ICTVonline=201905819</v>
      </c>
      <c r="AA2834" s="1">
        <v>201900000</v>
      </c>
      <c r="AB2834" s="1">
        <v>35</v>
      </c>
    </row>
    <row r="2835" spans="1:28" x14ac:dyDescent="0.2">
      <c r="A2835" s="1">
        <v>7531</v>
      </c>
      <c r="B2835" s="1" t="s">
        <v>10590</v>
      </c>
      <c r="D2835" s="1" t="s">
        <v>10685</v>
      </c>
      <c r="F2835" s="1" t="s">
        <v>11077</v>
      </c>
      <c r="H2835" s="1" t="s">
        <v>11235</v>
      </c>
      <c r="J2835" s="1" t="s">
        <v>11236</v>
      </c>
      <c r="L2835" s="1" t="s">
        <v>2078</v>
      </c>
      <c r="N2835" s="1" t="s">
        <v>2079</v>
      </c>
      <c r="P2835" s="1" t="s">
        <v>5331</v>
      </c>
      <c r="Q2835" s="3">
        <v>0</v>
      </c>
      <c r="R2835" s="23" t="s">
        <v>10605</v>
      </c>
      <c r="S2835" s="23" t="s">
        <v>6844</v>
      </c>
      <c r="T2835" s="23" t="s">
        <v>4866</v>
      </c>
      <c r="U2835" s="3">
        <v>35</v>
      </c>
      <c r="W2835" s="45" t="str">
        <f>HYPERLINK("http://ictvonline.org/taxonomy/p/taxonomy-history?taxnode_id=201905820","ICTVonline=201905820")</f>
        <v>ICTVonline=201905820</v>
      </c>
      <c r="AA2835" s="1">
        <v>201900000</v>
      </c>
      <c r="AB2835" s="1">
        <v>35</v>
      </c>
    </row>
    <row r="2836" spans="1:28" x14ac:dyDescent="0.2">
      <c r="A2836" s="1">
        <v>7533</v>
      </c>
      <c r="B2836" s="1" t="s">
        <v>10590</v>
      </c>
      <c r="D2836" s="1" t="s">
        <v>10685</v>
      </c>
      <c r="F2836" s="1" t="s">
        <v>11077</v>
      </c>
      <c r="H2836" s="1" t="s">
        <v>11235</v>
      </c>
      <c r="J2836" s="1" t="s">
        <v>11236</v>
      </c>
      <c r="L2836" s="1" t="s">
        <v>2078</v>
      </c>
      <c r="N2836" s="1" t="s">
        <v>2079</v>
      </c>
      <c r="P2836" s="1" t="s">
        <v>5332</v>
      </c>
      <c r="Q2836" s="3">
        <v>0</v>
      </c>
      <c r="R2836" s="23" t="s">
        <v>10605</v>
      </c>
      <c r="S2836" s="23" t="s">
        <v>6844</v>
      </c>
      <c r="T2836" s="23" t="s">
        <v>4866</v>
      </c>
      <c r="U2836" s="3">
        <v>35</v>
      </c>
      <c r="W2836" s="45" t="str">
        <f>HYPERLINK("http://ictvonline.org/taxonomy/p/taxonomy-history?taxnode_id=201903305","ICTVonline=201903305")</f>
        <v>ICTVonline=201903305</v>
      </c>
      <c r="AA2836" s="1">
        <v>201900000</v>
      </c>
      <c r="AB2836" s="1">
        <v>35</v>
      </c>
    </row>
    <row r="2837" spans="1:28" x14ac:dyDescent="0.2">
      <c r="A2837" s="1">
        <v>7535</v>
      </c>
      <c r="B2837" s="1" t="s">
        <v>10590</v>
      </c>
      <c r="D2837" s="1" t="s">
        <v>10685</v>
      </c>
      <c r="F2837" s="1" t="s">
        <v>11077</v>
      </c>
      <c r="H2837" s="1" t="s">
        <v>11235</v>
      </c>
      <c r="J2837" s="1" t="s">
        <v>11236</v>
      </c>
      <c r="L2837" s="1" t="s">
        <v>2078</v>
      </c>
      <c r="N2837" s="1" t="s">
        <v>2079</v>
      </c>
      <c r="P2837" s="1" t="s">
        <v>341</v>
      </c>
      <c r="Q2837" s="3">
        <v>0</v>
      </c>
      <c r="R2837" s="23" t="s">
        <v>10605</v>
      </c>
      <c r="S2837" s="23" t="s">
        <v>6844</v>
      </c>
      <c r="T2837" s="23" t="s">
        <v>4866</v>
      </c>
      <c r="U2837" s="3">
        <v>35</v>
      </c>
      <c r="W2837" s="45" t="str">
        <f>HYPERLINK("http://ictvonline.org/taxonomy/p/taxonomy-history?taxnode_id=201903306","ICTVonline=201903306")</f>
        <v>ICTVonline=201903306</v>
      </c>
      <c r="AA2837" s="1">
        <v>201900000</v>
      </c>
      <c r="AB2837" s="1">
        <v>35</v>
      </c>
    </row>
    <row r="2838" spans="1:28" x14ac:dyDescent="0.2">
      <c r="A2838" s="1">
        <v>7537</v>
      </c>
      <c r="B2838" s="1" t="s">
        <v>10590</v>
      </c>
      <c r="D2838" s="1" t="s">
        <v>10685</v>
      </c>
      <c r="F2838" s="1" t="s">
        <v>11077</v>
      </c>
      <c r="H2838" s="1" t="s">
        <v>11235</v>
      </c>
      <c r="J2838" s="1" t="s">
        <v>11236</v>
      </c>
      <c r="L2838" s="1" t="s">
        <v>2078</v>
      </c>
      <c r="N2838" s="1" t="s">
        <v>2079</v>
      </c>
      <c r="P2838" s="1" t="s">
        <v>342</v>
      </c>
      <c r="Q2838" s="3">
        <v>0</v>
      </c>
      <c r="R2838" s="23" t="s">
        <v>10605</v>
      </c>
      <c r="S2838" s="23" t="s">
        <v>6844</v>
      </c>
      <c r="T2838" s="23" t="s">
        <v>4866</v>
      </c>
      <c r="U2838" s="3">
        <v>35</v>
      </c>
      <c r="W2838" s="45" t="str">
        <f>HYPERLINK("http://ictvonline.org/taxonomy/p/taxonomy-history?taxnode_id=201903307","ICTVonline=201903307")</f>
        <v>ICTVonline=201903307</v>
      </c>
      <c r="AA2838" s="1">
        <v>201900000</v>
      </c>
      <c r="AB2838" s="1">
        <v>35</v>
      </c>
    </row>
    <row r="2839" spans="1:28" x14ac:dyDescent="0.2">
      <c r="A2839" s="1">
        <v>7539</v>
      </c>
      <c r="B2839" s="1" t="s">
        <v>10590</v>
      </c>
      <c r="D2839" s="1" t="s">
        <v>10685</v>
      </c>
      <c r="F2839" s="1" t="s">
        <v>11077</v>
      </c>
      <c r="H2839" s="1" t="s">
        <v>11235</v>
      </c>
      <c r="J2839" s="1" t="s">
        <v>11236</v>
      </c>
      <c r="L2839" s="1" t="s">
        <v>2078</v>
      </c>
      <c r="N2839" s="1" t="s">
        <v>2079</v>
      </c>
      <c r="P2839" s="1" t="s">
        <v>1437</v>
      </c>
      <c r="Q2839" s="3">
        <v>0</v>
      </c>
      <c r="R2839" s="23" t="s">
        <v>10605</v>
      </c>
      <c r="S2839" s="23" t="s">
        <v>6844</v>
      </c>
      <c r="T2839" s="23" t="s">
        <v>4866</v>
      </c>
      <c r="U2839" s="3">
        <v>35</v>
      </c>
      <c r="W2839" s="45" t="str">
        <f>HYPERLINK("http://ictvonline.org/taxonomy/p/taxonomy-history?taxnode_id=201903308","ICTVonline=201903308")</f>
        <v>ICTVonline=201903308</v>
      </c>
      <c r="AA2839" s="1">
        <v>201900000</v>
      </c>
      <c r="AB2839" s="1">
        <v>35</v>
      </c>
    </row>
    <row r="2840" spans="1:28" x14ac:dyDescent="0.2">
      <c r="A2840" s="1">
        <v>7541</v>
      </c>
      <c r="B2840" s="1" t="s">
        <v>10590</v>
      </c>
      <c r="D2840" s="1" t="s">
        <v>10685</v>
      </c>
      <c r="F2840" s="1" t="s">
        <v>11077</v>
      </c>
      <c r="H2840" s="1" t="s">
        <v>11235</v>
      </c>
      <c r="J2840" s="1" t="s">
        <v>11236</v>
      </c>
      <c r="L2840" s="1" t="s">
        <v>2078</v>
      </c>
      <c r="N2840" s="1" t="s">
        <v>2079</v>
      </c>
      <c r="P2840" s="1" t="s">
        <v>450</v>
      </c>
      <c r="Q2840" s="3">
        <v>0</v>
      </c>
      <c r="R2840" s="23" t="s">
        <v>10605</v>
      </c>
      <c r="S2840" s="23" t="s">
        <v>6844</v>
      </c>
      <c r="T2840" s="23" t="s">
        <v>4866</v>
      </c>
      <c r="U2840" s="3">
        <v>35</v>
      </c>
      <c r="W2840" s="45" t="str">
        <f>HYPERLINK("http://ictvonline.org/taxonomy/p/taxonomy-history?taxnode_id=201903309","ICTVonline=201903309")</f>
        <v>ICTVonline=201903309</v>
      </c>
      <c r="AA2840" s="1">
        <v>201900000</v>
      </c>
      <c r="AB2840" s="1">
        <v>35</v>
      </c>
    </row>
    <row r="2841" spans="1:28" x14ac:dyDescent="0.2">
      <c r="A2841" s="1">
        <v>7543</v>
      </c>
      <c r="B2841" s="1" t="s">
        <v>10590</v>
      </c>
      <c r="D2841" s="1" t="s">
        <v>10685</v>
      </c>
      <c r="F2841" s="1" t="s">
        <v>11077</v>
      </c>
      <c r="H2841" s="1" t="s">
        <v>11235</v>
      </c>
      <c r="J2841" s="1" t="s">
        <v>11236</v>
      </c>
      <c r="L2841" s="1" t="s">
        <v>2078</v>
      </c>
      <c r="N2841" s="1" t="s">
        <v>2079</v>
      </c>
      <c r="P2841" s="1" t="s">
        <v>451</v>
      </c>
      <c r="Q2841" s="3">
        <v>0</v>
      </c>
      <c r="R2841" s="23" t="s">
        <v>10605</v>
      </c>
      <c r="S2841" s="23" t="s">
        <v>6844</v>
      </c>
      <c r="T2841" s="23" t="s">
        <v>4866</v>
      </c>
      <c r="U2841" s="3">
        <v>35</v>
      </c>
      <c r="W2841" s="45" t="str">
        <f>HYPERLINK("http://ictvonline.org/taxonomy/p/taxonomy-history?taxnode_id=201903310","ICTVonline=201903310")</f>
        <v>ICTVonline=201903310</v>
      </c>
      <c r="AA2841" s="1">
        <v>201900000</v>
      </c>
      <c r="AB2841" s="1">
        <v>35</v>
      </c>
    </row>
    <row r="2842" spans="1:28" x14ac:dyDescent="0.2">
      <c r="A2842" s="1">
        <v>7545</v>
      </c>
      <c r="B2842" s="1" t="s">
        <v>10590</v>
      </c>
      <c r="D2842" s="1" t="s">
        <v>10685</v>
      </c>
      <c r="F2842" s="1" t="s">
        <v>11077</v>
      </c>
      <c r="H2842" s="1" t="s">
        <v>11235</v>
      </c>
      <c r="J2842" s="1" t="s">
        <v>11236</v>
      </c>
      <c r="L2842" s="1" t="s">
        <v>2078</v>
      </c>
      <c r="N2842" s="1" t="s">
        <v>2079</v>
      </c>
      <c r="P2842" s="1" t="s">
        <v>2402</v>
      </c>
      <c r="Q2842" s="3">
        <v>0</v>
      </c>
      <c r="R2842" s="23" t="s">
        <v>10605</v>
      </c>
      <c r="S2842" s="23" t="s">
        <v>6844</v>
      </c>
      <c r="T2842" s="23" t="s">
        <v>4866</v>
      </c>
      <c r="U2842" s="3">
        <v>35</v>
      </c>
      <c r="W2842" s="45" t="str">
        <f>HYPERLINK("http://ictvonline.org/taxonomy/p/taxonomy-history?taxnode_id=201903311","ICTVonline=201903311")</f>
        <v>ICTVonline=201903311</v>
      </c>
      <c r="AA2842" s="1">
        <v>201900000</v>
      </c>
      <c r="AB2842" s="1">
        <v>35</v>
      </c>
    </row>
    <row r="2843" spans="1:28" x14ac:dyDescent="0.2">
      <c r="A2843" s="1">
        <v>7547</v>
      </c>
      <c r="B2843" s="1" t="s">
        <v>10590</v>
      </c>
      <c r="D2843" s="1" t="s">
        <v>10685</v>
      </c>
      <c r="F2843" s="1" t="s">
        <v>11077</v>
      </c>
      <c r="H2843" s="1" t="s">
        <v>11235</v>
      </c>
      <c r="J2843" s="1" t="s">
        <v>11236</v>
      </c>
      <c r="L2843" s="1" t="s">
        <v>2078</v>
      </c>
      <c r="N2843" s="1" t="s">
        <v>2079</v>
      </c>
      <c r="P2843" s="1" t="s">
        <v>6759</v>
      </c>
      <c r="Q2843" s="3">
        <v>0</v>
      </c>
      <c r="R2843" s="23" t="s">
        <v>10605</v>
      </c>
      <c r="S2843" s="23" t="s">
        <v>6844</v>
      </c>
      <c r="T2843" s="23" t="s">
        <v>4866</v>
      </c>
      <c r="U2843" s="3">
        <v>35</v>
      </c>
      <c r="W2843" s="45" t="str">
        <f>HYPERLINK("http://ictvonline.org/taxonomy/p/taxonomy-history?taxnode_id=201906705","ICTVonline=201906705")</f>
        <v>ICTVonline=201906705</v>
      </c>
      <c r="X2843" s="1" t="s">
        <v>11365</v>
      </c>
      <c r="Y2843" s="1" t="s">
        <v>11366</v>
      </c>
      <c r="Z2843" s="1" t="s">
        <v>11367</v>
      </c>
      <c r="AA2843" s="1">
        <v>201900000</v>
      </c>
      <c r="AB2843" s="1">
        <v>35</v>
      </c>
    </row>
    <row r="2844" spans="1:28" x14ac:dyDescent="0.2">
      <c r="A2844" s="1">
        <v>7549</v>
      </c>
      <c r="B2844" s="1" t="s">
        <v>10590</v>
      </c>
      <c r="D2844" s="1" t="s">
        <v>10685</v>
      </c>
      <c r="F2844" s="1" t="s">
        <v>11077</v>
      </c>
      <c r="H2844" s="1" t="s">
        <v>11235</v>
      </c>
      <c r="J2844" s="1" t="s">
        <v>11236</v>
      </c>
      <c r="L2844" s="1" t="s">
        <v>2078</v>
      </c>
      <c r="N2844" s="1" t="s">
        <v>2079</v>
      </c>
      <c r="P2844" s="1" t="s">
        <v>11368</v>
      </c>
      <c r="Q2844" s="3">
        <v>0</v>
      </c>
      <c r="R2844" s="23" t="s">
        <v>10596</v>
      </c>
      <c r="S2844" s="23" t="s">
        <v>6849</v>
      </c>
      <c r="T2844" s="23" t="s">
        <v>4864</v>
      </c>
      <c r="U2844" s="3">
        <v>35</v>
      </c>
      <c r="V2844" s="3" t="s">
        <v>11246</v>
      </c>
      <c r="W2844" s="45" t="str">
        <f>HYPERLINK("http://ictvonline.org/taxonomy/p/taxonomy-history?taxnode_id=201907528","ICTVonline=201907528")</f>
        <v>ICTVonline=201907528</v>
      </c>
      <c r="X2844" s="1" t="s">
        <v>11369</v>
      </c>
      <c r="Y2844" s="1" t="s">
        <v>11370</v>
      </c>
      <c r="Z2844" s="1" t="s">
        <v>11371</v>
      </c>
      <c r="AA2844" s="1">
        <v>201900000</v>
      </c>
      <c r="AB2844" s="1">
        <v>35</v>
      </c>
    </row>
    <row r="2845" spans="1:28" x14ac:dyDescent="0.2">
      <c r="A2845" s="1">
        <v>7551</v>
      </c>
      <c r="B2845" s="1" t="s">
        <v>10590</v>
      </c>
      <c r="D2845" s="1" t="s">
        <v>10685</v>
      </c>
      <c r="F2845" s="1" t="s">
        <v>11077</v>
      </c>
      <c r="H2845" s="1" t="s">
        <v>11235</v>
      </c>
      <c r="J2845" s="1" t="s">
        <v>11236</v>
      </c>
      <c r="L2845" s="1" t="s">
        <v>2078</v>
      </c>
      <c r="N2845" s="1" t="s">
        <v>2079</v>
      </c>
      <c r="P2845" s="1" t="s">
        <v>1462</v>
      </c>
      <c r="Q2845" s="3">
        <v>0</v>
      </c>
      <c r="R2845" s="23" t="s">
        <v>10605</v>
      </c>
      <c r="S2845" s="23" t="s">
        <v>6844</v>
      </c>
      <c r="T2845" s="23" t="s">
        <v>4866</v>
      </c>
      <c r="U2845" s="3">
        <v>35</v>
      </c>
      <c r="W2845" s="45" t="str">
        <f>HYPERLINK("http://ictvonline.org/taxonomy/p/taxonomy-history?taxnode_id=201903312","ICTVonline=201903312")</f>
        <v>ICTVonline=201903312</v>
      </c>
      <c r="AA2845" s="1">
        <v>201900000</v>
      </c>
      <c r="AB2845" s="1">
        <v>35</v>
      </c>
    </row>
    <row r="2846" spans="1:28" x14ac:dyDescent="0.2">
      <c r="A2846" s="1">
        <v>7553</v>
      </c>
      <c r="B2846" s="1" t="s">
        <v>10590</v>
      </c>
      <c r="D2846" s="1" t="s">
        <v>10685</v>
      </c>
      <c r="F2846" s="1" t="s">
        <v>11077</v>
      </c>
      <c r="H2846" s="1" t="s">
        <v>11235</v>
      </c>
      <c r="J2846" s="1" t="s">
        <v>11236</v>
      </c>
      <c r="L2846" s="1" t="s">
        <v>2078</v>
      </c>
      <c r="N2846" s="1" t="s">
        <v>2079</v>
      </c>
      <c r="P2846" s="1" t="s">
        <v>6760</v>
      </c>
      <c r="Q2846" s="3">
        <v>0</v>
      </c>
      <c r="R2846" s="23" t="s">
        <v>10605</v>
      </c>
      <c r="S2846" s="23" t="s">
        <v>6844</v>
      </c>
      <c r="T2846" s="23" t="s">
        <v>4866</v>
      </c>
      <c r="U2846" s="3">
        <v>35</v>
      </c>
      <c r="W2846" s="45" t="str">
        <f>HYPERLINK("http://ictvonline.org/taxonomy/p/taxonomy-history?taxnode_id=201906706","ICTVonline=201906706")</f>
        <v>ICTVonline=201906706</v>
      </c>
      <c r="X2846" s="1" t="s">
        <v>11372</v>
      </c>
      <c r="Y2846" s="1" t="s">
        <v>11373</v>
      </c>
      <c r="Z2846" s="1" t="s">
        <v>11374</v>
      </c>
      <c r="AA2846" s="1">
        <v>201900000</v>
      </c>
      <c r="AB2846" s="1">
        <v>35</v>
      </c>
    </row>
    <row r="2847" spans="1:28" x14ac:dyDescent="0.2">
      <c r="A2847" s="1">
        <v>7555</v>
      </c>
      <c r="B2847" s="1" t="s">
        <v>10590</v>
      </c>
      <c r="D2847" s="1" t="s">
        <v>10685</v>
      </c>
      <c r="F2847" s="1" t="s">
        <v>11077</v>
      </c>
      <c r="H2847" s="1" t="s">
        <v>11235</v>
      </c>
      <c r="J2847" s="1" t="s">
        <v>11236</v>
      </c>
      <c r="L2847" s="1" t="s">
        <v>2078</v>
      </c>
      <c r="N2847" s="1" t="s">
        <v>2079</v>
      </c>
      <c r="P2847" s="1" t="s">
        <v>5333</v>
      </c>
      <c r="Q2847" s="3">
        <v>0</v>
      </c>
      <c r="R2847" s="23" t="s">
        <v>10605</v>
      </c>
      <c r="S2847" s="23" t="s">
        <v>6844</v>
      </c>
      <c r="T2847" s="23" t="s">
        <v>4866</v>
      </c>
      <c r="U2847" s="3">
        <v>35</v>
      </c>
      <c r="W2847" s="45" t="str">
        <f>HYPERLINK("http://ictvonline.org/taxonomy/p/taxonomy-history?taxnode_id=201905821","ICTVonline=201905821")</f>
        <v>ICTVonline=201905821</v>
      </c>
      <c r="AA2847" s="1">
        <v>201900000</v>
      </c>
      <c r="AB2847" s="1">
        <v>35</v>
      </c>
    </row>
    <row r="2848" spans="1:28" x14ac:dyDescent="0.2">
      <c r="A2848" s="1">
        <v>7557</v>
      </c>
      <c r="B2848" s="1" t="s">
        <v>10590</v>
      </c>
      <c r="D2848" s="1" t="s">
        <v>10685</v>
      </c>
      <c r="F2848" s="1" t="s">
        <v>11077</v>
      </c>
      <c r="H2848" s="1" t="s">
        <v>11235</v>
      </c>
      <c r="J2848" s="1" t="s">
        <v>11236</v>
      </c>
      <c r="L2848" s="1" t="s">
        <v>2078</v>
      </c>
      <c r="N2848" s="1" t="s">
        <v>2079</v>
      </c>
      <c r="P2848" s="1" t="s">
        <v>3736</v>
      </c>
      <c r="Q2848" s="3">
        <v>0</v>
      </c>
      <c r="R2848" s="23" t="s">
        <v>10605</v>
      </c>
      <c r="S2848" s="23" t="s">
        <v>6844</v>
      </c>
      <c r="T2848" s="23" t="s">
        <v>4866</v>
      </c>
      <c r="U2848" s="3">
        <v>35</v>
      </c>
      <c r="W2848" s="45" t="str">
        <f>HYPERLINK("http://ictvonline.org/taxonomy/p/taxonomy-history?taxnode_id=201903313","ICTVonline=201903313")</f>
        <v>ICTVonline=201903313</v>
      </c>
      <c r="Y2848" s="1" t="s">
        <v>11375</v>
      </c>
      <c r="Z2848" s="1" t="s">
        <v>11376</v>
      </c>
      <c r="AA2848" s="1">
        <v>201900000</v>
      </c>
      <c r="AB2848" s="1">
        <v>35</v>
      </c>
    </row>
    <row r="2849" spans="1:28" x14ac:dyDescent="0.2">
      <c r="A2849" s="1">
        <v>7559</v>
      </c>
      <c r="B2849" s="1" t="s">
        <v>10590</v>
      </c>
      <c r="D2849" s="1" t="s">
        <v>10685</v>
      </c>
      <c r="F2849" s="1" t="s">
        <v>11077</v>
      </c>
      <c r="H2849" s="1" t="s">
        <v>11235</v>
      </c>
      <c r="J2849" s="1" t="s">
        <v>11236</v>
      </c>
      <c r="L2849" s="1" t="s">
        <v>2078</v>
      </c>
      <c r="N2849" s="1" t="s">
        <v>2079</v>
      </c>
      <c r="P2849" s="1" t="s">
        <v>1463</v>
      </c>
      <c r="Q2849" s="3">
        <v>0</v>
      </c>
      <c r="R2849" s="23" t="s">
        <v>10605</v>
      </c>
      <c r="S2849" s="23" t="s">
        <v>6844</v>
      </c>
      <c r="T2849" s="23" t="s">
        <v>4866</v>
      </c>
      <c r="U2849" s="3">
        <v>35</v>
      </c>
      <c r="W2849" s="45" t="str">
        <f>HYPERLINK("http://ictvonline.org/taxonomy/p/taxonomy-history?taxnode_id=201903314","ICTVonline=201903314")</f>
        <v>ICTVonline=201903314</v>
      </c>
      <c r="AA2849" s="1">
        <v>201900000</v>
      </c>
      <c r="AB2849" s="1">
        <v>35</v>
      </c>
    </row>
    <row r="2850" spans="1:28" x14ac:dyDescent="0.2">
      <c r="A2850" s="1">
        <v>7561</v>
      </c>
      <c r="B2850" s="1" t="s">
        <v>10590</v>
      </c>
      <c r="D2850" s="1" t="s">
        <v>10685</v>
      </c>
      <c r="F2850" s="1" t="s">
        <v>11077</v>
      </c>
      <c r="H2850" s="1" t="s">
        <v>11235</v>
      </c>
      <c r="J2850" s="1" t="s">
        <v>11236</v>
      </c>
      <c r="L2850" s="1" t="s">
        <v>2078</v>
      </c>
      <c r="N2850" s="1" t="s">
        <v>2079</v>
      </c>
      <c r="P2850" s="1" t="s">
        <v>1464</v>
      </c>
      <c r="Q2850" s="3">
        <v>0</v>
      </c>
      <c r="R2850" s="23" t="s">
        <v>10605</v>
      </c>
      <c r="S2850" s="23" t="s">
        <v>6844</v>
      </c>
      <c r="T2850" s="23" t="s">
        <v>4866</v>
      </c>
      <c r="U2850" s="3">
        <v>35</v>
      </c>
      <c r="W2850" s="45" t="str">
        <f>HYPERLINK("http://ictvonline.org/taxonomy/p/taxonomy-history?taxnode_id=201903315","ICTVonline=201903315")</f>
        <v>ICTVonline=201903315</v>
      </c>
      <c r="AA2850" s="1">
        <v>201900000</v>
      </c>
      <c r="AB2850" s="1">
        <v>35</v>
      </c>
    </row>
    <row r="2851" spans="1:28" x14ac:dyDescent="0.2">
      <c r="A2851" s="1">
        <v>7563</v>
      </c>
      <c r="B2851" s="1" t="s">
        <v>10590</v>
      </c>
      <c r="D2851" s="1" t="s">
        <v>10685</v>
      </c>
      <c r="F2851" s="1" t="s">
        <v>11077</v>
      </c>
      <c r="H2851" s="1" t="s">
        <v>11235</v>
      </c>
      <c r="J2851" s="1" t="s">
        <v>11236</v>
      </c>
      <c r="L2851" s="1" t="s">
        <v>2078</v>
      </c>
      <c r="N2851" s="1" t="s">
        <v>2079</v>
      </c>
      <c r="P2851" s="1" t="s">
        <v>1465</v>
      </c>
      <c r="Q2851" s="3">
        <v>0</v>
      </c>
      <c r="R2851" s="23" t="s">
        <v>10605</v>
      </c>
      <c r="S2851" s="23" t="s">
        <v>6844</v>
      </c>
      <c r="T2851" s="23" t="s">
        <v>4866</v>
      </c>
      <c r="U2851" s="3">
        <v>35</v>
      </c>
      <c r="W2851" s="45" t="str">
        <f>HYPERLINK("http://ictvonline.org/taxonomy/p/taxonomy-history?taxnode_id=201903316","ICTVonline=201903316")</f>
        <v>ICTVonline=201903316</v>
      </c>
      <c r="AA2851" s="1">
        <v>201900000</v>
      </c>
      <c r="AB2851" s="1">
        <v>35</v>
      </c>
    </row>
    <row r="2852" spans="1:28" x14ac:dyDescent="0.2">
      <c r="A2852" s="1">
        <v>7565</v>
      </c>
      <c r="B2852" s="1" t="s">
        <v>10590</v>
      </c>
      <c r="D2852" s="1" t="s">
        <v>10685</v>
      </c>
      <c r="F2852" s="1" t="s">
        <v>11077</v>
      </c>
      <c r="H2852" s="1" t="s">
        <v>11235</v>
      </c>
      <c r="J2852" s="1" t="s">
        <v>11236</v>
      </c>
      <c r="L2852" s="1" t="s">
        <v>2078</v>
      </c>
      <c r="N2852" s="1" t="s">
        <v>2079</v>
      </c>
      <c r="P2852" s="1" t="s">
        <v>3737</v>
      </c>
      <c r="Q2852" s="3">
        <v>0</v>
      </c>
      <c r="R2852" s="23" t="s">
        <v>10605</v>
      </c>
      <c r="S2852" s="23" t="s">
        <v>6844</v>
      </c>
      <c r="T2852" s="23" t="s">
        <v>4866</v>
      </c>
      <c r="U2852" s="3">
        <v>35</v>
      </c>
      <c r="W2852" s="45" t="str">
        <f>HYPERLINK("http://ictvonline.org/taxonomy/p/taxonomy-history?taxnode_id=201903317","ICTVonline=201903317")</f>
        <v>ICTVonline=201903317</v>
      </c>
      <c r="Y2852" s="1" t="s">
        <v>11377</v>
      </c>
      <c r="Z2852" s="1" t="s">
        <v>11378</v>
      </c>
      <c r="AA2852" s="1">
        <v>201900000</v>
      </c>
      <c r="AB2852" s="1">
        <v>35</v>
      </c>
    </row>
    <row r="2853" spans="1:28" x14ac:dyDescent="0.2">
      <c r="A2853" s="1">
        <v>7567</v>
      </c>
      <c r="B2853" s="1" t="s">
        <v>10590</v>
      </c>
      <c r="D2853" s="1" t="s">
        <v>10685</v>
      </c>
      <c r="F2853" s="1" t="s">
        <v>11077</v>
      </c>
      <c r="H2853" s="1" t="s">
        <v>11235</v>
      </c>
      <c r="J2853" s="1" t="s">
        <v>11236</v>
      </c>
      <c r="L2853" s="1" t="s">
        <v>2078</v>
      </c>
      <c r="N2853" s="1" t="s">
        <v>2079</v>
      </c>
      <c r="P2853" s="1" t="s">
        <v>3738</v>
      </c>
      <c r="Q2853" s="3">
        <v>0</v>
      </c>
      <c r="R2853" s="23" t="s">
        <v>10605</v>
      </c>
      <c r="S2853" s="23" t="s">
        <v>6844</v>
      </c>
      <c r="T2853" s="23" t="s">
        <v>4866</v>
      </c>
      <c r="U2853" s="3">
        <v>35</v>
      </c>
      <c r="W2853" s="45" t="str">
        <f>HYPERLINK("http://ictvonline.org/taxonomy/p/taxonomy-history?taxnode_id=201903318","ICTVonline=201903318")</f>
        <v>ICTVonline=201903318</v>
      </c>
      <c r="Y2853" s="1" t="s">
        <v>11379</v>
      </c>
      <c r="Z2853" s="1" t="s">
        <v>11380</v>
      </c>
      <c r="AA2853" s="1">
        <v>201900000</v>
      </c>
      <c r="AB2853" s="1">
        <v>35</v>
      </c>
    </row>
    <row r="2854" spans="1:28" x14ac:dyDescent="0.2">
      <c r="A2854" s="1">
        <v>7569</v>
      </c>
      <c r="B2854" s="1" t="s">
        <v>10590</v>
      </c>
      <c r="D2854" s="1" t="s">
        <v>10685</v>
      </c>
      <c r="F2854" s="1" t="s">
        <v>11077</v>
      </c>
      <c r="H2854" s="1" t="s">
        <v>11235</v>
      </c>
      <c r="J2854" s="1" t="s">
        <v>11236</v>
      </c>
      <c r="L2854" s="1" t="s">
        <v>2078</v>
      </c>
      <c r="N2854" s="1" t="s">
        <v>2079</v>
      </c>
      <c r="P2854" s="1" t="s">
        <v>6761</v>
      </c>
      <c r="Q2854" s="3">
        <v>0</v>
      </c>
      <c r="R2854" s="23" t="s">
        <v>10605</v>
      </c>
      <c r="S2854" s="23" t="s">
        <v>6844</v>
      </c>
      <c r="T2854" s="23" t="s">
        <v>4866</v>
      </c>
      <c r="U2854" s="3">
        <v>35</v>
      </c>
      <c r="W2854" s="45" t="str">
        <f>HYPERLINK("http://ictvonline.org/taxonomy/p/taxonomy-history?taxnode_id=201906707","ICTVonline=201906707")</f>
        <v>ICTVonline=201906707</v>
      </c>
      <c r="X2854" s="1" t="s">
        <v>11381</v>
      </c>
      <c r="Y2854" s="1" t="s">
        <v>11382</v>
      </c>
      <c r="Z2854" s="1" t="s">
        <v>11383</v>
      </c>
      <c r="AA2854" s="1">
        <v>201900000</v>
      </c>
      <c r="AB2854" s="1">
        <v>35</v>
      </c>
    </row>
    <row r="2855" spans="1:28" x14ac:dyDescent="0.2">
      <c r="A2855" s="1">
        <v>7571</v>
      </c>
      <c r="B2855" s="1" t="s">
        <v>10590</v>
      </c>
      <c r="D2855" s="1" t="s">
        <v>10685</v>
      </c>
      <c r="F2855" s="1" t="s">
        <v>11077</v>
      </c>
      <c r="H2855" s="1" t="s">
        <v>11235</v>
      </c>
      <c r="J2855" s="1" t="s">
        <v>11236</v>
      </c>
      <c r="L2855" s="1" t="s">
        <v>2078</v>
      </c>
      <c r="N2855" s="1" t="s">
        <v>2079</v>
      </c>
      <c r="P2855" s="1" t="s">
        <v>3739</v>
      </c>
      <c r="Q2855" s="3">
        <v>0</v>
      </c>
      <c r="R2855" s="23" t="s">
        <v>10605</v>
      </c>
      <c r="S2855" s="23" t="s">
        <v>6844</v>
      </c>
      <c r="T2855" s="23" t="s">
        <v>4866</v>
      </c>
      <c r="U2855" s="3">
        <v>35</v>
      </c>
      <c r="W2855" s="45" t="str">
        <f>HYPERLINK("http://ictvonline.org/taxonomy/p/taxonomy-history?taxnode_id=201903319","ICTVonline=201903319")</f>
        <v>ICTVonline=201903319</v>
      </c>
      <c r="Y2855" s="1" t="s">
        <v>11384</v>
      </c>
      <c r="Z2855" s="1" t="s">
        <v>11385</v>
      </c>
      <c r="AA2855" s="1">
        <v>201900000</v>
      </c>
      <c r="AB2855" s="1">
        <v>35</v>
      </c>
    </row>
    <row r="2856" spans="1:28" x14ac:dyDescent="0.2">
      <c r="A2856" s="1">
        <v>7573</v>
      </c>
      <c r="B2856" s="1" t="s">
        <v>10590</v>
      </c>
      <c r="D2856" s="1" t="s">
        <v>10685</v>
      </c>
      <c r="F2856" s="1" t="s">
        <v>11077</v>
      </c>
      <c r="H2856" s="1" t="s">
        <v>11235</v>
      </c>
      <c r="J2856" s="1" t="s">
        <v>11236</v>
      </c>
      <c r="L2856" s="1" t="s">
        <v>2078</v>
      </c>
      <c r="N2856" s="1" t="s">
        <v>2079</v>
      </c>
      <c r="P2856" s="1" t="s">
        <v>1466</v>
      </c>
      <c r="Q2856" s="3">
        <v>0</v>
      </c>
      <c r="R2856" s="23" t="s">
        <v>10605</v>
      </c>
      <c r="S2856" s="23" t="s">
        <v>6844</v>
      </c>
      <c r="T2856" s="23" t="s">
        <v>4866</v>
      </c>
      <c r="U2856" s="3">
        <v>35</v>
      </c>
      <c r="W2856" s="45" t="str">
        <f>HYPERLINK("http://ictvonline.org/taxonomy/p/taxonomy-history?taxnode_id=201903320","ICTVonline=201903320")</f>
        <v>ICTVonline=201903320</v>
      </c>
      <c r="AA2856" s="1">
        <v>201900000</v>
      </c>
      <c r="AB2856" s="1">
        <v>35</v>
      </c>
    </row>
    <row r="2857" spans="1:28" x14ac:dyDescent="0.2">
      <c r="A2857" s="1">
        <v>7575</v>
      </c>
      <c r="B2857" s="1" t="s">
        <v>10590</v>
      </c>
      <c r="D2857" s="1" t="s">
        <v>10685</v>
      </c>
      <c r="F2857" s="1" t="s">
        <v>11077</v>
      </c>
      <c r="H2857" s="1" t="s">
        <v>11235</v>
      </c>
      <c r="J2857" s="1" t="s">
        <v>11236</v>
      </c>
      <c r="L2857" s="1" t="s">
        <v>2078</v>
      </c>
      <c r="N2857" s="1" t="s">
        <v>2079</v>
      </c>
      <c r="P2857" s="1" t="s">
        <v>1467</v>
      </c>
      <c r="Q2857" s="3">
        <v>0</v>
      </c>
      <c r="R2857" s="23" t="s">
        <v>10605</v>
      </c>
      <c r="S2857" s="23" t="s">
        <v>6844</v>
      </c>
      <c r="T2857" s="23" t="s">
        <v>4866</v>
      </c>
      <c r="U2857" s="3">
        <v>35</v>
      </c>
      <c r="W2857" s="45" t="str">
        <f>HYPERLINK("http://ictvonline.org/taxonomy/p/taxonomy-history?taxnode_id=201903321","ICTVonline=201903321")</f>
        <v>ICTVonline=201903321</v>
      </c>
      <c r="AA2857" s="1">
        <v>201900000</v>
      </c>
      <c r="AB2857" s="1">
        <v>35</v>
      </c>
    </row>
    <row r="2858" spans="1:28" x14ac:dyDescent="0.2">
      <c r="A2858" s="1">
        <v>7577</v>
      </c>
      <c r="B2858" s="1" t="s">
        <v>10590</v>
      </c>
      <c r="D2858" s="1" t="s">
        <v>10685</v>
      </c>
      <c r="F2858" s="1" t="s">
        <v>11077</v>
      </c>
      <c r="H2858" s="1" t="s">
        <v>11235</v>
      </c>
      <c r="J2858" s="1" t="s">
        <v>11236</v>
      </c>
      <c r="L2858" s="1" t="s">
        <v>2078</v>
      </c>
      <c r="N2858" s="1" t="s">
        <v>2079</v>
      </c>
      <c r="P2858" s="1" t="s">
        <v>5334</v>
      </c>
      <c r="Q2858" s="3">
        <v>0</v>
      </c>
      <c r="R2858" s="23" t="s">
        <v>10605</v>
      </c>
      <c r="S2858" s="23" t="s">
        <v>6844</v>
      </c>
      <c r="T2858" s="23" t="s">
        <v>4866</v>
      </c>
      <c r="U2858" s="3">
        <v>35</v>
      </c>
      <c r="W2858" s="45" t="str">
        <f>HYPERLINK("http://ictvonline.org/taxonomy/p/taxonomy-history?taxnode_id=201905822","ICTVonline=201905822")</f>
        <v>ICTVonline=201905822</v>
      </c>
      <c r="AA2858" s="1">
        <v>201900000</v>
      </c>
      <c r="AB2858" s="1">
        <v>35</v>
      </c>
    </row>
    <row r="2859" spans="1:28" x14ac:dyDescent="0.2">
      <c r="A2859" s="1">
        <v>7579</v>
      </c>
      <c r="B2859" s="1" t="s">
        <v>10590</v>
      </c>
      <c r="D2859" s="1" t="s">
        <v>10685</v>
      </c>
      <c r="F2859" s="1" t="s">
        <v>11077</v>
      </c>
      <c r="H2859" s="1" t="s">
        <v>11235</v>
      </c>
      <c r="J2859" s="1" t="s">
        <v>11236</v>
      </c>
      <c r="L2859" s="1" t="s">
        <v>2078</v>
      </c>
      <c r="N2859" s="1" t="s">
        <v>2079</v>
      </c>
      <c r="P2859" s="1" t="s">
        <v>2403</v>
      </c>
      <c r="Q2859" s="3">
        <v>0</v>
      </c>
      <c r="R2859" s="23" t="s">
        <v>10605</v>
      </c>
      <c r="S2859" s="23" t="s">
        <v>6844</v>
      </c>
      <c r="T2859" s="23" t="s">
        <v>4866</v>
      </c>
      <c r="U2859" s="3">
        <v>35</v>
      </c>
      <c r="W2859" s="45" t="str">
        <f>HYPERLINK("http://ictvonline.org/taxonomy/p/taxonomy-history?taxnode_id=201903322","ICTVonline=201903322")</f>
        <v>ICTVonline=201903322</v>
      </c>
      <c r="AA2859" s="1">
        <v>201900000</v>
      </c>
      <c r="AB2859" s="1">
        <v>35</v>
      </c>
    </row>
    <row r="2860" spans="1:28" x14ac:dyDescent="0.2">
      <c r="A2860" s="1">
        <v>7581</v>
      </c>
      <c r="B2860" s="1" t="s">
        <v>10590</v>
      </c>
      <c r="D2860" s="1" t="s">
        <v>10685</v>
      </c>
      <c r="F2860" s="1" t="s">
        <v>11077</v>
      </c>
      <c r="H2860" s="1" t="s">
        <v>11235</v>
      </c>
      <c r="J2860" s="1" t="s">
        <v>11236</v>
      </c>
      <c r="L2860" s="1" t="s">
        <v>2078</v>
      </c>
      <c r="N2860" s="1" t="s">
        <v>2079</v>
      </c>
      <c r="P2860" s="1" t="s">
        <v>1825</v>
      </c>
      <c r="Q2860" s="3">
        <v>0</v>
      </c>
      <c r="R2860" s="23" t="s">
        <v>10605</v>
      </c>
      <c r="S2860" s="23" t="s">
        <v>6844</v>
      </c>
      <c r="T2860" s="23" t="s">
        <v>4866</v>
      </c>
      <c r="U2860" s="3">
        <v>35</v>
      </c>
      <c r="W2860" s="45" t="str">
        <f>HYPERLINK("http://ictvonline.org/taxonomy/p/taxonomy-history?taxnode_id=201903323","ICTVonline=201903323")</f>
        <v>ICTVonline=201903323</v>
      </c>
      <c r="AA2860" s="1">
        <v>201900000</v>
      </c>
      <c r="AB2860" s="1">
        <v>35</v>
      </c>
    </row>
    <row r="2861" spans="1:28" x14ac:dyDescent="0.2">
      <c r="A2861" s="1">
        <v>7583</v>
      </c>
      <c r="B2861" s="1" t="s">
        <v>10590</v>
      </c>
      <c r="D2861" s="1" t="s">
        <v>10685</v>
      </c>
      <c r="F2861" s="1" t="s">
        <v>11077</v>
      </c>
      <c r="H2861" s="1" t="s">
        <v>11235</v>
      </c>
      <c r="J2861" s="1" t="s">
        <v>11236</v>
      </c>
      <c r="L2861" s="1" t="s">
        <v>2078</v>
      </c>
      <c r="N2861" s="1" t="s">
        <v>2079</v>
      </c>
      <c r="P2861" s="1" t="s">
        <v>1826</v>
      </c>
      <c r="Q2861" s="3">
        <v>0</v>
      </c>
      <c r="R2861" s="23" t="s">
        <v>10605</v>
      </c>
      <c r="S2861" s="23" t="s">
        <v>6844</v>
      </c>
      <c r="T2861" s="23" t="s">
        <v>4866</v>
      </c>
      <c r="U2861" s="3">
        <v>35</v>
      </c>
      <c r="W2861" s="45" t="str">
        <f>HYPERLINK("http://ictvonline.org/taxonomy/p/taxonomy-history?taxnode_id=201903324","ICTVonline=201903324")</f>
        <v>ICTVonline=201903324</v>
      </c>
      <c r="AA2861" s="1">
        <v>201900000</v>
      </c>
      <c r="AB2861" s="1">
        <v>35</v>
      </c>
    </row>
    <row r="2862" spans="1:28" x14ac:dyDescent="0.2">
      <c r="A2862" s="1">
        <v>7585</v>
      </c>
      <c r="B2862" s="1" t="s">
        <v>10590</v>
      </c>
      <c r="D2862" s="1" t="s">
        <v>10685</v>
      </c>
      <c r="F2862" s="1" t="s">
        <v>11077</v>
      </c>
      <c r="H2862" s="1" t="s">
        <v>11235</v>
      </c>
      <c r="J2862" s="1" t="s">
        <v>11236</v>
      </c>
      <c r="L2862" s="1" t="s">
        <v>2078</v>
      </c>
      <c r="N2862" s="1" t="s">
        <v>2079</v>
      </c>
      <c r="P2862" s="1" t="s">
        <v>2404</v>
      </c>
      <c r="Q2862" s="3">
        <v>0</v>
      </c>
      <c r="R2862" s="23" t="s">
        <v>10605</v>
      </c>
      <c r="S2862" s="23" t="s">
        <v>6844</v>
      </c>
      <c r="T2862" s="23" t="s">
        <v>4866</v>
      </c>
      <c r="U2862" s="3">
        <v>35</v>
      </c>
      <c r="W2862" s="45" t="str">
        <f>HYPERLINK("http://ictvonline.org/taxonomy/p/taxonomy-history?taxnode_id=201903326","ICTVonline=201903326")</f>
        <v>ICTVonline=201903326</v>
      </c>
      <c r="AA2862" s="1">
        <v>201900000</v>
      </c>
      <c r="AB2862" s="1">
        <v>35</v>
      </c>
    </row>
    <row r="2863" spans="1:28" x14ac:dyDescent="0.2">
      <c r="A2863" s="1">
        <v>7587</v>
      </c>
      <c r="B2863" s="1" t="s">
        <v>10590</v>
      </c>
      <c r="D2863" s="1" t="s">
        <v>10685</v>
      </c>
      <c r="F2863" s="1" t="s">
        <v>11077</v>
      </c>
      <c r="H2863" s="1" t="s">
        <v>11235</v>
      </c>
      <c r="J2863" s="1" t="s">
        <v>11236</v>
      </c>
      <c r="L2863" s="1" t="s">
        <v>2078</v>
      </c>
      <c r="N2863" s="1" t="s">
        <v>2079</v>
      </c>
      <c r="P2863" s="1" t="s">
        <v>2405</v>
      </c>
      <c r="Q2863" s="3">
        <v>0</v>
      </c>
      <c r="R2863" s="23" t="s">
        <v>10605</v>
      </c>
      <c r="S2863" s="23" t="s">
        <v>6844</v>
      </c>
      <c r="T2863" s="23" t="s">
        <v>4866</v>
      </c>
      <c r="U2863" s="3">
        <v>35</v>
      </c>
      <c r="W2863" s="45" t="str">
        <f>HYPERLINK("http://ictvonline.org/taxonomy/p/taxonomy-history?taxnode_id=201903327","ICTVonline=201903327")</f>
        <v>ICTVonline=201903327</v>
      </c>
      <c r="AA2863" s="1">
        <v>201900000</v>
      </c>
      <c r="AB2863" s="1">
        <v>35</v>
      </c>
    </row>
    <row r="2864" spans="1:28" x14ac:dyDescent="0.2">
      <c r="A2864" s="1">
        <v>7589</v>
      </c>
      <c r="B2864" s="1" t="s">
        <v>10590</v>
      </c>
      <c r="D2864" s="1" t="s">
        <v>10685</v>
      </c>
      <c r="F2864" s="1" t="s">
        <v>11077</v>
      </c>
      <c r="H2864" s="1" t="s">
        <v>11235</v>
      </c>
      <c r="J2864" s="1" t="s">
        <v>11236</v>
      </c>
      <c r="L2864" s="1" t="s">
        <v>2078</v>
      </c>
      <c r="N2864" s="1" t="s">
        <v>2079</v>
      </c>
      <c r="P2864" s="1" t="s">
        <v>3740</v>
      </c>
      <c r="Q2864" s="3">
        <v>0</v>
      </c>
      <c r="R2864" s="23" t="s">
        <v>10605</v>
      </c>
      <c r="S2864" s="23" t="s">
        <v>6844</v>
      </c>
      <c r="T2864" s="23" t="s">
        <v>4866</v>
      </c>
      <c r="U2864" s="3">
        <v>35</v>
      </c>
      <c r="W2864" s="45" t="str">
        <f>HYPERLINK("http://ictvonline.org/taxonomy/p/taxonomy-history?taxnode_id=201903328","ICTVonline=201903328")</f>
        <v>ICTVonline=201903328</v>
      </c>
      <c r="Y2864" s="1" t="s">
        <v>11386</v>
      </c>
      <c r="Z2864" s="1" t="s">
        <v>11387</v>
      </c>
      <c r="AA2864" s="1">
        <v>201900000</v>
      </c>
      <c r="AB2864" s="1">
        <v>35</v>
      </c>
    </row>
    <row r="2865" spans="1:28" x14ac:dyDescent="0.2">
      <c r="A2865" s="1">
        <v>7591</v>
      </c>
      <c r="B2865" s="1" t="s">
        <v>10590</v>
      </c>
      <c r="D2865" s="1" t="s">
        <v>10685</v>
      </c>
      <c r="F2865" s="1" t="s">
        <v>11077</v>
      </c>
      <c r="H2865" s="1" t="s">
        <v>11235</v>
      </c>
      <c r="J2865" s="1" t="s">
        <v>11236</v>
      </c>
      <c r="L2865" s="1" t="s">
        <v>2078</v>
      </c>
      <c r="N2865" s="1" t="s">
        <v>2079</v>
      </c>
      <c r="P2865" s="1" t="s">
        <v>2406</v>
      </c>
      <c r="Q2865" s="3">
        <v>0</v>
      </c>
      <c r="R2865" s="23" t="s">
        <v>10605</v>
      </c>
      <c r="S2865" s="23" t="s">
        <v>6844</v>
      </c>
      <c r="T2865" s="23" t="s">
        <v>4866</v>
      </c>
      <c r="U2865" s="3">
        <v>35</v>
      </c>
      <c r="W2865" s="45" t="str">
        <f>HYPERLINK("http://ictvonline.org/taxonomy/p/taxonomy-history?taxnode_id=201903329","ICTVonline=201903329")</f>
        <v>ICTVonline=201903329</v>
      </c>
      <c r="AA2865" s="1">
        <v>201900000</v>
      </c>
      <c r="AB2865" s="1">
        <v>35</v>
      </c>
    </row>
    <row r="2866" spans="1:28" x14ac:dyDescent="0.2">
      <c r="A2866" s="1">
        <v>7593</v>
      </c>
      <c r="B2866" s="1" t="s">
        <v>10590</v>
      </c>
      <c r="D2866" s="1" t="s">
        <v>10685</v>
      </c>
      <c r="F2866" s="1" t="s">
        <v>11077</v>
      </c>
      <c r="H2866" s="1" t="s">
        <v>11235</v>
      </c>
      <c r="J2866" s="1" t="s">
        <v>11236</v>
      </c>
      <c r="L2866" s="1" t="s">
        <v>2078</v>
      </c>
      <c r="N2866" s="1" t="s">
        <v>2079</v>
      </c>
      <c r="P2866" s="1" t="s">
        <v>2407</v>
      </c>
      <c r="Q2866" s="3">
        <v>0</v>
      </c>
      <c r="R2866" s="23" t="s">
        <v>10605</v>
      </c>
      <c r="S2866" s="23" t="s">
        <v>6844</v>
      </c>
      <c r="T2866" s="23" t="s">
        <v>4866</v>
      </c>
      <c r="U2866" s="3">
        <v>35</v>
      </c>
      <c r="W2866" s="45" t="str">
        <f>HYPERLINK("http://ictvonline.org/taxonomy/p/taxonomy-history?taxnode_id=201903330","ICTVonline=201903330")</f>
        <v>ICTVonline=201903330</v>
      </c>
      <c r="AA2866" s="1">
        <v>201900000</v>
      </c>
      <c r="AB2866" s="1">
        <v>35</v>
      </c>
    </row>
    <row r="2867" spans="1:28" x14ac:dyDescent="0.2">
      <c r="A2867" s="1">
        <v>7595</v>
      </c>
      <c r="B2867" s="1" t="s">
        <v>10590</v>
      </c>
      <c r="D2867" s="1" t="s">
        <v>10685</v>
      </c>
      <c r="F2867" s="1" t="s">
        <v>11077</v>
      </c>
      <c r="H2867" s="1" t="s">
        <v>11235</v>
      </c>
      <c r="J2867" s="1" t="s">
        <v>11236</v>
      </c>
      <c r="L2867" s="1" t="s">
        <v>2078</v>
      </c>
      <c r="N2867" s="1" t="s">
        <v>2079</v>
      </c>
      <c r="P2867" s="1" t="s">
        <v>3741</v>
      </c>
      <c r="Q2867" s="3">
        <v>0</v>
      </c>
      <c r="R2867" s="23" t="s">
        <v>10605</v>
      </c>
      <c r="S2867" s="23" t="s">
        <v>6844</v>
      </c>
      <c r="T2867" s="23" t="s">
        <v>4866</v>
      </c>
      <c r="U2867" s="3">
        <v>35</v>
      </c>
      <c r="W2867" s="45" t="str">
        <f>HYPERLINK("http://ictvonline.org/taxonomy/p/taxonomy-history?taxnode_id=201903331","ICTVonline=201903331")</f>
        <v>ICTVonline=201903331</v>
      </c>
      <c r="Y2867" s="1" t="s">
        <v>11388</v>
      </c>
      <c r="Z2867" s="1" t="s">
        <v>11389</v>
      </c>
      <c r="AA2867" s="1">
        <v>201900000</v>
      </c>
      <c r="AB2867" s="1">
        <v>35</v>
      </c>
    </row>
    <row r="2868" spans="1:28" x14ac:dyDescent="0.2">
      <c r="A2868" s="1">
        <v>7597</v>
      </c>
      <c r="B2868" s="1" t="s">
        <v>10590</v>
      </c>
      <c r="D2868" s="1" t="s">
        <v>10685</v>
      </c>
      <c r="F2868" s="1" t="s">
        <v>11077</v>
      </c>
      <c r="H2868" s="1" t="s">
        <v>11235</v>
      </c>
      <c r="J2868" s="1" t="s">
        <v>11236</v>
      </c>
      <c r="L2868" s="1" t="s">
        <v>2078</v>
      </c>
      <c r="N2868" s="1" t="s">
        <v>2079</v>
      </c>
      <c r="P2868" s="1" t="s">
        <v>811</v>
      </c>
      <c r="Q2868" s="3">
        <v>0</v>
      </c>
      <c r="R2868" s="23" t="s">
        <v>10605</v>
      </c>
      <c r="S2868" s="23" t="s">
        <v>6844</v>
      </c>
      <c r="T2868" s="23" t="s">
        <v>4866</v>
      </c>
      <c r="U2868" s="3">
        <v>35</v>
      </c>
      <c r="W2868" s="45" t="str">
        <f>HYPERLINK("http://ictvonline.org/taxonomy/p/taxonomy-history?taxnode_id=201903332","ICTVonline=201903332")</f>
        <v>ICTVonline=201903332</v>
      </c>
      <c r="AA2868" s="1">
        <v>201900000</v>
      </c>
      <c r="AB2868" s="1">
        <v>35</v>
      </c>
    </row>
    <row r="2869" spans="1:28" x14ac:dyDescent="0.2">
      <c r="A2869" s="1">
        <v>7599</v>
      </c>
      <c r="B2869" s="1" t="s">
        <v>10590</v>
      </c>
      <c r="D2869" s="1" t="s">
        <v>10685</v>
      </c>
      <c r="F2869" s="1" t="s">
        <v>11077</v>
      </c>
      <c r="H2869" s="1" t="s">
        <v>11235</v>
      </c>
      <c r="J2869" s="1" t="s">
        <v>11236</v>
      </c>
      <c r="L2869" s="1" t="s">
        <v>2078</v>
      </c>
      <c r="N2869" s="1" t="s">
        <v>2079</v>
      </c>
      <c r="P2869" s="1" t="s">
        <v>5335</v>
      </c>
      <c r="Q2869" s="3">
        <v>0</v>
      </c>
      <c r="R2869" s="23" t="s">
        <v>10605</v>
      </c>
      <c r="S2869" s="23" t="s">
        <v>6844</v>
      </c>
      <c r="T2869" s="23" t="s">
        <v>4866</v>
      </c>
      <c r="U2869" s="3">
        <v>35</v>
      </c>
      <c r="W2869" s="45" t="str">
        <f>HYPERLINK("http://ictvonline.org/taxonomy/p/taxonomy-history?taxnode_id=201905823","ICTVonline=201905823")</f>
        <v>ICTVonline=201905823</v>
      </c>
      <c r="AA2869" s="1">
        <v>201900000</v>
      </c>
      <c r="AB2869" s="1">
        <v>35</v>
      </c>
    </row>
    <row r="2870" spans="1:28" x14ac:dyDescent="0.2">
      <c r="A2870" s="1">
        <v>7601</v>
      </c>
      <c r="B2870" s="1" t="s">
        <v>10590</v>
      </c>
      <c r="D2870" s="1" t="s">
        <v>10685</v>
      </c>
      <c r="F2870" s="1" t="s">
        <v>11077</v>
      </c>
      <c r="H2870" s="1" t="s">
        <v>11235</v>
      </c>
      <c r="J2870" s="1" t="s">
        <v>11236</v>
      </c>
      <c r="L2870" s="1" t="s">
        <v>2078</v>
      </c>
      <c r="N2870" s="1" t="s">
        <v>2079</v>
      </c>
      <c r="P2870" s="1" t="s">
        <v>5336</v>
      </c>
      <c r="Q2870" s="3">
        <v>0</v>
      </c>
      <c r="R2870" s="23" t="s">
        <v>10605</v>
      </c>
      <c r="S2870" s="23" t="s">
        <v>6844</v>
      </c>
      <c r="T2870" s="23" t="s">
        <v>4866</v>
      </c>
      <c r="U2870" s="3">
        <v>35</v>
      </c>
      <c r="W2870" s="45" t="str">
        <f>HYPERLINK("http://ictvonline.org/taxonomy/p/taxonomy-history?taxnode_id=201905824","ICTVonline=201905824")</f>
        <v>ICTVonline=201905824</v>
      </c>
      <c r="AA2870" s="1">
        <v>201900000</v>
      </c>
      <c r="AB2870" s="1">
        <v>35</v>
      </c>
    </row>
    <row r="2871" spans="1:28" x14ac:dyDescent="0.2">
      <c r="A2871" s="1">
        <v>7603</v>
      </c>
      <c r="B2871" s="1" t="s">
        <v>10590</v>
      </c>
      <c r="D2871" s="1" t="s">
        <v>10685</v>
      </c>
      <c r="F2871" s="1" t="s">
        <v>11077</v>
      </c>
      <c r="H2871" s="1" t="s">
        <v>11235</v>
      </c>
      <c r="J2871" s="1" t="s">
        <v>11236</v>
      </c>
      <c r="L2871" s="1" t="s">
        <v>2078</v>
      </c>
      <c r="N2871" s="1" t="s">
        <v>2079</v>
      </c>
      <c r="P2871" s="1" t="s">
        <v>5337</v>
      </c>
      <c r="Q2871" s="3">
        <v>0</v>
      </c>
      <c r="R2871" s="23" t="s">
        <v>10605</v>
      </c>
      <c r="S2871" s="23" t="s">
        <v>6844</v>
      </c>
      <c r="T2871" s="23" t="s">
        <v>4866</v>
      </c>
      <c r="U2871" s="3">
        <v>35</v>
      </c>
      <c r="W2871" s="45" t="str">
        <f>HYPERLINK("http://ictvonline.org/taxonomy/p/taxonomy-history?taxnode_id=201905825","ICTVonline=201905825")</f>
        <v>ICTVonline=201905825</v>
      </c>
      <c r="AA2871" s="1">
        <v>201900000</v>
      </c>
      <c r="AB2871" s="1">
        <v>35</v>
      </c>
    </row>
    <row r="2872" spans="1:28" x14ac:dyDescent="0.2">
      <c r="A2872" s="1">
        <v>7605</v>
      </c>
      <c r="B2872" s="1" t="s">
        <v>10590</v>
      </c>
      <c r="D2872" s="1" t="s">
        <v>10685</v>
      </c>
      <c r="F2872" s="1" t="s">
        <v>11077</v>
      </c>
      <c r="H2872" s="1" t="s">
        <v>11235</v>
      </c>
      <c r="J2872" s="1" t="s">
        <v>11236</v>
      </c>
      <c r="L2872" s="1" t="s">
        <v>2078</v>
      </c>
      <c r="N2872" s="1" t="s">
        <v>2079</v>
      </c>
      <c r="P2872" s="1" t="s">
        <v>5338</v>
      </c>
      <c r="Q2872" s="3">
        <v>0</v>
      </c>
      <c r="R2872" s="23" t="s">
        <v>10605</v>
      </c>
      <c r="S2872" s="23" t="s">
        <v>6844</v>
      </c>
      <c r="T2872" s="23" t="s">
        <v>4866</v>
      </c>
      <c r="U2872" s="3">
        <v>35</v>
      </c>
      <c r="W2872" s="45" t="str">
        <f>HYPERLINK("http://ictvonline.org/taxonomy/p/taxonomy-history?taxnode_id=201905826","ICTVonline=201905826")</f>
        <v>ICTVonline=201905826</v>
      </c>
      <c r="AA2872" s="1">
        <v>201900000</v>
      </c>
      <c r="AB2872" s="1">
        <v>35</v>
      </c>
    </row>
    <row r="2873" spans="1:28" x14ac:dyDescent="0.2">
      <c r="A2873" s="1">
        <v>7607</v>
      </c>
      <c r="B2873" s="1" t="s">
        <v>10590</v>
      </c>
      <c r="D2873" s="1" t="s">
        <v>10685</v>
      </c>
      <c r="F2873" s="1" t="s">
        <v>11077</v>
      </c>
      <c r="H2873" s="1" t="s">
        <v>11235</v>
      </c>
      <c r="J2873" s="1" t="s">
        <v>11236</v>
      </c>
      <c r="L2873" s="1" t="s">
        <v>2078</v>
      </c>
      <c r="N2873" s="1" t="s">
        <v>2079</v>
      </c>
      <c r="P2873" s="1" t="s">
        <v>5339</v>
      </c>
      <c r="Q2873" s="3">
        <v>0</v>
      </c>
      <c r="R2873" s="23" t="s">
        <v>10605</v>
      </c>
      <c r="S2873" s="23" t="s">
        <v>6844</v>
      </c>
      <c r="T2873" s="23" t="s">
        <v>4866</v>
      </c>
      <c r="U2873" s="3">
        <v>35</v>
      </c>
      <c r="W2873" s="45" t="str">
        <f>HYPERLINK("http://ictvonline.org/taxonomy/p/taxonomy-history?taxnode_id=201905827","ICTVonline=201905827")</f>
        <v>ICTVonline=201905827</v>
      </c>
      <c r="AA2873" s="1">
        <v>201900000</v>
      </c>
      <c r="AB2873" s="1">
        <v>35</v>
      </c>
    </row>
    <row r="2874" spans="1:28" x14ac:dyDescent="0.2">
      <c r="A2874" s="1">
        <v>7609</v>
      </c>
      <c r="B2874" s="1" t="s">
        <v>10590</v>
      </c>
      <c r="D2874" s="1" t="s">
        <v>10685</v>
      </c>
      <c r="F2874" s="1" t="s">
        <v>11077</v>
      </c>
      <c r="H2874" s="1" t="s">
        <v>11235</v>
      </c>
      <c r="J2874" s="1" t="s">
        <v>11236</v>
      </c>
      <c r="L2874" s="1" t="s">
        <v>2078</v>
      </c>
      <c r="N2874" s="1" t="s">
        <v>2079</v>
      </c>
      <c r="P2874" s="1" t="s">
        <v>3742</v>
      </c>
      <c r="Q2874" s="3">
        <v>0</v>
      </c>
      <c r="R2874" s="23" t="s">
        <v>10605</v>
      </c>
      <c r="S2874" s="23" t="s">
        <v>6844</v>
      </c>
      <c r="T2874" s="23" t="s">
        <v>4866</v>
      </c>
      <c r="U2874" s="3">
        <v>35</v>
      </c>
      <c r="W2874" s="45" t="str">
        <f>HYPERLINK("http://ictvonline.org/taxonomy/p/taxonomy-history?taxnode_id=201903333","ICTVonline=201903333")</f>
        <v>ICTVonline=201903333</v>
      </c>
      <c r="Y2874" s="1" t="s">
        <v>11390</v>
      </c>
      <c r="Z2874" s="1" t="s">
        <v>11391</v>
      </c>
      <c r="AA2874" s="1">
        <v>201900000</v>
      </c>
      <c r="AB2874" s="1">
        <v>35</v>
      </c>
    </row>
    <row r="2875" spans="1:28" x14ac:dyDescent="0.2">
      <c r="A2875" s="1">
        <v>7611</v>
      </c>
      <c r="B2875" s="1" t="s">
        <v>10590</v>
      </c>
      <c r="D2875" s="1" t="s">
        <v>10685</v>
      </c>
      <c r="F2875" s="1" t="s">
        <v>11077</v>
      </c>
      <c r="H2875" s="1" t="s">
        <v>11235</v>
      </c>
      <c r="J2875" s="1" t="s">
        <v>11236</v>
      </c>
      <c r="L2875" s="1" t="s">
        <v>2078</v>
      </c>
      <c r="N2875" s="1" t="s">
        <v>2079</v>
      </c>
      <c r="P2875" s="1" t="s">
        <v>3743</v>
      </c>
      <c r="Q2875" s="3">
        <v>0</v>
      </c>
      <c r="R2875" s="23" t="s">
        <v>10605</v>
      </c>
      <c r="S2875" s="23" t="s">
        <v>6844</v>
      </c>
      <c r="T2875" s="23" t="s">
        <v>4866</v>
      </c>
      <c r="U2875" s="3">
        <v>35</v>
      </c>
      <c r="W2875" s="45" t="str">
        <f>HYPERLINK("http://ictvonline.org/taxonomy/p/taxonomy-history?taxnode_id=201903334","ICTVonline=201903334")</f>
        <v>ICTVonline=201903334</v>
      </c>
      <c r="Y2875" s="1" t="s">
        <v>11392</v>
      </c>
      <c r="Z2875" s="1" t="s">
        <v>11393</v>
      </c>
      <c r="AA2875" s="1">
        <v>201900000</v>
      </c>
      <c r="AB2875" s="1">
        <v>35</v>
      </c>
    </row>
    <row r="2876" spans="1:28" x14ac:dyDescent="0.2">
      <c r="A2876" s="1">
        <v>7613</v>
      </c>
      <c r="B2876" s="1" t="s">
        <v>10590</v>
      </c>
      <c r="D2876" s="1" t="s">
        <v>10685</v>
      </c>
      <c r="F2876" s="1" t="s">
        <v>11077</v>
      </c>
      <c r="H2876" s="1" t="s">
        <v>11235</v>
      </c>
      <c r="J2876" s="1" t="s">
        <v>11236</v>
      </c>
      <c r="L2876" s="1" t="s">
        <v>2078</v>
      </c>
      <c r="N2876" s="1" t="s">
        <v>2079</v>
      </c>
      <c r="P2876" s="1" t="s">
        <v>2408</v>
      </c>
      <c r="Q2876" s="3">
        <v>0</v>
      </c>
      <c r="R2876" s="23" t="s">
        <v>10605</v>
      </c>
      <c r="S2876" s="23" t="s">
        <v>6844</v>
      </c>
      <c r="T2876" s="23" t="s">
        <v>4866</v>
      </c>
      <c r="U2876" s="3">
        <v>35</v>
      </c>
      <c r="W2876" s="45" t="str">
        <f>HYPERLINK("http://ictvonline.org/taxonomy/p/taxonomy-history?taxnode_id=201903335","ICTVonline=201903335")</f>
        <v>ICTVonline=201903335</v>
      </c>
      <c r="AA2876" s="1">
        <v>201900000</v>
      </c>
      <c r="AB2876" s="1">
        <v>35</v>
      </c>
    </row>
    <row r="2877" spans="1:28" x14ac:dyDescent="0.2">
      <c r="A2877" s="1">
        <v>7615</v>
      </c>
      <c r="B2877" s="1" t="s">
        <v>10590</v>
      </c>
      <c r="D2877" s="1" t="s">
        <v>10685</v>
      </c>
      <c r="F2877" s="1" t="s">
        <v>11077</v>
      </c>
      <c r="H2877" s="1" t="s">
        <v>11235</v>
      </c>
      <c r="J2877" s="1" t="s">
        <v>11236</v>
      </c>
      <c r="L2877" s="1" t="s">
        <v>2078</v>
      </c>
      <c r="N2877" s="1" t="s">
        <v>2079</v>
      </c>
      <c r="P2877" s="1" t="s">
        <v>3744</v>
      </c>
      <c r="Q2877" s="3">
        <v>0</v>
      </c>
      <c r="R2877" s="23" t="s">
        <v>10605</v>
      </c>
      <c r="S2877" s="23" t="s">
        <v>6844</v>
      </c>
      <c r="T2877" s="23" t="s">
        <v>4866</v>
      </c>
      <c r="U2877" s="3">
        <v>35</v>
      </c>
      <c r="W2877" s="45" t="str">
        <f>HYPERLINK("http://ictvonline.org/taxonomy/p/taxonomy-history?taxnode_id=201903336","ICTVonline=201903336")</f>
        <v>ICTVonline=201903336</v>
      </c>
      <c r="Y2877" s="1" t="s">
        <v>11394</v>
      </c>
      <c r="Z2877" s="1" t="s">
        <v>11395</v>
      </c>
      <c r="AA2877" s="1">
        <v>201900000</v>
      </c>
      <c r="AB2877" s="1">
        <v>35</v>
      </c>
    </row>
    <row r="2878" spans="1:28" x14ac:dyDescent="0.2">
      <c r="A2878" s="1">
        <v>7617</v>
      </c>
      <c r="B2878" s="1" t="s">
        <v>10590</v>
      </c>
      <c r="D2878" s="1" t="s">
        <v>10685</v>
      </c>
      <c r="F2878" s="1" t="s">
        <v>11077</v>
      </c>
      <c r="H2878" s="1" t="s">
        <v>11235</v>
      </c>
      <c r="J2878" s="1" t="s">
        <v>11236</v>
      </c>
      <c r="L2878" s="1" t="s">
        <v>2078</v>
      </c>
      <c r="N2878" s="1" t="s">
        <v>2079</v>
      </c>
      <c r="P2878" s="1" t="s">
        <v>2409</v>
      </c>
      <c r="Q2878" s="3">
        <v>0</v>
      </c>
      <c r="R2878" s="23" t="s">
        <v>10605</v>
      </c>
      <c r="S2878" s="23" t="s">
        <v>6844</v>
      </c>
      <c r="T2878" s="23" t="s">
        <v>4866</v>
      </c>
      <c r="U2878" s="3">
        <v>35</v>
      </c>
      <c r="W2878" s="45" t="str">
        <f>HYPERLINK("http://ictvonline.org/taxonomy/p/taxonomy-history?taxnode_id=201903337","ICTVonline=201903337")</f>
        <v>ICTVonline=201903337</v>
      </c>
      <c r="AA2878" s="1">
        <v>201900000</v>
      </c>
      <c r="AB2878" s="1">
        <v>35</v>
      </c>
    </row>
    <row r="2879" spans="1:28" x14ac:dyDescent="0.2">
      <c r="A2879" s="1">
        <v>7619</v>
      </c>
      <c r="B2879" s="1" t="s">
        <v>10590</v>
      </c>
      <c r="D2879" s="1" t="s">
        <v>10685</v>
      </c>
      <c r="F2879" s="1" t="s">
        <v>11077</v>
      </c>
      <c r="H2879" s="1" t="s">
        <v>11235</v>
      </c>
      <c r="J2879" s="1" t="s">
        <v>11236</v>
      </c>
      <c r="L2879" s="1" t="s">
        <v>2078</v>
      </c>
      <c r="N2879" s="1" t="s">
        <v>2079</v>
      </c>
      <c r="P2879" s="1" t="s">
        <v>812</v>
      </c>
      <c r="Q2879" s="3">
        <v>0</v>
      </c>
      <c r="R2879" s="23" t="s">
        <v>10605</v>
      </c>
      <c r="S2879" s="23" t="s">
        <v>6844</v>
      </c>
      <c r="T2879" s="23" t="s">
        <v>4866</v>
      </c>
      <c r="U2879" s="3">
        <v>35</v>
      </c>
      <c r="W2879" s="45" t="str">
        <f>HYPERLINK("http://ictvonline.org/taxonomy/p/taxonomy-history?taxnode_id=201903338","ICTVonline=201903338")</f>
        <v>ICTVonline=201903338</v>
      </c>
      <c r="AA2879" s="1">
        <v>201900000</v>
      </c>
      <c r="AB2879" s="1">
        <v>35</v>
      </c>
    </row>
    <row r="2880" spans="1:28" x14ac:dyDescent="0.2">
      <c r="A2880" s="1">
        <v>7621</v>
      </c>
      <c r="B2880" s="1" t="s">
        <v>10590</v>
      </c>
      <c r="D2880" s="1" t="s">
        <v>10685</v>
      </c>
      <c r="F2880" s="1" t="s">
        <v>11077</v>
      </c>
      <c r="H2880" s="1" t="s">
        <v>11235</v>
      </c>
      <c r="J2880" s="1" t="s">
        <v>11236</v>
      </c>
      <c r="L2880" s="1" t="s">
        <v>2078</v>
      </c>
      <c r="N2880" s="1" t="s">
        <v>2079</v>
      </c>
      <c r="P2880" s="1" t="s">
        <v>813</v>
      </c>
      <c r="Q2880" s="3">
        <v>0</v>
      </c>
      <c r="R2880" s="23" t="s">
        <v>10605</v>
      </c>
      <c r="S2880" s="23" t="s">
        <v>6844</v>
      </c>
      <c r="T2880" s="23" t="s">
        <v>4866</v>
      </c>
      <c r="U2880" s="3">
        <v>35</v>
      </c>
      <c r="W2880" s="45" t="str">
        <f>HYPERLINK("http://ictvonline.org/taxonomy/p/taxonomy-history?taxnode_id=201903339","ICTVonline=201903339")</f>
        <v>ICTVonline=201903339</v>
      </c>
      <c r="AA2880" s="1">
        <v>201900000</v>
      </c>
      <c r="AB2880" s="1">
        <v>35</v>
      </c>
    </row>
    <row r="2881" spans="1:28" x14ac:dyDescent="0.2">
      <c r="A2881" s="1">
        <v>7623</v>
      </c>
      <c r="B2881" s="1" t="s">
        <v>10590</v>
      </c>
      <c r="D2881" s="1" t="s">
        <v>10685</v>
      </c>
      <c r="F2881" s="1" t="s">
        <v>11077</v>
      </c>
      <c r="H2881" s="1" t="s">
        <v>11235</v>
      </c>
      <c r="J2881" s="1" t="s">
        <v>11236</v>
      </c>
      <c r="L2881" s="1" t="s">
        <v>2078</v>
      </c>
      <c r="N2881" s="1" t="s">
        <v>2079</v>
      </c>
      <c r="P2881" s="1" t="s">
        <v>3745</v>
      </c>
      <c r="Q2881" s="3">
        <v>0</v>
      </c>
      <c r="R2881" s="23" t="s">
        <v>10605</v>
      </c>
      <c r="S2881" s="23" t="s">
        <v>6844</v>
      </c>
      <c r="T2881" s="23" t="s">
        <v>4866</v>
      </c>
      <c r="U2881" s="3">
        <v>35</v>
      </c>
      <c r="W2881" s="45" t="str">
        <f>HYPERLINK("http://ictvonline.org/taxonomy/p/taxonomy-history?taxnode_id=201903340","ICTVonline=201903340")</f>
        <v>ICTVonline=201903340</v>
      </c>
      <c r="Y2881" s="1" t="s">
        <v>11396</v>
      </c>
      <c r="Z2881" s="1" t="s">
        <v>11397</v>
      </c>
      <c r="AA2881" s="1">
        <v>201900000</v>
      </c>
      <c r="AB2881" s="1">
        <v>35</v>
      </c>
    </row>
    <row r="2882" spans="1:28" x14ac:dyDescent="0.2">
      <c r="A2882" s="1">
        <v>7625</v>
      </c>
      <c r="B2882" s="1" t="s">
        <v>10590</v>
      </c>
      <c r="D2882" s="1" t="s">
        <v>10685</v>
      </c>
      <c r="F2882" s="1" t="s">
        <v>11077</v>
      </c>
      <c r="H2882" s="1" t="s">
        <v>11235</v>
      </c>
      <c r="J2882" s="1" t="s">
        <v>11236</v>
      </c>
      <c r="L2882" s="1" t="s">
        <v>2078</v>
      </c>
      <c r="N2882" s="1" t="s">
        <v>2079</v>
      </c>
      <c r="P2882" s="1" t="s">
        <v>814</v>
      </c>
      <c r="Q2882" s="3">
        <v>0</v>
      </c>
      <c r="R2882" s="23" t="s">
        <v>10605</v>
      </c>
      <c r="S2882" s="23" t="s">
        <v>6844</v>
      </c>
      <c r="T2882" s="23" t="s">
        <v>4866</v>
      </c>
      <c r="U2882" s="3">
        <v>35</v>
      </c>
      <c r="W2882" s="45" t="str">
        <f>HYPERLINK("http://ictvonline.org/taxonomy/p/taxonomy-history?taxnode_id=201903341","ICTVonline=201903341")</f>
        <v>ICTVonline=201903341</v>
      </c>
      <c r="AA2882" s="1">
        <v>201900000</v>
      </c>
      <c r="AB2882" s="1">
        <v>35</v>
      </c>
    </row>
    <row r="2883" spans="1:28" x14ac:dyDescent="0.2">
      <c r="A2883" s="1">
        <v>7627</v>
      </c>
      <c r="B2883" s="1" t="s">
        <v>10590</v>
      </c>
      <c r="D2883" s="1" t="s">
        <v>10685</v>
      </c>
      <c r="F2883" s="1" t="s">
        <v>11077</v>
      </c>
      <c r="H2883" s="1" t="s">
        <v>11235</v>
      </c>
      <c r="J2883" s="1" t="s">
        <v>11236</v>
      </c>
      <c r="L2883" s="1" t="s">
        <v>2078</v>
      </c>
      <c r="N2883" s="1" t="s">
        <v>2079</v>
      </c>
      <c r="P2883" s="1" t="s">
        <v>2410</v>
      </c>
      <c r="Q2883" s="3">
        <v>0</v>
      </c>
      <c r="R2883" s="23" t="s">
        <v>10605</v>
      </c>
      <c r="S2883" s="23" t="s">
        <v>6844</v>
      </c>
      <c r="T2883" s="23" t="s">
        <v>4866</v>
      </c>
      <c r="U2883" s="3">
        <v>35</v>
      </c>
      <c r="W2883" s="45" t="str">
        <f>HYPERLINK("http://ictvonline.org/taxonomy/p/taxonomy-history?taxnode_id=201903342","ICTVonline=201903342")</f>
        <v>ICTVonline=201903342</v>
      </c>
      <c r="AA2883" s="1">
        <v>201900000</v>
      </c>
      <c r="AB2883" s="1">
        <v>35</v>
      </c>
    </row>
    <row r="2884" spans="1:28" x14ac:dyDescent="0.2">
      <c r="A2884" s="1">
        <v>7629</v>
      </c>
      <c r="B2884" s="1" t="s">
        <v>10590</v>
      </c>
      <c r="D2884" s="1" t="s">
        <v>10685</v>
      </c>
      <c r="F2884" s="1" t="s">
        <v>11077</v>
      </c>
      <c r="H2884" s="1" t="s">
        <v>11235</v>
      </c>
      <c r="J2884" s="1" t="s">
        <v>11236</v>
      </c>
      <c r="L2884" s="1" t="s">
        <v>2078</v>
      </c>
      <c r="N2884" s="1" t="s">
        <v>2079</v>
      </c>
      <c r="P2884" s="1" t="s">
        <v>5340</v>
      </c>
      <c r="Q2884" s="3">
        <v>0</v>
      </c>
      <c r="R2884" s="23" t="s">
        <v>10605</v>
      </c>
      <c r="S2884" s="23" t="s">
        <v>6844</v>
      </c>
      <c r="T2884" s="23" t="s">
        <v>4866</v>
      </c>
      <c r="U2884" s="3">
        <v>35</v>
      </c>
      <c r="W2884" s="45" t="str">
        <f>HYPERLINK("http://ictvonline.org/taxonomy/p/taxonomy-history?taxnode_id=201905828","ICTVonline=201905828")</f>
        <v>ICTVonline=201905828</v>
      </c>
      <c r="AA2884" s="1">
        <v>201900000</v>
      </c>
      <c r="AB2884" s="1">
        <v>35</v>
      </c>
    </row>
    <row r="2885" spans="1:28" x14ac:dyDescent="0.2">
      <c r="A2885" s="1">
        <v>7631</v>
      </c>
      <c r="B2885" s="1" t="s">
        <v>10590</v>
      </c>
      <c r="D2885" s="1" t="s">
        <v>10685</v>
      </c>
      <c r="F2885" s="1" t="s">
        <v>11077</v>
      </c>
      <c r="H2885" s="1" t="s">
        <v>11235</v>
      </c>
      <c r="J2885" s="1" t="s">
        <v>11236</v>
      </c>
      <c r="L2885" s="1" t="s">
        <v>2078</v>
      </c>
      <c r="N2885" s="1" t="s">
        <v>2079</v>
      </c>
      <c r="P2885" s="1" t="s">
        <v>815</v>
      </c>
      <c r="Q2885" s="3">
        <v>0</v>
      </c>
      <c r="R2885" s="23" t="s">
        <v>10605</v>
      </c>
      <c r="S2885" s="23" t="s">
        <v>6844</v>
      </c>
      <c r="T2885" s="23" t="s">
        <v>4866</v>
      </c>
      <c r="U2885" s="3">
        <v>35</v>
      </c>
      <c r="W2885" s="45" t="str">
        <f>HYPERLINK("http://ictvonline.org/taxonomy/p/taxonomy-history?taxnode_id=201903343","ICTVonline=201903343")</f>
        <v>ICTVonline=201903343</v>
      </c>
      <c r="AA2885" s="1">
        <v>201900000</v>
      </c>
      <c r="AB2885" s="1">
        <v>35</v>
      </c>
    </row>
    <row r="2886" spans="1:28" x14ac:dyDescent="0.2">
      <c r="A2886" s="1">
        <v>7633</v>
      </c>
      <c r="B2886" s="1" t="s">
        <v>10590</v>
      </c>
      <c r="D2886" s="1" t="s">
        <v>10685</v>
      </c>
      <c r="F2886" s="1" t="s">
        <v>11077</v>
      </c>
      <c r="H2886" s="1" t="s">
        <v>11235</v>
      </c>
      <c r="J2886" s="1" t="s">
        <v>11236</v>
      </c>
      <c r="L2886" s="1" t="s">
        <v>2078</v>
      </c>
      <c r="N2886" s="1" t="s">
        <v>2079</v>
      </c>
      <c r="P2886" s="1" t="s">
        <v>816</v>
      </c>
      <c r="Q2886" s="3">
        <v>0</v>
      </c>
      <c r="R2886" s="23" t="s">
        <v>10605</v>
      </c>
      <c r="S2886" s="23" t="s">
        <v>6844</v>
      </c>
      <c r="T2886" s="23" t="s">
        <v>4866</v>
      </c>
      <c r="U2886" s="3">
        <v>35</v>
      </c>
      <c r="W2886" s="45" t="str">
        <f>HYPERLINK("http://ictvonline.org/taxonomy/p/taxonomy-history?taxnode_id=201903344","ICTVonline=201903344")</f>
        <v>ICTVonline=201903344</v>
      </c>
      <c r="AA2886" s="1">
        <v>201900000</v>
      </c>
      <c r="AB2886" s="1">
        <v>35</v>
      </c>
    </row>
    <row r="2887" spans="1:28" x14ac:dyDescent="0.2">
      <c r="A2887" s="1">
        <v>7635</v>
      </c>
      <c r="B2887" s="1" t="s">
        <v>10590</v>
      </c>
      <c r="D2887" s="1" t="s">
        <v>10685</v>
      </c>
      <c r="F2887" s="1" t="s">
        <v>11077</v>
      </c>
      <c r="H2887" s="1" t="s">
        <v>11235</v>
      </c>
      <c r="J2887" s="1" t="s">
        <v>11236</v>
      </c>
      <c r="L2887" s="1" t="s">
        <v>2078</v>
      </c>
      <c r="N2887" s="1" t="s">
        <v>2079</v>
      </c>
      <c r="P2887" s="1" t="s">
        <v>817</v>
      </c>
      <c r="Q2887" s="3">
        <v>0</v>
      </c>
      <c r="R2887" s="23" t="s">
        <v>10605</v>
      </c>
      <c r="S2887" s="23" t="s">
        <v>6844</v>
      </c>
      <c r="T2887" s="23" t="s">
        <v>4866</v>
      </c>
      <c r="U2887" s="3">
        <v>35</v>
      </c>
      <c r="W2887" s="45" t="str">
        <f>HYPERLINK("http://ictvonline.org/taxonomy/p/taxonomy-history?taxnode_id=201903345","ICTVonline=201903345")</f>
        <v>ICTVonline=201903345</v>
      </c>
      <c r="AA2887" s="1">
        <v>201900000</v>
      </c>
      <c r="AB2887" s="1">
        <v>35</v>
      </c>
    </row>
    <row r="2888" spans="1:28" x14ac:dyDescent="0.2">
      <c r="A2888" s="1">
        <v>7637</v>
      </c>
      <c r="B2888" s="1" t="s">
        <v>10590</v>
      </c>
      <c r="D2888" s="1" t="s">
        <v>10685</v>
      </c>
      <c r="F2888" s="1" t="s">
        <v>11077</v>
      </c>
      <c r="H2888" s="1" t="s">
        <v>11235</v>
      </c>
      <c r="J2888" s="1" t="s">
        <v>11236</v>
      </c>
      <c r="L2888" s="1" t="s">
        <v>2078</v>
      </c>
      <c r="N2888" s="1" t="s">
        <v>2079</v>
      </c>
      <c r="P2888" s="1" t="s">
        <v>2411</v>
      </c>
      <c r="Q2888" s="3">
        <v>0</v>
      </c>
      <c r="R2888" s="23" t="s">
        <v>10605</v>
      </c>
      <c r="S2888" s="23" t="s">
        <v>6844</v>
      </c>
      <c r="T2888" s="23" t="s">
        <v>4866</v>
      </c>
      <c r="U2888" s="3">
        <v>35</v>
      </c>
      <c r="W2888" s="45" t="str">
        <f>HYPERLINK("http://ictvonline.org/taxonomy/p/taxonomy-history?taxnode_id=201903346","ICTVonline=201903346")</f>
        <v>ICTVonline=201903346</v>
      </c>
      <c r="AA2888" s="1">
        <v>201900000</v>
      </c>
      <c r="AB2888" s="1">
        <v>35</v>
      </c>
    </row>
    <row r="2889" spans="1:28" x14ac:dyDescent="0.2">
      <c r="A2889" s="1">
        <v>7639</v>
      </c>
      <c r="B2889" s="1" t="s">
        <v>10590</v>
      </c>
      <c r="D2889" s="1" t="s">
        <v>10685</v>
      </c>
      <c r="F2889" s="1" t="s">
        <v>11077</v>
      </c>
      <c r="H2889" s="1" t="s">
        <v>11235</v>
      </c>
      <c r="J2889" s="1" t="s">
        <v>11236</v>
      </c>
      <c r="L2889" s="1" t="s">
        <v>2078</v>
      </c>
      <c r="N2889" s="1" t="s">
        <v>2079</v>
      </c>
      <c r="P2889" s="1" t="s">
        <v>2412</v>
      </c>
      <c r="Q2889" s="3">
        <v>0</v>
      </c>
      <c r="R2889" s="23" t="s">
        <v>10605</v>
      </c>
      <c r="S2889" s="23" t="s">
        <v>6844</v>
      </c>
      <c r="T2889" s="23" t="s">
        <v>4866</v>
      </c>
      <c r="U2889" s="3">
        <v>35</v>
      </c>
      <c r="W2889" s="45" t="str">
        <f>HYPERLINK("http://ictvonline.org/taxonomy/p/taxonomy-history?taxnode_id=201903347","ICTVonline=201903347")</f>
        <v>ICTVonline=201903347</v>
      </c>
      <c r="AA2889" s="1">
        <v>201900000</v>
      </c>
      <c r="AB2889" s="1">
        <v>35</v>
      </c>
    </row>
    <row r="2890" spans="1:28" x14ac:dyDescent="0.2">
      <c r="A2890" s="1">
        <v>7641</v>
      </c>
      <c r="B2890" s="1" t="s">
        <v>10590</v>
      </c>
      <c r="D2890" s="1" t="s">
        <v>10685</v>
      </c>
      <c r="F2890" s="1" t="s">
        <v>11077</v>
      </c>
      <c r="H2890" s="1" t="s">
        <v>11235</v>
      </c>
      <c r="J2890" s="1" t="s">
        <v>11236</v>
      </c>
      <c r="L2890" s="1" t="s">
        <v>2078</v>
      </c>
      <c r="N2890" s="1" t="s">
        <v>2079</v>
      </c>
      <c r="P2890" s="1" t="s">
        <v>2413</v>
      </c>
      <c r="Q2890" s="3">
        <v>0</v>
      </c>
      <c r="R2890" s="23" t="s">
        <v>10605</v>
      </c>
      <c r="S2890" s="23" t="s">
        <v>6844</v>
      </c>
      <c r="T2890" s="23" t="s">
        <v>4866</v>
      </c>
      <c r="U2890" s="3">
        <v>35</v>
      </c>
      <c r="W2890" s="45" t="str">
        <f>HYPERLINK("http://ictvonline.org/taxonomy/p/taxonomy-history?taxnode_id=201903348","ICTVonline=201903348")</f>
        <v>ICTVonline=201903348</v>
      </c>
      <c r="AA2890" s="1">
        <v>201900000</v>
      </c>
      <c r="AB2890" s="1">
        <v>35</v>
      </c>
    </row>
    <row r="2891" spans="1:28" x14ac:dyDescent="0.2">
      <c r="A2891" s="1">
        <v>7643</v>
      </c>
      <c r="B2891" s="1" t="s">
        <v>10590</v>
      </c>
      <c r="D2891" s="1" t="s">
        <v>10685</v>
      </c>
      <c r="F2891" s="1" t="s">
        <v>11077</v>
      </c>
      <c r="H2891" s="1" t="s">
        <v>11235</v>
      </c>
      <c r="J2891" s="1" t="s">
        <v>11236</v>
      </c>
      <c r="L2891" s="1" t="s">
        <v>2078</v>
      </c>
      <c r="N2891" s="1" t="s">
        <v>2079</v>
      </c>
      <c r="P2891" s="1" t="s">
        <v>2414</v>
      </c>
      <c r="Q2891" s="3">
        <v>0</v>
      </c>
      <c r="R2891" s="23" t="s">
        <v>10605</v>
      </c>
      <c r="S2891" s="23" t="s">
        <v>6844</v>
      </c>
      <c r="T2891" s="23" t="s">
        <v>4866</v>
      </c>
      <c r="U2891" s="3">
        <v>35</v>
      </c>
      <c r="W2891" s="45" t="str">
        <f>HYPERLINK("http://ictvonline.org/taxonomy/p/taxonomy-history?taxnode_id=201903349","ICTVonline=201903349")</f>
        <v>ICTVonline=201903349</v>
      </c>
      <c r="AA2891" s="1">
        <v>201900000</v>
      </c>
      <c r="AB2891" s="1">
        <v>35</v>
      </c>
    </row>
    <row r="2892" spans="1:28" x14ac:dyDescent="0.2">
      <c r="A2892" s="1">
        <v>7645</v>
      </c>
      <c r="B2892" s="1" t="s">
        <v>10590</v>
      </c>
      <c r="D2892" s="1" t="s">
        <v>10685</v>
      </c>
      <c r="F2892" s="1" t="s">
        <v>11077</v>
      </c>
      <c r="H2892" s="1" t="s">
        <v>11235</v>
      </c>
      <c r="J2892" s="1" t="s">
        <v>11236</v>
      </c>
      <c r="L2892" s="1" t="s">
        <v>2078</v>
      </c>
      <c r="N2892" s="1" t="s">
        <v>2079</v>
      </c>
      <c r="P2892" s="1" t="s">
        <v>2415</v>
      </c>
      <c r="Q2892" s="3">
        <v>0</v>
      </c>
      <c r="R2892" s="23" t="s">
        <v>10605</v>
      </c>
      <c r="S2892" s="23" t="s">
        <v>6844</v>
      </c>
      <c r="T2892" s="23" t="s">
        <v>4866</v>
      </c>
      <c r="U2892" s="3">
        <v>35</v>
      </c>
      <c r="W2892" s="45" t="str">
        <f>HYPERLINK("http://ictvonline.org/taxonomy/p/taxonomy-history?taxnode_id=201903350","ICTVonline=201903350")</f>
        <v>ICTVonline=201903350</v>
      </c>
      <c r="AA2892" s="1">
        <v>201900000</v>
      </c>
      <c r="AB2892" s="1">
        <v>35</v>
      </c>
    </row>
    <row r="2893" spans="1:28" x14ac:dyDescent="0.2">
      <c r="A2893" s="1">
        <v>7647</v>
      </c>
      <c r="B2893" s="1" t="s">
        <v>10590</v>
      </c>
      <c r="D2893" s="1" t="s">
        <v>10685</v>
      </c>
      <c r="F2893" s="1" t="s">
        <v>11077</v>
      </c>
      <c r="H2893" s="1" t="s">
        <v>11235</v>
      </c>
      <c r="J2893" s="1" t="s">
        <v>11236</v>
      </c>
      <c r="L2893" s="1" t="s">
        <v>2078</v>
      </c>
      <c r="N2893" s="1" t="s">
        <v>2079</v>
      </c>
      <c r="P2893" s="1" t="s">
        <v>818</v>
      </c>
      <c r="Q2893" s="3">
        <v>0</v>
      </c>
      <c r="R2893" s="23" t="s">
        <v>10605</v>
      </c>
      <c r="S2893" s="23" t="s">
        <v>6844</v>
      </c>
      <c r="T2893" s="23" t="s">
        <v>4866</v>
      </c>
      <c r="U2893" s="3">
        <v>35</v>
      </c>
      <c r="W2893" s="45" t="str">
        <f>HYPERLINK("http://ictvonline.org/taxonomy/p/taxonomy-history?taxnode_id=201903351","ICTVonline=201903351")</f>
        <v>ICTVonline=201903351</v>
      </c>
      <c r="AA2893" s="1">
        <v>201900000</v>
      </c>
      <c r="AB2893" s="1">
        <v>35</v>
      </c>
    </row>
    <row r="2894" spans="1:28" x14ac:dyDescent="0.2">
      <c r="A2894" s="1">
        <v>7649</v>
      </c>
      <c r="B2894" s="1" t="s">
        <v>10590</v>
      </c>
      <c r="D2894" s="1" t="s">
        <v>10685</v>
      </c>
      <c r="F2894" s="1" t="s">
        <v>11077</v>
      </c>
      <c r="H2894" s="1" t="s">
        <v>11235</v>
      </c>
      <c r="J2894" s="1" t="s">
        <v>11236</v>
      </c>
      <c r="L2894" s="1" t="s">
        <v>2078</v>
      </c>
      <c r="N2894" s="1" t="s">
        <v>2079</v>
      </c>
      <c r="P2894" s="1" t="s">
        <v>2416</v>
      </c>
      <c r="Q2894" s="3">
        <v>0</v>
      </c>
      <c r="R2894" s="23" t="s">
        <v>10605</v>
      </c>
      <c r="S2894" s="23" t="s">
        <v>6844</v>
      </c>
      <c r="T2894" s="23" t="s">
        <v>4866</v>
      </c>
      <c r="U2894" s="3">
        <v>35</v>
      </c>
      <c r="W2894" s="45" t="str">
        <f>HYPERLINK("http://ictvonline.org/taxonomy/p/taxonomy-history?taxnode_id=201903352","ICTVonline=201903352")</f>
        <v>ICTVonline=201903352</v>
      </c>
      <c r="AA2894" s="1">
        <v>201900000</v>
      </c>
      <c r="AB2894" s="1">
        <v>35</v>
      </c>
    </row>
    <row r="2895" spans="1:28" x14ac:dyDescent="0.2">
      <c r="A2895" s="1">
        <v>7651</v>
      </c>
      <c r="B2895" s="1" t="s">
        <v>10590</v>
      </c>
      <c r="D2895" s="1" t="s">
        <v>10685</v>
      </c>
      <c r="F2895" s="1" t="s">
        <v>11077</v>
      </c>
      <c r="H2895" s="1" t="s">
        <v>11235</v>
      </c>
      <c r="J2895" s="1" t="s">
        <v>11236</v>
      </c>
      <c r="L2895" s="1" t="s">
        <v>2078</v>
      </c>
      <c r="N2895" s="1" t="s">
        <v>2079</v>
      </c>
      <c r="P2895" s="1" t="s">
        <v>3746</v>
      </c>
      <c r="Q2895" s="3">
        <v>0</v>
      </c>
      <c r="R2895" s="23" t="s">
        <v>10605</v>
      </c>
      <c r="S2895" s="23" t="s">
        <v>6844</v>
      </c>
      <c r="T2895" s="23" t="s">
        <v>4866</v>
      </c>
      <c r="U2895" s="3">
        <v>35</v>
      </c>
      <c r="W2895" s="45" t="str">
        <f>HYPERLINK("http://ictvonline.org/taxonomy/p/taxonomy-history?taxnode_id=201903353","ICTVonline=201903353")</f>
        <v>ICTVonline=201903353</v>
      </c>
      <c r="Y2895" s="1" t="s">
        <v>11398</v>
      </c>
      <c r="Z2895" s="1" t="s">
        <v>11399</v>
      </c>
      <c r="AA2895" s="1">
        <v>201900000</v>
      </c>
      <c r="AB2895" s="1">
        <v>35</v>
      </c>
    </row>
    <row r="2896" spans="1:28" x14ac:dyDescent="0.2">
      <c r="A2896" s="1">
        <v>7653</v>
      </c>
      <c r="B2896" s="1" t="s">
        <v>10590</v>
      </c>
      <c r="D2896" s="1" t="s">
        <v>10685</v>
      </c>
      <c r="F2896" s="1" t="s">
        <v>11077</v>
      </c>
      <c r="H2896" s="1" t="s">
        <v>11235</v>
      </c>
      <c r="J2896" s="1" t="s">
        <v>11236</v>
      </c>
      <c r="L2896" s="1" t="s">
        <v>2078</v>
      </c>
      <c r="N2896" s="1" t="s">
        <v>2079</v>
      </c>
      <c r="P2896" s="1" t="s">
        <v>2417</v>
      </c>
      <c r="Q2896" s="3">
        <v>0</v>
      </c>
      <c r="R2896" s="23" t="s">
        <v>10605</v>
      </c>
      <c r="S2896" s="23" t="s">
        <v>6844</v>
      </c>
      <c r="T2896" s="23" t="s">
        <v>4866</v>
      </c>
      <c r="U2896" s="3">
        <v>35</v>
      </c>
      <c r="W2896" s="45" t="str">
        <f>HYPERLINK("http://ictvonline.org/taxonomy/p/taxonomy-history?taxnode_id=201903354","ICTVonline=201903354")</f>
        <v>ICTVonline=201903354</v>
      </c>
      <c r="AA2896" s="1">
        <v>201900000</v>
      </c>
      <c r="AB2896" s="1">
        <v>35</v>
      </c>
    </row>
    <row r="2897" spans="1:28" x14ac:dyDescent="0.2">
      <c r="A2897" s="1">
        <v>7655</v>
      </c>
      <c r="B2897" s="1" t="s">
        <v>10590</v>
      </c>
      <c r="D2897" s="1" t="s">
        <v>10685</v>
      </c>
      <c r="F2897" s="1" t="s">
        <v>11077</v>
      </c>
      <c r="H2897" s="1" t="s">
        <v>11235</v>
      </c>
      <c r="J2897" s="1" t="s">
        <v>11236</v>
      </c>
      <c r="L2897" s="1" t="s">
        <v>2078</v>
      </c>
      <c r="N2897" s="1" t="s">
        <v>2079</v>
      </c>
      <c r="P2897" s="1" t="s">
        <v>819</v>
      </c>
      <c r="Q2897" s="3">
        <v>0</v>
      </c>
      <c r="R2897" s="23" t="s">
        <v>10605</v>
      </c>
      <c r="S2897" s="23" t="s">
        <v>6844</v>
      </c>
      <c r="T2897" s="23" t="s">
        <v>4866</v>
      </c>
      <c r="U2897" s="3">
        <v>35</v>
      </c>
      <c r="W2897" s="45" t="str">
        <f>HYPERLINK("http://ictvonline.org/taxonomy/p/taxonomy-history?taxnode_id=201903355","ICTVonline=201903355")</f>
        <v>ICTVonline=201903355</v>
      </c>
      <c r="AA2897" s="1">
        <v>201900000</v>
      </c>
      <c r="AB2897" s="1">
        <v>35</v>
      </c>
    </row>
    <row r="2898" spans="1:28" x14ac:dyDescent="0.2">
      <c r="A2898" s="1">
        <v>7657</v>
      </c>
      <c r="B2898" s="1" t="s">
        <v>10590</v>
      </c>
      <c r="D2898" s="1" t="s">
        <v>10685</v>
      </c>
      <c r="F2898" s="1" t="s">
        <v>11077</v>
      </c>
      <c r="H2898" s="1" t="s">
        <v>11235</v>
      </c>
      <c r="J2898" s="1" t="s">
        <v>11236</v>
      </c>
      <c r="L2898" s="1" t="s">
        <v>2078</v>
      </c>
      <c r="N2898" s="1" t="s">
        <v>2079</v>
      </c>
      <c r="P2898" s="1" t="s">
        <v>820</v>
      </c>
      <c r="Q2898" s="3">
        <v>0</v>
      </c>
      <c r="R2898" s="23" t="s">
        <v>10605</v>
      </c>
      <c r="S2898" s="23" t="s">
        <v>6844</v>
      </c>
      <c r="T2898" s="23" t="s">
        <v>4866</v>
      </c>
      <c r="U2898" s="3">
        <v>35</v>
      </c>
      <c r="W2898" s="45" t="str">
        <f>HYPERLINK("http://ictvonline.org/taxonomy/p/taxonomy-history?taxnode_id=201903356","ICTVonline=201903356")</f>
        <v>ICTVonline=201903356</v>
      </c>
      <c r="AA2898" s="1">
        <v>201900000</v>
      </c>
      <c r="AB2898" s="1">
        <v>35</v>
      </c>
    </row>
    <row r="2899" spans="1:28" x14ac:dyDescent="0.2">
      <c r="A2899" s="1">
        <v>7659</v>
      </c>
      <c r="B2899" s="1" t="s">
        <v>10590</v>
      </c>
      <c r="D2899" s="1" t="s">
        <v>10685</v>
      </c>
      <c r="F2899" s="1" t="s">
        <v>11077</v>
      </c>
      <c r="H2899" s="1" t="s">
        <v>11235</v>
      </c>
      <c r="J2899" s="1" t="s">
        <v>11236</v>
      </c>
      <c r="L2899" s="1" t="s">
        <v>2078</v>
      </c>
      <c r="N2899" s="1" t="s">
        <v>2079</v>
      </c>
      <c r="P2899" s="1" t="s">
        <v>1832</v>
      </c>
      <c r="Q2899" s="3">
        <v>0</v>
      </c>
      <c r="R2899" s="23" t="s">
        <v>10605</v>
      </c>
      <c r="S2899" s="23" t="s">
        <v>6844</v>
      </c>
      <c r="T2899" s="23" t="s">
        <v>4866</v>
      </c>
      <c r="U2899" s="3">
        <v>35</v>
      </c>
      <c r="W2899" s="45" t="str">
        <f>HYPERLINK("http://ictvonline.org/taxonomy/p/taxonomy-history?taxnode_id=201903357","ICTVonline=201903357")</f>
        <v>ICTVonline=201903357</v>
      </c>
      <c r="AA2899" s="1">
        <v>201900000</v>
      </c>
      <c r="AB2899" s="1">
        <v>35</v>
      </c>
    </row>
    <row r="2900" spans="1:28" x14ac:dyDescent="0.2">
      <c r="A2900" s="1">
        <v>7661</v>
      </c>
      <c r="B2900" s="1" t="s">
        <v>10590</v>
      </c>
      <c r="D2900" s="1" t="s">
        <v>10685</v>
      </c>
      <c r="F2900" s="1" t="s">
        <v>11077</v>
      </c>
      <c r="H2900" s="1" t="s">
        <v>11235</v>
      </c>
      <c r="J2900" s="1" t="s">
        <v>11236</v>
      </c>
      <c r="L2900" s="1" t="s">
        <v>2078</v>
      </c>
      <c r="N2900" s="1" t="s">
        <v>2079</v>
      </c>
      <c r="P2900" s="1" t="s">
        <v>2418</v>
      </c>
      <c r="Q2900" s="3">
        <v>0</v>
      </c>
      <c r="R2900" s="23" t="s">
        <v>10605</v>
      </c>
      <c r="S2900" s="23" t="s">
        <v>6844</v>
      </c>
      <c r="T2900" s="23" t="s">
        <v>4866</v>
      </c>
      <c r="U2900" s="3">
        <v>35</v>
      </c>
      <c r="W2900" s="45" t="str">
        <f>HYPERLINK("http://ictvonline.org/taxonomy/p/taxonomy-history?taxnode_id=201903358","ICTVonline=201903358")</f>
        <v>ICTVonline=201903358</v>
      </c>
      <c r="AA2900" s="1">
        <v>201900000</v>
      </c>
      <c r="AB2900" s="1">
        <v>35</v>
      </c>
    </row>
    <row r="2901" spans="1:28" x14ac:dyDescent="0.2">
      <c r="A2901" s="1">
        <v>7663</v>
      </c>
      <c r="B2901" s="1" t="s">
        <v>10590</v>
      </c>
      <c r="D2901" s="1" t="s">
        <v>10685</v>
      </c>
      <c r="F2901" s="1" t="s">
        <v>11077</v>
      </c>
      <c r="H2901" s="1" t="s">
        <v>11235</v>
      </c>
      <c r="J2901" s="1" t="s">
        <v>11236</v>
      </c>
      <c r="L2901" s="1" t="s">
        <v>2078</v>
      </c>
      <c r="N2901" s="1" t="s">
        <v>2079</v>
      </c>
      <c r="P2901" s="1" t="s">
        <v>2419</v>
      </c>
      <c r="Q2901" s="3">
        <v>0</v>
      </c>
      <c r="R2901" s="23" t="s">
        <v>10605</v>
      </c>
      <c r="S2901" s="23" t="s">
        <v>6844</v>
      </c>
      <c r="T2901" s="23" t="s">
        <v>4866</v>
      </c>
      <c r="U2901" s="3">
        <v>35</v>
      </c>
      <c r="W2901" s="45" t="str">
        <f>HYPERLINK("http://ictvonline.org/taxonomy/p/taxonomy-history?taxnode_id=201903359","ICTVonline=201903359")</f>
        <v>ICTVonline=201903359</v>
      </c>
      <c r="AA2901" s="1">
        <v>201900000</v>
      </c>
      <c r="AB2901" s="1">
        <v>35</v>
      </c>
    </row>
    <row r="2902" spans="1:28" x14ac:dyDescent="0.2">
      <c r="A2902" s="1">
        <v>7665</v>
      </c>
      <c r="B2902" s="1" t="s">
        <v>10590</v>
      </c>
      <c r="D2902" s="1" t="s">
        <v>10685</v>
      </c>
      <c r="F2902" s="1" t="s">
        <v>11077</v>
      </c>
      <c r="H2902" s="1" t="s">
        <v>11235</v>
      </c>
      <c r="J2902" s="1" t="s">
        <v>11236</v>
      </c>
      <c r="L2902" s="1" t="s">
        <v>2078</v>
      </c>
      <c r="N2902" s="1" t="s">
        <v>2079</v>
      </c>
      <c r="P2902" s="1" t="s">
        <v>1833</v>
      </c>
      <c r="Q2902" s="3">
        <v>0</v>
      </c>
      <c r="R2902" s="23" t="s">
        <v>10605</v>
      </c>
      <c r="S2902" s="23" t="s">
        <v>6844</v>
      </c>
      <c r="T2902" s="23" t="s">
        <v>4866</v>
      </c>
      <c r="U2902" s="3">
        <v>35</v>
      </c>
      <c r="W2902" s="45" t="str">
        <f>HYPERLINK("http://ictvonline.org/taxonomy/p/taxonomy-history?taxnode_id=201903360","ICTVonline=201903360")</f>
        <v>ICTVonline=201903360</v>
      </c>
      <c r="AA2902" s="1">
        <v>201900000</v>
      </c>
      <c r="AB2902" s="1">
        <v>35</v>
      </c>
    </row>
    <row r="2903" spans="1:28" x14ac:dyDescent="0.2">
      <c r="A2903" s="1">
        <v>7667</v>
      </c>
      <c r="B2903" s="1" t="s">
        <v>10590</v>
      </c>
      <c r="D2903" s="1" t="s">
        <v>10685</v>
      </c>
      <c r="F2903" s="1" t="s">
        <v>11077</v>
      </c>
      <c r="H2903" s="1" t="s">
        <v>11235</v>
      </c>
      <c r="J2903" s="1" t="s">
        <v>11236</v>
      </c>
      <c r="L2903" s="1" t="s">
        <v>2078</v>
      </c>
      <c r="N2903" s="1" t="s">
        <v>2079</v>
      </c>
      <c r="P2903" s="1" t="s">
        <v>1834</v>
      </c>
      <c r="Q2903" s="3">
        <v>0</v>
      </c>
      <c r="R2903" s="23" t="s">
        <v>10605</v>
      </c>
      <c r="S2903" s="23" t="s">
        <v>6844</v>
      </c>
      <c r="T2903" s="23" t="s">
        <v>4866</v>
      </c>
      <c r="U2903" s="3">
        <v>35</v>
      </c>
      <c r="W2903" s="45" t="str">
        <f>HYPERLINK("http://ictvonline.org/taxonomy/p/taxonomy-history?taxnode_id=201903361","ICTVonline=201903361")</f>
        <v>ICTVonline=201903361</v>
      </c>
      <c r="AA2903" s="1">
        <v>201900000</v>
      </c>
      <c r="AB2903" s="1">
        <v>35</v>
      </c>
    </row>
    <row r="2904" spans="1:28" x14ac:dyDescent="0.2">
      <c r="A2904" s="1">
        <v>7669</v>
      </c>
      <c r="B2904" s="1" t="s">
        <v>10590</v>
      </c>
      <c r="D2904" s="1" t="s">
        <v>10685</v>
      </c>
      <c r="F2904" s="1" t="s">
        <v>11077</v>
      </c>
      <c r="H2904" s="1" t="s">
        <v>11235</v>
      </c>
      <c r="J2904" s="1" t="s">
        <v>11236</v>
      </c>
      <c r="L2904" s="1" t="s">
        <v>2078</v>
      </c>
      <c r="N2904" s="1" t="s">
        <v>2079</v>
      </c>
      <c r="P2904" s="1" t="s">
        <v>3747</v>
      </c>
      <c r="Q2904" s="3">
        <v>0</v>
      </c>
      <c r="R2904" s="23" t="s">
        <v>10605</v>
      </c>
      <c r="S2904" s="23" t="s">
        <v>6844</v>
      </c>
      <c r="T2904" s="23" t="s">
        <v>4866</v>
      </c>
      <c r="U2904" s="3">
        <v>35</v>
      </c>
      <c r="W2904" s="45" t="str">
        <f>HYPERLINK("http://ictvonline.org/taxonomy/p/taxonomy-history?taxnode_id=201903362","ICTVonline=201903362")</f>
        <v>ICTVonline=201903362</v>
      </c>
      <c r="Y2904" s="1" t="s">
        <v>11400</v>
      </c>
      <c r="Z2904" s="1" t="s">
        <v>11401</v>
      </c>
      <c r="AA2904" s="1">
        <v>201900000</v>
      </c>
      <c r="AB2904" s="1">
        <v>35</v>
      </c>
    </row>
    <row r="2905" spans="1:28" x14ac:dyDescent="0.2">
      <c r="A2905" s="1">
        <v>7671</v>
      </c>
      <c r="B2905" s="1" t="s">
        <v>10590</v>
      </c>
      <c r="D2905" s="1" t="s">
        <v>10685</v>
      </c>
      <c r="F2905" s="1" t="s">
        <v>11077</v>
      </c>
      <c r="H2905" s="1" t="s">
        <v>11235</v>
      </c>
      <c r="J2905" s="1" t="s">
        <v>11236</v>
      </c>
      <c r="L2905" s="1" t="s">
        <v>2078</v>
      </c>
      <c r="N2905" s="1" t="s">
        <v>2079</v>
      </c>
      <c r="P2905" s="1" t="s">
        <v>1835</v>
      </c>
      <c r="Q2905" s="3">
        <v>0</v>
      </c>
      <c r="R2905" s="23" t="s">
        <v>10605</v>
      </c>
      <c r="S2905" s="23" t="s">
        <v>6844</v>
      </c>
      <c r="T2905" s="23" t="s">
        <v>4866</v>
      </c>
      <c r="U2905" s="3">
        <v>35</v>
      </c>
      <c r="W2905" s="45" t="str">
        <f>HYPERLINK("http://ictvonline.org/taxonomy/p/taxonomy-history?taxnode_id=201903363","ICTVonline=201903363")</f>
        <v>ICTVonline=201903363</v>
      </c>
      <c r="AA2905" s="1">
        <v>201900000</v>
      </c>
      <c r="AB2905" s="1">
        <v>35</v>
      </c>
    </row>
    <row r="2906" spans="1:28" x14ac:dyDescent="0.2">
      <c r="A2906" s="1">
        <v>7673</v>
      </c>
      <c r="B2906" s="1" t="s">
        <v>10590</v>
      </c>
      <c r="D2906" s="1" t="s">
        <v>10685</v>
      </c>
      <c r="F2906" s="1" t="s">
        <v>11077</v>
      </c>
      <c r="H2906" s="1" t="s">
        <v>11235</v>
      </c>
      <c r="J2906" s="1" t="s">
        <v>11236</v>
      </c>
      <c r="L2906" s="1" t="s">
        <v>2078</v>
      </c>
      <c r="N2906" s="1" t="s">
        <v>2079</v>
      </c>
      <c r="P2906" s="1" t="s">
        <v>1836</v>
      </c>
      <c r="Q2906" s="3">
        <v>0</v>
      </c>
      <c r="R2906" s="23" t="s">
        <v>10605</v>
      </c>
      <c r="S2906" s="23" t="s">
        <v>6844</v>
      </c>
      <c r="T2906" s="23" t="s">
        <v>4866</v>
      </c>
      <c r="U2906" s="3">
        <v>35</v>
      </c>
      <c r="W2906" s="45" t="str">
        <f>HYPERLINK("http://ictvonline.org/taxonomy/p/taxonomy-history?taxnode_id=201903364","ICTVonline=201903364")</f>
        <v>ICTVonline=201903364</v>
      </c>
      <c r="AA2906" s="1">
        <v>201900000</v>
      </c>
      <c r="AB2906" s="1">
        <v>35</v>
      </c>
    </row>
    <row r="2907" spans="1:28" x14ac:dyDescent="0.2">
      <c r="A2907" s="1">
        <v>7675</v>
      </c>
      <c r="B2907" s="1" t="s">
        <v>10590</v>
      </c>
      <c r="D2907" s="1" t="s">
        <v>10685</v>
      </c>
      <c r="F2907" s="1" t="s">
        <v>11077</v>
      </c>
      <c r="H2907" s="1" t="s">
        <v>11235</v>
      </c>
      <c r="J2907" s="1" t="s">
        <v>11236</v>
      </c>
      <c r="L2907" s="1" t="s">
        <v>2078</v>
      </c>
      <c r="N2907" s="1" t="s">
        <v>2079</v>
      </c>
      <c r="P2907" s="1" t="s">
        <v>5341</v>
      </c>
      <c r="Q2907" s="3">
        <v>0</v>
      </c>
      <c r="R2907" s="23" t="s">
        <v>10605</v>
      </c>
      <c r="S2907" s="23" t="s">
        <v>6844</v>
      </c>
      <c r="T2907" s="23" t="s">
        <v>4866</v>
      </c>
      <c r="U2907" s="3">
        <v>35</v>
      </c>
      <c r="W2907" s="45" t="str">
        <f>HYPERLINK("http://ictvonline.org/taxonomy/p/taxonomy-history?taxnode_id=201905829","ICTVonline=201905829")</f>
        <v>ICTVonline=201905829</v>
      </c>
      <c r="AA2907" s="1">
        <v>201900000</v>
      </c>
      <c r="AB2907" s="1">
        <v>35</v>
      </c>
    </row>
    <row r="2908" spans="1:28" x14ac:dyDescent="0.2">
      <c r="A2908" s="1">
        <v>7677</v>
      </c>
      <c r="B2908" s="1" t="s">
        <v>10590</v>
      </c>
      <c r="D2908" s="1" t="s">
        <v>10685</v>
      </c>
      <c r="F2908" s="1" t="s">
        <v>11077</v>
      </c>
      <c r="H2908" s="1" t="s">
        <v>11235</v>
      </c>
      <c r="J2908" s="1" t="s">
        <v>11236</v>
      </c>
      <c r="L2908" s="1" t="s">
        <v>2078</v>
      </c>
      <c r="N2908" s="1" t="s">
        <v>2079</v>
      </c>
      <c r="P2908" s="1" t="s">
        <v>513</v>
      </c>
      <c r="Q2908" s="3">
        <v>0</v>
      </c>
      <c r="R2908" s="23" t="s">
        <v>10605</v>
      </c>
      <c r="S2908" s="23" t="s">
        <v>6844</v>
      </c>
      <c r="T2908" s="23" t="s">
        <v>4866</v>
      </c>
      <c r="U2908" s="3">
        <v>35</v>
      </c>
      <c r="W2908" s="45" t="str">
        <f>HYPERLINK("http://ictvonline.org/taxonomy/p/taxonomy-history?taxnode_id=201903365","ICTVonline=201903365")</f>
        <v>ICTVonline=201903365</v>
      </c>
      <c r="AA2908" s="1">
        <v>201900000</v>
      </c>
      <c r="AB2908" s="1">
        <v>35</v>
      </c>
    </row>
    <row r="2909" spans="1:28" x14ac:dyDescent="0.2">
      <c r="A2909" s="1">
        <v>7679</v>
      </c>
      <c r="B2909" s="1" t="s">
        <v>10590</v>
      </c>
      <c r="D2909" s="1" t="s">
        <v>10685</v>
      </c>
      <c r="F2909" s="1" t="s">
        <v>11077</v>
      </c>
      <c r="H2909" s="1" t="s">
        <v>11235</v>
      </c>
      <c r="J2909" s="1" t="s">
        <v>11236</v>
      </c>
      <c r="L2909" s="1" t="s">
        <v>2078</v>
      </c>
      <c r="N2909" s="1" t="s">
        <v>2079</v>
      </c>
      <c r="P2909" s="1" t="s">
        <v>514</v>
      </c>
      <c r="Q2909" s="3">
        <v>0</v>
      </c>
      <c r="R2909" s="23" t="s">
        <v>10605</v>
      </c>
      <c r="S2909" s="23" t="s">
        <v>6844</v>
      </c>
      <c r="T2909" s="23" t="s">
        <v>4866</v>
      </c>
      <c r="U2909" s="3">
        <v>35</v>
      </c>
      <c r="W2909" s="45" t="str">
        <f>HYPERLINK("http://ictvonline.org/taxonomy/p/taxonomy-history?taxnode_id=201903366","ICTVonline=201903366")</f>
        <v>ICTVonline=201903366</v>
      </c>
      <c r="AA2909" s="1">
        <v>201900000</v>
      </c>
      <c r="AB2909" s="1">
        <v>35</v>
      </c>
    </row>
    <row r="2910" spans="1:28" x14ac:dyDescent="0.2">
      <c r="A2910" s="1">
        <v>7681</v>
      </c>
      <c r="B2910" s="1" t="s">
        <v>10590</v>
      </c>
      <c r="D2910" s="1" t="s">
        <v>10685</v>
      </c>
      <c r="F2910" s="1" t="s">
        <v>11077</v>
      </c>
      <c r="H2910" s="1" t="s">
        <v>11235</v>
      </c>
      <c r="J2910" s="1" t="s">
        <v>11236</v>
      </c>
      <c r="L2910" s="1" t="s">
        <v>2078</v>
      </c>
      <c r="N2910" s="1" t="s">
        <v>2079</v>
      </c>
      <c r="P2910" s="1" t="s">
        <v>3748</v>
      </c>
      <c r="Q2910" s="3">
        <v>0</v>
      </c>
      <c r="R2910" s="23" t="s">
        <v>10605</v>
      </c>
      <c r="S2910" s="23" t="s">
        <v>6844</v>
      </c>
      <c r="T2910" s="23" t="s">
        <v>4866</v>
      </c>
      <c r="U2910" s="3">
        <v>35</v>
      </c>
      <c r="W2910" s="45" t="str">
        <f>HYPERLINK("http://ictvonline.org/taxonomy/p/taxonomy-history?taxnode_id=201903367","ICTVonline=201903367")</f>
        <v>ICTVonline=201903367</v>
      </c>
      <c r="Y2910" s="1" t="s">
        <v>11402</v>
      </c>
      <c r="Z2910" s="1" t="s">
        <v>11403</v>
      </c>
      <c r="AA2910" s="1">
        <v>201900000</v>
      </c>
      <c r="AB2910" s="1">
        <v>35</v>
      </c>
    </row>
    <row r="2911" spans="1:28" x14ac:dyDescent="0.2">
      <c r="A2911" s="1">
        <v>7683</v>
      </c>
      <c r="B2911" s="1" t="s">
        <v>10590</v>
      </c>
      <c r="D2911" s="1" t="s">
        <v>10685</v>
      </c>
      <c r="F2911" s="1" t="s">
        <v>11077</v>
      </c>
      <c r="H2911" s="1" t="s">
        <v>11235</v>
      </c>
      <c r="J2911" s="1" t="s">
        <v>11236</v>
      </c>
      <c r="L2911" s="1" t="s">
        <v>2078</v>
      </c>
      <c r="N2911" s="1" t="s">
        <v>2079</v>
      </c>
      <c r="P2911" s="1" t="s">
        <v>2420</v>
      </c>
      <c r="Q2911" s="3">
        <v>0</v>
      </c>
      <c r="R2911" s="23" t="s">
        <v>10605</v>
      </c>
      <c r="S2911" s="23" t="s">
        <v>6844</v>
      </c>
      <c r="T2911" s="23" t="s">
        <v>4866</v>
      </c>
      <c r="U2911" s="3">
        <v>35</v>
      </c>
      <c r="W2911" s="45" t="str">
        <f>HYPERLINK("http://ictvonline.org/taxonomy/p/taxonomy-history?taxnode_id=201903368","ICTVonline=201903368")</f>
        <v>ICTVonline=201903368</v>
      </c>
      <c r="AA2911" s="1">
        <v>201900000</v>
      </c>
      <c r="AB2911" s="1">
        <v>35</v>
      </c>
    </row>
    <row r="2912" spans="1:28" x14ac:dyDescent="0.2">
      <c r="A2912" s="1">
        <v>7685</v>
      </c>
      <c r="B2912" s="1" t="s">
        <v>10590</v>
      </c>
      <c r="D2912" s="1" t="s">
        <v>10685</v>
      </c>
      <c r="F2912" s="1" t="s">
        <v>11077</v>
      </c>
      <c r="H2912" s="1" t="s">
        <v>11235</v>
      </c>
      <c r="J2912" s="1" t="s">
        <v>11236</v>
      </c>
      <c r="L2912" s="1" t="s">
        <v>2078</v>
      </c>
      <c r="N2912" s="1" t="s">
        <v>2079</v>
      </c>
      <c r="P2912" s="1" t="s">
        <v>515</v>
      </c>
      <c r="Q2912" s="3">
        <v>0</v>
      </c>
      <c r="R2912" s="23" t="s">
        <v>10605</v>
      </c>
      <c r="S2912" s="23" t="s">
        <v>6844</v>
      </c>
      <c r="T2912" s="23" t="s">
        <v>4866</v>
      </c>
      <c r="U2912" s="3">
        <v>35</v>
      </c>
      <c r="W2912" s="45" t="str">
        <f>HYPERLINK("http://ictvonline.org/taxonomy/p/taxonomy-history?taxnode_id=201903369","ICTVonline=201903369")</f>
        <v>ICTVonline=201903369</v>
      </c>
      <c r="AA2912" s="1">
        <v>201900000</v>
      </c>
      <c r="AB2912" s="1">
        <v>35</v>
      </c>
    </row>
    <row r="2913" spans="1:28" x14ac:dyDescent="0.2">
      <c r="A2913" s="1">
        <v>7687</v>
      </c>
      <c r="B2913" s="1" t="s">
        <v>10590</v>
      </c>
      <c r="D2913" s="1" t="s">
        <v>10685</v>
      </c>
      <c r="F2913" s="1" t="s">
        <v>11077</v>
      </c>
      <c r="H2913" s="1" t="s">
        <v>11235</v>
      </c>
      <c r="J2913" s="1" t="s">
        <v>11236</v>
      </c>
      <c r="L2913" s="1" t="s">
        <v>2078</v>
      </c>
      <c r="N2913" s="1" t="s">
        <v>2079</v>
      </c>
      <c r="P2913" s="1" t="s">
        <v>3749</v>
      </c>
      <c r="Q2913" s="3">
        <v>0</v>
      </c>
      <c r="R2913" s="23" t="s">
        <v>10605</v>
      </c>
      <c r="S2913" s="23" t="s">
        <v>6844</v>
      </c>
      <c r="T2913" s="23" t="s">
        <v>4866</v>
      </c>
      <c r="U2913" s="3">
        <v>35</v>
      </c>
      <c r="W2913" s="45" t="str">
        <f>HYPERLINK("http://ictvonline.org/taxonomy/p/taxonomy-history?taxnode_id=201903370","ICTVonline=201903370")</f>
        <v>ICTVonline=201903370</v>
      </c>
      <c r="Y2913" s="1" t="s">
        <v>11404</v>
      </c>
      <c r="Z2913" s="1" t="s">
        <v>11405</v>
      </c>
      <c r="AA2913" s="1">
        <v>201900000</v>
      </c>
      <c r="AB2913" s="1">
        <v>35</v>
      </c>
    </row>
    <row r="2914" spans="1:28" x14ac:dyDescent="0.2">
      <c r="A2914" s="1">
        <v>7689</v>
      </c>
      <c r="B2914" s="1" t="s">
        <v>10590</v>
      </c>
      <c r="D2914" s="1" t="s">
        <v>10685</v>
      </c>
      <c r="F2914" s="1" t="s">
        <v>11077</v>
      </c>
      <c r="H2914" s="1" t="s">
        <v>11235</v>
      </c>
      <c r="J2914" s="1" t="s">
        <v>11236</v>
      </c>
      <c r="L2914" s="1" t="s">
        <v>2078</v>
      </c>
      <c r="N2914" s="1" t="s">
        <v>2079</v>
      </c>
      <c r="P2914" s="1" t="s">
        <v>516</v>
      </c>
      <c r="Q2914" s="3">
        <v>0</v>
      </c>
      <c r="R2914" s="23" t="s">
        <v>10605</v>
      </c>
      <c r="S2914" s="23" t="s">
        <v>6844</v>
      </c>
      <c r="T2914" s="23" t="s">
        <v>4866</v>
      </c>
      <c r="U2914" s="3">
        <v>35</v>
      </c>
      <c r="W2914" s="45" t="str">
        <f>HYPERLINK("http://ictvonline.org/taxonomy/p/taxonomy-history?taxnode_id=201903371","ICTVonline=201903371")</f>
        <v>ICTVonline=201903371</v>
      </c>
      <c r="AA2914" s="1">
        <v>201900000</v>
      </c>
      <c r="AB2914" s="1">
        <v>35</v>
      </c>
    </row>
    <row r="2915" spans="1:28" x14ac:dyDescent="0.2">
      <c r="A2915" s="1">
        <v>7691</v>
      </c>
      <c r="B2915" s="1" t="s">
        <v>10590</v>
      </c>
      <c r="D2915" s="1" t="s">
        <v>10685</v>
      </c>
      <c r="F2915" s="1" t="s">
        <v>11077</v>
      </c>
      <c r="H2915" s="1" t="s">
        <v>11235</v>
      </c>
      <c r="J2915" s="1" t="s">
        <v>11236</v>
      </c>
      <c r="L2915" s="1" t="s">
        <v>2078</v>
      </c>
      <c r="N2915" s="1" t="s">
        <v>2079</v>
      </c>
      <c r="P2915" s="1" t="s">
        <v>517</v>
      </c>
      <c r="Q2915" s="3">
        <v>0</v>
      </c>
      <c r="R2915" s="23" t="s">
        <v>10605</v>
      </c>
      <c r="S2915" s="23" t="s">
        <v>6844</v>
      </c>
      <c r="T2915" s="23" t="s">
        <v>4866</v>
      </c>
      <c r="U2915" s="3">
        <v>35</v>
      </c>
      <c r="W2915" s="45" t="str">
        <f>HYPERLINK("http://ictvonline.org/taxonomy/p/taxonomy-history?taxnode_id=201903372","ICTVonline=201903372")</f>
        <v>ICTVonline=201903372</v>
      </c>
      <c r="AA2915" s="1">
        <v>201900000</v>
      </c>
      <c r="AB2915" s="1">
        <v>35</v>
      </c>
    </row>
    <row r="2916" spans="1:28" x14ac:dyDescent="0.2">
      <c r="A2916" s="1">
        <v>7693</v>
      </c>
      <c r="B2916" s="1" t="s">
        <v>10590</v>
      </c>
      <c r="D2916" s="1" t="s">
        <v>10685</v>
      </c>
      <c r="F2916" s="1" t="s">
        <v>11077</v>
      </c>
      <c r="H2916" s="1" t="s">
        <v>11235</v>
      </c>
      <c r="J2916" s="1" t="s">
        <v>11236</v>
      </c>
      <c r="L2916" s="1" t="s">
        <v>2078</v>
      </c>
      <c r="N2916" s="1" t="s">
        <v>2079</v>
      </c>
      <c r="P2916" s="1" t="s">
        <v>518</v>
      </c>
      <c r="Q2916" s="3">
        <v>0</v>
      </c>
      <c r="R2916" s="23" t="s">
        <v>10605</v>
      </c>
      <c r="S2916" s="23" t="s">
        <v>6844</v>
      </c>
      <c r="T2916" s="23" t="s">
        <v>4866</v>
      </c>
      <c r="U2916" s="3">
        <v>35</v>
      </c>
      <c r="W2916" s="45" t="str">
        <f>HYPERLINK("http://ictvonline.org/taxonomy/p/taxonomy-history?taxnode_id=201903373","ICTVonline=201903373")</f>
        <v>ICTVonline=201903373</v>
      </c>
      <c r="AA2916" s="1">
        <v>201900000</v>
      </c>
      <c r="AB2916" s="1">
        <v>35</v>
      </c>
    </row>
    <row r="2917" spans="1:28" x14ac:dyDescent="0.2">
      <c r="A2917" s="1">
        <v>7695</v>
      </c>
      <c r="B2917" s="1" t="s">
        <v>10590</v>
      </c>
      <c r="D2917" s="1" t="s">
        <v>10685</v>
      </c>
      <c r="F2917" s="1" t="s">
        <v>11077</v>
      </c>
      <c r="H2917" s="1" t="s">
        <v>11235</v>
      </c>
      <c r="J2917" s="1" t="s">
        <v>11236</v>
      </c>
      <c r="L2917" s="1" t="s">
        <v>2078</v>
      </c>
      <c r="N2917" s="1" t="s">
        <v>2079</v>
      </c>
      <c r="P2917" s="1" t="s">
        <v>519</v>
      </c>
      <c r="Q2917" s="3">
        <v>0</v>
      </c>
      <c r="R2917" s="23" t="s">
        <v>10605</v>
      </c>
      <c r="S2917" s="23" t="s">
        <v>6844</v>
      </c>
      <c r="T2917" s="23" t="s">
        <v>4866</v>
      </c>
      <c r="U2917" s="3">
        <v>35</v>
      </c>
      <c r="W2917" s="45" t="str">
        <f>HYPERLINK("http://ictvonline.org/taxonomy/p/taxonomy-history?taxnode_id=201903374","ICTVonline=201903374")</f>
        <v>ICTVonline=201903374</v>
      </c>
      <c r="AA2917" s="1">
        <v>201900000</v>
      </c>
      <c r="AB2917" s="1">
        <v>35</v>
      </c>
    </row>
    <row r="2918" spans="1:28" x14ac:dyDescent="0.2">
      <c r="A2918" s="1">
        <v>7697</v>
      </c>
      <c r="B2918" s="1" t="s">
        <v>10590</v>
      </c>
      <c r="D2918" s="1" t="s">
        <v>10685</v>
      </c>
      <c r="F2918" s="1" t="s">
        <v>11077</v>
      </c>
      <c r="H2918" s="1" t="s">
        <v>11235</v>
      </c>
      <c r="J2918" s="1" t="s">
        <v>11236</v>
      </c>
      <c r="L2918" s="1" t="s">
        <v>2078</v>
      </c>
      <c r="N2918" s="1" t="s">
        <v>2079</v>
      </c>
      <c r="P2918" s="1" t="s">
        <v>520</v>
      </c>
      <c r="Q2918" s="3">
        <v>0</v>
      </c>
      <c r="R2918" s="23" t="s">
        <v>10605</v>
      </c>
      <c r="S2918" s="23" t="s">
        <v>6844</v>
      </c>
      <c r="T2918" s="23" t="s">
        <v>4866</v>
      </c>
      <c r="U2918" s="3">
        <v>35</v>
      </c>
      <c r="W2918" s="45" t="str">
        <f>HYPERLINK("http://ictvonline.org/taxonomy/p/taxonomy-history?taxnode_id=201903375","ICTVonline=201903375")</f>
        <v>ICTVonline=201903375</v>
      </c>
      <c r="AA2918" s="1">
        <v>201900000</v>
      </c>
      <c r="AB2918" s="1">
        <v>35</v>
      </c>
    </row>
    <row r="2919" spans="1:28" x14ac:dyDescent="0.2">
      <c r="A2919" s="1">
        <v>7699</v>
      </c>
      <c r="B2919" s="1" t="s">
        <v>10590</v>
      </c>
      <c r="D2919" s="1" t="s">
        <v>10685</v>
      </c>
      <c r="F2919" s="1" t="s">
        <v>11077</v>
      </c>
      <c r="H2919" s="1" t="s">
        <v>11235</v>
      </c>
      <c r="J2919" s="1" t="s">
        <v>11236</v>
      </c>
      <c r="L2919" s="1" t="s">
        <v>2078</v>
      </c>
      <c r="N2919" s="1" t="s">
        <v>2079</v>
      </c>
      <c r="P2919" s="1" t="s">
        <v>521</v>
      </c>
      <c r="Q2919" s="3">
        <v>0</v>
      </c>
      <c r="R2919" s="23" t="s">
        <v>10605</v>
      </c>
      <c r="S2919" s="23" t="s">
        <v>6844</v>
      </c>
      <c r="T2919" s="23" t="s">
        <v>4866</v>
      </c>
      <c r="U2919" s="3">
        <v>35</v>
      </c>
      <c r="W2919" s="45" t="str">
        <f>HYPERLINK("http://ictvonline.org/taxonomy/p/taxonomy-history?taxnode_id=201903376","ICTVonline=201903376")</f>
        <v>ICTVonline=201903376</v>
      </c>
      <c r="AA2919" s="1">
        <v>201900000</v>
      </c>
      <c r="AB2919" s="1">
        <v>35</v>
      </c>
    </row>
    <row r="2920" spans="1:28" x14ac:dyDescent="0.2">
      <c r="A2920" s="1">
        <v>7701</v>
      </c>
      <c r="B2920" s="1" t="s">
        <v>10590</v>
      </c>
      <c r="D2920" s="1" t="s">
        <v>10685</v>
      </c>
      <c r="F2920" s="1" t="s">
        <v>11077</v>
      </c>
      <c r="H2920" s="1" t="s">
        <v>11235</v>
      </c>
      <c r="J2920" s="1" t="s">
        <v>11236</v>
      </c>
      <c r="L2920" s="1" t="s">
        <v>2078</v>
      </c>
      <c r="N2920" s="1" t="s">
        <v>2079</v>
      </c>
      <c r="P2920" s="1" t="s">
        <v>522</v>
      </c>
      <c r="Q2920" s="3">
        <v>0</v>
      </c>
      <c r="R2920" s="23" t="s">
        <v>10605</v>
      </c>
      <c r="S2920" s="23" t="s">
        <v>6844</v>
      </c>
      <c r="T2920" s="23" t="s">
        <v>4866</v>
      </c>
      <c r="U2920" s="3">
        <v>35</v>
      </c>
      <c r="W2920" s="45" t="str">
        <f>HYPERLINK("http://ictvonline.org/taxonomy/p/taxonomy-history?taxnode_id=201903377","ICTVonline=201903377")</f>
        <v>ICTVonline=201903377</v>
      </c>
      <c r="AA2920" s="1">
        <v>201900000</v>
      </c>
      <c r="AB2920" s="1">
        <v>35</v>
      </c>
    </row>
    <row r="2921" spans="1:28" x14ac:dyDescent="0.2">
      <c r="A2921" s="1">
        <v>7703</v>
      </c>
      <c r="B2921" s="1" t="s">
        <v>10590</v>
      </c>
      <c r="D2921" s="1" t="s">
        <v>10685</v>
      </c>
      <c r="F2921" s="1" t="s">
        <v>11077</v>
      </c>
      <c r="H2921" s="1" t="s">
        <v>11235</v>
      </c>
      <c r="J2921" s="1" t="s">
        <v>11236</v>
      </c>
      <c r="L2921" s="1" t="s">
        <v>2078</v>
      </c>
      <c r="N2921" s="1" t="s">
        <v>2079</v>
      </c>
      <c r="P2921" s="1" t="s">
        <v>3750</v>
      </c>
      <c r="Q2921" s="3">
        <v>0</v>
      </c>
      <c r="R2921" s="23" t="s">
        <v>10605</v>
      </c>
      <c r="S2921" s="23" t="s">
        <v>6844</v>
      </c>
      <c r="T2921" s="23" t="s">
        <v>4866</v>
      </c>
      <c r="U2921" s="3">
        <v>35</v>
      </c>
      <c r="W2921" s="45" t="str">
        <f>HYPERLINK("http://ictvonline.org/taxonomy/p/taxonomy-history?taxnode_id=201903378","ICTVonline=201903378")</f>
        <v>ICTVonline=201903378</v>
      </c>
      <c r="Y2921" s="1" t="s">
        <v>11406</v>
      </c>
      <c r="Z2921" s="1" t="s">
        <v>11407</v>
      </c>
      <c r="AA2921" s="1">
        <v>201900000</v>
      </c>
      <c r="AB2921" s="1">
        <v>35</v>
      </c>
    </row>
    <row r="2922" spans="1:28" x14ac:dyDescent="0.2">
      <c r="A2922" s="1">
        <v>7705</v>
      </c>
      <c r="B2922" s="1" t="s">
        <v>10590</v>
      </c>
      <c r="D2922" s="1" t="s">
        <v>10685</v>
      </c>
      <c r="F2922" s="1" t="s">
        <v>11077</v>
      </c>
      <c r="H2922" s="1" t="s">
        <v>11235</v>
      </c>
      <c r="J2922" s="1" t="s">
        <v>11236</v>
      </c>
      <c r="L2922" s="1" t="s">
        <v>2078</v>
      </c>
      <c r="N2922" s="1" t="s">
        <v>2079</v>
      </c>
      <c r="P2922" s="1" t="s">
        <v>5342</v>
      </c>
      <c r="Q2922" s="3">
        <v>0</v>
      </c>
      <c r="R2922" s="23" t="s">
        <v>10605</v>
      </c>
      <c r="S2922" s="23" t="s">
        <v>6844</v>
      </c>
      <c r="T2922" s="23" t="s">
        <v>4866</v>
      </c>
      <c r="U2922" s="3">
        <v>35</v>
      </c>
      <c r="W2922" s="45" t="str">
        <f>HYPERLINK("http://ictvonline.org/taxonomy/p/taxonomy-history?taxnode_id=201905830","ICTVonline=201905830")</f>
        <v>ICTVonline=201905830</v>
      </c>
      <c r="AA2922" s="1">
        <v>201900000</v>
      </c>
      <c r="AB2922" s="1">
        <v>35</v>
      </c>
    </row>
    <row r="2923" spans="1:28" x14ac:dyDescent="0.2">
      <c r="A2923" s="1">
        <v>7707</v>
      </c>
      <c r="B2923" s="1" t="s">
        <v>10590</v>
      </c>
      <c r="D2923" s="1" t="s">
        <v>10685</v>
      </c>
      <c r="F2923" s="1" t="s">
        <v>11077</v>
      </c>
      <c r="H2923" s="1" t="s">
        <v>11235</v>
      </c>
      <c r="J2923" s="1" t="s">
        <v>11236</v>
      </c>
      <c r="L2923" s="1" t="s">
        <v>2078</v>
      </c>
      <c r="N2923" s="1" t="s">
        <v>2079</v>
      </c>
      <c r="P2923" s="1" t="s">
        <v>523</v>
      </c>
      <c r="Q2923" s="3">
        <v>0</v>
      </c>
      <c r="R2923" s="23" t="s">
        <v>10605</v>
      </c>
      <c r="S2923" s="23" t="s">
        <v>6844</v>
      </c>
      <c r="T2923" s="23" t="s">
        <v>4866</v>
      </c>
      <c r="U2923" s="3">
        <v>35</v>
      </c>
      <c r="W2923" s="45" t="str">
        <f>HYPERLINK("http://ictvonline.org/taxonomy/p/taxonomy-history?taxnode_id=201903379","ICTVonline=201903379")</f>
        <v>ICTVonline=201903379</v>
      </c>
      <c r="AA2923" s="1">
        <v>201900000</v>
      </c>
      <c r="AB2923" s="1">
        <v>35</v>
      </c>
    </row>
    <row r="2924" spans="1:28" x14ac:dyDescent="0.2">
      <c r="A2924" s="1">
        <v>7709</v>
      </c>
      <c r="B2924" s="1" t="s">
        <v>10590</v>
      </c>
      <c r="D2924" s="1" t="s">
        <v>10685</v>
      </c>
      <c r="F2924" s="1" t="s">
        <v>11077</v>
      </c>
      <c r="H2924" s="1" t="s">
        <v>11235</v>
      </c>
      <c r="J2924" s="1" t="s">
        <v>11236</v>
      </c>
      <c r="L2924" s="1" t="s">
        <v>2078</v>
      </c>
      <c r="N2924" s="1" t="s">
        <v>2079</v>
      </c>
      <c r="P2924" s="1" t="s">
        <v>524</v>
      </c>
      <c r="Q2924" s="3">
        <v>0</v>
      </c>
      <c r="R2924" s="23" t="s">
        <v>10605</v>
      </c>
      <c r="S2924" s="23" t="s">
        <v>6844</v>
      </c>
      <c r="T2924" s="23" t="s">
        <v>4866</v>
      </c>
      <c r="U2924" s="3">
        <v>35</v>
      </c>
      <c r="W2924" s="45" t="str">
        <f>HYPERLINK("http://ictvonline.org/taxonomy/p/taxonomy-history?taxnode_id=201903380","ICTVonline=201903380")</f>
        <v>ICTVonline=201903380</v>
      </c>
      <c r="AA2924" s="1">
        <v>201900000</v>
      </c>
      <c r="AB2924" s="1">
        <v>35</v>
      </c>
    </row>
    <row r="2925" spans="1:28" x14ac:dyDescent="0.2">
      <c r="A2925" s="1">
        <v>7711</v>
      </c>
      <c r="B2925" s="1" t="s">
        <v>10590</v>
      </c>
      <c r="D2925" s="1" t="s">
        <v>10685</v>
      </c>
      <c r="F2925" s="1" t="s">
        <v>11077</v>
      </c>
      <c r="H2925" s="1" t="s">
        <v>11235</v>
      </c>
      <c r="J2925" s="1" t="s">
        <v>11236</v>
      </c>
      <c r="L2925" s="1" t="s">
        <v>2078</v>
      </c>
      <c r="N2925" s="1" t="s">
        <v>2079</v>
      </c>
      <c r="P2925" s="1" t="s">
        <v>525</v>
      </c>
      <c r="Q2925" s="3">
        <v>0</v>
      </c>
      <c r="R2925" s="23" t="s">
        <v>10605</v>
      </c>
      <c r="S2925" s="23" t="s">
        <v>6844</v>
      </c>
      <c r="T2925" s="23" t="s">
        <v>4866</v>
      </c>
      <c r="U2925" s="3">
        <v>35</v>
      </c>
      <c r="W2925" s="45" t="str">
        <f>HYPERLINK("http://ictvonline.org/taxonomy/p/taxonomy-history?taxnode_id=201903381","ICTVonline=201903381")</f>
        <v>ICTVonline=201903381</v>
      </c>
      <c r="AA2925" s="1">
        <v>201900000</v>
      </c>
      <c r="AB2925" s="1">
        <v>35</v>
      </c>
    </row>
    <row r="2926" spans="1:28" x14ac:dyDescent="0.2">
      <c r="A2926" s="1">
        <v>7713</v>
      </c>
      <c r="B2926" s="1" t="s">
        <v>10590</v>
      </c>
      <c r="D2926" s="1" t="s">
        <v>10685</v>
      </c>
      <c r="F2926" s="1" t="s">
        <v>11077</v>
      </c>
      <c r="H2926" s="1" t="s">
        <v>11235</v>
      </c>
      <c r="J2926" s="1" t="s">
        <v>11236</v>
      </c>
      <c r="L2926" s="1" t="s">
        <v>2078</v>
      </c>
      <c r="N2926" s="1" t="s">
        <v>2079</v>
      </c>
      <c r="P2926" s="1" t="s">
        <v>5343</v>
      </c>
      <c r="Q2926" s="3">
        <v>0</v>
      </c>
      <c r="R2926" s="23" t="s">
        <v>10605</v>
      </c>
      <c r="S2926" s="23" t="s">
        <v>6844</v>
      </c>
      <c r="T2926" s="23" t="s">
        <v>4866</v>
      </c>
      <c r="U2926" s="3">
        <v>35</v>
      </c>
      <c r="W2926" s="45" t="str">
        <f>HYPERLINK("http://ictvonline.org/taxonomy/p/taxonomy-history?taxnode_id=201905831","ICTVonline=201905831")</f>
        <v>ICTVonline=201905831</v>
      </c>
      <c r="AA2926" s="1">
        <v>201900000</v>
      </c>
      <c r="AB2926" s="1">
        <v>35</v>
      </c>
    </row>
    <row r="2927" spans="1:28" x14ac:dyDescent="0.2">
      <c r="A2927" s="1">
        <v>7715</v>
      </c>
      <c r="B2927" s="1" t="s">
        <v>10590</v>
      </c>
      <c r="D2927" s="1" t="s">
        <v>10685</v>
      </c>
      <c r="F2927" s="1" t="s">
        <v>11077</v>
      </c>
      <c r="H2927" s="1" t="s">
        <v>11235</v>
      </c>
      <c r="J2927" s="1" t="s">
        <v>11236</v>
      </c>
      <c r="L2927" s="1" t="s">
        <v>2078</v>
      </c>
      <c r="N2927" s="1" t="s">
        <v>2079</v>
      </c>
      <c r="P2927" s="1" t="s">
        <v>3751</v>
      </c>
      <c r="Q2927" s="3">
        <v>0</v>
      </c>
      <c r="R2927" s="23" t="s">
        <v>10605</v>
      </c>
      <c r="S2927" s="23" t="s">
        <v>6844</v>
      </c>
      <c r="T2927" s="23" t="s">
        <v>4866</v>
      </c>
      <c r="U2927" s="3">
        <v>35</v>
      </c>
      <c r="W2927" s="45" t="str">
        <f>HYPERLINK("http://ictvonline.org/taxonomy/p/taxonomy-history?taxnode_id=201903382","ICTVonline=201903382")</f>
        <v>ICTVonline=201903382</v>
      </c>
      <c r="Y2927" s="1" t="s">
        <v>11408</v>
      </c>
      <c r="Z2927" s="1" t="s">
        <v>11409</v>
      </c>
      <c r="AA2927" s="1">
        <v>201900000</v>
      </c>
      <c r="AB2927" s="1">
        <v>35</v>
      </c>
    </row>
    <row r="2928" spans="1:28" x14ac:dyDescent="0.2">
      <c r="A2928" s="1">
        <v>7717</v>
      </c>
      <c r="B2928" s="1" t="s">
        <v>10590</v>
      </c>
      <c r="D2928" s="1" t="s">
        <v>10685</v>
      </c>
      <c r="F2928" s="1" t="s">
        <v>11077</v>
      </c>
      <c r="H2928" s="1" t="s">
        <v>11235</v>
      </c>
      <c r="J2928" s="1" t="s">
        <v>11236</v>
      </c>
      <c r="L2928" s="1" t="s">
        <v>2078</v>
      </c>
      <c r="N2928" s="1" t="s">
        <v>2079</v>
      </c>
      <c r="P2928" s="1" t="s">
        <v>11410</v>
      </c>
      <c r="Q2928" s="3">
        <v>0</v>
      </c>
      <c r="R2928" s="23" t="s">
        <v>10596</v>
      </c>
      <c r="S2928" s="23" t="s">
        <v>6849</v>
      </c>
      <c r="T2928" s="23" t="s">
        <v>4864</v>
      </c>
      <c r="U2928" s="3">
        <v>35</v>
      </c>
      <c r="V2928" s="3" t="s">
        <v>11246</v>
      </c>
      <c r="W2928" s="45" t="str">
        <f>HYPERLINK("http://ictvonline.org/taxonomy/p/taxonomy-history?taxnode_id=201907533","ICTVonline=201907533")</f>
        <v>ICTVonline=201907533</v>
      </c>
      <c r="X2928" s="1" t="s">
        <v>11411</v>
      </c>
      <c r="Y2928" s="1" t="s">
        <v>11412</v>
      </c>
      <c r="Z2928" s="1" t="s">
        <v>11413</v>
      </c>
      <c r="AA2928" s="1">
        <v>201900000</v>
      </c>
      <c r="AB2928" s="1">
        <v>35</v>
      </c>
    </row>
    <row r="2929" spans="1:28" x14ac:dyDescent="0.2">
      <c r="A2929" s="1">
        <v>7719</v>
      </c>
      <c r="B2929" s="1" t="s">
        <v>10590</v>
      </c>
      <c r="D2929" s="1" t="s">
        <v>10685</v>
      </c>
      <c r="F2929" s="1" t="s">
        <v>11077</v>
      </c>
      <c r="H2929" s="1" t="s">
        <v>11235</v>
      </c>
      <c r="J2929" s="1" t="s">
        <v>11236</v>
      </c>
      <c r="L2929" s="1" t="s">
        <v>2078</v>
      </c>
      <c r="N2929" s="1" t="s">
        <v>2079</v>
      </c>
      <c r="P2929" s="1" t="s">
        <v>2421</v>
      </c>
      <c r="Q2929" s="3">
        <v>0</v>
      </c>
      <c r="R2929" s="23" t="s">
        <v>10605</v>
      </c>
      <c r="S2929" s="23" t="s">
        <v>6844</v>
      </c>
      <c r="T2929" s="23" t="s">
        <v>4866</v>
      </c>
      <c r="U2929" s="3">
        <v>35</v>
      </c>
      <c r="W2929" s="45" t="str">
        <f>HYPERLINK("http://ictvonline.org/taxonomy/p/taxonomy-history?taxnode_id=201903383","ICTVonline=201903383")</f>
        <v>ICTVonline=201903383</v>
      </c>
      <c r="AA2929" s="1">
        <v>201900000</v>
      </c>
      <c r="AB2929" s="1">
        <v>35</v>
      </c>
    </row>
    <row r="2930" spans="1:28" x14ac:dyDescent="0.2">
      <c r="A2930" s="1">
        <v>7721</v>
      </c>
      <c r="B2930" s="1" t="s">
        <v>10590</v>
      </c>
      <c r="D2930" s="1" t="s">
        <v>10685</v>
      </c>
      <c r="F2930" s="1" t="s">
        <v>11077</v>
      </c>
      <c r="H2930" s="1" t="s">
        <v>11235</v>
      </c>
      <c r="J2930" s="1" t="s">
        <v>11236</v>
      </c>
      <c r="L2930" s="1" t="s">
        <v>2078</v>
      </c>
      <c r="N2930" s="1" t="s">
        <v>2079</v>
      </c>
      <c r="P2930" s="1" t="s">
        <v>6762</v>
      </c>
      <c r="Q2930" s="3">
        <v>0</v>
      </c>
      <c r="R2930" s="23" t="s">
        <v>10605</v>
      </c>
      <c r="S2930" s="23" t="s">
        <v>6844</v>
      </c>
      <c r="T2930" s="23" t="s">
        <v>4866</v>
      </c>
      <c r="U2930" s="3">
        <v>35</v>
      </c>
      <c r="W2930" s="45" t="str">
        <f>HYPERLINK("http://ictvonline.org/taxonomy/p/taxonomy-history?taxnode_id=201906708","ICTVonline=201906708")</f>
        <v>ICTVonline=201906708</v>
      </c>
      <c r="X2930" s="1" t="s">
        <v>11414</v>
      </c>
      <c r="Y2930" s="1" t="s">
        <v>11415</v>
      </c>
      <c r="Z2930" s="1" t="s">
        <v>11416</v>
      </c>
      <c r="AA2930" s="1">
        <v>201900000</v>
      </c>
      <c r="AB2930" s="1">
        <v>35</v>
      </c>
    </row>
    <row r="2931" spans="1:28" x14ac:dyDescent="0.2">
      <c r="A2931" s="1">
        <v>7723</v>
      </c>
      <c r="B2931" s="1" t="s">
        <v>10590</v>
      </c>
      <c r="D2931" s="1" t="s">
        <v>10685</v>
      </c>
      <c r="F2931" s="1" t="s">
        <v>11077</v>
      </c>
      <c r="H2931" s="1" t="s">
        <v>11235</v>
      </c>
      <c r="J2931" s="1" t="s">
        <v>11236</v>
      </c>
      <c r="L2931" s="1" t="s">
        <v>2078</v>
      </c>
      <c r="N2931" s="1" t="s">
        <v>2079</v>
      </c>
      <c r="P2931" s="1" t="s">
        <v>3752</v>
      </c>
      <c r="Q2931" s="3">
        <v>0</v>
      </c>
      <c r="R2931" s="23" t="s">
        <v>10605</v>
      </c>
      <c r="S2931" s="23" t="s">
        <v>6844</v>
      </c>
      <c r="T2931" s="23" t="s">
        <v>4866</v>
      </c>
      <c r="U2931" s="3">
        <v>35</v>
      </c>
      <c r="W2931" s="45" t="str">
        <f>HYPERLINK("http://ictvonline.org/taxonomy/p/taxonomy-history?taxnode_id=201903384","ICTVonline=201903384")</f>
        <v>ICTVonline=201903384</v>
      </c>
      <c r="Y2931" s="1" t="s">
        <v>11417</v>
      </c>
      <c r="Z2931" s="1" t="s">
        <v>11418</v>
      </c>
      <c r="AA2931" s="1">
        <v>201900000</v>
      </c>
      <c r="AB2931" s="1">
        <v>35</v>
      </c>
    </row>
    <row r="2932" spans="1:28" x14ac:dyDescent="0.2">
      <c r="A2932" s="1">
        <v>7725</v>
      </c>
      <c r="B2932" s="1" t="s">
        <v>10590</v>
      </c>
      <c r="D2932" s="1" t="s">
        <v>10685</v>
      </c>
      <c r="F2932" s="1" t="s">
        <v>11077</v>
      </c>
      <c r="H2932" s="1" t="s">
        <v>11235</v>
      </c>
      <c r="J2932" s="1" t="s">
        <v>11236</v>
      </c>
      <c r="L2932" s="1" t="s">
        <v>2078</v>
      </c>
      <c r="N2932" s="1" t="s">
        <v>2079</v>
      </c>
      <c r="P2932" s="1" t="s">
        <v>3753</v>
      </c>
      <c r="Q2932" s="3">
        <v>0</v>
      </c>
      <c r="R2932" s="23" t="s">
        <v>10605</v>
      </c>
      <c r="S2932" s="23" t="s">
        <v>6844</v>
      </c>
      <c r="T2932" s="23" t="s">
        <v>4866</v>
      </c>
      <c r="U2932" s="3">
        <v>35</v>
      </c>
      <c r="W2932" s="45" t="str">
        <f>HYPERLINK("http://ictvonline.org/taxonomy/p/taxonomy-history?taxnode_id=201903385","ICTVonline=201903385")</f>
        <v>ICTVonline=201903385</v>
      </c>
      <c r="Y2932" s="1" t="s">
        <v>11419</v>
      </c>
      <c r="Z2932" s="1" t="s">
        <v>11420</v>
      </c>
      <c r="AA2932" s="1">
        <v>201900000</v>
      </c>
      <c r="AB2932" s="1">
        <v>35</v>
      </c>
    </row>
    <row r="2933" spans="1:28" x14ac:dyDescent="0.2">
      <c r="A2933" s="1">
        <v>7727</v>
      </c>
      <c r="B2933" s="1" t="s">
        <v>10590</v>
      </c>
      <c r="D2933" s="1" t="s">
        <v>10685</v>
      </c>
      <c r="F2933" s="1" t="s">
        <v>11077</v>
      </c>
      <c r="H2933" s="1" t="s">
        <v>11235</v>
      </c>
      <c r="J2933" s="1" t="s">
        <v>11236</v>
      </c>
      <c r="L2933" s="1" t="s">
        <v>2078</v>
      </c>
      <c r="N2933" s="1" t="s">
        <v>2079</v>
      </c>
      <c r="P2933" s="1" t="s">
        <v>2422</v>
      </c>
      <c r="Q2933" s="3">
        <v>0</v>
      </c>
      <c r="R2933" s="23" t="s">
        <v>10605</v>
      </c>
      <c r="S2933" s="23" t="s">
        <v>6844</v>
      </c>
      <c r="T2933" s="23" t="s">
        <v>4866</v>
      </c>
      <c r="U2933" s="3">
        <v>35</v>
      </c>
      <c r="W2933" s="45" t="str">
        <f>HYPERLINK("http://ictvonline.org/taxonomy/p/taxonomy-history?taxnode_id=201903386","ICTVonline=201903386")</f>
        <v>ICTVonline=201903386</v>
      </c>
      <c r="AA2933" s="1">
        <v>201900000</v>
      </c>
      <c r="AB2933" s="1">
        <v>35</v>
      </c>
    </row>
    <row r="2934" spans="1:28" x14ac:dyDescent="0.2">
      <c r="A2934" s="1">
        <v>7729</v>
      </c>
      <c r="B2934" s="1" t="s">
        <v>10590</v>
      </c>
      <c r="D2934" s="1" t="s">
        <v>10685</v>
      </c>
      <c r="F2934" s="1" t="s">
        <v>11077</v>
      </c>
      <c r="H2934" s="1" t="s">
        <v>11235</v>
      </c>
      <c r="J2934" s="1" t="s">
        <v>11236</v>
      </c>
      <c r="L2934" s="1" t="s">
        <v>2078</v>
      </c>
      <c r="N2934" s="1" t="s">
        <v>2079</v>
      </c>
      <c r="P2934" s="1" t="s">
        <v>526</v>
      </c>
      <c r="Q2934" s="3">
        <v>0</v>
      </c>
      <c r="R2934" s="23" t="s">
        <v>10605</v>
      </c>
      <c r="S2934" s="23" t="s">
        <v>6844</v>
      </c>
      <c r="T2934" s="23" t="s">
        <v>4866</v>
      </c>
      <c r="U2934" s="3">
        <v>35</v>
      </c>
      <c r="W2934" s="45" t="str">
        <f>HYPERLINK("http://ictvonline.org/taxonomy/p/taxonomy-history?taxnode_id=201903388","ICTVonline=201903388")</f>
        <v>ICTVonline=201903388</v>
      </c>
      <c r="AA2934" s="1">
        <v>201900000</v>
      </c>
      <c r="AB2934" s="1">
        <v>35</v>
      </c>
    </row>
    <row r="2935" spans="1:28" x14ac:dyDescent="0.2">
      <c r="A2935" s="1">
        <v>7731</v>
      </c>
      <c r="B2935" s="1" t="s">
        <v>10590</v>
      </c>
      <c r="D2935" s="1" t="s">
        <v>10685</v>
      </c>
      <c r="F2935" s="1" t="s">
        <v>11077</v>
      </c>
      <c r="H2935" s="1" t="s">
        <v>11235</v>
      </c>
      <c r="J2935" s="1" t="s">
        <v>11236</v>
      </c>
      <c r="L2935" s="1" t="s">
        <v>2078</v>
      </c>
      <c r="N2935" s="1" t="s">
        <v>2079</v>
      </c>
      <c r="P2935" s="1" t="s">
        <v>2423</v>
      </c>
      <c r="Q2935" s="3">
        <v>0</v>
      </c>
      <c r="R2935" s="23" t="s">
        <v>10605</v>
      </c>
      <c r="S2935" s="23" t="s">
        <v>6844</v>
      </c>
      <c r="T2935" s="23" t="s">
        <v>4866</v>
      </c>
      <c r="U2935" s="3">
        <v>35</v>
      </c>
      <c r="W2935" s="45" t="str">
        <f>HYPERLINK("http://ictvonline.org/taxonomy/p/taxonomy-history?taxnode_id=201903389","ICTVonline=201903389")</f>
        <v>ICTVonline=201903389</v>
      </c>
      <c r="AA2935" s="1">
        <v>201900000</v>
      </c>
      <c r="AB2935" s="1">
        <v>35</v>
      </c>
    </row>
    <row r="2936" spans="1:28" x14ac:dyDescent="0.2">
      <c r="A2936" s="1">
        <v>7733</v>
      </c>
      <c r="B2936" s="1" t="s">
        <v>10590</v>
      </c>
      <c r="D2936" s="1" t="s">
        <v>10685</v>
      </c>
      <c r="F2936" s="1" t="s">
        <v>11077</v>
      </c>
      <c r="H2936" s="1" t="s">
        <v>11235</v>
      </c>
      <c r="J2936" s="1" t="s">
        <v>11236</v>
      </c>
      <c r="L2936" s="1" t="s">
        <v>2078</v>
      </c>
      <c r="N2936" s="1" t="s">
        <v>2079</v>
      </c>
      <c r="P2936" s="1" t="s">
        <v>5344</v>
      </c>
      <c r="Q2936" s="3">
        <v>0</v>
      </c>
      <c r="R2936" s="23" t="s">
        <v>10605</v>
      </c>
      <c r="S2936" s="23" t="s">
        <v>6844</v>
      </c>
      <c r="T2936" s="23" t="s">
        <v>4866</v>
      </c>
      <c r="U2936" s="3">
        <v>35</v>
      </c>
      <c r="W2936" s="45" t="str">
        <f>HYPERLINK("http://ictvonline.org/taxonomy/p/taxonomy-history?taxnode_id=201905832","ICTVonline=201905832")</f>
        <v>ICTVonline=201905832</v>
      </c>
      <c r="AA2936" s="1">
        <v>201900000</v>
      </c>
      <c r="AB2936" s="1">
        <v>35</v>
      </c>
    </row>
    <row r="2937" spans="1:28" x14ac:dyDescent="0.2">
      <c r="A2937" s="1">
        <v>7735</v>
      </c>
      <c r="B2937" s="1" t="s">
        <v>10590</v>
      </c>
      <c r="D2937" s="1" t="s">
        <v>10685</v>
      </c>
      <c r="F2937" s="1" t="s">
        <v>11077</v>
      </c>
      <c r="H2937" s="1" t="s">
        <v>11235</v>
      </c>
      <c r="J2937" s="1" t="s">
        <v>11236</v>
      </c>
      <c r="L2937" s="1" t="s">
        <v>2078</v>
      </c>
      <c r="N2937" s="1" t="s">
        <v>2079</v>
      </c>
      <c r="P2937" s="1" t="s">
        <v>5345</v>
      </c>
      <c r="Q2937" s="3">
        <v>0</v>
      </c>
      <c r="R2937" s="23" t="s">
        <v>10605</v>
      </c>
      <c r="S2937" s="23" t="s">
        <v>6844</v>
      </c>
      <c r="T2937" s="23" t="s">
        <v>4866</v>
      </c>
      <c r="U2937" s="3">
        <v>35</v>
      </c>
      <c r="W2937" s="45" t="str">
        <f>HYPERLINK("http://ictvonline.org/taxonomy/p/taxonomy-history?taxnode_id=201905833","ICTVonline=201905833")</f>
        <v>ICTVonline=201905833</v>
      </c>
      <c r="AA2937" s="1">
        <v>201900000</v>
      </c>
      <c r="AB2937" s="1">
        <v>35</v>
      </c>
    </row>
    <row r="2938" spans="1:28" x14ac:dyDescent="0.2">
      <c r="A2938" s="1">
        <v>7737</v>
      </c>
      <c r="B2938" s="1" t="s">
        <v>10590</v>
      </c>
      <c r="D2938" s="1" t="s">
        <v>10685</v>
      </c>
      <c r="F2938" s="1" t="s">
        <v>11077</v>
      </c>
      <c r="H2938" s="1" t="s">
        <v>11235</v>
      </c>
      <c r="J2938" s="1" t="s">
        <v>11236</v>
      </c>
      <c r="L2938" s="1" t="s">
        <v>2078</v>
      </c>
      <c r="N2938" s="1" t="s">
        <v>2079</v>
      </c>
      <c r="P2938" s="1" t="s">
        <v>527</v>
      </c>
      <c r="Q2938" s="3">
        <v>0</v>
      </c>
      <c r="R2938" s="23" t="s">
        <v>10605</v>
      </c>
      <c r="S2938" s="23" t="s">
        <v>6844</v>
      </c>
      <c r="T2938" s="23" t="s">
        <v>4866</v>
      </c>
      <c r="U2938" s="3">
        <v>35</v>
      </c>
      <c r="W2938" s="45" t="str">
        <f>HYPERLINK("http://ictvonline.org/taxonomy/p/taxonomy-history?taxnode_id=201903390","ICTVonline=201903390")</f>
        <v>ICTVonline=201903390</v>
      </c>
      <c r="AA2938" s="1">
        <v>201900000</v>
      </c>
      <c r="AB2938" s="1">
        <v>35</v>
      </c>
    </row>
    <row r="2939" spans="1:28" x14ac:dyDescent="0.2">
      <c r="A2939" s="1">
        <v>7739</v>
      </c>
      <c r="B2939" s="1" t="s">
        <v>10590</v>
      </c>
      <c r="D2939" s="1" t="s">
        <v>10685</v>
      </c>
      <c r="F2939" s="1" t="s">
        <v>11077</v>
      </c>
      <c r="H2939" s="1" t="s">
        <v>11235</v>
      </c>
      <c r="J2939" s="1" t="s">
        <v>11236</v>
      </c>
      <c r="L2939" s="1" t="s">
        <v>2078</v>
      </c>
      <c r="N2939" s="1" t="s">
        <v>2079</v>
      </c>
      <c r="P2939" s="1" t="s">
        <v>3754</v>
      </c>
      <c r="Q2939" s="3">
        <v>0</v>
      </c>
      <c r="R2939" s="23" t="s">
        <v>10605</v>
      </c>
      <c r="S2939" s="23" t="s">
        <v>6844</v>
      </c>
      <c r="T2939" s="23" t="s">
        <v>4866</v>
      </c>
      <c r="U2939" s="3">
        <v>35</v>
      </c>
      <c r="W2939" s="45" t="str">
        <f>HYPERLINK("http://ictvonline.org/taxonomy/p/taxonomy-history?taxnode_id=201903391","ICTVonline=201903391")</f>
        <v>ICTVonline=201903391</v>
      </c>
      <c r="Y2939" s="1" t="s">
        <v>11421</v>
      </c>
      <c r="Z2939" s="1" t="s">
        <v>11422</v>
      </c>
      <c r="AA2939" s="1">
        <v>201900000</v>
      </c>
      <c r="AB2939" s="1">
        <v>35</v>
      </c>
    </row>
    <row r="2940" spans="1:28" x14ac:dyDescent="0.2">
      <c r="A2940" s="1">
        <v>7741</v>
      </c>
      <c r="B2940" s="1" t="s">
        <v>10590</v>
      </c>
      <c r="D2940" s="1" t="s">
        <v>10685</v>
      </c>
      <c r="F2940" s="1" t="s">
        <v>11077</v>
      </c>
      <c r="H2940" s="1" t="s">
        <v>11235</v>
      </c>
      <c r="J2940" s="1" t="s">
        <v>11236</v>
      </c>
      <c r="L2940" s="1" t="s">
        <v>2078</v>
      </c>
      <c r="N2940" s="1" t="s">
        <v>2079</v>
      </c>
      <c r="P2940" s="1" t="s">
        <v>1599</v>
      </c>
      <c r="Q2940" s="3">
        <v>0</v>
      </c>
      <c r="R2940" s="23" t="s">
        <v>10605</v>
      </c>
      <c r="S2940" s="23" t="s">
        <v>6844</v>
      </c>
      <c r="T2940" s="23" t="s">
        <v>4866</v>
      </c>
      <c r="U2940" s="3">
        <v>35</v>
      </c>
      <c r="W2940" s="45" t="str">
        <f>HYPERLINK("http://ictvonline.org/taxonomy/p/taxonomy-history?taxnode_id=201903392","ICTVonline=201903392")</f>
        <v>ICTVonline=201903392</v>
      </c>
      <c r="AA2940" s="1">
        <v>201900000</v>
      </c>
      <c r="AB2940" s="1">
        <v>35</v>
      </c>
    </row>
    <row r="2941" spans="1:28" x14ac:dyDescent="0.2">
      <c r="A2941" s="1">
        <v>7743</v>
      </c>
      <c r="B2941" s="1" t="s">
        <v>10590</v>
      </c>
      <c r="D2941" s="1" t="s">
        <v>10685</v>
      </c>
      <c r="F2941" s="1" t="s">
        <v>11077</v>
      </c>
      <c r="H2941" s="1" t="s">
        <v>11235</v>
      </c>
      <c r="J2941" s="1" t="s">
        <v>11236</v>
      </c>
      <c r="L2941" s="1" t="s">
        <v>2078</v>
      </c>
      <c r="N2941" s="1" t="s">
        <v>2079</v>
      </c>
      <c r="P2941" s="1" t="s">
        <v>11423</v>
      </c>
      <c r="Q2941" s="3">
        <v>0</v>
      </c>
      <c r="R2941" s="23" t="s">
        <v>10596</v>
      </c>
      <c r="S2941" s="23" t="s">
        <v>6849</v>
      </c>
      <c r="T2941" s="23" t="s">
        <v>4864</v>
      </c>
      <c r="U2941" s="3">
        <v>35</v>
      </c>
      <c r="V2941" s="3" t="s">
        <v>11246</v>
      </c>
      <c r="W2941" s="45" t="str">
        <f>HYPERLINK("http://ictvonline.org/taxonomy/p/taxonomy-history?taxnode_id=201907529","ICTVonline=201907529")</f>
        <v>ICTVonline=201907529</v>
      </c>
      <c r="X2941" s="1" t="s">
        <v>11424</v>
      </c>
      <c r="Y2941" s="1" t="s">
        <v>11425</v>
      </c>
      <c r="Z2941" s="1" t="s">
        <v>11426</v>
      </c>
      <c r="AA2941" s="1">
        <v>201900000</v>
      </c>
      <c r="AB2941" s="1">
        <v>35</v>
      </c>
    </row>
    <row r="2942" spans="1:28" x14ac:dyDescent="0.2">
      <c r="A2942" s="1">
        <v>7745</v>
      </c>
      <c r="B2942" s="1" t="s">
        <v>10590</v>
      </c>
      <c r="D2942" s="1" t="s">
        <v>10685</v>
      </c>
      <c r="F2942" s="1" t="s">
        <v>11077</v>
      </c>
      <c r="H2942" s="1" t="s">
        <v>11235</v>
      </c>
      <c r="J2942" s="1" t="s">
        <v>11236</v>
      </c>
      <c r="L2942" s="1" t="s">
        <v>2078</v>
      </c>
      <c r="N2942" s="1" t="s">
        <v>2079</v>
      </c>
      <c r="P2942" s="1" t="s">
        <v>2424</v>
      </c>
      <c r="Q2942" s="3">
        <v>0</v>
      </c>
      <c r="R2942" s="23" t="s">
        <v>10605</v>
      </c>
      <c r="S2942" s="23" t="s">
        <v>6844</v>
      </c>
      <c r="T2942" s="23" t="s">
        <v>4866</v>
      </c>
      <c r="U2942" s="3">
        <v>35</v>
      </c>
      <c r="W2942" s="45" t="str">
        <f>HYPERLINK("http://ictvonline.org/taxonomy/p/taxonomy-history?taxnode_id=201903394","ICTVonline=201903394")</f>
        <v>ICTVonline=201903394</v>
      </c>
      <c r="AA2942" s="1">
        <v>201900000</v>
      </c>
      <c r="AB2942" s="1">
        <v>35</v>
      </c>
    </row>
    <row r="2943" spans="1:28" x14ac:dyDescent="0.2">
      <c r="A2943" s="1">
        <v>7747</v>
      </c>
      <c r="B2943" s="1" t="s">
        <v>10590</v>
      </c>
      <c r="D2943" s="1" t="s">
        <v>10685</v>
      </c>
      <c r="F2943" s="1" t="s">
        <v>11077</v>
      </c>
      <c r="H2943" s="1" t="s">
        <v>11235</v>
      </c>
      <c r="J2943" s="1" t="s">
        <v>11236</v>
      </c>
      <c r="L2943" s="1" t="s">
        <v>2078</v>
      </c>
      <c r="N2943" s="1" t="s">
        <v>2079</v>
      </c>
      <c r="P2943" s="1" t="s">
        <v>2425</v>
      </c>
      <c r="Q2943" s="3">
        <v>0</v>
      </c>
      <c r="R2943" s="23" t="s">
        <v>10605</v>
      </c>
      <c r="S2943" s="23" t="s">
        <v>6844</v>
      </c>
      <c r="T2943" s="23" t="s">
        <v>4866</v>
      </c>
      <c r="U2943" s="3">
        <v>35</v>
      </c>
      <c r="W2943" s="45" t="str">
        <f>HYPERLINK("http://ictvonline.org/taxonomy/p/taxonomy-history?taxnode_id=201903395","ICTVonline=201903395")</f>
        <v>ICTVonline=201903395</v>
      </c>
      <c r="AA2943" s="1">
        <v>201900000</v>
      </c>
      <c r="AB2943" s="1">
        <v>35</v>
      </c>
    </row>
    <row r="2944" spans="1:28" x14ac:dyDescent="0.2">
      <c r="A2944" s="1">
        <v>7749</v>
      </c>
      <c r="B2944" s="1" t="s">
        <v>10590</v>
      </c>
      <c r="D2944" s="1" t="s">
        <v>10685</v>
      </c>
      <c r="F2944" s="1" t="s">
        <v>11077</v>
      </c>
      <c r="H2944" s="1" t="s">
        <v>11235</v>
      </c>
      <c r="J2944" s="1" t="s">
        <v>11236</v>
      </c>
      <c r="L2944" s="1" t="s">
        <v>2078</v>
      </c>
      <c r="N2944" s="1" t="s">
        <v>2079</v>
      </c>
      <c r="P2944" s="1" t="s">
        <v>1600</v>
      </c>
      <c r="Q2944" s="3">
        <v>0</v>
      </c>
      <c r="R2944" s="23" t="s">
        <v>10605</v>
      </c>
      <c r="S2944" s="23" t="s">
        <v>6844</v>
      </c>
      <c r="T2944" s="23" t="s">
        <v>4866</v>
      </c>
      <c r="U2944" s="3">
        <v>35</v>
      </c>
      <c r="W2944" s="45" t="str">
        <f>HYPERLINK("http://ictvonline.org/taxonomy/p/taxonomy-history?taxnode_id=201903396","ICTVonline=201903396")</f>
        <v>ICTVonline=201903396</v>
      </c>
      <c r="AA2944" s="1">
        <v>201900000</v>
      </c>
      <c r="AB2944" s="1">
        <v>35</v>
      </c>
    </row>
    <row r="2945" spans="1:28" x14ac:dyDescent="0.2">
      <c r="A2945" s="1">
        <v>7751</v>
      </c>
      <c r="B2945" s="1" t="s">
        <v>10590</v>
      </c>
      <c r="D2945" s="1" t="s">
        <v>10685</v>
      </c>
      <c r="F2945" s="1" t="s">
        <v>11077</v>
      </c>
      <c r="H2945" s="1" t="s">
        <v>11235</v>
      </c>
      <c r="J2945" s="1" t="s">
        <v>11236</v>
      </c>
      <c r="L2945" s="1" t="s">
        <v>2078</v>
      </c>
      <c r="N2945" s="1" t="s">
        <v>2079</v>
      </c>
      <c r="P2945" s="1" t="s">
        <v>1601</v>
      </c>
      <c r="Q2945" s="3">
        <v>0</v>
      </c>
      <c r="R2945" s="23" t="s">
        <v>10605</v>
      </c>
      <c r="S2945" s="23" t="s">
        <v>6844</v>
      </c>
      <c r="T2945" s="23" t="s">
        <v>4866</v>
      </c>
      <c r="U2945" s="3">
        <v>35</v>
      </c>
      <c r="W2945" s="45" t="str">
        <f>HYPERLINK("http://ictvonline.org/taxonomy/p/taxonomy-history?taxnode_id=201903397","ICTVonline=201903397")</f>
        <v>ICTVonline=201903397</v>
      </c>
      <c r="AA2945" s="1">
        <v>201900000</v>
      </c>
      <c r="AB2945" s="1">
        <v>35</v>
      </c>
    </row>
    <row r="2946" spans="1:28" x14ac:dyDescent="0.2">
      <c r="A2946" s="1">
        <v>7753</v>
      </c>
      <c r="B2946" s="1" t="s">
        <v>10590</v>
      </c>
      <c r="D2946" s="1" t="s">
        <v>10685</v>
      </c>
      <c r="F2946" s="1" t="s">
        <v>11077</v>
      </c>
      <c r="H2946" s="1" t="s">
        <v>11235</v>
      </c>
      <c r="J2946" s="1" t="s">
        <v>11236</v>
      </c>
      <c r="L2946" s="1" t="s">
        <v>2078</v>
      </c>
      <c r="N2946" s="1" t="s">
        <v>2079</v>
      </c>
      <c r="P2946" s="1" t="s">
        <v>2426</v>
      </c>
      <c r="Q2946" s="3">
        <v>0</v>
      </c>
      <c r="R2946" s="23" t="s">
        <v>10605</v>
      </c>
      <c r="S2946" s="23" t="s">
        <v>6844</v>
      </c>
      <c r="T2946" s="23" t="s">
        <v>4866</v>
      </c>
      <c r="U2946" s="3">
        <v>35</v>
      </c>
      <c r="W2946" s="45" t="str">
        <f>HYPERLINK("http://ictvonline.org/taxonomy/p/taxonomy-history?taxnode_id=201903398","ICTVonline=201903398")</f>
        <v>ICTVonline=201903398</v>
      </c>
      <c r="AA2946" s="1">
        <v>201900000</v>
      </c>
      <c r="AB2946" s="1">
        <v>35</v>
      </c>
    </row>
    <row r="2947" spans="1:28" x14ac:dyDescent="0.2">
      <c r="A2947" s="1">
        <v>7755</v>
      </c>
      <c r="B2947" s="1" t="s">
        <v>10590</v>
      </c>
      <c r="D2947" s="1" t="s">
        <v>10685</v>
      </c>
      <c r="F2947" s="1" t="s">
        <v>11077</v>
      </c>
      <c r="H2947" s="1" t="s">
        <v>11235</v>
      </c>
      <c r="J2947" s="1" t="s">
        <v>11236</v>
      </c>
      <c r="L2947" s="1" t="s">
        <v>2078</v>
      </c>
      <c r="N2947" s="1" t="s">
        <v>2079</v>
      </c>
      <c r="P2947" s="1" t="s">
        <v>2427</v>
      </c>
      <c r="Q2947" s="3">
        <v>0</v>
      </c>
      <c r="R2947" s="23" t="s">
        <v>10605</v>
      </c>
      <c r="S2947" s="23" t="s">
        <v>6844</v>
      </c>
      <c r="T2947" s="23" t="s">
        <v>4866</v>
      </c>
      <c r="U2947" s="3">
        <v>35</v>
      </c>
      <c r="W2947" s="45" t="str">
        <f>HYPERLINK("http://ictvonline.org/taxonomy/p/taxonomy-history?taxnode_id=201903399","ICTVonline=201903399")</f>
        <v>ICTVonline=201903399</v>
      </c>
      <c r="AA2947" s="1">
        <v>201900000</v>
      </c>
      <c r="AB2947" s="1">
        <v>35</v>
      </c>
    </row>
    <row r="2948" spans="1:28" x14ac:dyDescent="0.2">
      <c r="A2948" s="1">
        <v>7757</v>
      </c>
      <c r="B2948" s="1" t="s">
        <v>10590</v>
      </c>
      <c r="D2948" s="1" t="s">
        <v>10685</v>
      </c>
      <c r="F2948" s="1" t="s">
        <v>11077</v>
      </c>
      <c r="H2948" s="1" t="s">
        <v>11235</v>
      </c>
      <c r="J2948" s="1" t="s">
        <v>11236</v>
      </c>
      <c r="L2948" s="1" t="s">
        <v>2078</v>
      </c>
      <c r="N2948" s="1" t="s">
        <v>2079</v>
      </c>
      <c r="P2948" s="1" t="s">
        <v>2428</v>
      </c>
      <c r="Q2948" s="3">
        <v>0</v>
      </c>
      <c r="R2948" s="23" t="s">
        <v>10605</v>
      </c>
      <c r="S2948" s="23" t="s">
        <v>6844</v>
      </c>
      <c r="T2948" s="23" t="s">
        <v>4866</v>
      </c>
      <c r="U2948" s="3">
        <v>35</v>
      </c>
      <c r="W2948" s="45" t="str">
        <f>HYPERLINK("http://ictvonline.org/taxonomy/p/taxonomy-history?taxnode_id=201903400","ICTVonline=201903400")</f>
        <v>ICTVonline=201903400</v>
      </c>
      <c r="AA2948" s="1">
        <v>201900000</v>
      </c>
      <c r="AB2948" s="1">
        <v>35</v>
      </c>
    </row>
    <row r="2949" spans="1:28" x14ac:dyDescent="0.2">
      <c r="A2949" s="1">
        <v>7759</v>
      </c>
      <c r="B2949" s="1" t="s">
        <v>10590</v>
      </c>
      <c r="D2949" s="1" t="s">
        <v>10685</v>
      </c>
      <c r="F2949" s="1" t="s">
        <v>11077</v>
      </c>
      <c r="H2949" s="1" t="s">
        <v>11235</v>
      </c>
      <c r="J2949" s="1" t="s">
        <v>11236</v>
      </c>
      <c r="L2949" s="1" t="s">
        <v>2078</v>
      </c>
      <c r="N2949" s="1" t="s">
        <v>2079</v>
      </c>
      <c r="P2949" s="1" t="s">
        <v>3755</v>
      </c>
      <c r="Q2949" s="3">
        <v>0</v>
      </c>
      <c r="R2949" s="23" t="s">
        <v>10605</v>
      </c>
      <c r="S2949" s="23" t="s">
        <v>6844</v>
      </c>
      <c r="T2949" s="23" t="s">
        <v>4866</v>
      </c>
      <c r="U2949" s="3">
        <v>35</v>
      </c>
      <c r="W2949" s="45" t="str">
        <f>HYPERLINK("http://ictvonline.org/taxonomy/p/taxonomy-history?taxnode_id=201903401","ICTVonline=201903401")</f>
        <v>ICTVonline=201903401</v>
      </c>
      <c r="Y2949" s="1" t="s">
        <v>11427</v>
      </c>
      <c r="Z2949" s="1" t="s">
        <v>11428</v>
      </c>
      <c r="AA2949" s="1">
        <v>201900000</v>
      </c>
      <c r="AB2949" s="1">
        <v>35</v>
      </c>
    </row>
    <row r="2950" spans="1:28" x14ac:dyDescent="0.2">
      <c r="A2950" s="1">
        <v>7761</v>
      </c>
      <c r="B2950" s="1" t="s">
        <v>10590</v>
      </c>
      <c r="D2950" s="1" t="s">
        <v>10685</v>
      </c>
      <c r="F2950" s="1" t="s">
        <v>11077</v>
      </c>
      <c r="H2950" s="1" t="s">
        <v>11235</v>
      </c>
      <c r="J2950" s="1" t="s">
        <v>11236</v>
      </c>
      <c r="L2950" s="1" t="s">
        <v>2078</v>
      </c>
      <c r="N2950" s="1" t="s">
        <v>2079</v>
      </c>
      <c r="P2950" s="1" t="s">
        <v>3756</v>
      </c>
      <c r="Q2950" s="3">
        <v>0</v>
      </c>
      <c r="R2950" s="23" t="s">
        <v>10605</v>
      </c>
      <c r="S2950" s="23" t="s">
        <v>6844</v>
      </c>
      <c r="T2950" s="23" t="s">
        <v>4866</v>
      </c>
      <c r="U2950" s="3">
        <v>35</v>
      </c>
      <c r="W2950" s="45" t="str">
        <f>HYPERLINK("http://ictvonline.org/taxonomy/p/taxonomy-history?taxnode_id=201903402","ICTVonline=201903402")</f>
        <v>ICTVonline=201903402</v>
      </c>
      <c r="Y2950" s="1" t="s">
        <v>11429</v>
      </c>
      <c r="Z2950" s="1" t="s">
        <v>11430</v>
      </c>
      <c r="AA2950" s="1">
        <v>201900000</v>
      </c>
      <c r="AB2950" s="1">
        <v>35</v>
      </c>
    </row>
    <row r="2951" spans="1:28" x14ac:dyDescent="0.2">
      <c r="A2951" s="1">
        <v>7763</v>
      </c>
      <c r="B2951" s="1" t="s">
        <v>10590</v>
      </c>
      <c r="D2951" s="1" t="s">
        <v>10685</v>
      </c>
      <c r="F2951" s="1" t="s">
        <v>11077</v>
      </c>
      <c r="H2951" s="1" t="s">
        <v>11235</v>
      </c>
      <c r="J2951" s="1" t="s">
        <v>11236</v>
      </c>
      <c r="L2951" s="1" t="s">
        <v>2078</v>
      </c>
      <c r="N2951" s="1" t="s">
        <v>2079</v>
      </c>
      <c r="P2951" s="1" t="s">
        <v>1803</v>
      </c>
      <c r="Q2951" s="3">
        <v>0</v>
      </c>
      <c r="R2951" s="23" t="s">
        <v>10605</v>
      </c>
      <c r="S2951" s="23" t="s">
        <v>6844</v>
      </c>
      <c r="T2951" s="23" t="s">
        <v>4866</v>
      </c>
      <c r="U2951" s="3">
        <v>35</v>
      </c>
      <c r="W2951" s="45" t="str">
        <f>HYPERLINK("http://ictvonline.org/taxonomy/p/taxonomy-history?taxnode_id=201903403","ICTVonline=201903403")</f>
        <v>ICTVonline=201903403</v>
      </c>
      <c r="AA2951" s="1">
        <v>201900000</v>
      </c>
      <c r="AB2951" s="1">
        <v>35</v>
      </c>
    </row>
    <row r="2952" spans="1:28" x14ac:dyDescent="0.2">
      <c r="A2952" s="1">
        <v>7765</v>
      </c>
      <c r="B2952" s="1" t="s">
        <v>10590</v>
      </c>
      <c r="D2952" s="1" t="s">
        <v>10685</v>
      </c>
      <c r="F2952" s="1" t="s">
        <v>11077</v>
      </c>
      <c r="H2952" s="1" t="s">
        <v>11235</v>
      </c>
      <c r="J2952" s="1" t="s">
        <v>11236</v>
      </c>
      <c r="L2952" s="1" t="s">
        <v>2078</v>
      </c>
      <c r="N2952" s="1" t="s">
        <v>2079</v>
      </c>
      <c r="P2952" s="1" t="s">
        <v>11431</v>
      </c>
      <c r="Q2952" s="3">
        <v>0</v>
      </c>
      <c r="R2952" s="23" t="s">
        <v>10596</v>
      </c>
      <c r="S2952" s="23" t="s">
        <v>6849</v>
      </c>
      <c r="T2952" s="23" t="s">
        <v>4864</v>
      </c>
      <c r="U2952" s="3">
        <v>35</v>
      </c>
      <c r="V2952" s="3" t="s">
        <v>11246</v>
      </c>
      <c r="W2952" s="45" t="str">
        <f>HYPERLINK("http://ictvonline.org/taxonomy/p/taxonomy-history?taxnode_id=201907530","ICTVonline=201907530")</f>
        <v>ICTVonline=201907530</v>
      </c>
      <c r="X2952" s="1" t="s">
        <v>11432</v>
      </c>
      <c r="Y2952" s="1" t="s">
        <v>11433</v>
      </c>
      <c r="Z2952" s="1" t="s">
        <v>11434</v>
      </c>
      <c r="AA2952" s="1">
        <v>201900000</v>
      </c>
      <c r="AB2952" s="1">
        <v>35</v>
      </c>
    </row>
    <row r="2953" spans="1:28" x14ac:dyDescent="0.2">
      <c r="A2953" s="1">
        <v>7767</v>
      </c>
      <c r="B2953" s="1" t="s">
        <v>10590</v>
      </c>
      <c r="D2953" s="1" t="s">
        <v>10685</v>
      </c>
      <c r="F2953" s="1" t="s">
        <v>11077</v>
      </c>
      <c r="H2953" s="1" t="s">
        <v>11235</v>
      </c>
      <c r="J2953" s="1" t="s">
        <v>11236</v>
      </c>
      <c r="L2953" s="1" t="s">
        <v>2078</v>
      </c>
      <c r="N2953" s="1" t="s">
        <v>2079</v>
      </c>
      <c r="P2953" s="1" t="s">
        <v>2429</v>
      </c>
      <c r="Q2953" s="3">
        <v>0</v>
      </c>
      <c r="R2953" s="23" t="s">
        <v>10605</v>
      </c>
      <c r="S2953" s="23" t="s">
        <v>6844</v>
      </c>
      <c r="T2953" s="23" t="s">
        <v>4866</v>
      </c>
      <c r="U2953" s="3">
        <v>35</v>
      </c>
      <c r="W2953" s="45" t="str">
        <f>HYPERLINK("http://ictvonline.org/taxonomy/p/taxonomy-history?taxnode_id=201903404","ICTVonline=201903404")</f>
        <v>ICTVonline=201903404</v>
      </c>
      <c r="AA2953" s="1">
        <v>201900000</v>
      </c>
      <c r="AB2953" s="1">
        <v>35</v>
      </c>
    </row>
    <row r="2954" spans="1:28" x14ac:dyDescent="0.2">
      <c r="A2954" s="1">
        <v>7769</v>
      </c>
      <c r="B2954" s="1" t="s">
        <v>10590</v>
      </c>
      <c r="D2954" s="1" t="s">
        <v>10685</v>
      </c>
      <c r="F2954" s="1" t="s">
        <v>11077</v>
      </c>
      <c r="H2954" s="1" t="s">
        <v>11235</v>
      </c>
      <c r="J2954" s="1" t="s">
        <v>11236</v>
      </c>
      <c r="L2954" s="1" t="s">
        <v>2078</v>
      </c>
      <c r="N2954" s="1" t="s">
        <v>2079</v>
      </c>
      <c r="P2954" s="1" t="s">
        <v>5346</v>
      </c>
      <c r="Q2954" s="3">
        <v>0</v>
      </c>
      <c r="R2954" s="23" t="s">
        <v>10605</v>
      </c>
      <c r="S2954" s="23" t="s">
        <v>6844</v>
      </c>
      <c r="T2954" s="23" t="s">
        <v>4866</v>
      </c>
      <c r="U2954" s="3">
        <v>35</v>
      </c>
      <c r="W2954" s="45" t="str">
        <f>HYPERLINK("http://ictvonline.org/taxonomy/p/taxonomy-history?taxnode_id=201905834","ICTVonline=201905834")</f>
        <v>ICTVonline=201905834</v>
      </c>
      <c r="AA2954" s="1">
        <v>201900000</v>
      </c>
      <c r="AB2954" s="1">
        <v>35</v>
      </c>
    </row>
    <row r="2955" spans="1:28" x14ac:dyDescent="0.2">
      <c r="A2955" s="1">
        <v>7771</v>
      </c>
      <c r="B2955" s="1" t="s">
        <v>10590</v>
      </c>
      <c r="D2955" s="1" t="s">
        <v>10685</v>
      </c>
      <c r="F2955" s="1" t="s">
        <v>11077</v>
      </c>
      <c r="H2955" s="1" t="s">
        <v>11235</v>
      </c>
      <c r="J2955" s="1" t="s">
        <v>11236</v>
      </c>
      <c r="L2955" s="1" t="s">
        <v>2078</v>
      </c>
      <c r="N2955" s="1" t="s">
        <v>2079</v>
      </c>
      <c r="P2955" s="1" t="s">
        <v>1804</v>
      </c>
      <c r="Q2955" s="3">
        <v>0</v>
      </c>
      <c r="R2955" s="23" t="s">
        <v>10605</v>
      </c>
      <c r="S2955" s="23" t="s">
        <v>6844</v>
      </c>
      <c r="T2955" s="23" t="s">
        <v>4866</v>
      </c>
      <c r="U2955" s="3">
        <v>35</v>
      </c>
      <c r="W2955" s="45" t="str">
        <f>HYPERLINK("http://ictvonline.org/taxonomy/p/taxonomy-history?taxnode_id=201903405","ICTVonline=201903405")</f>
        <v>ICTVonline=201903405</v>
      </c>
      <c r="AA2955" s="1">
        <v>201900000</v>
      </c>
      <c r="AB2955" s="1">
        <v>35</v>
      </c>
    </row>
    <row r="2956" spans="1:28" x14ac:dyDescent="0.2">
      <c r="A2956" s="1">
        <v>7773</v>
      </c>
      <c r="B2956" s="1" t="s">
        <v>10590</v>
      </c>
      <c r="D2956" s="1" t="s">
        <v>10685</v>
      </c>
      <c r="F2956" s="1" t="s">
        <v>11077</v>
      </c>
      <c r="H2956" s="1" t="s">
        <v>11235</v>
      </c>
      <c r="J2956" s="1" t="s">
        <v>11236</v>
      </c>
      <c r="L2956" s="1" t="s">
        <v>2078</v>
      </c>
      <c r="N2956" s="1" t="s">
        <v>2079</v>
      </c>
      <c r="P2956" s="1" t="s">
        <v>2430</v>
      </c>
      <c r="Q2956" s="3">
        <v>0</v>
      </c>
      <c r="R2956" s="23" t="s">
        <v>10605</v>
      </c>
      <c r="S2956" s="23" t="s">
        <v>6844</v>
      </c>
      <c r="T2956" s="23" t="s">
        <v>4866</v>
      </c>
      <c r="U2956" s="3">
        <v>35</v>
      </c>
      <c r="W2956" s="45" t="str">
        <f>HYPERLINK("http://ictvonline.org/taxonomy/p/taxonomy-history?taxnode_id=201903406","ICTVonline=201903406")</f>
        <v>ICTVonline=201903406</v>
      </c>
      <c r="AA2956" s="1">
        <v>201900000</v>
      </c>
      <c r="AB2956" s="1">
        <v>35</v>
      </c>
    </row>
    <row r="2957" spans="1:28" x14ac:dyDescent="0.2">
      <c r="A2957" s="1">
        <v>7775</v>
      </c>
      <c r="B2957" s="1" t="s">
        <v>10590</v>
      </c>
      <c r="D2957" s="1" t="s">
        <v>10685</v>
      </c>
      <c r="F2957" s="1" t="s">
        <v>11077</v>
      </c>
      <c r="H2957" s="1" t="s">
        <v>11235</v>
      </c>
      <c r="J2957" s="1" t="s">
        <v>11236</v>
      </c>
      <c r="L2957" s="1" t="s">
        <v>2078</v>
      </c>
      <c r="N2957" s="1" t="s">
        <v>2079</v>
      </c>
      <c r="P2957" s="1" t="s">
        <v>1805</v>
      </c>
      <c r="Q2957" s="3">
        <v>0</v>
      </c>
      <c r="R2957" s="23" t="s">
        <v>10605</v>
      </c>
      <c r="S2957" s="23" t="s">
        <v>6844</v>
      </c>
      <c r="T2957" s="23" t="s">
        <v>4866</v>
      </c>
      <c r="U2957" s="3">
        <v>35</v>
      </c>
      <c r="W2957" s="45" t="str">
        <f>HYPERLINK("http://ictvonline.org/taxonomy/p/taxonomy-history?taxnode_id=201903407","ICTVonline=201903407")</f>
        <v>ICTVonline=201903407</v>
      </c>
      <c r="AA2957" s="1">
        <v>201900000</v>
      </c>
      <c r="AB2957" s="1">
        <v>35</v>
      </c>
    </row>
    <row r="2958" spans="1:28" x14ac:dyDescent="0.2">
      <c r="A2958" s="1">
        <v>7777</v>
      </c>
      <c r="B2958" s="1" t="s">
        <v>10590</v>
      </c>
      <c r="D2958" s="1" t="s">
        <v>10685</v>
      </c>
      <c r="F2958" s="1" t="s">
        <v>11077</v>
      </c>
      <c r="H2958" s="1" t="s">
        <v>11235</v>
      </c>
      <c r="J2958" s="1" t="s">
        <v>11236</v>
      </c>
      <c r="L2958" s="1" t="s">
        <v>2078</v>
      </c>
      <c r="N2958" s="1" t="s">
        <v>2079</v>
      </c>
      <c r="P2958" s="1" t="s">
        <v>2431</v>
      </c>
      <c r="Q2958" s="3">
        <v>0</v>
      </c>
      <c r="R2958" s="23" t="s">
        <v>10605</v>
      </c>
      <c r="S2958" s="23" t="s">
        <v>6844</v>
      </c>
      <c r="T2958" s="23" t="s">
        <v>4866</v>
      </c>
      <c r="U2958" s="3">
        <v>35</v>
      </c>
      <c r="W2958" s="45" t="str">
        <f>HYPERLINK("http://ictvonline.org/taxonomy/p/taxonomy-history?taxnode_id=201903408","ICTVonline=201903408")</f>
        <v>ICTVonline=201903408</v>
      </c>
      <c r="AA2958" s="1">
        <v>201900000</v>
      </c>
      <c r="AB2958" s="1">
        <v>35</v>
      </c>
    </row>
    <row r="2959" spans="1:28" x14ac:dyDescent="0.2">
      <c r="A2959" s="1">
        <v>7779</v>
      </c>
      <c r="B2959" s="1" t="s">
        <v>10590</v>
      </c>
      <c r="D2959" s="1" t="s">
        <v>10685</v>
      </c>
      <c r="F2959" s="1" t="s">
        <v>11077</v>
      </c>
      <c r="H2959" s="1" t="s">
        <v>11235</v>
      </c>
      <c r="J2959" s="1" t="s">
        <v>11236</v>
      </c>
      <c r="L2959" s="1" t="s">
        <v>2078</v>
      </c>
      <c r="N2959" s="1" t="s">
        <v>2079</v>
      </c>
      <c r="P2959" s="1" t="s">
        <v>5347</v>
      </c>
      <c r="Q2959" s="3">
        <v>0</v>
      </c>
      <c r="R2959" s="23" t="s">
        <v>10605</v>
      </c>
      <c r="S2959" s="23" t="s">
        <v>6844</v>
      </c>
      <c r="T2959" s="23" t="s">
        <v>4866</v>
      </c>
      <c r="U2959" s="3">
        <v>35</v>
      </c>
      <c r="W2959" s="45" t="str">
        <f>HYPERLINK("http://ictvonline.org/taxonomy/p/taxonomy-history?taxnode_id=201905835","ICTVonline=201905835")</f>
        <v>ICTVonline=201905835</v>
      </c>
      <c r="AA2959" s="1">
        <v>201900000</v>
      </c>
      <c r="AB2959" s="1">
        <v>35</v>
      </c>
    </row>
    <row r="2960" spans="1:28" x14ac:dyDescent="0.2">
      <c r="A2960" s="1">
        <v>7781</v>
      </c>
      <c r="B2960" s="1" t="s">
        <v>10590</v>
      </c>
      <c r="D2960" s="1" t="s">
        <v>10685</v>
      </c>
      <c r="F2960" s="1" t="s">
        <v>11077</v>
      </c>
      <c r="H2960" s="1" t="s">
        <v>11235</v>
      </c>
      <c r="J2960" s="1" t="s">
        <v>11236</v>
      </c>
      <c r="L2960" s="1" t="s">
        <v>2078</v>
      </c>
      <c r="N2960" s="1" t="s">
        <v>2079</v>
      </c>
      <c r="P2960" s="1" t="s">
        <v>3757</v>
      </c>
      <c r="Q2960" s="3">
        <v>0</v>
      </c>
      <c r="R2960" s="23" t="s">
        <v>10605</v>
      </c>
      <c r="S2960" s="23" t="s">
        <v>6844</v>
      </c>
      <c r="T2960" s="23" t="s">
        <v>4866</v>
      </c>
      <c r="U2960" s="3">
        <v>35</v>
      </c>
      <c r="W2960" s="45" t="str">
        <f>HYPERLINK("http://ictvonline.org/taxonomy/p/taxonomy-history?taxnode_id=201903409","ICTVonline=201903409")</f>
        <v>ICTVonline=201903409</v>
      </c>
      <c r="Y2960" s="1" t="s">
        <v>11435</v>
      </c>
      <c r="Z2960" s="1" t="s">
        <v>11436</v>
      </c>
      <c r="AA2960" s="1">
        <v>201900000</v>
      </c>
      <c r="AB2960" s="1">
        <v>35</v>
      </c>
    </row>
    <row r="2961" spans="1:28" x14ac:dyDescent="0.2">
      <c r="A2961" s="1">
        <v>7783</v>
      </c>
      <c r="B2961" s="1" t="s">
        <v>10590</v>
      </c>
      <c r="D2961" s="1" t="s">
        <v>10685</v>
      </c>
      <c r="F2961" s="1" t="s">
        <v>11077</v>
      </c>
      <c r="H2961" s="1" t="s">
        <v>11235</v>
      </c>
      <c r="J2961" s="1" t="s">
        <v>11236</v>
      </c>
      <c r="L2961" s="1" t="s">
        <v>2078</v>
      </c>
      <c r="N2961" s="1" t="s">
        <v>2079</v>
      </c>
      <c r="P2961" s="1" t="s">
        <v>5348</v>
      </c>
      <c r="Q2961" s="3">
        <v>0</v>
      </c>
      <c r="R2961" s="23" t="s">
        <v>10605</v>
      </c>
      <c r="S2961" s="23" t="s">
        <v>6844</v>
      </c>
      <c r="T2961" s="23" t="s">
        <v>4866</v>
      </c>
      <c r="U2961" s="3">
        <v>35</v>
      </c>
      <c r="W2961" s="45" t="str">
        <f>HYPERLINK("http://ictvonline.org/taxonomy/p/taxonomy-history?taxnode_id=201905836","ICTVonline=201905836")</f>
        <v>ICTVonline=201905836</v>
      </c>
      <c r="AA2961" s="1">
        <v>201900000</v>
      </c>
      <c r="AB2961" s="1">
        <v>35</v>
      </c>
    </row>
    <row r="2962" spans="1:28" x14ac:dyDescent="0.2">
      <c r="A2962" s="1">
        <v>7785</v>
      </c>
      <c r="B2962" s="1" t="s">
        <v>10590</v>
      </c>
      <c r="D2962" s="1" t="s">
        <v>10685</v>
      </c>
      <c r="F2962" s="1" t="s">
        <v>11077</v>
      </c>
      <c r="H2962" s="1" t="s">
        <v>11235</v>
      </c>
      <c r="J2962" s="1" t="s">
        <v>11236</v>
      </c>
      <c r="L2962" s="1" t="s">
        <v>2078</v>
      </c>
      <c r="N2962" s="1" t="s">
        <v>2079</v>
      </c>
      <c r="P2962" s="1" t="s">
        <v>1806</v>
      </c>
      <c r="Q2962" s="3">
        <v>0</v>
      </c>
      <c r="R2962" s="23" t="s">
        <v>10605</v>
      </c>
      <c r="S2962" s="23" t="s">
        <v>6844</v>
      </c>
      <c r="T2962" s="23" t="s">
        <v>4866</v>
      </c>
      <c r="U2962" s="3">
        <v>35</v>
      </c>
      <c r="W2962" s="45" t="str">
        <f>HYPERLINK("http://ictvonline.org/taxonomy/p/taxonomy-history?taxnode_id=201903410","ICTVonline=201903410")</f>
        <v>ICTVonline=201903410</v>
      </c>
      <c r="AA2962" s="1">
        <v>201900000</v>
      </c>
      <c r="AB2962" s="1">
        <v>35</v>
      </c>
    </row>
    <row r="2963" spans="1:28" x14ac:dyDescent="0.2">
      <c r="A2963" s="1">
        <v>7787</v>
      </c>
      <c r="B2963" s="1" t="s">
        <v>10590</v>
      </c>
      <c r="D2963" s="1" t="s">
        <v>10685</v>
      </c>
      <c r="F2963" s="1" t="s">
        <v>11077</v>
      </c>
      <c r="H2963" s="1" t="s">
        <v>11235</v>
      </c>
      <c r="J2963" s="1" t="s">
        <v>11236</v>
      </c>
      <c r="L2963" s="1" t="s">
        <v>2078</v>
      </c>
      <c r="N2963" s="1" t="s">
        <v>2079</v>
      </c>
      <c r="P2963" s="1" t="s">
        <v>1807</v>
      </c>
      <c r="Q2963" s="3">
        <v>0</v>
      </c>
      <c r="R2963" s="23" t="s">
        <v>10605</v>
      </c>
      <c r="S2963" s="23" t="s">
        <v>6844</v>
      </c>
      <c r="T2963" s="23" t="s">
        <v>4866</v>
      </c>
      <c r="U2963" s="3">
        <v>35</v>
      </c>
      <c r="W2963" s="45" t="str">
        <f>HYPERLINK("http://ictvonline.org/taxonomy/p/taxonomy-history?taxnode_id=201903411","ICTVonline=201903411")</f>
        <v>ICTVonline=201903411</v>
      </c>
      <c r="AA2963" s="1">
        <v>201900000</v>
      </c>
      <c r="AB2963" s="1">
        <v>35</v>
      </c>
    </row>
    <row r="2964" spans="1:28" x14ac:dyDescent="0.2">
      <c r="A2964" s="1">
        <v>7789</v>
      </c>
      <c r="B2964" s="1" t="s">
        <v>10590</v>
      </c>
      <c r="D2964" s="1" t="s">
        <v>10685</v>
      </c>
      <c r="F2964" s="1" t="s">
        <v>11077</v>
      </c>
      <c r="H2964" s="1" t="s">
        <v>11235</v>
      </c>
      <c r="J2964" s="1" t="s">
        <v>11236</v>
      </c>
      <c r="L2964" s="1" t="s">
        <v>2078</v>
      </c>
      <c r="N2964" s="1" t="s">
        <v>2079</v>
      </c>
      <c r="P2964" s="1" t="s">
        <v>2432</v>
      </c>
      <c r="Q2964" s="3">
        <v>0</v>
      </c>
      <c r="R2964" s="23" t="s">
        <v>10605</v>
      </c>
      <c r="S2964" s="23" t="s">
        <v>6844</v>
      </c>
      <c r="T2964" s="23" t="s">
        <v>4866</v>
      </c>
      <c r="U2964" s="3">
        <v>35</v>
      </c>
      <c r="W2964" s="45" t="str">
        <f>HYPERLINK("http://ictvonline.org/taxonomy/p/taxonomy-history?taxnode_id=201903412","ICTVonline=201903412")</f>
        <v>ICTVonline=201903412</v>
      </c>
      <c r="AA2964" s="1">
        <v>201900000</v>
      </c>
      <c r="AB2964" s="1">
        <v>35</v>
      </c>
    </row>
    <row r="2965" spans="1:28" x14ac:dyDescent="0.2">
      <c r="A2965" s="1">
        <v>7791</v>
      </c>
      <c r="B2965" s="1" t="s">
        <v>10590</v>
      </c>
      <c r="D2965" s="1" t="s">
        <v>10685</v>
      </c>
      <c r="F2965" s="1" t="s">
        <v>11077</v>
      </c>
      <c r="H2965" s="1" t="s">
        <v>11235</v>
      </c>
      <c r="J2965" s="1" t="s">
        <v>11236</v>
      </c>
      <c r="L2965" s="1" t="s">
        <v>2078</v>
      </c>
      <c r="N2965" s="1" t="s">
        <v>2079</v>
      </c>
      <c r="P2965" s="1" t="s">
        <v>3758</v>
      </c>
      <c r="Q2965" s="3">
        <v>0</v>
      </c>
      <c r="R2965" s="23" t="s">
        <v>10605</v>
      </c>
      <c r="S2965" s="23" t="s">
        <v>6844</v>
      </c>
      <c r="T2965" s="23" t="s">
        <v>4866</v>
      </c>
      <c r="U2965" s="3">
        <v>35</v>
      </c>
      <c r="W2965" s="45" t="str">
        <f>HYPERLINK("http://ictvonline.org/taxonomy/p/taxonomy-history?taxnode_id=201903413","ICTVonline=201903413")</f>
        <v>ICTVonline=201903413</v>
      </c>
      <c r="Y2965" s="1" t="s">
        <v>11437</v>
      </c>
      <c r="Z2965" s="1" t="s">
        <v>11438</v>
      </c>
      <c r="AA2965" s="1">
        <v>201900000</v>
      </c>
      <c r="AB2965" s="1">
        <v>35</v>
      </c>
    </row>
    <row r="2966" spans="1:28" x14ac:dyDescent="0.2">
      <c r="A2966" s="1">
        <v>7793</v>
      </c>
      <c r="B2966" s="1" t="s">
        <v>10590</v>
      </c>
      <c r="D2966" s="1" t="s">
        <v>10685</v>
      </c>
      <c r="F2966" s="1" t="s">
        <v>11077</v>
      </c>
      <c r="H2966" s="1" t="s">
        <v>11235</v>
      </c>
      <c r="J2966" s="1" t="s">
        <v>11236</v>
      </c>
      <c r="L2966" s="1" t="s">
        <v>2078</v>
      </c>
      <c r="N2966" s="1" t="s">
        <v>2079</v>
      </c>
      <c r="P2966" s="1" t="s">
        <v>5349</v>
      </c>
      <c r="Q2966" s="3">
        <v>0</v>
      </c>
      <c r="R2966" s="23" t="s">
        <v>10605</v>
      </c>
      <c r="S2966" s="23" t="s">
        <v>6844</v>
      </c>
      <c r="T2966" s="23" t="s">
        <v>4866</v>
      </c>
      <c r="U2966" s="3">
        <v>35</v>
      </c>
      <c r="W2966" s="45" t="str">
        <f>HYPERLINK("http://ictvonline.org/taxonomy/p/taxonomy-history?taxnode_id=201905837","ICTVonline=201905837")</f>
        <v>ICTVonline=201905837</v>
      </c>
      <c r="AA2966" s="1">
        <v>201900000</v>
      </c>
      <c r="AB2966" s="1">
        <v>35</v>
      </c>
    </row>
    <row r="2967" spans="1:28" x14ac:dyDescent="0.2">
      <c r="A2967" s="1">
        <v>7795</v>
      </c>
      <c r="B2967" s="1" t="s">
        <v>10590</v>
      </c>
      <c r="D2967" s="1" t="s">
        <v>10685</v>
      </c>
      <c r="F2967" s="1" t="s">
        <v>11077</v>
      </c>
      <c r="H2967" s="1" t="s">
        <v>11235</v>
      </c>
      <c r="J2967" s="1" t="s">
        <v>11236</v>
      </c>
      <c r="L2967" s="1" t="s">
        <v>2078</v>
      </c>
      <c r="N2967" s="1" t="s">
        <v>2079</v>
      </c>
      <c r="P2967" s="1" t="s">
        <v>2433</v>
      </c>
      <c r="Q2967" s="3">
        <v>0</v>
      </c>
      <c r="R2967" s="23" t="s">
        <v>10605</v>
      </c>
      <c r="S2967" s="23" t="s">
        <v>6844</v>
      </c>
      <c r="T2967" s="23" t="s">
        <v>4866</v>
      </c>
      <c r="U2967" s="3">
        <v>35</v>
      </c>
      <c r="W2967" s="45" t="str">
        <f>HYPERLINK("http://ictvonline.org/taxonomy/p/taxonomy-history?taxnode_id=201903414","ICTVonline=201903414")</f>
        <v>ICTVonline=201903414</v>
      </c>
      <c r="AA2967" s="1">
        <v>201900000</v>
      </c>
      <c r="AB2967" s="1">
        <v>35</v>
      </c>
    </row>
    <row r="2968" spans="1:28" x14ac:dyDescent="0.2">
      <c r="A2968" s="1">
        <v>7797</v>
      </c>
      <c r="B2968" s="1" t="s">
        <v>10590</v>
      </c>
      <c r="D2968" s="1" t="s">
        <v>10685</v>
      </c>
      <c r="F2968" s="1" t="s">
        <v>11077</v>
      </c>
      <c r="H2968" s="1" t="s">
        <v>11235</v>
      </c>
      <c r="J2968" s="1" t="s">
        <v>11236</v>
      </c>
      <c r="L2968" s="1" t="s">
        <v>2078</v>
      </c>
      <c r="N2968" s="1" t="s">
        <v>2079</v>
      </c>
      <c r="P2968" s="1" t="s">
        <v>1808</v>
      </c>
      <c r="Q2968" s="3">
        <v>0</v>
      </c>
      <c r="R2968" s="23" t="s">
        <v>10605</v>
      </c>
      <c r="S2968" s="23" t="s">
        <v>6844</v>
      </c>
      <c r="T2968" s="23" t="s">
        <v>4866</v>
      </c>
      <c r="U2968" s="3">
        <v>35</v>
      </c>
      <c r="W2968" s="45" t="str">
        <f>HYPERLINK("http://ictvonline.org/taxonomy/p/taxonomy-history?taxnode_id=201903415","ICTVonline=201903415")</f>
        <v>ICTVonline=201903415</v>
      </c>
      <c r="AA2968" s="1">
        <v>201900000</v>
      </c>
      <c r="AB2968" s="1">
        <v>35</v>
      </c>
    </row>
    <row r="2969" spans="1:28" x14ac:dyDescent="0.2">
      <c r="A2969" s="1">
        <v>7799</v>
      </c>
      <c r="B2969" s="1" t="s">
        <v>10590</v>
      </c>
      <c r="D2969" s="1" t="s">
        <v>10685</v>
      </c>
      <c r="F2969" s="1" t="s">
        <v>11077</v>
      </c>
      <c r="H2969" s="1" t="s">
        <v>11235</v>
      </c>
      <c r="J2969" s="1" t="s">
        <v>11236</v>
      </c>
      <c r="L2969" s="1" t="s">
        <v>2078</v>
      </c>
      <c r="N2969" s="1" t="s">
        <v>2079</v>
      </c>
      <c r="P2969" s="1" t="s">
        <v>1577</v>
      </c>
      <c r="Q2969" s="3">
        <v>0</v>
      </c>
      <c r="R2969" s="23" t="s">
        <v>10605</v>
      </c>
      <c r="S2969" s="23" t="s">
        <v>6844</v>
      </c>
      <c r="T2969" s="23" t="s">
        <v>4866</v>
      </c>
      <c r="U2969" s="3">
        <v>35</v>
      </c>
      <c r="W2969" s="45" t="str">
        <f>HYPERLINK("http://ictvonline.org/taxonomy/p/taxonomy-history?taxnode_id=201903416","ICTVonline=201903416")</f>
        <v>ICTVonline=201903416</v>
      </c>
      <c r="AA2969" s="1">
        <v>201900000</v>
      </c>
      <c r="AB2969" s="1">
        <v>35</v>
      </c>
    </row>
    <row r="2970" spans="1:28" x14ac:dyDescent="0.2">
      <c r="A2970" s="1">
        <v>7801</v>
      </c>
      <c r="B2970" s="1" t="s">
        <v>10590</v>
      </c>
      <c r="D2970" s="1" t="s">
        <v>10685</v>
      </c>
      <c r="F2970" s="1" t="s">
        <v>11077</v>
      </c>
      <c r="H2970" s="1" t="s">
        <v>11235</v>
      </c>
      <c r="J2970" s="1" t="s">
        <v>11236</v>
      </c>
      <c r="L2970" s="1" t="s">
        <v>2078</v>
      </c>
      <c r="N2970" s="1" t="s">
        <v>2079</v>
      </c>
      <c r="P2970" s="1" t="s">
        <v>1578</v>
      </c>
      <c r="Q2970" s="3">
        <v>0</v>
      </c>
      <c r="R2970" s="23" t="s">
        <v>10605</v>
      </c>
      <c r="S2970" s="23" t="s">
        <v>6844</v>
      </c>
      <c r="T2970" s="23" t="s">
        <v>4866</v>
      </c>
      <c r="U2970" s="3">
        <v>35</v>
      </c>
      <c r="W2970" s="45" t="str">
        <f>HYPERLINK("http://ictvonline.org/taxonomy/p/taxonomy-history?taxnode_id=201903417","ICTVonline=201903417")</f>
        <v>ICTVonline=201903417</v>
      </c>
      <c r="AA2970" s="1">
        <v>201900000</v>
      </c>
      <c r="AB2970" s="1">
        <v>35</v>
      </c>
    </row>
    <row r="2971" spans="1:28" x14ac:dyDescent="0.2">
      <c r="A2971" s="1">
        <v>7803</v>
      </c>
      <c r="B2971" s="1" t="s">
        <v>10590</v>
      </c>
      <c r="D2971" s="1" t="s">
        <v>10685</v>
      </c>
      <c r="F2971" s="1" t="s">
        <v>11077</v>
      </c>
      <c r="H2971" s="1" t="s">
        <v>11235</v>
      </c>
      <c r="J2971" s="1" t="s">
        <v>11236</v>
      </c>
      <c r="L2971" s="1" t="s">
        <v>2078</v>
      </c>
      <c r="N2971" s="1" t="s">
        <v>2079</v>
      </c>
      <c r="P2971" s="1" t="s">
        <v>5350</v>
      </c>
      <c r="Q2971" s="3">
        <v>0</v>
      </c>
      <c r="R2971" s="23" t="s">
        <v>10605</v>
      </c>
      <c r="S2971" s="23" t="s">
        <v>6844</v>
      </c>
      <c r="T2971" s="23" t="s">
        <v>4866</v>
      </c>
      <c r="U2971" s="3">
        <v>35</v>
      </c>
      <c r="W2971" s="45" t="str">
        <f>HYPERLINK("http://ictvonline.org/taxonomy/p/taxonomy-history?taxnode_id=201905838","ICTVonline=201905838")</f>
        <v>ICTVonline=201905838</v>
      </c>
      <c r="AA2971" s="1">
        <v>201900000</v>
      </c>
      <c r="AB2971" s="1">
        <v>35</v>
      </c>
    </row>
    <row r="2972" spans="1:28" x14ac:dyDescent="0.2">
      <c r="A2972" s="1">
        <v>7805</v>
      </c>
      <c r="B2972" s="1" t="s">
        <v>10590</v>
      </c>
      <c r="D2972" s="1" t="s">
        <v>10685</v>
      </c>
      <c r="F2972" s="1" t="s">
        <v>11077</v>
      </c>
      <c r="H2972" s="1" t="s">
        <v>11235</v>
      </c>
      <c r="J2972" s="1" t="s">
        <v>11236</v>
      </c>
      <c r="L2972" s="1" t="s">
        <v>2078</v>
      </c>
      <c r="N2972" s="1" t="s">
        <v>2079</v>
      </c>
      <c r="P2972" s="1" t="s">
        <v>2434</v>
      </c>
      <c r="Q2972" s="3">
        <v>0</v>
      </c>
      <c r="R2972" s="23" t="s">
        <v>10605</v>
      </c>
      <c r="S2972" s="23" t="s">
        <v>6844</v>
      </c>
      <c r="T2972" s="23" t="s">
        <v>4866</v>
      </c>
      <c r="U2972" s="3">
        <v>35</v>
      </c>
      <c r="W2972" s="45" t="str">
        <f>HYPERLINK("http://ictvonline.org/taxonomy/p/taxonomy-history?taxnode_id=201903418","ICTVonline=201903418")</f>
        <v>ICTVonline=201903418</v>
      </c>
      <c r="AA2972" s="1">
        <v>201900000</v>
      </c>
      <c r="AB2972" s="1">
        <v>35</v>
      </c>
    </row>
    <row r="2973" spans="1:28" x14ac:dyDescent="0.2">
      <c r="A2973" s="1">
        <v>7807</v>
      </c>
      <c r="B2973" s="1" t="s">
        <v>10590</v>
      </c>
      <c r="D2973" s="1" t="s">
        <v>10685</v>
      </c>
      <c r="F2973" s="1" t="s">
        <v>11077</v>
      </c>
      <c r="H2973" s="1" t="s">
        <v>11235</v>
      </c>
      <c r="J2973" s="1" t="s">
        <v>11236</v>
      </c>
      <c r="L2973" s="1" t="s">
        <v>2078</v>
      </c>
      <c r="N2973" s="1" t="s">
        <v>2079</v>
      </c>
      <c r="P2973" s="1" t="s">
        <v>1916</v>
      </c>
      <c r="Q2973" s="3">
        <v>0</v>
      </c>
      <c r="R2973" s="23" t="s">
        <v>10605</v>
      </c>
      <c r="S2973" s="23" t="s">
        <v>6844</v>
      </c>
      <c r="T2973" s="23" t="s">
        <v>4866</v>
      </c>
      <c r="U2973" s="3">
        <v>35</v>
      </c>
      <c r="W2973" s="45" t="str">
        <f>HYPERLINK("http://ictvonline.org/taxonomy/p/taxonomy-history?taxnode_id=201903419","ICTVonline=201903419")</f>
        <v>ICTVonline=201903419</v>
      </c>
      <c r="AA2973" s="1">
        <v>201900000</v>
      </c>
      <c r="AB2973" s="1">
        <v>35</v>
      </c>
    </row>
    <row r="2974" spans="1:28" x14ac:dyDescent="0.2">
      <c r="A2974" s="1">
        <v>7809</v>
      </c>
      <c r="B2974" s="1" t="s">
        <v>10590</v>
      </c>
      <c r="D2974" s="1" t="s">
        <v>10685</v>
      </c>
      <c r="F2974" s="1" t="s">
        <v>11077</v>
      </c>
      <c r="H2974" s="1" t="s">
        <v>11235</v>
      </c>
      <c r="J2974" s="1" t="s">
        <v>11236</v>
      </c>
      <c r="L2974" s="1" t="s">
        <v>2078</v>
      </c>
      <c r="N2974" s="1" t="s">
        <v>2079</v>
      </c>
      <c r="P2974" s="1" t="s">
        <v>1831</v>
      </c>
      <c r="Q2974" s="3">
        <v>0</v>
      </c>
      <c r="R2974" s="23" t="s">
        <v>10605</v>
      </c>
      <c r="S2974" s="23" t="s">
        <v>6844</v>
      </c>
      <c r="T2974" s="23" t="s">
        <v>4866</v>
      </c>
      <c r="U2974" s="3">
        <v>35</v>
      </c>
      <c r="W2974" s="45" t="str">
        <f>HYPERLINK("http://ictvonline.org/taxonomy/p/taxonomy-history?taxnode_id=201903420","ICTVonline=201903420")</f>
        <v>ICTVonline=201903420</v>
      </c>
      <c r="AA2974" s="1">
        <v>201900000</v>
      </c>
      <c r="AB2974" s="1">
        <v>35</v>
      </c>
    </row>
    <row r="2975" spans="1:28" x14ac:dyDescent="0.2">
      <c r="A2975" s="1">
        <v>7811</v>
      </c>
      <c r="B2975" s="1" t="s">
        <v>10590</v>
      </c>
      <c r="D2975" s="1" t="s">
        <v>10685</v>
      </c>
      <c r="F2975" s="1" t="s">
        <v>11077</v>
      </c>
      <c r="H2975" s="1" t="s">
        <v>11235</v>
      </c>
      <c r="J2975" s="1" t="s">
        <v>11236</v>
      </c>
      <c r="L2975" s="1" t="s">
        <v>2078</v>
      </c>
      <c r="N2975" s="1" t="s">
        <v>2079</v>
      </c>
      <c r="P2975" s="1" t="s">
        <v>2435</v>
      </c>
      <c r="Q2975" s="3">
        <v>0</v>
      </c>
      <c r="R2975" s="23" t="s">
        <v>10605</v>
      </c>
      <c r="S2975" s="23" t="s">
        <v>6844</v>
      </c>
      <c r="T2975" s="23" t="s">
        <v>4866</v>
      </c>
      <c r="U2975" s="3">
        <v>35</v>
      </c>
      <c r="W2975" s="45" t="str">
        <f>HYPERLINK("http://ictvonline.org/taxonomy/p/taxonomy-history?taxnode_id=201903421","ICTVonline=201903421")</f>
        <v>ICTVonline=201903421</v>
      </c>
      <c r="AA2975" s="1">
        <v>201900000</v>
      </c>
      <c r="AB2975" s="1">
        <v>35</v>
      </c>
    </row>
    <row r="2976" spans="1:28" x14ac:dyDescent="0.2">
      <c r="A2976" s="1">
        <v>7813</v>
      </c>
      <c r="B2976" s="1" t="s">
        <v>10590</v>
      </c>
      <c r="D2976" s="1" t="s">
        <v>10685</v>
      </c>
      <c r="F2976" s="1" t="s">
        <v>11077</v>
      </c>
      <c r="H2976" s="1" t="s">
        <v>11235</v>
      </c>
      <c r="J2976" s="1" t="s">
        <v>11236</v>
      </c>
      <c r="L2976" s="1" t="s">
        <v>2078</v>
      </c>
      <c r="N2976" s="1" t="s">
        <v>2079</v>
      </c>
      <c r="P2976" s="1" t="s">
        <v>2436</v>
      </c>
      <c r="Q2976" s="3">
        <v>0</v>
      </c>
      <c r="R2976" s="23" t="s">
        <v>10605</v>
      </c>
      <c r="S2976" s="23" t="s">
        <v>6844</v>
      </c>
      <c r="T2976" s="23" t="s">
        <v>4866</v>
      </c>
      <c r="U2976" s="3">
        <v>35</v>
      </c>
      <c r="W2976" s="45" t="str">
        <f>HYPERLINK("http://ictvonline.org/taxonomy/p/taxonomy-history?taxnode_id=201903422","ICTVonline=201903422")</f>
        <v>ICTVonline=201903422</v>
      </c>
      <c r="AA2976" s="1">
        <v>201900000</v>
      </c>
      <c r="AB2976" s="1">
        <v>35</v>
      </c>
    </row>
    <row r="2977" spans="1:28" x14ac:dyDescent="0.2">
      <c r="A2977" s="1">
        <v>7815</v>
      </c>
      <c r="B2977" s="1" t="s">
        <v>10590</v>
      </c>
      <c r="D2977" s="1" t="s">
        <v>10685</v>
      </c>
      <c r="F2977" s="1" t="s">
        <v>11077</v>
      </c>
      <c r="H2977" s="1" t="s">
        <v>11235</v>
      </c>
      <c r="J2977" s="1" t="s">
        <v>11236</v>
      </c>
      <c r="L2977" s="1" t="s">
        <v>2078</v>
      </c>
      <c r="N2977" s="1" t="s">
        <v>2079</v>
      </c>
      <c r="P2977" s="1" t="s">
        <v>1517</v>
      </c>
      <c r="Q2977" s="3">
        <v>0</v>
      </c>
      <c r="R2977" s="23" t="s">
        <v>10605</v>
      </c>
      <c r="S2977" s="23" t="s">
        <v>6844</v>
      </c>
      <c r="T2977" s="23" t="s">
        <v>4866</v>
      </c>
      <c r="U2977" s="3">
        <v>35</v>
      </c>
      <c r="W2977" s="45" t="str">
        <f>HYPERLINK("http://ictvonline.org/taxonomy/p/taxonomy-history?taxnode_id=201903423","ICTVonline=201903423")</f>
        <v>ICTVonline=201903423</v>
      </c>
      <c r="AA2977" s="1">
        <v>201900000</v>
      </c>
      <c r="AB2977" s="1">
        <v>35</v>
      </c>
    </row>
    <row r="2978" spans="1:28" x14ac:dyDescent="0.2">
      <c r="A2978" s="1">
        <v>7817</v>
      </c>
      <c r="B2978" s="1" t="s">
        <v>10590</v>
      </c>
      <c r="D2978" s="1" t="s">
        <v>10685</v>
      </c>
      <c r="F2978" s="1" t="s">
        <v>11077</v>
      </c>
      <c r="H2978" s="1" t="s">
        <v>11235</v>
      </c>
      <c r="J2978" s="1" t="s">
        <v>11236</v>
      </c>
      <c r="L2978" s="1" t="s">
        <v>2078</v>
      </c>
      <c r="N2978" s="1" t="s">
        <v>2079</v>
      </c>
      <c r="P2978" s="1" t="s">
        <v>462</v>
      </c>
      <c r="Q2978" s="3">
        <v>0</v>
      </c>
      <c r="R2978" s="23" t="s">
        <v>10605</v>
      </c>
      <c r="S2978" s="23" t="s">
        <v>6844</v>
      </c>
      <c r="T2978" s="23" t="s">
        <v>4866</v>
      </c>
      <c r="U2978" s="3">
        <v>35</v>
      </c>
      <c r="W2978" s="45" t="str">
        <f>HYPERLINK("http://ictvonline.org/taxonomy/p/taxonomy-history?taxnode_id=201903424","ICTVonline=201903424")</f>
        <v>ICTVonline=201903424</v>
      </c>
      <c r="AA2978" s="1">
        <v>201900000</v>
      </c>
      <c r="AB2978" s="1">
        <v>35</v>
      </c>
    </row>
    <row r="2979" spans="1:28" x14ac:dyDescent="0.2">
      <c r="A2979" s="1">
        <v>7819</v>
      </c>
      <c r="B2979" s="1" t="s">
        <v>10590</v>
      </c>
      <c r="D2979" s="1" t="s">
        <v>10685</v>
      </c>
      <c r="F2979" s="1" t="s">
        <v>11077</v>
      </c>
      <c r="H2979" s="1" t="s">
        <v>11235</v>
      </c>
      <c r="J2979" s="1" t="s">
        <v>11236</v>
      </c>
      <c r="L2979" s="1" t="s">
        <v>2078</v>
      </c>
      <c r="N2979" s="1" t="s">
        <v>2079</v>
      </c>
      <c r="P2979" s="1" t="s">
        <v>463</v>
      </c>
      <c r="Q2979" s="3">
        <v>0</v>
      </c>
      <c r="R2979" s="23" t="s">
        <v>10605</v>
      </c>
      <c r="S2979" s="23" t="s">
        <v>6844</v>
      </c>
      <c r="T2979" s="23" t="s">
        <v>4866</v>
      </c>
      <c r="U2979" s="3">
        <v>35</v>
      </c>
      <c r="W2979" s="45" t="str">
        <f>HYPERLINK("http://ictvonline.org/taxonomy/p/taxonomy-history?taxnode_id=201903425","ICTVonline=201903425")</f>
        <v>ICTVonline=201903425</v>
      </c>
      <c r="AA2979" s="1">
        <v>201900000</v>
      </c>
      <c r="AB2979" s="1">
        <v>35</v>
      </c>
    </row>
    <row r="2980" spans="1:28" x14ac:dyDescent="0.2">
      <c r="A2980" s="1">
        <v>7821</v>
      </c>
      <c r="B2980" s="1" t="s">
        <v>10590</v>
      </c>
      <c r="D2980" s="1" t="s">
        <v>10685</v>
      </c>
      <c r="F2980" s="1" t="s">
        <v>11077</v>
      </c>
      <c r="H2980" s="1" t="s">
        <v>11235</v>
      </c>
      <c r="J2980" s="1" t="s">
        <v>11236</v>
      </c>
      <c r="L2980" s="1" t="s">
        <v>2078</v>
      </c>
      <c r="N2980" s="1" t="s">
        <v>2079</v>
      </c>
      <c r="P2980" s="1" t="s">
        <v>2437</v>
      </c>
      <c r="Q2980" s="3">
        <v>0</v>
      </c>
      <c r="R2980" s="23" t="s">
        <v>10605</v>
      </c>
      <c r="S2980" s="23" t="s">
        <v>6844</v>
      </c>
      <c r="T2980" s="23" t="s">
        <v>4866</v>
      </c>
      <c r="U2980" s="3">
        <v>35</v>
      </c>
      <c r="W2980" s="45" t="str">
        <f>HYPERLINK("http://ictvonline.org/taxonomy/p/taxonomy-history?taxnode_id=201903426","ICTVonline=201903426")</f>
        <v>ICTVonline=201903426</v>
      </c>
      <c r="AA2980" s="1">
        <v>201900000</v>
      </c>
      <c r="AB2980" s="1">
        <v>35</v>
      </c>
    </row>
    <row r="2981" spans="1:28" x14ac:dyDescent="0.2">
      <c r="A2981" s="1">
        <v>7823</v>
      </c>
      <c r="B2981" s="1" t="s">
        <v>10590</v>
      </c>
      <c r="D2981" s="1" t="s">
        <v>10685</v>
      </c>
      <c r="F2981" s="1" t="s">
        <v>11077</v>
      </c>
      <c r="H2981" s="1" t="s">
        <v>11235</v>
      </c>
      <c r="J2981" s="1" t="s">
        <v>11236</v>
      </c>
      <c r="L2981" s="1" t="s">
        <v>2078</v>
      </c>
      <c r="N2981" s="1" t="s">
        <v>2079</v>
      </c>
      <c r="P2981" s="1" t="s">
        <v>2438</v>
      </c>
      <c r="Q2981" s="3">
        <v>0</v>
      </c>
      <c r="R2981" s="23" t="s">
        <v>10605</v>
      </c>
      <c r="S2981" s="23" t="s">
        <v>6844</v>
      </c>
      <c r="T2981" s="23" t="s">
        <v>4866</v>
      </c>
      <c r="U2981" s="3">
        <v>35</v>
      </c>
      <c r="W2981" s="45" t="str">
        <f>HYPERLINK("http://ictvonline.org/taxonomy/p/taxonomy-history?taxnode_id=201903427","ICTVonline=201903427")</f>
        <v>ICTVonline=201903427</v>
      </c>
      <c r="AA2981" s="1">
        <v>201900000</v>
      </c>
      <c r="AB2981" s="1">
        <v>35</v>
      </c>
    </row>
    <row r="2982" spans="1:28" x14ac:dyDescent="0.2">
      <c r="A2982" s="1">
        <v>7825</v>
      </c>
      <c r="B2982" s="1" t="s">
        <v>10590</v>
      </c>
      <c r="D2982" s="1" t="s">
        <v>10685</v>
      </c>
      <c r="F2982" s="1" t="s">
        <v>11077</v>
      </c>
      <c r="H2982" s="1" t="s">
        <v>11235</v>
      </c>
      <c r="J2982" s="1" t="s">
        <v>11236</v>
      </c>
      <c r="L2982" s="1" t="s">
        <v>2078</v>
      </c>
      <c r="N2982" s="1" t="s">
        <v>2079</v>
      </c>
      <c r="P2982" s="1" t="s">
        <v>445</v>
      </c>
      <c r="Q2982" s="3">
        <v>0</v>
      </c>
      <c r="R2982" s="23" t="s">
        <v>10605</v>
      </c>
      <c r="S2982" s="23" t="s">
        <v>6844</v>
      </c>
      <c r="T2982" s="23" t="s">
        <v>4866</v>
      </c>
      <c r="U2982" s="3">
        <v>35</v>
      </c>
      <c r="W2982" s="45" t="str">
        <f>HYPERLINK("http://ictvonline.org/taxonomy/p/taxonomy-history?taxnode_id=201903428","ICTVonline=201903428")</f>
        <v>ICTVonline=201903428</v>
      </c>
      <c r="AA2982" s="1">
        <v>201900000</v>
      </c>
      <c r="AB2982" s="1">
        <v>35</v>
      </c>
    </row>
    <row r="2983" spans="1:28" x14ac:dyDescent="0.2">
      <c r="A2983" s="1">
        <v>7827</v>
      </c>
      <c r="B2983" s="1" t="s">
        <v>10590</v>
      </c>
      <c r="D2983" s="1" t="s">
        <v>10685</v>
      </c>
      <c r="F2983" s="1" t="s">
        <v>11077</v>
      </c>
      <c r="H2983" s="1" t="s">
        <v>11235</v>
      </c>
      <c r="J2983" s="1" t="s">
        <v>11236</v>
      </c>
      <c r="L2983" s="1" t="s">
        <v>2078</v>
      </c>
      <c r="N2983" s="1" t="s">
        <v>2079</v>
      </c>
      <c r="P2983" s="1" t="s">
        <v>2439</v>
      </c>
      <c r="Q2983" s="3">
        <v>0</v>
      </c>
      <c r="R2983" s="23" t="s">
        <v>10605</v>
      </c>
      <c r="S2983" s="23" t="s">
        <v>6844</v>
      </c>
      <c r="T2983" s="23" t="s">
        <v>4866</v>
      </c>
      <c r="U2983" s="3">
        <v>35</v>
      </c>
      <c r="W2983" s="45" t="str">
        <f>HYPERLINK("http://ictvonline.org/taxonomy/p/taxonomy-history?taxnode_id=201903429","ICTVonline=201903429")</f>
        <v>ICTVonline=201903429</v>
      </c>
      <c r="AA2983" s="1">
        <v>201900000</v>
      </c>
      <c r="AB2983" s="1">
        <v>35</v>
      </c>
    </row>
    <row r="2984" spans="1:28" x14ac:dyDescent="0.2">
      <c r="A2984" s="1">
        <v>7829</v>
      </c>
      <c r="B2984" s="1" t="s">
        <v>10590</v>
      </c>
      <c r="D2984" s="1" t="s">
        <v>10685</v>
      </c>
      <c r="F2984" s="1" t="s">
        <v>11077</v>
      </c>
      <c r="H2984" s="1" t="s">
        <v>11235</v>
      </c>
      <c r="J2984" s="1" t="s">
        <v>11236</v>
      </c>
      <c r="L2984" s="1" t="s">
        <v>2078</v>
      </c>
      <c r="N2984" s="1" t="s">
        <v>2079</v>
      </c>
      <c r="P2984" s="1" t="s">
        <v>6763</v>
      </c>
      <c r="Q2984" s="3">
        <v>0</v>
      </c>
      <c r="R2984" s="23" t="s">
        <v>10605</v>
      </c>
      <c r="S2984" s="23" t="s">
        <v>6844</v>
      </c>
      <c r="T2984" s="23" t="s">
        <v>4866</v>
      </c>
      <c r="U2984" s="3">
        <v>35</v>
      </c>
      <c r="W2984" s="45" t="str">
        <f>HYPERLINK("http://ictvonline.org/taxonomy/p/taxonomy-history?taxnode_id=201906709","ICTVonline=201906709")</f>
        <v>ICTVonline=201906709</v>
      </c>
      <c r="X2984" s="1" t="s">
        <v>11439</v>
      </c>
      <c r="Y2984" s="1" t="s">
        <v>11440</v>
      </c>
      <c r="Z2984" s="1" t="s">
        <v>11441</v>
      </c>
      <c r="AA2984" s="1">
        <v>201900000</v>
      </c>
      <c r="AB2984" s="1">
        <v>35</v>
      </c>
    </row>
    <row r="2985" spans="1:28" x14ac:dyDescent="0.2">
      <c r="A2985" s="1">
        <v>7831</v>
      </c>
      <c r="B2985" s="1" t="s">
        <v>10590</v>
      </c>
      <c r="D2985" s="1" t="s">
        <v>10685</v>
      </c>
      <c r="F2985" s="1" t="s">
        <v>11077</v>
      </c>
      <c r="H2985" s="1" t="s">
        <v>11235</v>
      </c>
      <c r="J2985" s="1" t="s">
        <v>11236</v>
      </c>
      <c r="L2985" s="1" t="s">
        <v>2078</v>
      </c>
      <c r="N2985" s="1" t="s">
        <v>2079</v>
      </c>
      <c r="P2985" s="1" t="s">
        <v>300</v>
      </c>
      <c r="Q2985" s="3">
        <v>0</v>
      </c>
      <c r="R2985" s="23" t="s">
        <v>10605</v>
      </c>
      <c r="S2985" s="23" t="s">
        <v>6844</v>
      </c>
      <c r="T2985" s="23" t="s">
        <v>4866</v>
      </c>
      <c r="U2985" s="3">
        <v>35</v>
      </c>
      <c r="W2985" s="45" t="str">
        <f>HYPERLINK("http://ictvonline.org/taxonomy/p/taxonomy-history?taxnode_id=201903430","ICTVonline=201903430")</f>
        <v>ICTVonline=201903430</v>
      </c>
      <c r="AA2985" s="1">
        <v>201900000</v>
      </c>
      <c r="AB2985" s="1">
        <v>35</v>
      </c>
    </row>
    <row r="2986" spans="1:28" x14ac:dyDescent="0.2">
      <c r="A2986" s="1">
        <v>7833</v>
      </c>
      <c r="B2986" s="1" t="s">
        <v>10590</v>
      </c>
      <c r="D2986" s="1" t="s">
        <v>10685</v>
      </c>
      <c r="F2986" s="1" t="s">
        <v>11077</v>
      </c>
      <c r="H2986" s="1" t="s">
        <v>11235</v>
      </c>
      <c r="J2986" s="1" t="s">
        <v>11236</v>
      </c>
      <c r="L2986" s="1" t="s">
        <v>2078</v>
      </c>
      <c r="N2986" s="1" t="s">
        <v>2079</v>
      </c>
      <c r="P2986" s="1" t="s">
        <v>304</v>
      </c>
      <c r="Q2986" s="3">
        <v>0</v>
      </c>
      <c r="R2986" s="23" t="s">
        <v>10605</v>
      </c>
      <c r="S2986" s="23" t="s">
        <v>6844</v>
      </c>
      <c r="T2986" s="23" t="s">
        <v>4866</v>
      </c>
      <c r="U2986" s="3">
        <v>35</v>
      </c>
      <c r="W2986" s="45" t="str">
        <f>HYPERLINK("http://ictvonline.org/taxonomy/p/taxonomy-history?taxnode_id=201903431","ICTVonline=201903431")</f>
        <v>ICTVonline=201903431</v>
      </c>
      <c r="AA2986" s="1">
        <v>201900000</v>
      </c>
      <c r="AB2986" s="1">
        <v>35</v>
      </c>
    </row>
    <row r="2987" spans="1:28" x14ac:dyDescent="0.2">
      <c r="A2987" s="1">
        <v>7835</v>
      </c>
      <c r="B2987" s="1" t="s">
        <v>10590</v>
      </c>
      <c r="D2987" s="1" t="s">
        <v>10685</v>
      </c>
      <c r="F2987" s="1" t="s">
        <v>11077</v>
      </c>
      <c r="H2987" s="1" t="s">
        <v>11235</v>
      </c>
      <c r="J2987" s="1" t="s">
        <v>11236</v>
      </c>
      <c r="L2987" s="1" t="s">
        <v>2078</v>
      </c>
      <c r="N2987" s="1" t="s">
        <v>2079</v>
      </c>
      <c r="P2987" s="1" t="s">
        <v>858</v>
      </c>
      <c r="Q2987" s="3">
        <v>0</v>
      </c>
      <c r="R2987" s="23" t="s">
        <v>10605</v>
      </c>
      <c r="S2987" s="23" t="s">
        <v>6844</v>
      </c>
      <c r="T2987" s="23" t="s">
        <v>4866</v>
      </c>
      <c r="U2987" s="3">
        <v>35</v>
      </c>
      <c r="W2987" s="45" t="str">
        <f>HYPERLINK("http://ictvonline.org/taxonomy/p/taxonomy-history?taxnode_id=201903432","ICTVonline=201903432")</f>
        <v>ICTVonline=201903432</v>
      </c>
      <c r="AA2987" s="1">
        <v>201900000</v>
      </c>
      <c r="AB2987" s="1">
        <v>35</v>
      </c>
    </row>
    <row r="2988" spans="1:28" x14ac:dyDescent="0.2">
      <c r="A2988" s="1">
        <v>7837</v>
      </c>
      <c r="B2988" s="1" t="s">
        <v>10590</v>
      </c>
      <c r="D2988" s="1" t="s">
        <v>10685</v>
      </c>
      <c r="F2988" s="1" t="s">
        <v>11077</v>
      </c>
      <c r="H2988" s="1" t="s">
        <v>11235</v>
      </c>
      <c r="J2988" s="1" t="s">
        <v>11236</v>
      </c>
      <c r="L2988" s="1" t="s">
        <v>2078</v>
      </c>
      <c r="N2988" s="1" t="s">
        <v>2079</v>
      </c>
      <c r="P2988" s="1" t="s">
        <v>6764</v>
      </c>
      <c r="Q2988" s="3">
        <v>0</v>
      </c>
      <c r="R2988" s="23" t="s">
        <v>10605</v>
      </c>
      <c r="S2988" s="23" t="s">
        <v>6844</v>
      </c>
      <c r="T2988" s="23" t="s">
        <v>4866</v>
      </c>
      <c r="U2988" s="3">
        <v>35</v>
      </c>
      <c r="W2988" s="45" t="str">
        <f>HYPERLINK("http://ictvonline.org/taxonomy/p/taxonomy-history?taxnode_id=201906713","ICTVonline=201906713")</f>
        <v>ICTVonline=201906713</v>
      </c>
      <c r="X2988" s="1" t="s">
        <v>11442</v>
      </c>
      <c r="Y2988" s="1" t="s">
        <v>11443</v>
      </c>
      <c r="Z2988" s="1" t="s">
        <v>11444</v>
      </c>
      <c r="AA2988" s="1">
        <v>201900000</v>
      </c>
      <c r="AB2988" s="1">
        <v>35</v>
      </c>
    </row>
    <row r="2989" spans="1:28" x14ac:dyDescent="0.2">
      <c r="A2989" s="1">
        <v>7839</v>
      </c>
      <c r="B2989" s="1" t="s">
        <v>10590</v>
      </c>
      <c r="D2989" s="1" t="s">
        <v>10685</v>
      </c>
      <c r="F2989" s="1" t="s">
        <v>11077</v>
      </c>
      <c r="H2989" s="1" t="s">
        <v>11235</v>
      </c>
      <c r="J2989" s="1" t="s">
        <v>11236</v>
      </c>
      <c r="L2989" s="1" t="s">
        <v>2078</v>
      </c>
      <c r="N2989" s="1" t="s">
        <v>2079</v>
      </c>
      <c r="P2989" s="1" t="s">
        <v>6765</v>
      </c>
      <c r="Q2989" s="3">
        <v>0</v>
      </c>
      <c r="R2989" s="23" t="s">
        <v>10605</v>
      </c>
      <c r="S2989" s="23" t="s">
        <v>6844</v>
      </c>
      <c r="T2989" s="23" t="s">
        <v>4866</v>
      </c>
      <c r="U2989" s="3">
        <v>35</v>
      </c>
      <c r="W2989" s="45" t="str">
        <f>HYPERLINK("http://ictvonline.org/taxonomy/p/taxonomy-history?taxnode_id=201906714","ICTVonline=201906714")</f>
        <v>ICTVonline=201906714</v>
      </c>
      <c r="X2989" s="1" t="s">
        <v>11445</v>
      </c>
      <c r="Y2989" s="1" t="s">
        <v>11446</v>
      </c>
      <c r="Z2989" s="1" t="s">
        <v>11447</v>
      </c>
      <c r="AA2989" s="1">
        <v>201900000</v>
      </c>
      <c r="AB2989" s="1">
        <v>35</v>
      </c>
    </row>
    <row r="2990" spans="1:28" x14ac:dyDescent="0.2">
      <c r="A2990" s="1">
        <v>7841</v>
      </c>
      <c r="B2990" s="1" t="s">
        <v>10590</v>
      </c>
      <c r="D2990" s="1" t="s">
        <v>10685</v>
      </c>
      <c r="F2990" s="1" t="s">
        <v>11077</v>
      </c>
      <c r="H2990" s="1" t="s">
        <v>11235</v>
      </c>
      <c r="J2990" s="1" t="s">
        <v>11236</v>
      </c>
      <c r="L2990" s="1" t="s">
        <v>2078</v>
      </c>
      <c r="N2990" s="1" t="s">
        <v>2079</v>
      </c>
      <c r="P2990" s="1" t="s">
        <v>1518</v>
      </c>
      <c r="Q2990" s="3">
        <v>0</v>
      </c>
      <c r="R2990" s="23" t="s">
        <v>10605</v>
      </c>
      <c r="S2990" s="23" t="s">
        <v>6844</v>
      </c>
      <c r="T2990" s="23" t="s">
        <v>4866</v>
      </c>
      <c r="U2990" s="3">
        <v>35</v>
      </c>
      <c r="W2990" s="45" t="str">
        <f>HYPERLINK("http://ictvonline.org/taxonomy/p/taxonomy-history?taxnode_id=201903433","ICTVonline=201903433")</f>
        <v>ICTVonline=201903433</v>
      </c>
      <c r="AA2990" s="1">
        <v>201900000</v>
      </c>
      <c r="AB2990" s="1">
        <v>35</v>
      </c>
    </row>
    <row r="2991" spans="1:28" x14ac:dyDescent="0.2">
      <c r="A2991" s="1">
        <v>7843</v>
      </c>
      <c r="B2991" s="1" t="s">
        <v>10590</v>
      </c>
      <c r="D2991" s="1" t="s">
        <v>10685</v>
      </c>
      <c r="F2991" s="1" t="s">
        <v>11077</v>
      </c>
      <c r="H2991" s="1" t="s">
        <v>11235</v>
      </c>
      <c r="J2991" s="1" t="s">
        <v>11236</v>
      </c>
      <c r="L2991" s="1" t="s">
        <v>2078</v>
      </c>
      <c r="N2991" s="1" t="s">
        <v>2079</v>
      </c>
      <c r="P2991" s="1" t="s">
        <v>1519</v>
      </c>
      <c r="Q2991" s="3">
        <v>0</v>
      </c>
      <c r="R2991" s="23" t="s">
        <v>10605</v>
      </c>
      <c r="S2991" s="23" t="s">
        <v>6844</v>
      </c>
      <c r="T2991" s="23" t="s">
        <v>4866</v>
      </c>
      <c r="U2991" s="3">
        <v>35</v>
      </c>
      <c r="W2991" s="45" t="str">
        <f>HYPERLINK("http://ictvonline.org/taxonomy/p/taxonomy-history?taxnode_id=201903434","ICTVonline=201903434")</f>
        <v>ICTVonline=201903434</v>
      </c>
      <c r="AA2991" s="1">
        <v>201900000</v>
      </c>
      <c r="AB2991" s="1">
        <v>35</v>
      </c>
    </row>
    <row r="2992" spans="1:28" x14ac:dyDescent="0.2">
      <c r="A2992" s="1">
        <v>7845</v>
      </c>
      <c r="B2992" s="1" t="s">
        <v>10590</v>
      </c>
      <c r="D2992" s="1" t="s">
        <v>10685</v>
      </c>
      <c r="F2992" s="1" t="s">
        <v>11077</v>
      </c>
      <c r="H2992" s="1" t="s">
        <v>11235</v>
      </c>
      <c r="J2992" s="1" t="s">
        <v>11236</v>
      </c>
      <c r="L2992" s="1" t="s">
        <v>2078</v>
      </c>
      <c r="N2992" s="1" t="s">
        <v>2079</v>
      </c>
      <c r="P2992" s="1" t="s">
        <v>3759</v>
      </c>
      <c r="Q2992" s="3">
        <v>0</v>
      </c>
      <c r="R2992" s="23" t="s">
        <v>10605</v>
      </c>
      <c r="S2992" s="23" t="s">
        <v>6844</v>
      </c>
      <c r="T2992" s="23" t="s">
        <v>4866</v>
      </c>
      <c r="U2992" s="3">
        <v>35</v>
      </c>
      <c r="W2992" s="45" t="str">
        <f>HYPERLINK("http://ictvonline.org/taxonomy/p/taxonomy-history?taxnode_id=201903435","ICTVonline=201903435")</f>
        <v>ICTVonline=201903435</v>
      </c>
      <c r="Y2992" s="1" t="s">
        <v>11448</v>
      </c>
      <c r="Z2992" s="1" t="s">
        <v>11449</v>
      </c>
      <c r="AA2992" s="1">
        <v>201900000</v>
      </c>
      <c r="AB2992" s="1">
        <v>35</v>
      </c>
    </row>
    <row r="2993" spans="1:28" x14ac:dyDescent="0.2">
      <c r="A2993" s="1">
        <v>7847</v>
      </c>
      <c r="B2993" s="1" t="s">
        <v>10590</v>
      </c>
      <c r="D2993" s="1" t="s">
        <v>10685</v>
      </c>
      <c r="F2993" s="1" t="s">
        <v>11077</v>
      </c>
      <c r="H2993" s="1" t="s">
        <v>11235</v>
      </c>
      <c r="J2993" s="1" t="s">
        <v>11236</v>
      </c>
      <c r="L2993" s="1" t="s">
        <v>2078</v>
      </c>
      <c r="N2993" s="1" t="s">
        <v>2079</v>
      </c>
      <c r="P2993" s="1" t="s">
        <v>1520</v>
      </c>
      <c r="Q2993" s="3">
        <v>0</v>
      </c>
      <c r="R2993" s="23" t="s">
        <v>10605</v>
      </c>
      <c r="S2993" s="23" t="s">
        <v>6844</v>
      </c>
      <c r="T2993" s="23" t="s">
        <v>4866</v>
      </c>
      <c r="U2993" s="3">
        <v>35</v>
      </c>
      <c r="W2993" s="45" t="str">
        <f>HYPERLINK("http://ictvonline.org/taxonomy/p/taxonomy-history?taxnode_id=201903436","ICTVonline=201903436")</f>
        <v>ICTVonline=201903436</v>
      </c>
      <c r="AA2993" s="1">
        <v>201900000</v>
      </c>
      <c r="AB2993" s="1">
        <v>35</v>
      </c>
    </row>
    <row r="2994" spans="1:28" x14ac:dyDescent="0.2">
      <c r="A2994" s="1">
        <v>7849</v>
      </c>
      <c r="B2994" s="1" t="s">
        <v>10590</v>
      </c>
      <c r="D2994" s="1" t="s">
        <v>10685</v>
      </c>
      <c r="F2994" s="1" t="s">
        <v>11077</v>
      </c>
      <c r="H2994" s="1" t="s">
        <v>11235</v>
      </c>
      <c r="J2994" s="1" t="s">
        <v>11236</v>
      </c>
      <c r="L2994" s="1" t="s">
        <v>2078</v>
      </c>
      <c r="N2994" s="1" t="s">
        <v>2079</v>
      </c>
      <c r="P2994" s="1" t="s">
        <v>11450</v>
      </c>
      <c r="Q2994" s="3">
        <v>0</v>
      </c>
      <c r="R2994" s="23" t="s">
        <v>10596</v>
      </c>
      <c r="S2994" s="23" t="s">
        <v>6849</v>
      </c>
      <c r="T2994" s="23" t="s">
        <v>4864</v>
      </c>
      <c r="U2994" s="3">
        <v>35</v>
      </c>
      <c r="V2994" s="3" t="s">
        <v>11246</v>
      </c>
      <c r="W2994" s="45" t="str">
        <f>HYPERLINK("http://ictvonline.org/taxonomy/p/taxonomy-history?taxnode_id=201907531","ICTVonline=201907531")</f>
        <v>ICTVonline=201907531</v>
      </c>
      <c r="X2994" s="1" t="s">
        <v>11451</v>
      </c>
      <c r="Y2994" s="1" t="s">
        <v>11452</v>
      </c>
      <c r="Z2994" s="1" t="s">
        <v>11453</v>
      </c>
      <c r="AA2994" s="1">
        <v>201900000</v>
      </c>
      <c r="AB2994" s="1">
        <v>35</v>
      </c>
    </row>
    <row r="2995" spans="1:28" x14ac:dyDescent="0.2">
      <c r="A2995" s="1">
        <v>7851</v>
      </c>
      <c r="B2995" s="1" t="s">
        <v>10590</v>
      </c>
      <c r="D2995" s="1" t="s">
        <v>10685</v>
      </c>
      <c r="F2995" s="1" t="s">
        <v>11077</v>
      </c>
      <c r="H2995" s="1" t="s">
        <v>11235</v>
      </c>
      <c r="J2995" s="1" t="s">
        <v>11236</v>
      </c>
      <c r="L2995" s="1" t="s">
        <v>2078</v>
      </c>
      <c r="N2995" s="1" t="s">
        <v>2079</v>
      </c>
      <c r="P2995" s="1" t="s">
        <v>1521</v>
      </c>
      <c r="Q2995" s="3">
        <v>0</v>
      </c>
      <c r="R2995" s="23" t="s">
        <v>10605</v>
      </c>
      <c r="S2995" s="23" t="s">
        <v>6844</v>
      </c>
      <c r="T2995" s="23" t="s">
        <v>4866</v>
      </c>
      <c r="U2995" s="3">
        <v>35</v>
      </c>
      <c r="W2995" s="45" t="str">
        <f>HYPERLINK("http://ictvonline.org/taxonomy/p/taxonomy-history?taxnode_id=201903437","ICTVonline=201903437")</f>
        <v>ICTVonline=201903437</v>
      </c>
      <c r="AA2995" s="1">
        <v>201900000</v>
      </c>
      <c r="AB2995" s="1">
        <v>35</v>
      </c>
    </row>
    <row r="2996" spans="1:28" x14ac:dyDescent="0.2">
      <c r="A2996" s="1">
        <v>7853</v>
      </c>
      <c r="B2996" s="1" t="s">
        <v>10590</v>
      </c>
      <c r="D2996" s="1" t="s">
        <v>10685</v>
      </c>
      <c r="F2996" s="1" t="s">
        <v>11077</v>
      </c>
      <c r="H2996" s="1" t="s">
        <v>11235</v>
      </c>
      <c r="J2996" s="1" t="s">
        <v>11236</v>
      </c>
      <c r="L2996" s="1" t="s">
        <v>2078</v>
      </c>
      <c r="N2996" s="1" t="s">
        <v>2079</v>
      </c>
      <c r="P2996" s="1" t="s">
        <v>1522</v>
      </c>
      <c r="Q2996" s="3">
        <v>0</v>
      </c>
      <c r="R2996" s="23" t="s">
        <v>10605</v>
      </c>
      <c r="S2996" s="23" t="s">
        <v>6844</v>
      </c>
      <c r="T2996" s="23" t="s">
        <v>4866</v>
      </c>
      <c r="U2996" s="3">
        <v>35</v>
      </c>
      <c r="W2996" s="45" t="str">
        <f>HYPERLINK("http://ictvonline.org/taxonomy/p/taxonomy-history?taxnode_id=201903438","ICTVonline=201903438")</f>
        <v>ICTVonline=201903438</v>
      </c>
      <c r="AA2996" s="1">
        <v>201900000</v>
      </c>
      <c r="AB2996" s="1">
        <v>35</v>
      </c>
    </row>
    <row r="2997" spans="1:28" x14ac:dyDescent="0.2">
      <c r="A2997" s="1">
        <v>7855</v>
      </c>
      <c r="B2997" s="1" t="s">
        <v>10590</v>
      </c>
      <c r="D2997" s="1" t="s">
        <v>10685</v>
      </c>
      <c r="F2997" s="1" t="s">
        <v>11077</v>
      </c>
      <c r="H2997" s="1" t="s">
        <v>11235</v>
      </c>
      <c r="J2997" s="1" t="s">
        <v>11236</v>
      </c>
      <c r="L2997" s="1" t="s">
        <v>2078</v>
      </c>
      <c r="N2997" s="1" t="s">
        <v>2079</v>
      </c>
      <c r="P2997" s="1" t="s">
        <v>2440</v>
      </c>
      <c r="Q2997" s="3">
        <v>0</v>
      </c>
      <c r="R2997" s="23" t="s">
        <v>10605</v>
      </c>
      <c r="S2997" s="23" t="s">
        <v>6844</v>
      </c>
      <c r="T2997" s="23" t="s">
        <v>4866</v>
      </c>
      <c r="U2997" s="3">
        <v>35</v>
      </c>
      <c r="W2997" s="45" t="str">
        <f>HYPERLINK("http://ictvonline.org/taxonomy/p/taxonomy-history?taxnode_id=201903439","ICTVonline=201903439")</f>
        <v>ICTVonline=201903439</v>
      </c>
      <c r="AA2997" s="1">
        <v>201900000</v>
      </c>
      <c r="AB2997" s="1">
        <v>35</v>
      </c>
    </row>
    <row r="2998" spans="1:28" x14ac:dyDescent="0.2">
      <c r="A2998" s="1">
        <v>7857</v>
      </c>
      <c r="B2998" s="1" t="s">
        <v>10590</v>
      </c>
      <c r="D2998" s="1" t="s">
        <v>10685</v>
      </c>
      <c r="F2998" s="1" t="s">
        <v>11077</v>
      </c>
      <c r="H2998" s="1" t="s">
        <v>11235</v>
      </c>
      <c r="J2998" s="1" t="s">
        <v>11236</v>
      </c>
      <c r="L2998" s="1" t="s">
        <v>2078</v>
      </c>
      <c r="N2998" s="1" t="s">
        <v>2079</v>
      </c>
      <c r="P2998" s="1" t="s">
        <v>2441</v>
      </c>
      <c r="Q2998" s="3">
        <v>0</v>
      </c>
      <c r="R2998" s="23" t="s">
        <v>10605</v>
      </c>
      <c r="S2998" s="23" t="s">
        <v>6844</v>
      </c>
      <c r="T2998" s="23" t="s">
        <v>4866</v>
      </c>
      <c r="U2998" s="3">
        <v>35</v>
      </c>
      <c r="W2998" s="45" t="str">
        <f>HYPERLINK("http://ictvonline.org/taxonomy/p/taxonomy-history?taxnode_id=201903440","ICTVonline=201903440")</f>
        <v>ICTVonline=201903440</v>
      </c>
      <c r="AA2998" s="1">
        <v>201900000</v>
      </c>
      <c r="AB2998" s="1">
        <v>35</v>
      </c>
    </row>
    <row r="2999" spans="1:28" x14ac:dyDescent="0.2">
      <c r="A2999" s="1">
        <v>7859</v>
      </c>
      <c r="B2999" s="1" t="s">
        <v>10590</v>
      </c>
      <c r="D2999" s="1" t="s">
        <v>10685</v>
      </c>
      <c r="F2999" s="1" t="s">
        <v>11077</v>
      </c>
      <c r="H2999" s="1" t="s">
        <v>11235</v>
      </c>
      <c r="J2999" s="1" t="s">
        <v>11236</v>
      </c>
      <c r="L2999" s="1" t="s">
        <v>2078</v>
      </c>
      <c r="N2999" s="1" t="s">
        <v>2079</v>
      </c>
      <c r="P2999" s="1" t="s">
        <v>2442</v>
      </c>
      <c r="Q2999" s="3">
        <v>0</v>
      </c>
      <c r="R2999" s="23" t="s">
        <v>10605</v>
      </c>
      <c r="S2999" s="23" t="s">
        <v>6844</v>
      </c>
      <c r="T2999" s="23" t="s">
        <v>4866</v>
      </c>
      <c r="U2999" s="3">
        <v>35</v>
      </c>
      <c r="W2999" s="45" t="str">
        <f>HYPERLINK("http://ictvonline.org/taxonomy/p/taxonomy-history?taxnode_id=201903441","ICTVonline=201903441")</f>
        <v>ICTVonline=201903441</v>
      </c>
      <c r="AA2999" s="1">
        <v>201900000</v>
      </c>
      <c r="AB2999" s="1">
        <v>35</v>
      </c>
    </row>
    <row r="3000" spans="1:28" x14ac:dyDescent="0.2">
      <c r="A3000" s="1">
        <v>7861</v>
      </c>
      <c r="B3000" s="1" t="s">
        <v>10590</v>
      </c>
      <c r="D3000" s="1" t="s">
        <v>10685</v>
      </c>
      <c r="F3000" s="1" t="s">
        <v>11077</v>
      </c>
      <c r="H3000" s="1" t="s">
        <v>11235</v>
      </c>
      <c r="J3000" s="1" t="s">
        <v>11236</v>
      </c>
      <c r="L3000" s="1" t="s">
        <v>2078</v>
      </c>
      <c r="N3000" s="1" t="s">
        <v>2079</v>
      </c>
      <c r="P3000" s="1" t="s">
        <v>1523</v>
      </c>
      <c r="Q3000" s="3">
        <v>0</v>
      </c>
      <c r="R3000" s="23" t="s">
        <v>10605</v>
      </c>
      <c r="S3000" s="23" t="s">
        <v>6844</v>
      </c>
      <c r="T3000" s="23" t="s">
        <v>4866</v>
      </c>
      <c r="U3000" s="3">
        <v>35</v>
      </c>
      <c r="W3000" s="45" t="str">
        <f>HYPERLINK("http://ictvonline.org/taxonomy/p/taxonomy-history?taxnode_id=201903442","ICTVonline=201903442")</f>
        <v>ICTVonline=201903442</v>
      </c>
      <c r="AA3000" s="1">
        <v>201900000</v>
      </c>
      <c r="AB3000" s="1">
        <v>35</v>
      </c>
    </row>
    <row r="3001" spans="1:28" x14ac:dyDescent="0.2">
      <c r="A3001" s="1">
        <v>7863</v>
      </c>
      <c r="B3001" s="1" t="s">
        <v>10590</v>
      </c>
      <c r="D3001" s="1" t="s">
        <v>10685</v>
      </c>
      <c r="F3001" s="1" t="s">
        <v>11077</v>
      </c>
      <c r="H3001" s="1" t="s">
        <v>11235</v>
      </c>
      <c r="J3001" s="1" t="s">
        <v>11236</v>
      </c>
      <c r="L3001" s="1" t="s">
        <v>2078</v>
      </c>
      <c r="N3001" s="1" t="s">
        <v>2079</v>
      </c>
      <c r="P3001" s="1" t="s">
        <v>3760</v>
      </c>
      <c r="Q3001" s="3">
        <v>0</v>
      </c>
      <c r="R3001" s="23" t="s">
        <v>10605</v>
      </c>
      <c r="S3001" s="23" t="s">
        <v>6844</v>
      </c>
      <c r="T3001" s="23" t="s">
        <v>4866</v>
      </c>
      <c r="U3001" s="3">
        <v>35</v>
      </c>
      <c r="W3001" s="45" t="str">
        <f>HYPERLINK("http://ictvonline.org/taxonomy/p/taxonomy-history?taxnode_id=201903443","ICTVonline=201903443")</f>
        <v>ICTVonline=201903443</v>
      </c>
      <c r="Y3001" s="1" t="s">
        <v>11454</v>
      </c>
      <c r="Z3001" s="1" t="s">
        <v>11455</v>
      </c>
      <c r="AA3001" s="1">
        <v>201900000</v>
      </c>
      <c r="AB3001" s="1">
        <v>35</v>
      </c>
    </row>
    <row r="3002" spans="1:28" x14ac:dyDescent="0.2">
      <c r="A3002" s="1">
        <v>7865</v>
      </c>
      <c r="B3002" s="1" t="s">
        <v>10590</v>
      </c>
      <c r="D3002" s="1" t="s">
        <v>10685</v>
      </c>
      <c r="F3002" s="1" t="s">
        <v>11077</v>
      </c>
      <c r="H3002" s="1" t="s">
        <v>11235</v>
      </c>
      <c r="J3002" s="1" t="s">
        <v>11236</v>
      </c>
      <c r="L3002" s="1" t="s">
        <v>2078</v>
      </c>
      <c r="N3002" s="1" t="s">
        <v>2079</v>
      </c>
      <c r="P3002" s="1" t="s">
        <v>3761</v>
      </c>
      <c r="Q3002" s="3">
        <v>0</v>
      </c>
      <c r="R3002" s="23" t="s">
        <v>10605</v>
      </c>
      <c r="S3002" s="23" t="s">
        <v>6844</v>
      </c>
      <c r="T3002" s="23" t="s">
        <v>4866</v>
      </c>
      <c r="U3002" s="3">
        <v>35</v>
      </c>
      <c r="W3002" s="45" t="str">
        <f>HYPERLINK("http://ictvonline.org/taxonomy/p/taxonomy-history?taxnode_id=201903444","ICTVonline=201903444")</f>
        <v>ICTVonline=201903444</v>
      </c>
      <c r="Y3002" s="1" t="s">
        <v>11456</v>
      </c>
      <c r="Z3002" s="1" t="s">
        <v>11457</v>
      </c>
      <c r="AA3002" s="1">
        <v>201900000</v>
      </c>
      <c r="AB3002" s="1">
        <v>35</v>
      </c>
    </row>
    <row r="3003" spans="1:28" x14ac:dyDescent="0.2">
      <c r="A3003" s="1">
        <v>7867</v>
      </c>
      <c r="B3003" s="1" t="s">
        <v>10590</v>
      </c>
      <c r="D3003" s="1" t="s">
        <v>10685</v>
      </c>
      <c r="F3003" s="1" t="s">
        <v>11077</v>
      </c>
      <c r="H3003" s="1" t="s">
        <v>11235</v>
      </c>
      <c r="J3003" s="1" t="s">
        <v>11236</v>
      </c>
      <c r="L3003" s="1" t="s">
        <v>2078</v>
      </c>
      <c r="N3003" s="1" t="s">
        <v>2079</v>
      </c>
      <c r="P3003" s="1" t="s">
        <v>6766</v>
      </c>
      <c r="Q3003" s="3">
        <v>0</v>
      </c>
      <c r="R3003" s="23" t="s">
        <v>10605</v>
      </c>
      <c r="S3003" s="23" t="s">
        <v>6844</v>
      </c>
      <c r="T3003" s="23" t="s">
        <v>4866</v>
      </c>
      <c r="U3003" s="3">
        <v>35</v>
      </c>
      <c r="W3003" s="45" t="str">
        <f>HYPERLINK("http://ictvonline.org/taxonomy/p/taxonomy-history?taxnode_id=201906711","ICTVonline=201906711")</f>
        <v>ICTVonline=201906711</v>
      </c>
      <c r="X3003" s="1" t="s">
        <v>11458</v>
      </c>
      <c r="Y3003" s="1" t="s">
        <v>11459</v>
      </c>
      <c r="Z3003" s="1" t="s">
        <v>11460</v>
      </c>
      <c r="AA3003" s="1">
        <v>201900000</v>
      </c>
      <c r="AB3003" s="1">
        <v>35</v>
      </c>
    </row>
    <row r="3004" spans="1:28" x14ac:dyDescent="0.2">
      <c r="A3004" s="1">
        <v>7869</v>
      </c>
      <c r="B3004" s="1" t="s">
        <v>10590</v>
      </c>
      <c r="D3004" s="1" t="s">
        <v>10685</v>
      </c>
      <c r="F3004" s="1" t="s">
        <v>11077</v>
      </c>
      <c r="H3004" s="1" t="s">
        <v>11235</v>
      </c>
      <c r="J3004" s="1" t="s">
        <v>11236</v>
      </c>
      <c r="L3004" s="1" t="s">
        <v>2078</v>
      </c>
      <c r="N3004" s="1" t="s">
        <v>2079</v>
      </c>
      <c r="P3004" s="1" t="s">
        <v>2443</v>
      </c>
      <c r="Q3004" s="3">
        <v>0</v>
      </c>
      <c r="R3004" s="23" t="s">
        <v>10605</v>
      </c>
      <c r="S3004" s="23" t="s">
        <v>6844</v>
      </c>
      <c r="T3004" s="23" t="s">
        <v>4866</v>
      </c>
      <c r="U3004" s="3">
        <v>35</v>
      </c>
      <c r="W3004" s="45" t="str">
        <f>HYPERLINK("http://ictvonline.org/taxonomy/p/taxonomy-history?taxnode_id=201903445","ICTVonline=201903445")</f>
        <v>ICTVonline=201903445</v>
      </c>
      <c r="AA3004" s="1">
        <v>201900000</v>
      </c>
      <c r="AB3004" s="1">
        <v>35</v>
      </c>
    </row>
    <row r="3005" spans="1:28" x14ac:dyDescent="0.2">
      <c r="A3005" s="1">
        <v>7871</v>
      </c>
      <c r="B3005" s="1" t="s">
        <v>10590</v>
      </c>
      <c r="D3005" s="1" t="s">
        <v>10685</v>
      </c>
      <c r="F3005" s="1" t="s">
        <v>11077</v>
      </c>
      <c r="H3005" s="1" t="s">
        <v>11235</v>
      </c>
      <c r="J3005" s="1" t="s">
        <v>11236</v>
      </c>
      <c r="L3005" s="1" t="s">
        <v>2078</v>
      </c>
      <c r="N3005" s="1" t="s">
        <v>2079</v>
      </c>
      <c r="P3005" s="1" t="s">
        <v>3762</v>
      </c>
      <c r="Q3005" s="3">
        <v>0</v>
      </c>
      <c r="R3005" s="23" t="s">
        <v>10605</v>
      </c>
      <c r="S3005" s="23" t="s">
        <v>6844</v>
      </c>
      <c r="T3005" s="23" t="s">
        <v>4866</v>
      </c>
      <c r="U3005" s="3">
        <v>35</v>
      </c>
      <c r="W3005" s="45" t="str">
        <f>HYPERLINK("http://ictvonline.org/taxonomy/p/taxonomy-history?taxnode_id=201903447","ICTVonline=201903447")</f>
        <v>ICTVonline=201903447</v>
      </c>
      <c r="Y3005" s="1" t="s">
        <v>11461</v>
      </c>
      <c r="Z3005" s="1" t="s">
        <v>11462</v>
      </c>
      <c r="AA3005" s="1">
        <v>201900000</v>
      </c>
      <c r="AB3005" s="1">
        <v>35</v>
      </c>
    </row>
    <row r="3006" spans="1:28" x14ac:dyDescent="0.2">
      <c r="A3006" s="1">
        <v>7873</v>
      </c>
      <c r="B3006" s="1" t="s">
        <v>10590</v>
      </c>
      <c r="D3006" s="1" t="s">
        <v>10685</v>
      </c>
      <c r="F3006" s="1" t="s">
        <v>11077</v>
      </c>
      <c r="H3006" s="1" t="s">
        <v>11235</v>
      </c>
      <c r="J3006" s="1" t="s">
        <v>11236</v>
      </c>
      <c r="L3006" s="1" t="s">
        <v>2078</v>
      </c>
      <c r="N3006" s="1" t="s">
        <v>2079</v>
      </c>
      <c r="P3006" s="1" t="s">
        <v>3763</v>
      </c>
      <c r="Q3006" s="3">
        <v>0</v>
      </c>
      <c r="R3006" s="23" t="s">
        <v>10605</v>
      </c>
      <c r="S3006" s="23" t="s">
        <v>6844</v>
      </c>
      <c r="T3006" s="23" t="s">
        <v>4866</v>
      </c>
      <c r="U3006" s="3">
        <v>35</v>
      </c>
      <c r="W3006" s="45" t="str">
        <f>HYPERLINK("http://ictvonline.org/taxonomy/p/taxonomy-history?taxnode_id=201903448","ICTVonline=201903448")</f>
        <v>ICTVonline=201903448</v>
      </c>
      <c r="Y3006" s="1" t="s">
        <v>11463</v>
      </c>
      <c r="Z3006" s="1" t="s">
        <v>11464</v>
      </c>
      <c r="AA3006" s="1">
        <v>201900000</v>
      </c>
      <c r="AB3006" s="1">
        <v>35</v>
      </c>
    </row>
    <row r="3007" spans="1:28" x14ac:dyDescent="0.2">
      <c r="A3007" s="1">
        <v>7875</v>
      </c>
      <c r="B3007" s="1" t="s">
        <v>10590</v>
      </c>
      <c r="D3007" s="1" t="s">
        <v>10685</v>
      </c>
      <c r="F3007" s="1" t="s">
        <v>11077</v>
      </c>
      <c r="H3007" s="1" t="s">
        <v>11235</v>
      </c>
      <c r="J3007" s="1" t="s">
        <v>11236</v>
      </c>
      <c r="L3007" s="1" t="s">
        <v>2078</v>
      </c>
      <c r="N3007" s="1" t="s">
        <v>2079</v>
      </c>
      <c r="P3007" s="1" t="s">
        <v>1524</v>
      </c>
      <c r="Q3007" s="3">
        <v>0</v>
      </c>
      <c r="R3007" s="23" t="s">
        <v>10605</v>
      </c>
      <c r="S3007" s="23" t="s">
        <v>6844</v>
      </c>
      <c r="T3007" s="23" t="s">
        <v>4866</v>
      </c>
      <c r="U3007" s="3">
        <v>35</v>
      </c>
      <c r="W3007" s="45" t="str">
        <f>HYPERLINK("http://ictvonline.org/taxonomy/p/taxonomy-history?taxnode_id=201903449","ICTVonline=201903449")</f>
        <v>ICTVonline=201903449</v>
      </c>
      <c r="AA3007" s="1">
        <v>201900000</v>
      </c>
      <c r="AB3007" s="1">
        <v>35</v>
      </c>
    </row>
    <row r="3008" spans="1:28" x14ac:dyDescent="0.2">
      <c r="A3008" s="1">
        <v>7877</v>
      </c>
      <c r="B3008" s="1" t="s">
        <v>10590</v>
      </c>
      <c r="D3008" s="1" t="s">
        <v>10685</v>
      </c>
      <c r="F3008" s="1" t="s">
        <v>11077</v>
      </c>
      <c r="H3008" s="1" t="s">
        <v>11235</v>
      </c>
      <c r="J3008" s="1" t="s">
        <v>11236</v>
      </c>
      <c r="L3008" s="1" t="s">
        <v>2078</v>
      </c>
      <c r="N3008" s="1" t="s">
        <v>2079</v>
      </c>
      <c r="P3008" s="1" t="s">
        <v>1525</v>
      </c>
      <c r="Q3008" s="3">
        <v>0</v>
      </c>
      <c r="R3008" s="23" t="s">
        <v>10605</v>
      </c>
      <c r="S3008" s="23" t="s">
        <v>6844</v>
      </c>
      <c r="T3008" s="23" t="s">
        <v>4866</v>
      </c>
      <c r="U3008" s="3">
        <v>35</v>
      </c>
      <c r="W3008" s="45" t="str">
        <f>HYPERLINK("http://ictvonline.org/taxonomy/p/taxonomy-history?taxnode_id=201903450","ICTVonline=201903450")</f>
        <v>ICTVonline=201903450</v>
      </c>
      <c r="AA3008" s="1">
        <v>201900000</v>
      </c>
      <c r="AB3008" s="1">
        <v>35</v>
      </c>
    </row>
    <row r="3009" spans="1:28" x14ac:dyDescent="0.2">
      <c r="A3009" s="1">
        <v>7879</v>
      </c>
      <c r="B3009" s="1" t="s">
        <v>10590</v>
      </c>
      <c r="D3009" s="1" t="s">
        <v>10685</v>
      </c>
      <c r="F3009" s="1" t="s">
        <v>11077</v>
      </c>
      <c r="H3009" s="1" t="s">
        <v>11235</v>
      </c>
      <c r="J3009" s="1" t="s">
        <v>11236</v>
      </c>
      <c r="L3009" s="1" t="s">
        <v>2078</v>
      </c>
      <c r="N3009" s="1" t="s">
        <v>2079</v>
      </c>
      <c r="P3009" s="1" t="s">
        <v>6767</v>
      </c>
      <c r="Q3009" s="3">
        <v>0</v>
      </c>
      <c r="R3009" s="23" t="s">
        <v>10605</v>
      </c>
      <c r="S3009" s="23" t="s">
        <v>6844</v>
      </c>
      <c r="T3009" s="23" t="s">
        <v>4866</v>
      </c>
      <c r="U3009" s="3">
        <v>35</v>
      </c>
      <c r="W3009" s="45" t="str">
        <f>HYPERLINK("http://ictvonline.org/taxonomy/p/taxonomy-history?taxnode_id=201906710","ICTVonline=201906710")</f>
        <v>ICTVonline=201906710</v>
      </c>
      <c r="X3009" s="1" t="s">
        <v>11465</v>
      </c>
      <c r="Y3009" s="1" t="s">
        <v>11466</v>
      </c>
      <c r="Z3009" s="1" t="s">
        <v>11467</v>
      </c>
      <c r="AA3009" s="1">
        <v>201900000</v>
      </c>
      <c r="AB3009" s="1">
        <v>35</v>
      </c>
    </row>
    <row r="3010" spans="1:28" x14ac:dyDescent="0.2">
      <c r="A3010" s="1">
        <v>7881</v>
      </c>
      <c r="B3010" s="1" t="s">
        <v>10590</v>
      </c>
      <c r="D3010" s="1" t="s">
        <v>10685</v>
      </c>
      <c r="F3010" s="1" t="s">
        <v>11077</v>
      </c>
      <c r="H3010" s="1" t="s">
        <v>11235</v>
      </c>
      <c r="J3010" s="1" t="s">
        <v>11236</v>
      </c>
      <c r="L3010" s="1" t="s">
        <v>2078</v>
      </c>
      <c r="N3010" s="1" t="s">
        <v>2079</v>
      </c>
      <c r="P3010" s="1" t="s">
        <v>3764</v>
      </c>
      <c r="Q3010" s="3">
        <v>0</v>
      </c>
      <c r="R3010" s="23" t="s">
        <v>10605</v>
      </c>
      <c r="S3010" s="23" t="s">
        <v>6844</v>
      </c>
      <c r="T3010" s="23" t="s">
        <v>4866</v>
      </c>
      <c r="U3010" s="3">
        <v>35</v>
      </c>
      <c r="W3010" s="45" t="str">
        <f>HYPERLINK("http://ictvonline.org/taxonomy/p/taxonomy-history?taxnode_id=201903451","ICTVonline=201903451")</f>
        <v>ICTVonline=201903451</v>
      </c>
      <c r="Y3010" s="1" t="s">
        <v>11468</v>
      </c>
      <c r="Z3010" s="1" t="s">
        <v>11469</v>
      </c>
      <c r="AA3010" s="1">
        <v>201900000</v>
      </c>
      <c r="AB3010" s="1">
        <v>35</v>
      </c>
    </row>
    <row r="3011" spans="1:28" x14ac:dyDescent="0.2">
      <c r="A3011" s="1">
        <v>7883</v>
      </c>
      <c r="B3011" s="1" t="s">
        <v>10590</v>
      </c>
      <c r="D3011" s="1" t="s">
        <v>10685</v>
      </c>
      <c r="F3011" s="1" t="s">
        <v>11077</v>
      </c>
      <c r="H3011" s="1" t="s">
        <v>11235</v>
      </c>
      <c r="J3011" s="1" t="s">
        <v>11236</v>
      </c>
      <c r="L3011" s="1" t="s">
        <v>2078</v>
      </c>
      <c r="N3011" s="1" t="s">
        <v>2079</v>
      </c>
      <c r="P3011" s="1" t="s">
        <v>1526</v>
      </c>
      <c r="Q3011" s="3">
        <v>0</v>
      </c>
      <c r="R3011" s="23" t="s">
        <v>10605</v>
      </c>
      <c r="S3011" s="23" t="s">
        <v>6844</v>
      </c>
      <c r="T3011" s="23" t="s">
        <v>4866</v>
      </c>
      <c r="U3011" s="3">
        <v>35</v>
      </c>
      <c r="W3011" s="45" t="str">
        <f>HYPERLINK("http://ictvonline.org/taxonomy/p/taxonomy-history?taxnode_id=201903452","ICTVonline=201903452")</f>
        <v>ICTVonline=201903452</v>
      </c>
      <c r="AA3011" s="1">
        <v>201900000</v>
      </c>
      <c r="AB3011" s="1">
        <v>35</v>
      </c>
    </row>
    <row r="3012" spans="1:28" x14ac:dyDescent="0.2">
      <c r="A3012" s="1">
        <v>7885</v>
      </c>
      <c r="B3012" s="1" t="s">
        <v>10590</v>
      </c>
      <c r="D3012" s="1" t="s">
        <v>10685</v>
      </c>
      <c r="F3012" s="1" t="s">
        <v>11077</v>
      </c>
      <c r="H3012" s="1" t="s">
        <v>11235</v>
      </c>
      <c r="J3012" s="1" t="s">
        <v>11236</v>
      </c>
      <c r="L3012" s="1" t="s">
        <v>2078</v>
      </c>
      <c r="N3012" s="1" t="s">
        <v>2079</v>
      </c>
      <c r="P3012" s="1" t="s">
        <v>1527</v>
      </c>
      <c r="Q3012" s="3">
        <v>0</v>
      </c>
      <c r="R3012" s="23" t="s">
        <v>10605</v>
      </c>
      <c r="S3012" s="23" t="s">
        <v>6844</v>
      </c>
      <c r="T3012" s="23" t="s">
        <v>4866</v>
      </c>
      <c r="U3012" s="3">
        <v>35</v>
      </c>
      <c r="W3012" s="45" t="str">
        <f>HYPERLINK("http://ictvonline.org/taxonomy/p/taxonomy-history?taxnode_id=201903453","ICTVonline=201903453")</f>
        <v>ICTVonline=201903453</v>
      </c>
      <c r="AA3012" s="1">
        <v>201900000</v>
      </c>
      <c r="AB3012" s="1">
        <v>35</v>
      </c>
    </row>
    <row r="3013" spans="1:28" x14ac:dyDescent="0.2">
      <c r="A3013" s="1">
        <v>7887</v>
      </c>
      <c r="B3013" s="1" t="s">
        <v>10590</v>
      </c>
      <c r="D3013" s="1" t="s">
        <v>10685</v>
      </c>
      <c r="F3013" s="1" t="s">
        <v>11077</v>
      </c>
      <c r="H3013" s="1" t="s">
        <v>11235</v>
      </c>
      <c r="J3013" s="1" t="s">
        <v>11236</v>
      </c>
      <c r="L3013" s="1" t="s">
        <v>2078</v>
      </c>
      <c r="N3013" s="1" t="s">
        <v>2079</v>
      </c>
      <c r="P3013" s="1" t="s">
        <v>1528</v>
      </c>
      <c r="Q3013" s="3">
        <v>0</v>
      </c>
      <c r="R3013" s="23" t="s">
        <v>10605</v>
      </c>
      <c r="S3013" s="23" t="s">
        <v>6844</v>
      </c>
      <c r="T3013" s="23" t="s">
        <v>4866</v>
      </c>
      <c r="U3013" s="3">
        <v>35</v>
      </c>
      <c r="W3013" s="45" t="str">
        <f>HYPERLINK("http://ictvonline.org/taxonomy/p/taxonomy-history?taxnode_id=201903454","ICTVonline=201903454")</f>
        <v>ICTVonline=201903454</v>
      </c>
      <c r="AA3013" s="1">
        <v>201900000</v>
      </c>
      <c r="AB3013" s="1">
        <v>35</v>
      </c>
    </row>
    <row r="3014" spans="1:28" x14ac:dyDescent="0.2">
      <c r="A3014" s="1">
        <v>7889</v>
      </c>
      <c r="B3014" s="1" t="s">
        <v>10590</v>
      </c>
      <c r="D3014" s="1" t="s">
        <v>10685</v>
      </c>
      <c r="F3014" s="1" t="s">
        <v>11077</v>
      </c>
      <c r="H3014" s="1" t="s">
        <v>11235</v>
      </c>
      <c r="J3014" s="1" t="s">
        <v>11236</v>
      </c>
      <c r="L3014" s="1" t="s">
        <v>2078</v>
      </c>
      <c r="N3014" s="1" t="s">
        <v>2079</v>
      </c>
      <c r="P3014" s="1" t="s">
        <v>1529</v>
      </c>
      <c r="Q3014" s="3">
        <v>0</v>
      </c>
      <c r="R3014" s="23" t="s">
        <v>10605</v>
      </c>
      <c r="S3014" s="23" t="s">
        <v>6844</v>
      </c>
      <c r="T3014" s="23" t="s">
        <v>4866</v>
      </c>
      <c r="U3014" s="3">
        <v>35</v>
      </c>
      <c r="W3014" s="45" t="str">
        <f>HYPERLINK("http://ictvonline.org/taxonomy/p/taxonomy-history?taxnode_id=201903455","ICTVonline=201903455")</f>
        <v>ICTVonline=201903455</v>
      </c>
      <c r="AA3014" s="1">
        <v>201900000</v>
      </c>
      <c r="AB3014" s="1">
        <v>35</v>
      </c>
    </row>
    <row r="3015" spans="1:28" x14ac:dyDescent="0.2">
      <c r="A3015" s="1">
        <v>7891</v>
      </c>
      <c r="B3015" s="1" t="s">
        <v>10590</v>
      </c>
      <c r="D3015" s="1" t="s">
        <v>10685</v>
      </c>
      <c r="F3015" s="1" t="s">
        <v>11077</v>
      </c>
      <c r="H3015" s="1" t="s">
        <v>11235</v>
      </c>
      <c r="J3015" s="1" t="s">
        <v>11236</v>
      </c>
      <c r="L3015" s="1" t="s">
        <v>2078</v>
      </c>
      <c r="N3015" s="1" t="s">
        <v>2079</v>
      </c>
      <c r="P3015" s="1" t="s">
        <v>3765</v>
      </c>
      <c r="Q3015" s="3">
        <v>0</v>
      </c>
      <c r="R3015" s="23" t="s">
        <v>10605</v>
      </c>
      <c r="S3015" s="23" t="s">
        <v>6844</v>
      </c>
      <c r="T3015" s="23" t="s">
        <v>4866</v>
      </c>
      <c r="U3015" s="3">
        <v>35</v>
      </c>
      <c r="W3015" s="45" t="str">
        <f>HYPERLINK("http://ictvonline.org/taxonomy/p/taxonomy-history?taxnode_id=201903456","ICTVonline=201903456")</f>
        <v>ICTVonline=201903456</v>
      </c>
      <c r="Y3015" s="1" t="s">
        <v>11470</v>
      </c>
      <c r="Z3015" s="1" t="s">
        <v>11471</v>
      </c>
      <c r="AA3015" s="1">
        <v>201900000</v>
      </c>
      <c r="AB3015" s="1">
        <v>35</v>
      </c>
    </row>
    <row r="3016" spans="1:28" x14ac:dyDescent="0.2">
      <c r="A3016" s="1">
        <v>7893</v>
      </c>
      <c r="B3016" s="1" t="s">
        <v>10590</v>
      </c>
      <c r="D3016" s="1" t="s">
        <v>10685</v>
      </c>
      <c r="F3016" s="1" t="s">
        <v>11077</v>
      </c>
      <c r="H3016" s="1" t="s">
        <v>11235</v>
      </c>
      <c r="J3016" s="1" t="s">
        <v>11236</v>
      </c>
      <c r="L3016" s="1" t="s">
        <v>2078</v>
      </c>
      <c r="N3016" s="1" t="s">
        <v>2079</v>
      </c>
      <c r="P3016" s="1" t="s">
        <v>1530</v>
      </c>
      <c r="Q3016" s="3">
        <v>0</v>
      </c>
      <c r="R3016" s="23" t="s">
        <v>10605</v>
      </c>
      <c r="S3016" s="23" t="s">
        <v>6844</v>
      </c>
      <c r="T3016" s="23" t="s">
        <v>4866</v>
      </c>
      <c r="U3016" s="3">
        <v>35</v>
      </c>
      <c r="W3016" s="45" t="str">
        <f>HYPERLINK("http://ictvonline.org/taxonomy/p/taxonomy-history?taxnode_id=201903457","ICTVonline=201903457")</f>
        <v>ICTVonline=201903457</v>
      </c>
      <c r="AA3016" s="1">
        <v>201900000</v>
      </c>
      <c r="AB3016" s="1">
        <v>35</v>
      </c>
    </row>
    <row r="3017" spans="1:28" x14ac:dyDescent="0.2">
      <c r="A3017" s="1">
        <v>7895</v>
      </c>
      <c r="B3017" s="1" t="s">
        <v>10590</v>
      </c>
      <c r="D3017" s="1" t="s">
        <v>10685</v>
      </c>
      <c r="F3017" s="1" t="s">
        <v>11077</v>
      </c>
      <c r="H3017" s="1" t="s">
        <v>11235</v>
      </c>
      <c r="J3017" s="1" t="s">
        <v>11236</v>
      </c>
      <c r="L3017" s="1" t="s">
        <v>2078</v>
      </c>
      <c r="N3017" s="1" t="s">
        <v>2079</v>
      </c>
      <c r="P3017" s="1" t="s">
        <v>6768</v>
      </c>
      <c r="Q3017" s="3">
        <v>0</v>
      </c>
      <c r="R3017" s="23" t="s">
        <v>10605</v>
      </c>
      <c r="S3017" s="23" t="s">
        <v>6844</v>
      </c>
      <c r="T3017" s="23" t="s">
        <v>4866</v>
      </c>
      <c r="U3017" s="3">
        <v>35</v>
      </c>
      <c r="W3017" s="45" t="str">
        <f>HYPERLINK("http://ictvonline.org/taxonomy/p/taxonomy-history?taxnode_id=201906712","ICTVonline=201906712")</f>
        <v>ICTVonline=201906712</v>
      </c>
      <c r="X3017" s="1" t="s">
        <v>11472</v>
      </c>
      <c r="Y3017" s="1" t="s">
        <v>11473</v>
      </c>
      <c r="Z3017" s="1" t="s">
        <v>11474</v>
      </c>
      <c r="AA3017" s="1">
        <v>201900000</v>
      </c>
      <c r="AB3017" s="1">
        <v>35</v>
      </c>
    </row>
    <row r="3018" spans="1:28" x14ac:dyDescent="0.2">
      <c r="A3018" s="1">
        <v>7897</v>
      </c>
      <c r="B3018" s="1" t="s">
        <v>10590</v>
      </c>
      <c r="D3018" s="1" t="s">
        <v>10685</v>
      </c>
      <c r="F3018" s="1" t="s">
        <v>11077</v>
      </c>
      <c r="H3018" s="1" t="s">
        <v>11235</v>
      </c>
      <c r="J3018" s="1" t="s">
        <v>11236</v>
      </c>
      <c r="L3018" s="1" t="s">
        <v>2078</v>
      </c>
      <c r="N3018" s="1" t="s">
        <v>2079</v>
      </c>
      <c r="P3018" s="1" t="s">
        <v>2444</v>
      </c>
      <c r="Q3018" s="3">
        <v>0</v>
      </c>
      <c r="R3018" s="23" t="s">
        <v>10605</v>
      </c>
      <c r="S3018" s="23" t="s">
        <v>6844</v>
      </c>
      <c r="T3018" s="23" t="s">
        <v>4866</v>
      </c>
      <c r="U3018" s="3">
        <v>35</v>
      </c>
      <c r="W3018" s="45" t="str">
        <f>HYPERLINK("http://ictvonline.org/taxonomy/p/taxonomy-history?taxnode_id=201903458","ICTVonline=201903458")</f>
        <v>ICTVonline=201903458</v>
      </c>
      <c r="AA3018" s="1">
        <v>201900000</v>
      </c>
      <c r="AB3018" s="1">
        <v>35</v>
      </c>
    </row>
    <row r="3019" spans="1:28" x14ac:dyDescent="0.2">
      <c r="A3019" s="1">
        <v>7899</v>
      </c>
      <c r="B3019" s="1" t="s">
        <v>10590</v>
      </c>
      <c r="D3019" s="1" t="s">
        <v>10685</v>
      </c>
      <c r="F3019" s="1" t="s">
        <v>11077</v>
      </c>
      <c r="H3019" s="1" t="s">
        <v>11235</v>
      </c>
      <c r="J3019" s="1" t="s">
        <v>11236</v>
      </c>
      <c r="L3019" s="1" t="s">
        <v>2078</v>
      </c>
      <c r="N3019" s="1" t="s">
        <v>2079</v>
      </c>
      <c r="P3019" s="1" t="s">
        <v>1531</v>
      </c>
      <c r="Q3019" s="3">
        <v>0</v>
      </c>
      <c r="R3019" s="23" t="s">
        <v>10605</v>
      </c>
      <c r="S3019" s="23" t="s">
        <v>6844</v>
      </c>
      <c r="T3019" s="23" t="s">
        <v>4866</v>
      </c>
      <c r="U3019" s="3">
        <v>35</v>
      </c>
      <c r="W3019" s="45" t="str">
        <f>HYPERLINK("http://ictvonline.org/taxonomy/p/taxonomy-history?taxnode_id=201903459","ICTVonline=201903459")</f>
        <v>ICTVonline=201903459</v>
      </c>
      <c r="AA3019" s="1">
        <v>201900000</v>
      </c>
      <c r="AB3019" s="1">
        <v>35</v>
      </c>
    </row>
    <row r="3020" spans="1:28" x14ac:dyDescent="0.2">
      <c r="A3020" s="1">
        <v>7901</v>
      </c>
      <c r="B3020" s="1" t="s">
        <v>10590</v>
      </c>
      <c r="D3020" s="1" t="s">
        <v>10685</v>
      </c>
      <c r="F3020" s="1" t="s">
        <v>11077</v>
      </c>
      <c r="H3020" s="1" t="s">
        <v>11235</v>
      </c>
      <c r="J3020" s="1" t="s">
        <v>11236</v>
      </c>
      <c r="L3020" s="1" t="s">
        <v>2078</v>
      </c>
      <c r="N3020" s="1" t="s">
        <v>2079</v>
      </c>
      <c r="P3020" s="1" t="s">
        <v>1532</v>
      </c>
      <c r="Q3020" s="3">
        <v>0</v>
      </c>
      <c r="R3020" s="23" t="s">
        <v>10605</v>
      </c>
      <c r="S3020" s="23" t="s">
        <v>6844</v>
      </c>
      <c r="T3020" s="23" t="s">
        <v>4866</v>
      </c>
      <c r="U3020" s="3">
        <v>35</v>
      </c>
      <c r="W3020" s="45" t="str">
        <f>HYPERLINK("http://ictvonline.org/taxonomy/p/taxonomy-history?taxnode_id=201903460","ICTVonline=201903460")</f>
        <v>ICTVonline=201903460</v>
      </c>
      <c r="AA3020" s="1">
        <v>201900000</v>
      </c>
      <c r="AB3020" s="1">
        <v>35</v>
      </c>
    </row>
    <row r="3021" spans="1:28" x14ac:dyDescent="0.2">
      <c r="A3021" s="1">
        <v>7903</v>
      </c>
      <c r="B3021" s="1" t="s">
        <v>10590</v>
      </c>
      <c r="D3021" s="1" t="s">
        <v>10685</v>
      </c>
      <c r="F3021" s="1" t="s">
        <v>11077</v>
      </c>
      <c r="H3021" s="1" t="s">
        <v>11235</v>
      </c>
      <c r="J3021" s="1" t="s">
        <v>11236</v>
      </c>
      <c r="L3021" s="1" t="s">
        <v>2078</v>
      </c>
      <c r="N3021" s="1" t="s">
        <v>2079</v>
      </c>
      <c r="P3021" s="1" t="s">
        <v>1533</v>
      </c>
      <c r="Q3021" s="3">
        <v>0</v>
      </c>
      <c r="R3021" s="23" t="s">
        <v>10605</v>
      </c>
      <c r="S3021" s="23" t="s">
        <v>6844</v>
      </c>
      <c r="T3021" s="23" t="s">
        <v>4866</v>
      </c>
      <c r="U3021" s="3">
        <v>35</v>
      </c>
      <c r="W3021" s="45" t="str">
        <f>HYPERLINK("http://ictvonline.org/taxonomy/p/taxonomy-history?taxnode_id=201903461","ICTVonline=201903461")</f>
        <v>ICTVonline=201903461</v>
      </c>
      <c r="AA3021" s="1">
        <v>201900000</v>
      </c>
      <c r="AB3021" s="1">
        <v>35</v>
      </c>
    </row>
    <row r="3022" spans="1:28" x14ac:dyDescent="0.2">
      <c r="A3022" s="1">
        <v>7905</v>
      </c>
      <c r="B3022" s="1" t="s">
        <v>10590</v>
      </c>
      <c r="D3022" s="1" t="s">
        <v>10685</v>
      </c>
      <c r="F3022" s="1" t="s">
        <v>11077</v>
      </c>
      <c r="H3022" s="1" t="s">
        <v>11235</v>
      </c>
      <c r="J3022" s="1" t="s">
        <v>11236</v>
      </c>
      <c r="L3022" s="1" t="s">
        <v>2078</v>
      </c>
      <c r="N3022" s="1" t="s">
        <v>2079</v>
      </c>
      <c r="P3022" s="1" t="s">
        <v>2445</v>
      </c>
      <c r="Q3022" s="3">
        <v>0</v>
      </c>
      <c r="R3022" s="23" t="s">
        <v>10605</v>
      </c>
      <c r="S3022" s="23" t="s">
        <v>6844</v>
      </c>
      <c r="T3022" s="23" t="s">
        <v>4866</v>
      </c>
      <c r="U3022" s="3">
        <v>35</v>
      </c>
      <c r="W3022" s="45" t="str">
        <f>HYPERLINK("http://ictvonline.org/taxonomy/p/taxonomy-history?taxnode_id=201903462","ICTVonline=201903462")</f>
        <v>ICTVonline=201903462</v>
      </c>
      <c r="AA3022" s="1">
        <v>201900000</v>
      </c>
      <c r="AB3022" s="1">
        <v>35</v>
      </c>
    </row>
    <row r="3023" spans="1:28" x14ac:dyDescent="0.2">
      <c r="A3023" s="1">
        <v>7907</v>
      </c>
      <c r="B3023" s="1" t="s">
        <v>10590</v>
      </c>
      <c r="D3023" s="1" t="s">
        <v>10685</v>
      </c>
      <c r="F3023" s="1" t="s">
        <v>11077</v>
      </c>
      <c r="H3023" s="1" t="s">
        <v>11235</v>
      </c>
      <c r="J3023" s="1" t="s">
        <v>11236</v>
      </c>
      <c r="L3023" s="1" t="s">
        <v>2078</v>
      </c>
      <c r="N3023" s="1" t="s">
        <v>2079</v>
      </c>
      <c r="P3023" s="1" t="s">
        <v>2446</v>
      </c>
      <c r="Q3023" s="3">
        <v>0</v>
      </c>
      <c r="R3023" s="23" t="s">
        <v>10605</v>
      </c>
      <c r="S3023" s="23" t="s">
        <v>6844</v>
      </c>
      <c r="T3023" s="23" t="s">
        <v>4866</v>
      </c>
      <c r="U3023" s="3">
        <v>35</v>
      </c>
      <c r="W3023" s="45" t="str">
        <f>HYPERLINK("http://ictvonline.org/taxonomy/p/taxonomy-history?taxnode_id=201903463","ICTVonline=201903463")</f>
        <v>ICTVonline=201903463</v>
      </c>
      <c r="AA3023" s="1">
        <v>201900000</v>
      </c>
      <c r="AB3023" s="1">
        <v>35</v>
      </c>
    </row>
    <row r="3024" spans="1:28" x14ac:dyDescent="0.2">
      <c r="A3024" s="1">
        <v>7909</v>
      </c>
      <c r="B3024" s="1" t="s">
        <v>10590</v>
      </c>
      <c r="D3024" s="1" t="s">
        <v>10685</v>
      </c>
      <c r="F3024" s="1" t="s">
        <v>11077</v>
      </c>
      <c r="H3024" s="1" t="s">
        <v>11235</v>
      </c>
      <c r="J3024" s="1" t="s">
        <v>11236</v>
      </c>
      <c r="L3024" s="1" t="s">
        <v>2078</v>
      </c>
      <c r="N3024" s="1" t="s">
        <v>2079</v>
      </c>
      <c r="P3024" s="1" t="s">
        <v>2447</v>
      </c>
      <c r="Q3024" s="3">
        <v>0</v>
      </c>
      <c r="R3024" s="23" t="s">
        <v>10605</v>
      </c>
      <c r="S3024" s="23" t="s">
        <v>6844</v>
      </c>
      <c r="T3024" s="23" t="s">
        <v>4866</v>
      </c>
      <c r="U3024" s="3">
        <v>35</v>
      </c>
      <c r="W3024" s="45" t="str">
        <f>HYPERLINK("http://ictvonline.org/taxonomy/p/taxonomy-history?taxnode_id=201903464","ICTVonline=201903464")</f>
        <v>ICTVonline=201903464</v>
      </c>
      <c r="AA3024" s="1">
        <v>201900000</v>
      </c>
      <c r="AB3024" s="1">
        <v>35</v>
      </c>
    </row>
    <row r="3025" spans="1:28" x14ac:dyDescent="0.2">
      <c r="A3025" s="1">
        <v>7911</v>
      </c>
      <c r="B3025" s="1" t="s">
        <v>10590</v>
      </c>
      <c r="D3025" s="1" t="s">
        <v>10685</v>
      </c>
      <c r="F3025" s="1" t="s">
        <v>11077</v>
      </c>
      <c r="H3025" s="1" t="s">
        <v>11235</v>
      </c>
      <c r="J3025" s="1" t="s">
        <v>11236</v>
      </c>
      <c r="L3025" s="1" t="s">
        <v>2078</v>
      </c>
      <c r="N3025" s="1" t="s">
        <v>2079</v>
      </c>
      <c r="P3025" s="1" t="s">
        <v>1534</v>
      </c>
      <c r="Q3025" s="3">
        <v>0</v>
      </c>
      <c r="R3025" s="23" t="s">
        <v>10605</v>
      </c>
      <c r="S3025" s="23" t="s">
        <v>6844</v>
      </c>
      <c r="T3025" s="23" t="s">
        <v>4866</v>
      </c>
      <c r="U3025" s="3">
        <v>35</v>
      </c>
      <c r="W3025" s="45" t="str">
        <f>HYPERLINK("http://ictvonline.org/taxonomy/p/taxonomy-history?taxnode_id=201903465","ICTVonline=201903465")</f>
        <v>ICTVonline=201903465</v>
      </c>
      <c r="AA3025" s="1">
        <v>201900000</v>
      </c>
      <c r="AB3025" s="1">
        <v>35</v>
      </c>
    </row>
    <row r="3026" spans="1:28" x14ac:dyDescent="0.2">
      <c r="A3026" s="1">
        <v>7913</v>
      </c>
      <c r="B3026" s="1" t="s">
        <v>10590</v>
      </c>
      <c r="D3026" s="1" t="s">
        <v>10685</v>
      </c>
      <c r="F3026" s="1" t="s">
        <v>11077</v>
      </c>
      <c r="H3026" s="1" t="s">
        <v>11235</v>
      </c>
      <c r="J3026" s="1" t="s">
        <v>11236</v>
      </c>
      <c r="L3026" s="1" t="s">
        <v>2078</v>
      </c>
      <c r="N3026" s="1" t="s">
        <v>2079</v>
      </c>
      <c r="P3026" s="1" t="s">
        <v>1535</v>
      </c>
      <c r="Q3026" s="3">
        <v>0</v>
      </c>
      <c r="R3026" s="23" t="s">
        <v>10605</v>
      </c>
      <c r="S3026" s="23" t="s">
        <v>6844</v>
      </c>
      <c r="T3026" s="23" t="s">
        <v>4866</v>
      </c>
      <c r="U3026" s="3">
        <v>35</v>
      </c>
      <c r="W3026" s="45" t="str">
        <f>HYPERLINK("http://ictvonline.org/taxonomy/p/taxonomy-history?taxnode_id=201903466","ICTVonline=201903466")</f>
        <v>ICTVonline=201903466</v>
      </c>
      <c r="AA3026" s="1">
        <v>201900000</v>
      </c>
      <c r="AB3026" s="1">
        <v>35</v>
      </c>
    </row>
    <row r="3027" spans="1:28" x14ac:dyDescent="0.2">
      <c r="A3027" s="1">
        <v>7915</v>
      </c>
      <c r="B3027" s="1" t="s">
        <v>10590</v>
      </c>
      <c r="D3027" s="1" t="s">
        <v>10685</v>
      </c>
      <c r="F3027" s="1" t="s">
        <v>11077</v>
      </c>
      <c r="H3027" s="1" t="s">
        <v>11235</v>
      </c>
      <c r="J3027" s="1" t="s">
        <v>11236</v>
      </c>
      <c r="L3027" s="1" t="s">
        <v>2078</v>
      </c>
      <c r="N3027" s="1" t="s">
        <v>2079</v>
      </c>
      <c r="P3027" s="1" t="s">
        <v>2448</v>
      </c>
      <c r="Q3027" s="3">
        <v>0</v>
      </c>
      <c r="R3027" s="23" t="s">
        <v>10605</v>
      </c>
      <c r="S3027" s="23" t="s">
        <v>6844</v>
      </c>
      <c r="T3027" s="23" t="s">
        <v>4866</v>
      </c>
      <c r="U3027" s="3">
        <v>35</v>
      </c>
      <c r="W3027" s="45" t="str">
        <f>HYPERLINK("http://ictvonline.org/taxonomy/p/taxonomy-history?taxnode_id=201903467","ICTVonline=201903467")</f>
        <v>ICTVonline=201903467</v>
      </c>
      <c r="AA3027" s="1">
        <v>201900000</v>
      </c>
      <c r="AB3027" s="1">
        <v>35</v>
      </c>
    </row>
    <row r="3028" spans="1:28" x14ac:dyDescent="0.2">
      <c r="A3028" s="1">
        <v>7917</v>
      </c>
      <c r="B3028" s="1" t="s">
        <v>10590</v>
      </c>
      <c r="D3028" s="1" t="s">
        <v>10685</v>
      </c>
      <c r="F3028" s="1" t="s">
        <v>11077</v>
      </c>
      <c r="H3028" s="1" t="s">
        <v>11235</v>
      </c>
      <c r="J3028" s="1" t="s">
        <v>11236</v>
      </c>
      <c r="L3028" s="1" t="s">
        <v>2078</v>
      </c>
      <c r="N3028" s="1" t="s">
        <v>2079</v>
      </c>
      <c r="P3028" s="1" t="s">
        <v>1850</v>
      </c>
      <c r="Q3028" s="3">
        <v>0</v>
      </c>
      <c r="R3028" s="23" t="s">
        <v>10605</v>
      </c>
      <c r="S3028" s="23" t="s">
        <v>6844</v>
      </c>
      <c r="T3028" s="23" t="s">
        <v>4866</v>
      </c>
      <c r="U3028" s="3">
        <v>35</v>
      </c>
      <c r="W3028" s="45" t="str">
        <f>HYPERLINK("http://ictvonline.org/taxonomy/p/taxonomy-history?taxnode_id=201903468","ICTVonline=201903468")</f>
        <v>ICTVonline=201903468</v>
      </c>
      <c r="AA3028" s="1">
        <v>201900000</v>
      </c>
      <c r="AB3028" s="1">
        <v>35</v>
      </c>
    </row>
    <row r="3029" spans="1:28" x14ac:dyDescent="0.2">
      <c r="A3029" s="1">
        <v>7919</v>
      </c>
      <c r="B3029" s="1" t="s">
        <v>10590</v>
      </c>
      <c r="D3029" s="1" t="s">
        <v>10685</v>
      </c>
      <c r="F3029" s="1" t="s">
        <v>11077</v>
      </c>
      <c r="H3029" s="1" t="s">
        <v>11235</v>
      </c>
      <c r="J3029" s="1" t="s">
        <v>11236</v>
      </c>
      <c r="L3029" s="1" t="s">
        <v>2078</v>
      </c>
      <c r="N3029" s="1" t="s">
        <v>2079</v>
      </c>
      <c r="P3029" s="1" t="s">
        <v>1851</v>
      </c>
      <c r="Q3029" s="3">
        <v>0</v>
      </c>
      <c r="R3029" s="23" t="s">
        <v>10605</v>
      </c>
      <c r="S3029" s="23" t="s">
        <v>6844</v>
      </c>
      <c r="T3029" s="23" t="s">
        <v>4866</v>
      </c>
      <c r="U3029" s="3">
        <v>35</v>
      </c>
      <c r="W3029" s="45" t="str">
        <f>HYPERLINK("http://ictvonline.org/taxonomy/p/taxonomy-history?taxnode_id=201903469","ICTVonline=201903469")</f>
        <v>ICTVonline=201903469</v>
      </c>
      <c r="AA3029" s="1">
        <v>201900000</v>
      </c>
      <c r="AB3029" s="1">
        <v>35</v>
      </c>
    </row>
    <row r="3030" spans="1:28" x14ac:dyDescent="0.2">
      <c r="A3030" s="1">
        <v>7921</v>
      </c>
      <c r="B3030" s="1" t="s">
        <v>10590</v>
      </c>
      <c r="D3030" s="1" t="s">
        <v>10685</v>
      </c>
      <c r="F3030" s="1" t="s">
        <v>11077</v>
      </c>
      <c r="H3030" s="1" t="s">
        <v>11235</v>
      </c>
      <c r="J3030" s="1" t="s">
        <v>11236</v>
      </c>
      <c r="L3030" s="1" t="s">
        <v>2078</v>
      </c>
      <c r="N3030" s="1" t="s">
        <v>2079</v>
      </c>
      <c r="P3030" s="1" t="s">
        <v>5351</v>
      </c>
      <c r="Q3030" s="3">
        <v>0</v>
      </c>
      <c r="R3030" s="23" t="s">
        <v>10605</v>
      </c>
      <c r="S3030" s="23" t="s">
        <v>6844</v>
      </c>
      <c r="T3030" s="23" t="s">
        <v>4866</v>
      </c>
      <c r="U3030" s="3">
        <v>35</v>
      </c>
      <c r="W3030" s="45" t="str">
        <f>HYPERLINK("http://ictvonline.org/taxonomy/p/taxonomy-history?taxnode_id=201905839","ICTVonline=201905839")</f>
        <v>ICTVonline=201905839</v>
      </c>
      <c r="AA3030" s="1">
        <v>201900000</v>
      </c>
      <c r="AB3030" s="1">
        <v>35</v>
      </c>
    </row>
    <row r="3031" spans="1:28" x14ac:dyDescent="0.2">
      <c r="A3031" s="1">
        <v>7923</v>
      </c>
      <c r="B3031" s="1" t="s">
        <v>10590</v>
      </c>
      <c r="D3031" s="1" t="s">
        <v>10685</v>
      </c>
      <c r="F3031" s="1" t="s">
        <v>11077</v>
      </c>
      <c r="H3031" s="1" t="s">
        <v>11235</v>
      </c>
      <c r="J3031" s="1" t="s">
        <v>11236</v>
      </c>
      <c r="L3031" s="1" t="s">
        <v>2078</v>
      </c>
      <c r="N3031" s="1" t="s">
        <v>2079</v>
      </c>
      <c r="P3031" s="1" t="s">
        <v>1852</v>
      </c>
      <c r="Q3031" s="3">
        <v>0</v>
      </c>
      <c r="R3031" s="23" t="s">
        <v>10605</v>
      </c>
      <c r="S3031" s="23" t="s">
        <v>6844</v>
      </c>
      <c r="T3031" s="23" t="s">
        <v>4866</v>
      </c>
      <c r="U3031" s="3">
        <v>35</v>
      </c>
      <c r="W3031" s="45" t="str">
        <f>HYPERLINK("http://ictvonline.org/taxonomy/p/taxonomy-history?taxnode_id=201903470","ICTVonline=201903470")</f>
        <v>ICTVonline=201903470</v>
      </c>
      <c r="AA3031" s="1">
        <v>201900000</v>
      </c>
      <c r="AB3031" s="1">
        <v>35</v>
      </c>
    </row>
    <row r="3032" spans="1:28" x14ac:dyDescent="0.2">
      <c r="A3032" s="1">
        <v>7925</v>
      </c>
      <c r="B3032" s="1" t="s">
        <v>10590</v>
      </c>
      <c r="D3032" s="1" t="s">
        <v>10685</v>
      </c>
      <c r="F3032" s="1" t="s">
        <v>11077</v>
      </c>
      <c r="H3032" s="1" t="s">
        <v>11235</v>
      </c>
      <c r="J3032" s="1" t="s">
        <v>11236</v>
      </c>
      <c r="L3032" s="1" t="s">
        <v>2078</v>
      </c>
      <c r="N3032" s="1" t="s">
        <v>2079</v>
      </c>
      <c r="P3032" s="1" t="s">
        <v>2449</v>
      </c>
      <c r="Q3032" s="3">
        <v>0</v>
      </c>
      <c r="R3032" s="23" t="s">
        <v>10605</v>
      </c>
      <c r="S3032" s="23" t="s">
        <v>6844</v>
      </c>
      <c r="T3032" s="23" t="s">
        <v>4866</v>
      </c>
      <c r="U3032" s="3">
        <v>35</v>
      </c>
      <c r="W3032" s="45" t="str">
        <f>HYPERLINK("http://ictvonline.org/taxonomy/p/taxonomy-history?taxnode_id=201903471","ICTVonline=201903471")</f>
        <v>ICTVonline=201903471</v>
      </c>
      <c r="AA3032" s="1">
        <v>201900000</v>
      </c>
      <c r="AB3032" s="1">
        <v>35</v>
      </c>
    </row>
    <row r="3033" spans="1:28" x14ac:dyDescent="0.2">
      <c r="A3033" s="1">
        <v>7927</v>
      </c>
      <c r="B3033" s="1" t="s">
        <v>10590</v>
      </c>
      <c r="D3033" s="1" t="s">
        <v>10685</v>
      </c>
      <c r="F3033" s="1" t="s">
        <v>11077</v>
      </c>
      <c r="H3033" s="1" t="s">
        <v>11235</v>
      </c>
      <c r="J3033" s="1" t="s">
        <v>11236</v>
      </c>
      <c r="L3033" s="1" t="s">
        <v>2078</v>
      </c>
      <c r="N3033" s="1" t="s">
        <v>2079</v>
      </c>
      <c r="P3033" s="1" t="s">
        <v>6769</v>
      </c>
      <c r="Q3033" s="3">
        <v>0</v>
      </c>
      <c r="R3033" s="23" t="s">
        <v>10605</v>
      </c>
      <c r="S3033" s="23" t="s">
        <v>6844</v>
      </c>
      <c r="T3033" s="23" t="s">
        <v>4866</v>
      </c>
      <c r="U3033" s="3">
        <v>35</v>
      </c>
      <c r="W3033" s="45" t="str">
        <f>HYPERLINK("http://ictvonline.org/taxonomy/p/taxonomy-history?taxnode_id=201906715","ICTVonline=201906715")</f>
        <v>ICTVonline=201906715</v>
      </c>
      <c r="X3033" s="1" t="s">
        <v>11475</v>
      </c>
      <c r="Y3033" s="1" t="s">
        <v>11476</v>
      </c>
      <c r="Z3033" s="1" t="s">
        <v>11477</v>
      </c>
      <c r="AA3033" s="1">
        <v>201900000</v>
      </c>
      <c r="AB3033" s="1">
        <v>35</v>
      </c>
    </row>
    <row r="3034" spans="1:28" x14ac:dyDescent="0.2">
      <c r="A3034" s="1">
        <v>7929</v>
      </c>
      <c r="B3034" s="1" t="s">
        <v>10590</v>
      </c>
      <c r="D3034" s="1" t="s">
        <v>10685</v>
      </c>
      <c r="F3034" s="1" t="s">
        <v>11077</v>
      </c>
      <c r="H3034" s="1" t="s">
        <v>11235</v>
      </c>
      <c r="J3034" s="1" t="s">
        <v>11236</v>
      </c>
      <c r="L3034" s="1" t="s">
        <v>2078</v>
      </c>
      <c r="N3034" s="1" t="s">
        <v>2079</v>
      </c>
      <c r="P3034" s="1" t="s">
        <v>1853</v>
      </c>
      <c r="Q3034" s="3">
        <v>0</v>
      </c>
      <c r="R3034" s="23" t="s">
        <v>10605</v>
      </c>
      <c r="S3034" s="23" t="s">
        <v>6844</v>
      </c>
      <c r="T3034" s="23" t="s">
        <v>4866</v>
      </c>
      <c r="U3034" s="3">
        <v>35</v>
      </c>
      <c r="W3034" s="45" t="str">
        <f>HYPERLINK("http://ictvonline.org/taxonomy/p/taxonomy-history?taxnode_id=201903472","ICTVonline=201903472")</f>
        <v>ICTVonline=201903472</v>
      </c>
      <c r="AA3034" s="1">
        <v>201900000</v>
      </c>
      <c r="AB3034" s="1">
        <v>35</v>
      </c>
    </row>
    <row r="3035" spans="1:28" x14ac:dyDescent="0.2">
      <c r="A3035" s="1">
        <v>7931</v>
      </c>
      <c r="B3035" s="1" t="s">
        <v>10590</v>
      </c>
      <c r="D3035" s="1" t="s">
        <v>10685</v>
      </c>
      <c r="F3035" s="1" t="s">
        <v>11077</v>
      </c>
      <c r="H3035" s="1" t="s">
        <v>11235</v>
      </c>
      <c r="J3035" s="1" t="s">
        <v>11236</v>
      </c>
      <c r="L3035" s="1" t="s">
        <v>2078</v>
      </c>
      <c r="N3035" s="1" t="s">
        <v>2079</v>
      </c>
      <c r="P3035" s="1" t="s">
        <v>1854</v>
      </c>
      <c r="Q3035" s="3">
        <v>0</v>
      </c>
      <c r="R3035" s="23" t="s">
        <v>10605</v>
      </c>
      <c r="S3035" s="23" t="s">
        <v>6844</v>
      </c>
      <c r="T3035" s="23" t="s">
        <v>4866</v>
      </c>
      <c r="U3035" s="3">
        <v>35</v>
      </c>
      <c r="W3035" s="45" t="str">
        <f>HYPERLINK("http://ictvonline.org/taxonomy/p/taxonomy-history?taxnode_id=201903473","ICTVonline=201903473")</f>
        <v>ICTVonline=201903473</v>
      </c>
      <c r="AA3035" s="1">
        <v>201900000</v>
      </c>
      <c r="AB3035" s="1">
        <v>35</v>
      </c>
    </row>
    <row r="3036" spans="1:28" x14ac:dyDescent="0.2">
      <c r="A3036" s="1">
        <v>7933</v>
      </c>
      <c r="B3036" s="1" t="s">
        <v>10590</v>
      </c>
      <c r="D3036" s="1" t="s">
        <v>10685</v>
      </c>
      <c r="F3036" s="1" t="s">
        <v>11077</v>
      </c>
      <c r="H3036" s="1" t="s">
        <v>11235</v>
      </c>
      <c r="J3036" s="1" t="s">
        <v>11236</v>
      </c>
      <c r="L3036" s="1" t="s">
        <v>2078</v>
      </c>
      <c r="N3036" s="1" t="s">
        <v>2079</v>
      </c>
      <c r="P3036" s="1" t="s">
        <v>11478</v>
      </c>
      <c r="Q3036" s="3">
        <v>0</v>
      </c>
      <c r="R3036" s="23" t="s">
        <v>10596</v>
      </c>
      <c r="S3036" s="23" t="s">
        <v>6849</v>
      </c>
      <c r="T3036" s="23" t="s">
        <v>4864</v>
      </c>
      <c r="U3036" s="3">
        <v>35</v>
      </c>
      <c r="V3036" s="3" t="s">
        <v>11246</v>
      </c>
      <c r="W3036" s="45" t="str">
        <f>HYPERLINK("http://ictvonline.org/taxonomy/p/taxonomy-history?taxnode_id=201907532","ICTVonline=201907532")</f>
        <v>ICTVonline=201907532</v>
      </c>
      <c r="X3036" s="1" t="s">
        <v>11479</v>
      </c>
      <c r="Y3036" s="1" t="s">
        <v>11480</v>
      </c>
      <c r="Z3036" s="1" t="s">
        <v>11481</v>
      </c>
      <c r="AA3036" s="1">
        <v>201900000</v>
      </c>
      <c r="AB3036" s="1">
        <v>35</v>
      </c>
    </row>
    <row r="3037" spans="1:28" x14ac:dyDescent="0.2">
      <c r="A3037" s="1">
        <v>7935</v>
      </c>
      <c r="B3037" s="1" t="s">
        <v>10590</v>
      </c>
      <c r="D3037" s="1" t="s">
        <v>10685</v>
      </c>
      <c r="F3037" s="1" t="s">
        <v>11077</v>
      </c>
      <c r="H3037" s="1" t="s">
        <v>11235</v>
      </c>
      <c r="J3037" s="1" t="s">
        <v>11236</v>
      </c>
      <c r="L3037" s="1" t="s">
        <v>2078</v>
      </c>
      <c r="N3037" s="1" t="s">
        <v>2079</v>
      </c>
      <c r="P3037" s="1" t="s">
        <v>6770</v>
      </c>
      <c r="Q3037" s="3">
        <v>0</v>
      </c>
      <c r="R3037" s="23" t="s">
        <v>10605</v>
      </c>
      <c r="S3037" s="23" t="s">
        <v>6844</v>
      </c>
      <c r="T3037" s="23" t="s">
        <v>4866</v>
      </c>
      <c r="U3037" s="3">
        <v>35</v>
      </c>
      <c r="W3037" s="45" t="str">
        <f>HYPERLINK("http://ictvonline.org/taxonomy/p/taxonomy-history?taxnode_id=201906716","ICTVonline=201906716")</f>
        <v>ICTVonline=201906716</v>
      </c>
      <c r="X3037" s="1" t="s">
        <v>11482</v>
      </c>
      <c r="Y3037" s="1" t="s">
        <v>11483</v>
      </c>
      <c r="Z3037" s="1" t="s">
        <v>11484</v>
      </c>
      <c r="AA3037" s="1">
        <v>201900000</v>
      </c>
      <c r="AB3037" s="1">
        <v>35</v>
      </c>
    </row>
    <row r="3038" spans="1:28" x14ac:dyDescent="0.2">
      <c r="A3038" s="1">
        <v>7937</v>
      </c>
      <c r="B3038" s="1" t="s">
        <v>10590</v>
      </c>
      <c r="D3038" s="1" t="s">
        <v>10685</v>
      </c>
      <c r="F3038" s="1" t="s">
        <v>11077</v>
      </c>
      <c r="H3038" s="1" t="s">
        <v>11235</v>
      </c>
      <c r="J3038" s="1" t="s">
        <v>11236</v>
      </c>
      <c r="L3038" s="1" t="s">
        <v>2078</v>
      </c>
      <c r="N3038" s="1" t="s">
        <v>2079</v>
      </c>
      <c r="P3038" s="1" t="s">
        <v>1855</v>
      </c>
      <c r="Q3038" s="3">
        <v>0</v>
      </c>
      <c r="R3038" s="23" t="s">
        <v>10605</v>
      </c>
      <c r="S3038" s="23" t="s">
        <v>6844</v>
      </c>
      <c r="T3038" s="23" t="s">
        <v>4866</v>
      </c>
      <c r="U3038" s="3">
        <v>35</v>
      </c>
      <c r="W3038" s="45" t="str">
        <f>HYPERLINK("http://ictvonline.org/taxonomy/p/taxonomy-history?taxnode_id=201903474","ICTVonline=201903474")</f>
        <v>ICTVonline=201903474</v>
      </c>
      <c r="AA3038" s="1">
        <v>201900000</v>
      </c>
      <c r="AB3038" s="1">
        <v>35</v>
      </c>
    </row>
    <row r="3039" spans="1:28" x14ac:dyDescent="0.2">
      <c r="A3039" s="1">
        <v>7939</v>
      </c>
      <c r="B3039" s="1" t="s">
        <v>10590</v>
      </c>
      <c r="D3039" s="1" t="s">
        <v>10685</v>
      </c>
      <c r="F3039" s="1" t="s">
        <v>11077</v>
      </c>
      <c r="H3039" s="1" t="s">
        <v>11235</v>
      </c>
      <c r="J3039" s="1" t="s">
        <v>11236</v>
      </c>
      <c r="L3039" s="1" t="s">
        <v>2078</v>
      </c>
      <c r="N3039" s="1" t="s">
        <v>2079</v>
      </c>
      <c r="P3039" s="1" t="s">
        <v>1856</v>
      </c>
      <c r="Q3039" s="3">
        <v>0</v>
      </c>
      <c r="R3039" s="23" t="s">
        <v>10605</v>
      </c>
      <c r="S3039" s="23" t="s">
        <v>6844</v>
      </c>
      <c r="T3039" s="23" t="s">
        <v>4866</v>
      </c>
      <c r="U3039" s="3">
        <v>35</v>
      </c>
      <c r="W3039" s="45" t="str">
        <f>HYPERLINK("http://ictvonline.org/taxonomy/p/taxonomy-history?taxnode_id=201903475","ICTVonline=201903475")</f>
        <v>ICTVonline=201903475</v>
      </c>
      <c r="AA3039" s="1">
        <v>201900000</v>
      </c>
      <c r="AB3039" s="1">
        <v>35</v>
      </c>
    </row>
    <row r="3040" spans="1:28" x14ac:dyDescent="0.2">
      <c r="A3040" s="1">
        <v>7941</v>
      </c>
      <c r="B3040" s="1" t="s">
        <v>10590</v>
      </c>
      <c r="D3040" s="1" t="s">
        <v>10685</v>
      </c>
      <c r="F3040" s="1" t="s">
        <v>11077</v>
      </c>
      <c r="H3040" s="1" t="s">
        <v>11235</v>
      </c>
      <c r="J3040" s="1" t="s">
        <v>11236</v>
      </c>
      <c r="L3040" s="1" t="s">
        <v>2078</v>
      </c>
      <c r="N3040" s="1" t="s">
        <v>2079</v>
      </c>
      <c r="P3040" s="1" t="s">
        <v>1857</v>
      </c>
      <c r="Q3040" s="3">
        <v>0</v>
      </c>
      <c r="R3040" s="23" t="s">
        <v>10605</v>
      </c>
      <c r="S3040" s="23" t="s">
        <v>6844</v>
      </c>
      <c r="T3040" s="23" t="s">
        <v>4866</v>
      </c>
      <c r="U3040" s="3">
        <v>35</v>
      </c>
      <c r="W3040" s="45" t="str">
        <f>HYPERLINK("http://ictvonline.org/taxonomy/p/taxonomy-history?taxnode_id=201903476","ICTVonline=201903476")</f>
        <v>ICTVonline=201903476</v>
      </c>
      <c r="AA3040" s="1">
        <v>201900000</v>
      </c>
      <c r="AB3040" s="1">
        <v>35</v>
      </c>
    </row>
    <row r="3041" spans="1:28" x14ac:dyDescent="0.2">
      <c r="A3041" s="1">
        <v>7943</v>
      </c>
      <c r="B3041" s="1" t="s">
        <v>10590</v>
      </c>
      <c r="D3041" s="1" t="s">
        <v>10685</v>
      </c>
      <c r="F3041" s="1" t="s">
        <v>11077</v>
      </c>
      <c r="H3041" s="1" t="s">
        <v>11235</v>
      </c>
      <c r="J3041" s="1" t="s">
        <v>11236</v>
      </c>
      <c r="L3041" s="1" t="s">
        <v>2078</v>
      </c>
      <c r="N3041" s="1" t="s">
        <v>2079</v>
      </c>
      <c r="P3041" s="1" t="s">
        <v>863</v>
      </c>
      <c r="Q3041" s="3">
        <v>0</v>
      </c>
      <c r="R3041" s="23" t="s">
        <v>10605</v>
      </c>
      <c r="S3041" s="23" t="s">
        <v>6844</v>
      </c>
      <c r="T3041" s="23" t="s">
        <v>4866</v>
      </c>
      <c r="U3041" s="3">
        <v>35</v>
      </c>
      <c r="W3041" s="45" t="str">
        <f>HYPERLINK("http://ictvonline.org/taxonomy/p/taxonomy-history?taxnode_id=201903477","ICTVonline=201903477")</f>
        <v>ICTVonline=201903477</v>
      </c>
      <c r="AA3041" s="1">
        <v>201900000</v>
      </c>
      <c r="AB3041" s="1">
        <v>35</v>
      </c>
    </row>
    <row r="3042" spans="1:28" x14ac:dyDescent="0.2">
      <c r="A3042" s="1">
        <v>7945</v>
      </c>
      <c r="B3042" s="1" t="s">
        <v>10590</v>
      </c>
      <c r="D3042" s="1" t="s">
        <v>10685</v>
      </c>
      <c r="F3042" s="1" t="s">
        <v>11077</v>
      </c>
      <c r="H3042" s="1" t="s">
        <v>11235</v>
      </c>
      <c r="J3042" s="1" t="s">
        <v>11236</v>
      </c>
      <c r="L3042" s="1" t="s">
        <v>2078</v>
      </c>
      <c r="N3042" s="1" t="s">
        <v>2079</v>
      </c>
      <c r="P3042" s="1" t="s">
        <v>864</v>
      </c>
      <c r="Q3042" s="3">
        <v>0</v>
      </c>
      <c r="R3042" s="23" t="s">
        <v>10605</v>
      </c>
      <c r="S3042" s="23" t="s">
        <v>6844</v>
      </c>
      <c r="T3042" s="23" t="s">
        <v>4866</v>
      </c>
      <c r="U3042" s="3">
        <v>35</v>
      </c>
      <c r="W3042" s="45" t="str">
        <f>HYPERLINK("http://ictvonline.org/taxonomy/p/taxonomy-history?taxnode_id=201903478","ICTVonline=201903478")</f>
        <v>ICTVonline=201903478</v>
      </c>
      <c r="AA3042" s="1">
        <v>201900000</v>
      </c>
      <c r="AB3042" s="1">
        <v>35</v>
      </c>
    </row>
    <row r="3043" spans="1:28" x14ac:dyDescent="0.2">
      <c r="A3043" s="1">
        <v>7947</v>
      </c>
      <c r="B3043" s="1" t="s">
        <v>10590</v>
      </c>
      <c r="D3043" s="1" t="s">
        <v>10685</v>
      </c>
      <c r="F3043" s="1" t="s">
        <v>11077</v>
      </c>
      <c r="H3043" s="1" t="s">
        <v>11235</v>
      </c>
      <c r="J3043" s="1" t="s">
        <v>11236</v>
      </c>
      <c r="L3043" s="1" t="s">
        <v>2078</v>
      </c>
      <c r="N3043" s="1" t="s">
        <v>2079</v>
      </c>
      <c r="P3043" s="1" t="s">
        <v>1858</v>
      </c>
      <c r="Q3043" s="3">
        <v>0</v>
      </c>
      <c r="R3043" s="23" t="s">
        <v>10605</v>
      </c>
      <c r="S3043" s="23" t="s">
        <v>6844</v>
      </c>
      <c r="T3043" s="23" t="s">
        <v>4866</v>
      </c>
      <c r="U3043" s="3">
        <v>35</v>
      </c>
      <c r="W3043" s="45" t="str">
        <f>HYPERLINK("http://ictvonline.org/taxonomy/p/taxonomy-history?taxnode_id=201903479","ICTVonline=201903479")</f>
        <v>ICTVonline=201903479</v>
      </c>
      <c r="AA3043" s="1">
        <v>201900000</v>
      </c>
      <c r="AB3043" s="1">
        <v>35</v>
      </c>
    </row>
    <row r="3044" spans="1:28" x14ac:dyDescent="0.2">
      <c r="A3044" s="1">
        <v>7949</v>
      </c>
      <c r="B3044" s="1" t="s">
        <v>10590</v>
      </c>
      <c r="D3044" s="1" t="s">
        <v>10685</v>
      </c>
      <c r="F3044" s="1" t="s">
        <v>11077</v>
      </c>
      <c r="H3044" s="1" t="s">
        <v>11235</v>
      </c>
      <c r="J3044" s="1" t="s">
        <v>11236</v>
      </c>
      <c r="L3044" s="1" t="s">
        <v>2078</v>
      </c>
      <c r="N3044" s="1" t="s">
        <v>2079</v>
      </c>
      <c r="P3044" s="1" t="s">
        <v>1925</v>
      </c>
      <c r="Q3044" s="3">
        <v>0</v>
      </c>
      <c r="R3044" s="23" t="s">
        <v>10605</v>
      </c>
      <c r="S3044" s="23" t="s">
        <v>6844</v>
      </c>
      <c r="T3044" s="23" t="s">
        <v>4866</v>
      </c>
      <c r="U3044" s="3">
        <v>35</v>
      </c>
      <c r="W3044" s="45" t="str">
        <f>HYPERLINK("http://ictvonline.org/taxonomy/p/taxonomy-history?taxnode_id=201903480","ICTVonline=201903480")</f>
        <v>ICTVonline=201903480</v>
      </c>
      <c r="AA3044" s="1">
        <v>201900000</v>
      </c>
      <c r="AB3044" s="1">
        <v>35</v>
      </c>
    </row>
    <row r="3045" spans="1:28" x14ac:dyDescent="0.2">
      <c r="A3045" s="1">
        <v>7951</v>
      </c>
      <c r="B3045" s="1" t="s">
        <v>10590</v>
      </c>
      <c r="D3045" s="1" t="s">
        <v>10685</v>
      </c>
      <c r="F3045" s="1" t="s">
        <v>11077</v>
      </c>
      <c r="H3045" s="1" t="s">
        <v>11235</v>
      </c>
      <c r="J3045" s="1" t="s">
        <v>11236</v>
      </c>
      <c r="L3045" s="1" t="s">
        <v>2078</v>
      </c>
      <c r="N3045" s="1" t="s">
        <v>2079</v>
      </c>
      <c r="P3045" s="1" t="s">
        <v>808</v>
      </c>
      <c r="Q3045" s="3">
        <v>0</v>
      </c>
      <c r="R3045" s="23" t="s">
        <v>10605</v>
      </c>
      <c r="S3045" s="23" t="s">
        <v>6844</v>
      </c>
      <c r="T3045" s="23" t="s">
        <v>4866</v>
      </c>
      <c r="U3045" s="3">
        <v>35</v>
      </c>
      <c r="W3045" s="45" t="str">
        <f>HYPERLINK("http://ictvonline.org/taxonomy/p/taxonomy-history?taxnode_id=201903481","ICTVonline=201903481")</f>
        <v>ICTVonline=201903481</v>
      </c>
      <c r="AA3045" s="1">
        <v>201900000</v>
      </c>
      <c r="AB3045" s="1">
        <v>35</v>
      </c>
    </row>
    <row r="3046" spans="1:28" x14ac:dyDescent="0.2">
      <c r="A3046" s="1">
        <v>7953</v>
      </c>
      <c r="B3046" s="1" t="s">
        <v>10590</v>
      </c>
      <c r="D3046" s="1" t="s">
        <v>10685</v>
      </c>
      <c r="F3046" s="1" t="s">
        <v>11077</v>
      </c>
      <c r="H3046" s="1" t="s">
        <v>11235</v>
      </c>
      <c r="J3046" s="1" t="s">
        <v>11236</v>
      </c>
      <c r="L3046" s="1" t="s">
        <v>2078</v>
      </c>
      <c r="N3046" s="1" t="s">
        <v>2079</v>
      </c>
      <c r="P3046" s="1" t="s">
        <v>5352</v>
      </c>
      <c r="Q3046" s="3">
        <v>0</v>
      </c>
      <c r="R3046" s="23" t="s">
        <v>10605</v>
      </c>
      <c r="S3046" s="23" t="s">
        <v>6844</v>
      </c>
      <c r="T3046" s="23" t="s">
        <v>4866</v>
      </c>
      <c r="U3046" s="3">
        <v>35</v>
      </c>
      <c r="W3046" s="45" t="str">
        <f>HYPERLINK("http://ictvonline.org/taxonomy/p/taxonomy-history?taxnode_id=201905840","ICTVonline=201905840")</f>
        <v>ICTVonline=201905840</v>
      </c>
      <c r="AA3046" s="1">
        <v>201900000</v>
      </c>
      <c r="AB3046" s="1">
        <v>35</v>
      </c>
    </row>
    <row r="3047" spans="1:28" x14ac:dyDescent="0.2">
      <c r="A3047" s="1">
        <v>7955</v>
      </c>
      <c r="B3047" s="1" t="s">
        <v>10590</v>
      </c>
      <c r="D3047" s="1" t="s">
        <v>10685</v>
      </c>
      <c r="F3047" s="1" t="s">
        <v>11077</v>
      </c>
      <c r="H3047" s="1" t="s">
        <v>11235</v>
      </c>
      <c r="J3047" s="1" t="s">
        <v>11236</v>
      </c>
      <c r="L3047" s="1" t="s">
        <v>2078</v>
      </c>
      <c r="N3047" s="1" t="s">
        <v>2079</v>
      </c>
      <c r="P3047" s="1" t="s">
        <v>809</v>
      </c>
      <c r="Q3047" s="3">
        <v>0</v>
      </c>
      <c r="R3047" s="23" t="s">
        <v>10605</v>
      </c>
      <c r="S3047" s="23" t="s">
        <v>6844</v>
      </c>
      <c r="T3047" s="23" t="s">
        <v>4866</v>
      </c>
      <c r="U3047" s="3">
        <v>35</v>
      </c>
      <c r="W3047" s="45" t="str">
        <f>HYPERLINK("http://ictvonline.org/taxonomy/p/taxonomy-history?taxnode_id=201903482","ICTVonline=201903482")</f>
        <v>ICTVonline=201903482</v>
      </c>
      <c r="AA3047" s="1">
        <v>201900000</v>
      </c>
      <c r="AB3047" s="1">
        <v>35</v>
      </c>
    </row>
    <row r="3048" spans="1:28" x14ac:dyDescent="0.2">
      <c r="A3048" s="1">
        <v>7957</v>
      </c>
      <c r="B3048" s="1" t="s">
        <v>10590</v>
      </c>
      <c r="D3048" s="1" t="s">
        <v>10685</v>
      </c>
      <c r="F3048" s="1" t="s">
        <v>11077</v>
      </c>
      <c r="H3048" s="1" t="s">
        <v>11235</v>
      </c>
      <c r="J3048" s="1" t="s">
        <v>11236</v>
      </c>
      <c r="L3048" s="1" t="s">
        <v>2078</v>
      </c>
      <c r="N3048" s="1" t="s">
        <v>2079</v>
      </c>
      <c r="P3048" s="1" t="s">
        <v>810</v>
      </c>
      <c r="Q3048" s="3">
        <v>0</v>
      </c>
      <c r="R3048" s="23" t="s">
        <v>10605</v>
      </c>
      <c r="S3048" s="23" t="s">
        <v>6844</v>
      </c>
      <c r="T3048" s="23" t="s">
        <v>4866</v>
      </c>
      <c r="U3048" s="3">
        <v>35</v>
      </c>
      <c r="W3048" s="45" t="str">
        <f>HYPERLINK("http://ictvonline.org/taxonomy/p/taxonomy-history?taxnode_id=201903483","ICTVonline=201903483")</f>
        <v>ICTVonline=201903483</v>
      </c>
      <c r="AA3048" s="1">
        <v>201900000</v>
      </c>
      <c r="AB3048" s="1">
        <v>35</v>
      </c>
    </row>
    <row r="3049" spans="1:28" x14ac:dyDescent="0.2">
      <c r="A3049" s="1">
        <v>7959</v>
      </c>
      <c r="B3049" s="1" t="s">
        <v>10590</v>
      </c>
      <c r="D3049" s="1" t="s">
        <v>10685</v>
      </c>
      <c r="F3049" s="1" t="s">
        <v>11077</v>
      </c>
      <c r="H3049" s="1" t="s">
        <v>11235</v>
      </c>
      <c r="J3049" s="1" t="s">
        <v>11236</v>
      </c>
      <c r="L3049" s="1" t="s">
        <v>2078</v>
      </c>
      <c r="N3049" s="1" t="s">
        <v>2079</v>
      </c>
      <c r="P3049" s="1" t="s">
        <v>1820</v>
      </c>
      <c r="Q3049" s="3">
        <v>0</v>
      </c>
      <c r="R3049" s="23" t="s">
        <v>10605</v>
      </c>
      <c r="S3049" s="23" t="s">
        <v>6844</v>
      </c>
      <c r="T3049" s="23" t="s">
        <v>4866</v>
      </c>
      <c r="U3049" s="3">
        <v>35</v>
      </c>
      <c r="W3049" s="45" t="str">
        <f>HYPERLINK("http://ictvonline.org/taxonomy/p/taxonomy-history?taxnode_id=201903484","ICTVonline=201903484")</f>
        <v>ICTVonline=201903484</v>
      </c>
      <c r="AA3049" s="1">
        <v>201900000</v>
      </c>
      <c r="AB3049" s="1">
        <v>35</v>
      </c>
    </row>
    <row r="3050" spans="1:28" x14ac:dyDescent="0.2">
      <c r="A3050" s="1">
        <v>7961</v>
      </c>
      <c r="B3050" s="1" t="s">
        <v>10590</v>
      </c>
      <c r="D3050" s="1" t="s">
        <v>10685</v>
      </c>
      <c r="F3050" s="1" t="s">
        <v>11077</v>
      </c>
      <c r="H3050" s="1" t="s">
        <v>11235</v>
      </c>
      <c r="J3050" s="1" t="s">
        <v>11236</v>
      </c>
      <c r="L3050" s="1" t="s">
        <v>2078</v>
      </c>
      <c r="N3050" s="1" t="s">
        <v>2079</v>
      </c>
      <c r="P3050" s="1" t="s">
        <v>5353</v>
      </c>
      <c r="Q3050" s="3">
        <v>0</v>
      </c>
      <c r="R3050" s="23" t="s">
        <v>10605</v>
      </c>
      <c r="S3050" s="23" t="s">
        <v>6844</v>
      </c>
      <c r="T3050" s="23" t="s">
        <v>4866</v>
      </c>
      <c r="U3050" s="3">
        <v>35</v>
      </c>
      <c r="W3050" s="45" t="str">
        <f>HYPERLINK("http://ictvonline.org/taxonomy/p/taxonomy-history?taxnode_id=201905841","ICTVonline=201905841")</f>
        <v>ICTVonline=201905841</v>
      </c>
      <c r="AA3050" s="1">
        <v>201900000</v>
      </c>
      <c r="AB3050" s="1">
        <v>35</v>
      </c>
    </row>
    <row r="3051" spans="1:28" x14ac:dyDescent="0.2">
      <c r="A3051" s="1">
        <v>7963</v>
      </c>
      <c r="B3051" s="1" t="s">
        <v>10590</v>
      </c>
      <c r="D3051" s="1" t="s">
        <v>10685</v>
      </c>
      <c r="F3051" s="1" t="s">
        <v>11077</v>
      </c>
      <c r="H3051" s="1" t="s">
        <v>11235</v>
      </c>
      <c r="J3051" s="1" t="s">
        <v>11236</v>
      </c>
      <c r="L3051" s="1" t="s">
        <v>2078</v>
      </c>
      <c r="N3051" s="1" t="s">
        <v>2079</v>
      </c>
      <c r="P3051" s="1" t="s">
        <v>2450</v>
      </c>
      <c r="Q3051" s="3">
        <v>0</v>
      </c>
      <c r="R3051" s="23" t="s">
        <v>10605</v>
      </c>
      <c r="S3051" s="23" t="s">
        <v>6844</v>
      </c>
      <c r="T3051" s="23" t="s">
        <v>4866</v>
      </c>
      <c r="U3051" s="3">
        <v>35</v>
      </c>
      <c r="W3051" s="45" t="str">
        <f>HYPERLINK("http://ictvonline.org/taxonomy/p/taxonomy-history?taxnode_id=201903485","ICTVonline=201903485")</f>
        <v>ICTVonline=201903485</v>
      </c>
      <c r="AA3051" s="1">
        <v>201900000</v>
      </c>
      <c r="AB3051" s="1">
        <v>35</v>
      </c>
    </row>
    <row r="3052" spans="1:28" x14ac:dyDescent="0.2">
      <c r="A3052" s="1">
        <v>7965</v>
      </c>
      <c r="B3052" s="1" t="s">
        <v>10590</v>
      </c>
      <c r="D3052" s="1" t="s">
        <v>10685</v>
      </c>
      <c r="F3052" s="1" t="s">
        <v>11077</v>
      </c>
      <c r="H3052" s="1" t="s">
        <v>11235</v>
      </c>
      <c r="J3052" s="1" t="s">
        <v>11236</v>
      </c>
      <c r="L3052" s="1" t="s">
        <v>2078</v>
      </c>
      <c r="N3052" s="1" t="s">
        <v>2079</v>
      </c>
      <c r="P3052" s="1" t="s">
        <v>1039</v>
      </c>
      <c r="Q3052" s="3">
        <v>0</v>
      </c>
      <c r="R3052" s="23" t="s">
        <v>10605</v>
      </c>
      <c r="S3052" s="23" t="s">
        <v>6844</v>
      </c>
      <c r="T3052" s="23" t="s">
        <v>4866</v>
      </c>
      <c r="U3052" s="3">
        <v>35</v>
      </c>
      <c r="W3052" s="45" t="str">
        <f>HYPERLINK("http://ictvonline.org/taxonomy/p/taxonomy-history?taxnode_id=201903486","ICTVonline=201903486")</f>
        <v>ICTVonline=201903486</v>
      </c>
      <c r="AA3052" s="1">
        <v>201900000</v>
      </c>
      <c r="AB3052" s="1">
        <v>35</v>
      </c>
    </row>
    <row r="3053" spans="1:28" x14ac:dyDescent="0.2">
      <c r="A3053" s="1">
        <v>7967</v>
      </c>
      <c r="B3053" s="1" t="s">
        <v>10590</v>
      </c>
      <c r="D3053" s="1" t="s">
        <v>10685</v>
      </c>
      <c r="F3053" s="1" t="s">
        <v>11077</v>
      </c>
      <c r="H3053" s="1" t="s">
        <v>11235</v>
      </c>
      <c r="J3053" s="1" t="s">
        <v>11236</v>
      </c>
      <c r="L3053" s="1" t="s">
        <v>2078</v>
      </c>
      <c r="N3053" s="1" t="s">
        <v>2079</v>
      </c>
      <c r="P3053" s="1" t="s">
        <v>2451</v>
      </c>
      <c r="Q3053" s="3">
        <v>0</v>
      </c>
      <c r="R3053" s="23" t="s">
        <v>10605</v>
      </c>
      <c r="S3053" s="23" t="s">
        <v>6844</v>
      </c>
      <c r="T3053" s="23" t="s">
        <v>4866</v>
      </c>
      <c r="U3053" s="3">
        <v>35</v>
      </c>
      <c r="W3053" s="45" t="str">
        <f>HYPERLINK("http://ictvonline.org/taxonomy/p/taxonomy-history?taxnode_id=201903487","ICTVonline=201903487")</f>
        <v>ICTVonline=201903487</v>
      </c>
      <c r="AA3053" s="1">
        <v>201900000</v>
      </c>
      <c r="AB3053" s="1">
        <v>35</v>
      </c>
    </row>
    <row r="3054" spans="1:28" x14ac:dyDescent="0.2">
      <c r="A3054" s="1">
        <v>7969</v>
      </c>
      <c r="B3054" s="1" t="s">
        <v>10590</v>
      </c>
      <c r="D3054" s="1" t="s">
        <v>10685</v>
      </c>
      <c r="F3054" s="1" t="s">
        <v>11077</v>
      </c>
      <c r="H3054" s="1" t="s">
        <v>11235</v>
      </c>
      <c r="J3054" s="1" t="s">
        <v>11236</v>
      </c>
      <c r="L3054" s="1" t="s">
        <v>2078</v>
      </c>
      <c r="N3054" s="1" t="s">
        <v>2079</v>
      </c>
      <c r="P3054" s="1" t="s">
        <v>1040</v>
      </c>
      <c r="Q3054" s="3">
        <v>0</v>
      </c>
      <c r="R3054" s="23" t="s">
        <v>10605</v>
      </c>
      <c r="S3054" s="23" t="s">
        <v>6844</v>
      </c>
      <c r="T3054" s="23" t="s">
        <v>4866</v>
      </c>
      <c r="U3054" s="3">
        <v>35</v>
      </c>
      <c r="W3054" s="45" t="str">
        <f>HYPERLINK("http://ictvonline.org/taxonomy/p/taxonomy-history?taxnode_id=201903488","ICTVonline=201903488")</f>
        <v>ICTVonline=201903488</v>
      </c>
      <c r="AA3054" s="1">
        <v>201900000</v>
      </c>
      <c r="AB3054" s="1">
        <v>35</v>
      </c>
    </row>
    <row r="3055" spans="1:28" x14ac:dyDescent="0.2">
      <c r="A3055" s="1">
        <v>7971</v>
      </c>
      <c r="B3055" s="1" t="s">
        <v>10590</v>
      </c>
      <c r="D3055" s="1" t="s">
        <v>10685</v>
      </c>
      <c r="F3055" s="1" t="s">
        <v>11077</v>
      </c>
      <c r="H3055" s="1" t="s">
        <v>11235</v>
      </c>
      <c r="J3055" s="1" t="s">
        <v>11236</v>
      </c>
      <c r="L3055" s="1" t="s">
        <v>2078</v>
      </c>
      <c r="N3055" s="1" t="s">
        <v>2079</v>
      </c>
      <c r="P3055" s="1" t="s">
        <v>1041</v>
      </c>
      <c r="Q3055" s="3">
        <v>0</v>
      </c>
      <c r="R3055" s="23" t="s">
        <v>10605</v>
      </c>
      <c r="S3055" s="23" t="s">
        <v>6844</v>
      </c>
      <c r="T3055" s="23" t="s">
        <v>4866</v>
      </c>
      <c r="U3055" s="3">
        <v>35</v>
      </c>
      <c r="W3055" s="45" t="str">
        <f>HYPERLINK("http://ictvonline.org/taxonomy/p/taxonomy-history?taxnode_id=201903489","ICTVonline=201903489")</f>
        <v>ICTVonline=201903489</v>
      </c>
      <c r="AA3055" s="1">
        <v>201900000</v>
      </c>
      <c r="AB3055" s="1">
        <v>35</v>
      </c>
    </row>
    <row r="3056" spans="1:28" x14ac:dyDescent="0.2">
      <c r="A3056" s="1">
        <v>7973</v>
      </c>
      <c r="B3056" s="1" t="s">
        <v>10590</v>
      </c>
      <c r="D3056" s="1" t="s">
        <v>10685</v>
      </c>
      <c r="F3056" s="1" t="s">
        <v>11077</v>
      </c>
      <c r="H3056" s="1" t="s">
        <v>11235</v>
      </c>
      <c r="J3056" s="1" t="s">
        <v>11236</v>
      </c>
      <c r="L3056" s="1" t="s">
        <v>2078</v>
      </c>
      <c r="N3056" s="1" t="s">
        <v>2079</v>
      </c>
      <c r="P3056" s="1" t="s">
        <v>5354</v>
      </c>
      <c r="Q3056" s="3">
        <v>0</v>
      </c>
      <c r="R3056" s="23" t="s">
        <v>10605</v>
      </c>
      <c r="S3056" s="23" t="s">
        <v>6844</v>
      </c>
      <c r="T3056" s="23" t="s">
        <v>4866</v>
      </c>
      <c r="U3056" s="3">
        <v>35</v>
      </c>
      <c r="W3056" s="45" t="str">
        <f>HYPERLINK("http://ictvonline.org/taxonomy/p/taxonomy-history?taxnode_id=201905842","ICTVonline=201905842")</f>
        <v>ICTVonline=201905842</v>
      </c>
      <c r="AA3056" s="1">
        <v>201900000</v>
      </c>
      <c r="AB3056" s="1">
        <v>35</v>
      </c>
    </row>
    <row r="3057" spans="1:28" x14ac:dyDescent="0.2">
      <c r="A3057" s="1">
        <v>7975</v>
      </c>
      <c r="B3057" s="1" t="s">
        <v>10590</v>
      </c>
      <c r="D3057" s="1" t="s">
        <v>10685</v>
      </c>
      <c r="F3057" s="1" t="s">
        <v>11077</v>
      </c>
      <c r="H3057" s="1" t="s">
        <v>11235</v>
      </c>
      <c r="J3057" s="1" t="s">
        <v>11236</v>
      </c>
      <c r="L3057" s="1" t="s">
        <v>2078</v>
      </c>
      <c r="N3057" s="1" t="s">
        <v>2079</v>
      </c>
      <c r="P3057" s="1" t="s">
        <v>5355</v>
      </c>
      <c r="Q3057" s="3">
        <v>0</v>
      </c>
      <c r="R3057" s="23" t="s">
        <v>10605</v>
      </c>
      <c r="S3057" s="23" t="s">
        <v>6844</v>
      </c>
      <c r="T3057" s="23" t="s">
        <v>4866</v>
      </c>
      <c r="U3057" s="3">
        <v>35</v>
      </c>
      <c r="W3057" s="45" t="str">
        <f>HYPERLINK("http://ictvonline.org/taxonomy/p/taxonomy-history?taxnode_id=201905843","ICTVonline=201905843")</f>
        <v>ICTVonline=201905843</v>
      </c>
      <c r="AA3057" s="1">
        <v>201900000</v>
      </c>
      <c r="AB3057" s="1">
        <v>35</v>
      </c>
    </row>
    <row r="3058" spans="1:28" x14ac:dyDescent="0.2">
      <c r="A3058" s="1">
        <v>7977</v>
      </c>
      <c r="B3058" s="1" t="s">
        <v>10590</v>
      </c>
      <c r="D3058" s="1" t="s">
        <v>10685</v>
      </c>
      <c r="F3058" s="1" t="s">
        <v>11077</v>
      </c>
      <c r="H3058" s="1" t="s">
        <v>11235</v>
      </c>
      <c r="J3058" s="1" t="s">
        <v>11236</v>
      </c>
      <c r="L3058" s="1" t="s">
        <v>2078</v>
      </c>
      <c r="N3058" s="1" t="s">
        <v>2079</v>
      </c>
      <c r="P3058" s="1" t="s">
        <v>3766</v>
      </c>
      <c r="Q3058" s="3">
        <v>0</v>
      </c>
      <c r="R3058" s="23" t="s">
        <v>10605</v>
      </c>
      <c r="S3058" s="23" t="s">
        <v>6844</v>
      </c>
      <c r="T3058" s="23" t="s">
        <v>4866</v>
      </c>
      <c r="U3058" s="3">
        <v>35</v>
      </c>
      <c r="W3058" s="45" t="str">
        <f>HYPERLINK("http://ictvonline.org/taxonomy/p/taxonomy-history?taxnode_id=201903490","ICTVonline=201903490")</f>
        <v>ICTVonline=201903490</v>
      </c>
      <c r="Y3058" s="1" t="s">
        <v>11485</v>
      </c>
      <c r="Z3058" s="1" t="s">
        <v>11486</v>
      </c>
      <c r="AA3058" s="1">
        <v>201900000</v>
      </c>
      <c r="AB3058" s="1">
        <v>35</v>
      </c>
    </row>
    <row r="3059" spans="1:28" x14ac:dyDescent="0.2">
      <c r="A3059" s="1">
        <v>7979</v>
      </c>
      <c r="B3059" s="1" t="s">
        <v>10590</v>
      </c>
      <c r="D3059" s="1" t="s">
        <v>10685</v>
      </c>
      <c r="F3059" s="1" t="s">
        <v>11077</v>
      </c>
      <c r="H3059" s="1" t="s">
        <v>11235</v>
      </c>
      <c r="J3059" s="1" t="s">
        <v>11236</v>
      </c>
      <c r="L3059" s="1" t="s">
        <v>2078</v>
      </c>
      <c r="N3059" s="1" t="s">
        <v>2079</v>
      </c>
      <c r="P3059" s="1" t="s">
        <v>5356</v>
      </c>
      <c r="Q3059" s="3">
        <v>0</v>
      </c>
      <c r="R3059" s="23" t="s">
        <v>10605</v>
      </c>
      <c r="S3059" s="23" t="s">
        <v>6844</v>
      </c>
      <c r="T3059" s="23" t="s">
        <v>4866</v>
      </c>
      <c r="U3059" s="3">
        <v>35</v>
      </c>
      <c r="W3059" s="45" t="str">
        <f>HYPERLINK("http://ictvonline.org/taxonomy/p/taxonomy-history?taxnode_id=201905844","ICTVonline=201905844")</f>
        <v>ICTVonline=201905844</v>
      </c>
      <c r="AA3059" s="1">
        <v>201900000</v>
      </c>
      <c r="AB3059" s="1">
        <v>35</v>
      </c>
    </row>
    <row r="3060" spans="1:28" x14ac:dyDescent="0.2">
      <c r="A3060" s="1">
        <v>7981</v>
      </c>
      <c r="B3060" s="1" t="s">
        <v>10590</v>
      </c>
      <c r="D3060" s="1" t="s">
        <v>10685</v>
      </c>
      <c r="F3060" s="1" t="s">
        <v>11077</v>
      </c>
      <c r="H3060" s="1" t="s">
        <v>11235</v>
      </c>
      <c r="J3060" s="1" t="s">
        <v>11236</v>
      </c>
      <c r="L3060" s="1" t="s">
        <v>2078</v>
      </c>
      <c r="N3060" s="1" t="s">
        <v>2079</v>
      </c>
      <c r="P3060" s="1" t="s">
        <v>6771</v>
      </c>
      <c r="Q3060" s="3">
        <v>0</v>
      </c>
      <c r="R3060" s="23" t="s">
        <v>10605</v>
      </c>
      <c r="S3060" s="23" t="s">
        <v>6844</v>
      </c>
      <c r="T3060" s="23" t="s">
        <v>4866</v>
      </c>
      <c r="U3060" s="3">
        <v>35</v>
      </c>
      <c r="W3060" s="45" t="str">
        <f>HYPERLINK("http://ictvonline.org/taxonomy/p/taxonomy-history?taxnode_id=201906717","ICTVonline=201906717")</f>
        <v>ICTVonline=201906717</v>
      </c>
      <c r="X3060" s="1" t="s">
        <v>11487</v>
      </c>
      <c r="Y3060" s="1" t="s">
        <v>11488</v>
      </c>
      <c r="Z3060" s="1" t="s">
        <v>11489</v>
      </c>
      <c r="AA3060" s="1">
        <v>201900000</v>
      </c>
      <c r="AB3060" s="1">
        <v>35</v>
      </c>
    </row>
    <row r="3061" spans="1:28" x14ac:dyDescent="0.2">
      <c r="A3061" s="1">
        <v>7983</v>
      </c>
      <c r="B3061" s="1" t="s">
        <v>10590</v>
      </c>
      <c r="D3061" s="1" t="s">
        <v>10685</v>
      </c>
      <c r="F3061" s="1" t="s">
        <v>11077</v>
      </c>
      <c r="H3061" s="1" t="s">
        <v>11235</v>
      </c>
      <c r="J3061" s="1" t="s">
        <v>11236</v>
      </c>
      <c r="L3061" s="1" t="s">
        <v>2078</v>
      </c>
      <c r="N3061" s="1" t="s">
        <v>2079</v>
      </c>
      <c r="P3061" s="1" t="s">
        <v>1122</v>
      </c>
      <c r="Q3061" s="3">
        <v>0</v>
      </c>
      <c r="R3061" s="23" t="s">
        <v>10605</v>
      </c>
      <c r="S3061" s="23" t="s">
        <v>6844</v>
      </c>
      <c r="T3061" s="23" t="s">
        <v>4866</v>
      </c>
      <c r="U3061" s="3">
        <v>35</v>
      </c>
      <c r="W3061" s="45" t="str">
        <f>HYPERLINK("http://ictvonline.org/taxonomy/p/taxonomy-history?taxnode_id=201903491","ICTVonline=201903491")</f>
        <v>ICTVonline=201903491</v>
      </c>
      <c r="AA3061" s="1">
        <v>201900000</v>
      </c>
      <c r="AB3061" s="1">
        <v>35</v>
      </c>
    </row>
    <row r="3062" spans="1:28" x14ac:dyDescent="0.2">
      <c r="A3062" s="1">
        <v>7985</v>
      </c>
      <c r="B3062" s="1" t="s">
        <v>10590</v>
      </c>
      <c r="D3062" s="1" t="s">
        <v>10685</v>
      </c>
      <c r="F3062" s="1" t="s">
        <v>11077</v>
      </c>
      <c r="H3062" s="1" t="s">
        <v>11235</v>
      </c>
      <c r="J3062" s="1" t="s">
        <v>11236</v>
      </c>
      <c r="L3062" s="1" t="s">
        <v>2078</v>
      </c>
      <c r="N3062" s="1" t="s">
        <v>2079</v>
      </c>
      <c r="P3062" s="1" t="s">
        <v>3767</v>
      </c>
      <c r="Q3062" s="3">
        <v>0</v>
      </c>
      <c r="R3062" s="23" t="s">
        <v>10605</v>
      </c>
      <c r="S3062" s="23" t="s">
        <v>6844</v>
      </c>
      <c r="T3062" s="23" t="s">
        <v>4866</v>
      </c>
      <c r="U3062" s="3">
        <v>35</v>
      </c>
      <c r="W3062" s="45" t="str">
        <f>HYPERLINK("http://ictvonline.org/taxonomy/p/taxonomy-history?taxnode_id=201903492","ICTVonline=201903492")</f>
        <v>ICTVonline=201903492</v>
      </c>
      <c r="Y3062" s="1" t="s">
        <v>11490</v>
      </c>
      <c r="Z3062" s="1" t="s">
        <v>11491</v>
      </c>
      <c r="AA3062" s="1">
        <v>201900000</v>
      </c>
      <c r="AB3062" s="1">
        <v>35</v>
      </c>
    </row>
    <row r="3063" spans="1:28" x14ac:dyDescent="0.2">
      <c r="A3063" s="1">
        <v>7987</v>
      </c>
      <c r="B3063" s="1" t="s">
        <v>10590</v>
      </c>
      <c r="D3063" s="1" t="s">
        <v>10685</v>
      </c>
      <c r="F3063" s="1" t="s">
        <v>11077</v>
      </c>
      <c r="H3063" s="1" t="s">
        <v>11235</v>
      </c>
      <c r="J3063" s="1" t="s">
        <v>11236</v>
      </c>
      <c r="L3063" s="1" t="s">
        <v>2078</v>
      </c>
      <c r="N3063" s="1" t="s">
        <v>2079</v>
      </c>
      <c r="P3063" s="1" t="s">
        <v>5357</v>
      </c>
      <c r="Q3063" s="3">
        <v>0</v>
      </c>
      <c r="R3063" s="23" t="s">
        <v>10605</v>
      </c>
      <c r="S3063" s="23" t="s">
        <v>6844</v>
      </c>
      <c r="T3063" s="23" t="s">
        <v>4866</v>
      </c>
      <c r="U3063" s="3">
        <v>35</v>
      </c>
      <c r="W3063" s="45" t="str">
        <f>HYPERLINK("http://ictvonline.org/taxonomy/p/taxonomy-history?taxnode_id=201905845","ICTVonline=201905845")</f>
        <v>ICTVonline=201905845</v>
      </c>
      <c r="AA3063" s="1">
        <v>201900000</v>
      </c>
      <c r="AB3063" s="1">
        <v>35</v>
      </c>
    </row>
    <row r="3064" spans="1:28" x14ac:dyDescent="0.2">
      <c r="A3064" s="1">
        <v>7989</v>
      </c>
      <c r="B3064" s="1" t="s">
        <v>10590</v>
      </c>
      <c r="D3064" s="1" t="s">
        <v>10685</v>
      </c>
      <c r="F3064" s="1" t="s">
        <v>11077</v>
      </c>
      <c r="H3064" s="1" t="s">
        <v>11235</v>
      </c>
      <c r="J3064" s="1" t="s">
        <v>11236</v>
      </c>
      <c r="L3064" s="1" t="s">
        <v>2078</v>
      </c>
      <c r="N3064" s="1" t="s">
        <v>2079</v>
      </c>
      <c r="P3064" s="1" t="s">
        <v>1123</v>
      </c>
      <c r="Q3064" s="3">
        <v>0</v>
      </c>
      <c r="R3064" s="23" t="s">
        <v>10605</v>
      </c>
      <c r="S3064" s="23" t="s">
        <v>6844</v>
      </c>
      <c r="T3064" s="23" t="s">
        <v>4866</v>
      </c>
      <c r="U3064" s="3">
        <v>35</v>
      </c>
      <c r="W3064" s="45" t="str">
        <f>HYPERLINK("http://ictvonline.org/taxonomy/p/taxonomy-history?taxnode_id=201903493","ICTVonline=201903493")</f>
        <v>ICTVonline=201903493</v>
      </c>
      <c r="AA3064" s="1">
        <v>201900000</v>
      </c>
      <c r="AB3064" s="1">
        <v>35</v>
      </c>
    </row>
    <row r="3065" spans="1:28" x14ac:dyDescent="0.2">
      <c r="A3065" s="1">
        <v>7991</v>
      </c>
      <c r="B3065" s="1" t="s">
        <v>10590</v>
      </c>
      <c r="D3065" s="1" t="s">
        <v>10685</v>
      </c>
      <c r="F3065" s="1" t="s">
        <v>11077</v>
      </c>
      <c r="H3065" s="1" t="s">
        <v>11235</v>
      </c>
      <c r="J3065" s="1" t="s">
        <v>11236</v>
      </c>
      <c r="L3065" s="1" t="s">
        <v>2078</v>
      </c>
      <c r="N3065" s="1" t="s">
        <v>2079</v>
      </c>
      <c r="P3065" s="1" t="s">
        <v>2452</v>
      </c>
      <c r="Q3065" s="3">
        <v>0</v>
      </c>
      <c r="R3065" s="23" t="s">
        <v>10605</v>
      </c>
      <c r="S3065" s="23" t="s">
        <v>6844</v>
      </c>
      <c r="T3065" s="23" t="s">
        <v>4866</v>
      </c>
      <c r="U3065" s="3">
        <v>35</v>
      </c>
      <c r="W3065" s="45" t="str">
        <f>HYPERLINK("http://ictvonline.org/taxonomy/p/taxonomy-history?taxnode_id=201903494","ICTVonline=201903494")</f>
        <v>ICTVonline=201903494</v>
      </c>
      <c r="AA3065" s="1">
        <v>201900000</v>
      </c>
      <c r="AB3065" s="1">
        <v>35</v>
      </c>
    </row>
    <row r="3066" spans="1:28" x14ac:dyDescent="0.2">
      <c r="A3066" s="1">
        <v>7993</v>
      </c>
      <c r="B3066" s="1" t="s">
        <v>10590</v>
      </c>
      <c r="D3066" s="1" t="s">
        <v>10685</v>
      </c>
      <c r="F3066" s="1" t="s">
        <v>11077</v>
      </c>
      <c r="H3066" s="1" t="s">
        <v>11235</v>
      </c>
      <c r="J3066" s="1" t="s">
        <v>11236</v>
      </c>
      <c r="L3066" s="1" t="s">
        <v>2078</v>
      </c>
      <c r="N3066" s="1" t="s">
        <v>2079</v>
      </c>
      <c r="P3066" s="1" t="s">
        <v>2453</v>
      </c>
      <c r="Q3066" s="3">
        <v>0</v>
      </c>
      <c r="R3066" s="23" t="s">
        <v>10605</v>
      </c>
      <c r="S3066" s="23" t="s">
        <v>6844</v>
      </c>
      <c r="T3066" s="23" t="s">
        <v>4866</v>
      </c>
      <c r="U3066" s="3">
        <v>35</v>
      </c>
      <c r="W3066" s="45" t="str">
        <f>HYPERLINK("http://ictvonline.org/taxonomy/p/taxonomy-history?taxnode_id=201903495","ICTVonline=201903495")</f>
        <v>ICTVonline=201903495</v>
      </c>
      <c r="AA3066" s="1">
        <v>201900000</v>
      </c>
      <c r="AB3066" s="1">
        <v>35</v>
      </c>
    </row>
    <row r="3067" spans="1:28" x14ac:dyDescent="0.2">
      <c r="A3067" s="1">
        <v>7995</v>
      </c>
      <c r="B3067" s="1" t="s">
        <v>10590</v>
      </c>
      <c r="D3067" s="1" t="s">
        <v>10685</v>
      </c>
      <c r="F3067" s="1" t="s">
        <v>11077</v>
      </c>
      <c r="H3067" s="1" t="s">
        <v>11235</v>
      </c>
      <c r="J3067" s="1" t="s">
        <v>11236</v>
      </c>
      <c r="L3067" s="1" t="s">
        <v>2078</v>
      </c>
      <c r="N3067" s="1" t="s">
        <v>2079</v>
      </c>
      <c r="P3067" s="1" t="s">
        <v>6772</v>
      </c>
      <c r="Q3067" s="3">
        <v>0</v>
      </c>
      <c r="R3067" s="23" t="s">
        <v>10605</v>
      </c>
      <c r="S3067" s="23" t="s">
        <v>6844</v>
      </c>
      <c r="T3067" s="23" t="s">
        <v>4866</v>
      </c>
      <c r="U3067" s="3">
        <v>35</v>
      </c>
      <c r="W3067" s="45" t="str">
        <f>HYPERLINK("http://ictvonline.org/taxonomy/p/taxonomy-history?taxnode_id=201906718","ICTVonline=201906718")</f>
        <v>ICTVonline=201906718</v>
      </c>
      <c r="X3067" s="1" t="s">
        <v>11492</v>
      </c>
      <c r="Y3067" s="1" t="s">
        <v>11493</v>
      </c>
      <c r="Z3067" s="1" t="s">
        <v>11494</v>
      </c>
      <c r="AA3067" s="1">
        <v>201900000</v>
      </c>
      <c r="AB3067" s="1">
        <v>35</v>
      </c>
    </row>
    <row r="3068" spans="1:28" x14ac:dyDescent="0.2">
      <c r="A3068" s="1">
        <v>7997</v>
      </c>
      <c r="B3068" s="1" t="s">
        <v>10590</v>
      </c>
      <c r="D3068" s="1" t="s">
        <v>10685</v>
      </c>
      <c r="F3068" s="1" t="s">
        <v>11077</v>
      </c>
      <c r="H3068" s="1" t="s">
        <v>11235</v>
      </c>
      <c r="J3068" s="1" t="s">
        <v>11236</v>
      </c>
      <c r="L3068" s="1" t="s">
        <v>2078</v>
      </c>
      <c r="N3068" s="1" t="s">
        <v>2079</v>
      </c>
      <c r="P3068" s="1" t="s">
        <v>5358</v>
      </c>
      <c r="Q3068" s="3">
        <v>0</v>
      </c>
      <c r="R3068" s="23" t="s">
        <v>10605</v>
      </c>
      <c r="S3068" s="23" t="s">
        <v>6844</v>
      </c>
      <c r="T3068" s="23" t="s">
        <v>4866</v>
      </c>
      <c r="U3068" s="3">
        <v>35</v>
      </c>
      <c r="W3068" s="45" t="str">
        <f>HYPERLINK("http://ictvonline.org/taxonomy/p/taxonomy-history?taxnode_id=201905846","ICTVonline=201905846")</f>
        <v>ICTVonline=201905846</v>
      </c>
      <c r="AA3068" s="1">
        <v>201900000</v>
      </c>
      <c r="AB3068" s="1">
        <v>35</v>
      </c>
    </row>
    <row r="3069" spans="1:28" x14ac:dyDescent="0.2">
      <c r="A3069" s="1">
        <v>7999</v>
      </c>
      <c r="B3069" s="1" t="s">
        <v>10590</v>
      </c>
      <c r="D3069" s="1" t="s">
        <v>10685</v>
      </c>
      <c r="F3069" s="1" t="s">
        <v>11077</v>
      </c>
      <c r="H3069" s="1" t="s">
        <v>11235</v>
      </c>
      <c r="J3069" s="1" t="s">
        <v>11236</v>
      </c>
      <c r="L3069" s="1" t="s">
        <v>2078</v>
      </c>
      <c r="N3069" s="1" t="s">
        <v>2079</v>
      </c>
      <c r="P3069" s="1" t="s">
        <v>5359</v>
      </c>
      <c r="Q3069" s="3">
        <v>0</v>
      </c>
      <c r="R3069" s="23" t="s">
        <v>10605</v>
      </c>
      <c r="S3069" s="23" t="s">
        <v>6844</v>
      </c>
      <c r="T3069" s="23" t="s">
        <v>4866</v>
      </c>
      <c r="U3069" s="3">
        <v>35</v>
      </c>
      <c r="W3069" s="45" t="str">
        <f>HYPERLINK("http://ictvonline.org/taxonomy/p/taxonomy-history?taxnode_id=201905847","ICTVonline=201905847")</f>
        <v>ICTVonline=201905847</v>
      </c>
      <c r="AA3069" s="1">
        <v>201900000</v>
      </c>
      <c r="AB3069" s="1">
        <v>35</v>
      </c>
    </row>
    <row r="3070" spans="1:28" x14ac:dyDescent="0.2">
      <c r="A3070" s="1">
        <v>8001</v>
      </c>
      <c r="B3070" s="1" t="s">
        <v>10590</v>
      </c>
      <c r="D3070" s="1" t="s">
        <v>10685</v>
      </c>
      <c r="F3070" s="1" t="s">
        <v>11077</v>
      </c>
      <c r="H3070" s="1" t="s">
        <v>11235</v>
      </c>
      <c r="J3070" s="1" t="s">
        <v>11236</v>
      </c>
      <c r="L3070" s="1" t="s">
        <v>2078</v>
      </c>
      <c r="N3070" s="1" t="s">
        <v>2079</v>
      </c>
      <c r="P3070" s="1" t="s">
        <v>5360</v>
      </c>
      <c r="Q3070" s="3">
        <v>0</v>
      </c>
      <c r="R3070" s="23" t="s">
        <v>10605</v>
      </c>
      <c r="S3070" s="23" t="s">
        <v>6844</v>
      </c>
      <c r="T3070" s="23" t="s">
        <v>4866</v>
      </c>
      <c r="U3070" s="3">
        <v>35</v>
      </c>
      <c r="W3070" s="45" t="str">
        <f>HYPERLINK("http://ictvonline.org/taxonomy/p/taxonomy-history?taxnode_id=201905848","ICTVonline=201905848")</f>
        <v>ICTVonline=201905848</v>
      </c>
      <c r="AA3070" s="1">
        <v>201900000</v>
      </c>
      <c r="AB3070" s="1">
        <v>35</v>
      </c>
    </row>
    <row r="3071" spans="1:28" x14ac:dyDescent="0.2">
      <c r="A3071" s="1">
        <v>8003</v>
      </c>
      <c r="B3071" s="1" t="s">
        <v>10590</v>
      </c>
      <c r="D3071" s="1" t="s">
        <v>10685</v>
      </c>
      <c r="F3071" s="1" t="s">
        <v>11077</v>
      </c>
      <c r="H3071" s="1" t="s">
        <v>11235</v>
      </c>
      <c r="J3071" s="1" t="s">
        <v>11236</v>
      </c>
      <c r="L3071" s="1" t="s">
        <v>2078</v>
      </c>
      <c r="N3071" s="1" t="s">
        <v>2079</v>
      </c>
      <c r="P3071" s="1" t="s">
        <v>5361</v>
      </c>
      <c r="Q3071" s="3">
        <v>0</v>
      </c>
      <c r="R3071" s="23" t="s">
        <v>10605</v>
      </c>
      <c r="S3071" s="23" t="s">
        <v>6844</v>
      </c>
      <c r="T3071" s="23" t="s">
        <v>4866</v>
      </c>
      <c r="U3071" s="3">
        <v>35</v>
      </c>
      <c r="W3071" s="45" t="str">
        <f>HYPERLINK("http://ictvonline.org/taxonomy/p/taxonomy-history?taxnode_id=201905849","ICTVonline=201905849")</f>
        <v>ICTVonline=201905849</v>
      </c>
      <c r="AA3071" s="1">
        <v>201900000</v>
      </c>
      <c r="AB3071" s="1">
        <v>35</v>
      </c>
    </row>
    <row r="3072" spans="1:28" x14ac:dyDescent="0.2">
      <c r="A3072" s="1">
        <v>8005</v>
      </c>
      <c r="B3072" s="1" t="s">
        <v>10590</v>
      </c>
      <c r="D3072" s="1" t="s">
        <v>10685</v>
      </c>
      <c r="F3072" s="1" t="s">
        <v>11077</v>
      </c>
      <c r="H3072" s="1" t="s">
        <v>11235</v>
      </c>
      <c r="J3072" s="1" t="s">
        <v>11236</v>
      </c>
      <c r="L3072" s="1" t="s">
        <v>2078</v>
      </c>
      <c r="N3072" s="1" t="s">
        <v>2079</v>
      </c>
      <c r="P3072" s="1" t="s">
        <v>5362</v>
      </c>
      <c r="Q3072" s="3">
        <v>0</v>
      </c>
      <c r="R3072" s="23" t="s">
        <v>10605</v>
      </c>
      <c r="S3072" s="23" t="s">
        <v>6844</v>
      </c>
      <c r="T3072" s="23" t="s">
        <v>4866</v>
      </c>
      <c r="U3072" s="3">
        <v>35</v>
      </c>
      <c r="W3072" s="45" t="str">
        <f>HYPERLINK("http://ictvonline.org/taxonomy/p/taxonomy-history?taxnode_id=201905850","ICTVonline=201905850")</f>
        <v>ICTVonline=201905850</v>
      </c>
      <c r="AA3072" s="1">
        <v>201900000</v>
      </c>
      <c r="AB3072" s="1">
        <v>35</v>
      </c>
    </row>
    <row r="3073" spans="1:28" x14ac:dyDescent="0.2">
      <c r="A3073" s="1">
        <v>8007</v>
      </c>
      <c r="B3073" s="1" t="s">
        <v>10590</v>
      </c>
      <c r="D3073" s="1" t="s">
        <v>10685</v>
      </c>
      <c r="F3073" s="1" t="s">
        <v>11077</v>
      </c>
      <c r="H3073" s="1" t="s">
        <v>11235</v>
      </c>
      <c r="J3073" s="1" t="s">
        <v>11236</v>
      </c>
      <c r="L3073" s="1" t="s">
        <v>2078</v>
      </c>
      <c r="N3073" s="1" t="s">
        <v>2079</v>
      </c>
      <c r="P3073" s="1" t="s">
        <v>5363</v>
      </c>
      <c r="Q3073" s="3">
        <v>0</v>
      </c>
      <c r="R3073" s="23" t="s">
        <v>10605</v>
      </c>
      <c r="S3073" s="23" t="s">
        <v>6844</v>
      </c>
      <c r="T3073" s="23" t="s">
        <v>4866</v>
      </c>
      <c r="U3073" s="3">
        <v>35</v>
      </c>
      <c r="W3073" s="45" t="str">
        <f>HYPERLINK("http://ictvonline.org/taxonomy/p/taxonomy-history?taxnode_id=201905851","ICTVonline=201905851")</f>
        <v>ICTVonline=201905851</v>
      </c>
      <c r="AA3073" s="1">
        <v>201900000</v>
      </c>
      <c r="AB3073" s="1">
        <v>35</v>
      </c>
    </row>
    <row r="3074" spans="1:28" x14ac:dyDescent="0.2">
      <c r="A3074" s="1">
        <v>8009</v>
      </c>
      <c r="B3074" s="1" t="s">
        <v>10590</v>
      </c>
      <c r="D3074" s="1" t="s">
        <v>10685</v>
      </c>
      <c r="F3074" s="1" t="s">
        <v>11077</v>
      </c>
      <c r="H3074" s="1" t="s">
        <v>11235</v>
      </c>
      <c r="J3074" s="1" t="s">
        <v>11236</v>
      </c>
      <c r="L3074" s="1" t="s">
        <v>2078</v>
      </c>
      <c r="N3074" s="1" t="s">
        <v>2079</v>
      </c>
      <c r="P3074" s="1" t="s">
        <v>2454</v>
      </c>
      <c r="Q3074" s="3">
        <v>0</v>
      </c>
      <c r="R3074" s="23" t="s">
        <v>10605</v>
      </c>
      <c r="S3074" s="23" t="s">
        <v>6844</v>
      </c>
      <c r="T3074" s="23" t="s">
        <v>4866</v>
      </c>
      <c r="U3074" s="3">
        <v>35</v>
      </c>
      <c r="W3074" s="45" t="str">
        <f>HYPERLINK("http://ictvonline.org/taxonomy/p/taxonomy-history?taxnode_id=201903496","ICTVonline=201903496")</f>
        <v>ICTVonline=201903496</v>
      </c>
      <c r="AA3074" s="1">
        <v>201900000</v>
      </c>
      <c r="AB3074" s="1">
        <v>35</v>
      </c>
    </row>
    <row r="3075" spans="1:28" x14ac:dyDescent="0.2">
      <c r="A3075" s="1">
        <v>8011</v>
      </c>
      <c r="B3075" s="1" t="s">
        <v>10590</v>
      </c>
      <c r="D3075" s="1" t="s">
        <v>10685</v>
      </c>
      <c r="F3075" s="1" t="s">
        <v>11077</v>
      </c>
      <c r="H3075" s="1" t="s">
        <v>11235</v>
      </c>
      <c r="J3075" s="1" t="s">
        <v>11236</v>
      </c>
      <c r="L3075" s="1" t="s">
        <v>2078</v>
      </c>
      <c r="N3075" s="1" t="s">
        <v>2079</v>
      </c>
      <c r="P3075" s="1" t="s">
        <v>5364</v>
      </c>
      <c r="Q3075" s="3">
        <v>0</v>
      </c>
      <c r="R3075" s="23" t="s">
        <v>10605</v>
      </c>
      <c r="S3075" s="23" t="s">
        <v>6844</v>
      </c>
      <c r="T3075" s="23" t="s">
        <v>4866</v>
      </c>
      <c r="U3075" s="3">
        <v>35</v>
      </c>
      <c r="W3075" s="45" t="str">
        <f>HYPERLINK("http://ictvonline.org/taxonomy/p/taxonomy-history?taxnode_id=201905852","ICTVonline=201905852")</f>
        <v>ICTVonline=201905852</v>
      </c>
      <c r="AA3075" s="1">
        <v>201900000</v>
      </c>
      <c r="AB3075" s="1">
        <v>35</v>
      </c>
    </row>
    <row r="3076" spans="1:28" x14ac:dyDescent="0.2">
      <c r="A3076" s="1">
        <v>8015</v>
      </c>
      <c r="B3076" s="1" t="s">
        <v>10590</v>
      </c>
      <c r="D3076" s="1" t="s">
        <v>10685</v>
      </c>
      <c r="F3076" s="1" t="s">
        <v>11077</v>
      </c>
      <c r="H3076" s="1" t="s">
        <v>11235</v>
      </c>
      <c r="J3076" s="1" t="s">
        <v>11236</v>
      </c>
      <c r="L3076" s="1" t="s">
        <v>2078</v>
      </c>
      <c r="N3076" s="1" t="s">
        <v>4644</v>
      </c>
      <c r="P3076" s="1" t="s">
        <v>4645</v>
      </c>
      <c r="Q3076" s="3">
        <v>0</v>
      </c>
      <c r="R3076" s="23" t="s">
        <v>10605</v>
      </c>
      <c r="S3076" s="23" t="s">
        <v>6844</v>
      </c>
      <c r="T3076" s="23" t="s">
        <v>4866</v>
      </c>
      <c r="U3076" s="3">
        <v>35</v>
      </c>
      <c r="W3076" s="45" t="str">
        <f>HYPERLINK("http://ictvonline.org/taxonomy/p/taxonomy-history?taxnode_id=201903498","ICTVonline=201903498")</f>
        <v>ICTVonline=201903498</v>
      </c>
      <c r="Y3076" s="1" t="s">
        <v>11495</v>
      </c>
      <c r="Z3076" s="1" t="s">
        <v>11496</v>
      </c>
      <c r="AA3076" s="1">
        <v>201900000</v>
      </c>
      <c r="AB3076" s="1">
        <v>35</v>
      </c>
    </row>
    <row r="3077" spans="1:28" x14ac:dyDescent="0.2">
      <c r="A3077" s="1">
        <v>8017</v>
      </c>
      <c r="B3077" s="1" t="s">
        <v>10590</v>
      </c>
      <c r="D3077" s="1" t="s">
        <v>10685</v>
      </c>
      <c r="F3077" s="1" t="s">
        <v>11077</v>
      </c>
      <c r="H3077" s="1" t="s">
        <v>11235</v>
      </c>
      <c r="J3077" s="1" t="s">
        <v>11236</v>
      </c>
      <c r="L3077" s="1" t="s">
        <v>2078</v>
      </c>
      <c r="N3077" s="1" t="s">
        <v>4644</v>
      </c>
      <c r="P3077" s="1" t="s">
        <v>4646</v>
      </c>
      <c r="Q3077" s="3">
        <v>1</v>
      </c>
      <c r="R3077" s="23" t="s">
        <v>10605</v>
      </c>
      <c r="S3077" s="23" t="s">
        <v>6844</v>
      </c>
      <c r="T3077" s="23" t="s">
        <v>4866</v>
      </c>
      <c r="U3077" s="3">
        <v>35</v>
      </c>
      <c r="W3077" s="45" t="str">
        <f>HYPERLINK("http://ictvonline.org/taxonomy/p/taxonomy-history?taxnode_id=201903499","ICTVonline=201903499")</f>
        <v>ICTVonline=201903499</v>
      </c>
      <c r="Y3077" s="1" t="s">
        <v>11497</v>
      </c>
      <c r="Z3077" s="1" t="s">
        <v>11498</v>
      </c>
      <c r="AA3077" s="1">
        <v>201900000</v>
      </c>
      <c r="AB3077" s="1">
        <v>35</v>
      </c>
    </row>
    <row r="3078" spans="1:28" x14ac:dyDescent="0.2">
      <c r="A3078" s="1">
        <v>8019</v>
      </c>
      <c r="B3078" s="1" t="s">
        <v>10590</v>
      </c>
      <c r="D3078" s="1" t="s">
        <v>10685</v>
      </c>
      <c r="F3078" s="1" t="s">
        <v>11077</v>
      </c>
      <c r="H3078" s="1" t="s">
        <v>11235</v>
      </c>
      <c r="J3078" s="1" t="s">
        <v>11236</v>
      </c>
      <c r="L3078" s="1" t="s">
        <v>2078</v>
      </c>
      <c r="N3078" s="1" t="s">
        <v>4644</v>
      </c>
      <c r="P3078" s="1" t="s">
        <v>4647</v>
      </c>
      <c r="Q3078" s="3">
        <v>0</v>
      </c>
      <c r="R3078" s="23" t="s">
        <v>10605</v>
      </c>
      <c r="S3078" s="23" t="s">
        <v>6844</v>
      </c>
      <c r="T3078" s="23" t="s">
        <v>4866</v>
      </c>
      <c r="U3078" s="3">
        <v>35</v>
      </c>
      <c r="W3078" s="45" t="str">
        <f>HYPERLINK("http://ictvonline.org/taxonomy/p/taxonomy-history?taxnode_id=201903500","ICTVonline=201903500")</f>
        <v>ICTVonline=201903500</v>
      </c>
      <c r="Y3078" s="1" t="s">
        <v>11499</v>
      </c>
      <c r="Z3078" s="1" t="s">
        <v>11500</v>
      </c>
      <c r="AA3078" s="1">
        <v>201900000</v>
      </c>
      <c r="AB3078" s="1">
        <v>35</v>
      </c>
    </row>
    <row r="3079" spans="1:28" x14ac:dyDescent="0.2">
      <c r="A3079" s="1">
        <v>8021</v>
      </c>
      <c r="B3079" s="1" t="s">
        <v>10590</v>
      </c>
      <c r="D3079" s="1" t="s">
        <v>10685</v>
      </c>
      <c r="F3079" s="1" t="s">
        <v>11077</v>
      </c>
      <c r="H3079" s="1" t="s">
        <v>11235</v>
      </c>
      <c r="J3079" s="1" t="s">
        <v>11236</v>
      </c>
      <c r="L3079" s="1" t="s">
        <v>2078</v>
      </c>
      <c r="N3079" s="1" t="s">
        <v>4644</v>
      </c>
      <c r="P3079" s="1" t="s">
        <v>4648</v>
      </c>
      <c r="Q3079" s="3">
        <v>0</v>
      </c>
      <c r="R3079" s="23" t="s">
        <v>10605</v>
      </c>
      <c r="S3079" s="23" t="s">
        <v>6844</v>
      </c>
      <c r="T3079" s="23" t="s">
        <v>4866</v>
      </c>
      <c r="U3079" s="3">
        <v>35</v>
      </c>
      <c r="W3079" s="45" t="str">
        <f>HYPERLINK("http://ictvonline.org/taxonomy/p/taxonomy-history?taxnode_id=201903501","ICTVonline=201903501")</f>
        <v>ICTVonline=201903501</v>
      </c>
      <c r="Y3079" s="1" t="s">
        <v>11501</v>
      </c>
      <c r="Z3079" s="1" t="s">
        <v>11502</v>
      </c>
      <c r="AA3079" s="1">
        <v>201900000</v>
      </c>
      <c r="AB3079" s="1">
        <v>35</v>
      </c>
    </row>
    <row r="3080" spans="1:28" x14ac:dyDescent="0.2">
      <c r="A3080" s="1">
        <v>8025</v>
      </c>
      <c r="B3080" s="1" t="s">
        <v>10590</v>
      </c>
      <c r="D3080" s="1" t="s">
        <v>10685</v>
      </c>
      <c r="F3080" s="1" t="s">
        <v>11077</v>
      </c>
      <c r="H3080" s="1" t="s">
        <v>11235</v>
      </c>
      <c r="J3080" s="1" t="s">
        <v>11236</v>
      </c>
      <c r="L3080" s="1" t="s">
        <v>2078</v>
      </c>
      <c r="N3080" s="1" t="s">
        <v>1124</v>
      </c>
      <c r="P3080" s="1" t="s">
        <v>1125</v>
      </c>
      <c r="Q3080" s="3">
        <v>1</v>
      </c>
      <c r="R3080" s="23" t="s">
        <v>10605</v>
      </c>
      <c r="S3080" s="23" t="s">
        <v>6844</v>
      </c>
      <c r="T3080" s="23" t="s">
        <v>4866</v>
      </c>
      <c r="U3080" s="3">
        <v>35</v>
      </c>
      <c r="W3080" s="45" t="str">
        <f>HYPERLINK("http://ictvonline.org/taxonomy/p/taxonomy-history?taxnode_id=201903503","ICTVonline=201903503")</f>
        <v>ICTVonline=201903503</v>
      </c>
      <c r="AA3080" s="1">
        <v>201900000</v>
      </c>
      <c r="AB3080" s="1">
        <v>35</v>
      </c>
    </row>
    <row r="3081" spans="1:28" x14ac:dyDescent="0.2">
      <c r="A3081" s="1">
        <v>8027</v>
      </c>
      <c r="B3081" s="1" t="s">
        <v>10590</v>
      </c>
      <c r="D3081" s="1" t="s">
        <v>10685</v>
      </c>
      <c r="F3081" s="1" t="s">
        <v>11077</v>
      </c>
      <c r="H3081" s="1" t="s">
        <v>11235</v>
      </c>
      <c r="J3081" s="1" t="s">
        <v>11236</v>
      </c>
      <c r="L3081" s="1" t="s">
        <v>2078</v>
      </c>
      <c r="N3081" s="1" t="s">
        <v>1124</v>
      </c>
      <c r="P3081" s="1" t="s">
        <v>672</v>
      </c>
      <c r="Q3081" s="3">
        <v>0</v>
      </c>
      <c r="R3081" s="23" t="s">
        <v>10605</v>
      </c>
      <c r="S3081" s="23" t="s">
        <v>6844</v>
      </c>
      <c r="T3081" s="23" t="s">
        <v>4866</v>
      </c>
      <c r="U3081" s="3">
        <v>35</v>
      </c>
      <c r="W3081" s="45" t="str">
        <f>HYPERLINK("http://ictvonline.org/taxonomy/p/taxonomy-history?taxnode_id=201903504","ICTVonline=201903504")</f>
        <v>ICTVonline=201903504</v>
      </c>
      <c r="AA3081" s="1">
        <v>201900000</v>
      </c>
      <c r="AB3081" s="1">
        <v>35</v>
      </c>
    </row>
    <row r="3082" spans="1:28" x14ac:dyDescent="0.2">
      <c r="A3082" s="1">
        <v>8029</v>
      </c>
      <c r="B3082" s="1" t="s">
        <v>10590</v>
      </c>
      <c r="D3082" s="1" t="s">
        <v>10685</v>
      </c>
      <c r="F3082" s="1" t="s">
        <v>11077</v>
      </c>
      <c r="H3082" s="1" t="s">
        <v>11235</v>
      </c>
      <c r="J3082" s="1" t="s">
        <v>11236</v>
      </c>
      <c r="L3082" s="1" t="s">
        <v>2078</v>
      </c>
      <c r="N3082" s="1" t="s">
        <v>1124</v>
      </c>
      <c r="P3082" s="1" t="s">
        <v>2231</v>
      </c>
      <c r="Q3082" s="3">
        <v>0</v>
      </c>
      <c r="R3082" s="23" t="s">
        <v>10605</v>
      </c>
      <c r="S3082" s="23" t="s">
        <v>6844</v>
      </c>
      <c r="T3082" s="23" t="s">
        <v>4866</v>
      </c>
      <c r="U3082" s="3">
        <v>35</v>
      </c>
      <c r="W3082" s="45" t="str">
        <f>HYPERLINK("http://ictvonline.org/taxonomy/p/taxonomy-history?taxnode_id=201903505","ICTVonline=201903505")</f>
        <v>ICTVonline=201903505</v>
      </c>
      <c r="AA3082" s="1">
        <v>201900000</v>
      </c>
      <c r="AB3082" s="1">
        <v>35</v>
      </c>
    </row>
    <row r="3083" spans="1:28" x14ac:dyDescent="0.2">
      <c r="A3083" s="1">
        <v>8033</v>
      </c>
      <c r="B3083" s="1" t="s">
        <v>10590</v>
      </c>
      <c r="D3083" s="1" t="s">
        <v>10685</v>
      </c>
      <c r="F3083" s="1" t="s">
        <v>11077</v>
      </c>
      <c r="H3083" s="1" t="s">
        <v>11235</v>
      </c>
      <c r="J3083" s="1" t="s">
        <v>11236</v>
      </c>
      <c r="L3083" s="1" t="s">
        <v>2078</v>
      </c>
      <c r="N3083" s="1" t="s">
        <v>2232</v>
      </c>
      <c r="P3083" s="1" t="s">
        <v>2233</v>
      </c>
      <c r="Q3083" s="3">
        <v>1</v>
      </c>
      <c r="R3083" s="23" t="s">
        <v>10605</v>
      </c>
      <c r="S3083" s="23" t="s">
        <v>6844</v>
      </c>
      <c r="T3083" s="23" t="s">
        <v>4866</v>
      </c>
      <c r="U3083" s="3">
        <v>35</v>
      </c>
      <c r="W3083" s="45" t="str">
        <f>HYPERLINK("http://ictvonline.org/taxonomy/p/taxonomy-history?taxnode_id=201903507","ICTVonline=201903507")</f>
        <v>ICTVonline=201903507</v>
      </c>
      <c r="AA3083" s="1">
        <v>201900000</v>
      </c>
      <c r="AB3083" s="1">
        <v>35</v>
      </c>
    </row>
    <row r="3084" spans="1:28" x14ac:dyDescent="0.2">
      <c r="A3084" s="1">
        <v>8037</v>
      </c>
      <c r="B3084" s="1" t="s">
        <v>10590</v>
      </c>
      <c r="D3084" s="1" t="s">
        <v>10685</v>
      </c>
      <c r="F3084" s="1" t="s">
        <v>11077</v>
      </c>
      <c r="H3084" s="1" t="s">
        <v>11235</v>
      </c>
      <c r="J3084" s="1" t="s">
        <v>11236</v>
      </c>
      <c r="L3084" s="1" t="s">
        <v>2078</v>
      </c>
      <c r="N3084" s="1" t="s">
        <v>4649</v>
      </c>
      <c r="P3084" s="1" t="s">
        <v>4650</v>
      </c>
      <c r="Q3084" s="3">
        <v>1</v>
      </c>
      <c r="R3084" s="23" t="s">
        <v>10605</v>
      </c>
      <c r="S3084" s="23" t="s">
        <v>6844</v>
      </c>
      <c r="T3084" s="23" t="s">
        <v>4866</v>
      </c>
      <c r="U3084" s="3">
        <v>35</v>
      </c>
      <c r="W3084" s="45" t="str">
        <f>HYPERLINK("http://ictvonline.org/taxonomy/p/taxonomy-history?taxnode_id=201903509","ICTVonline=201903509")</f>
        <v>ICTVonline=201903509</v>
      </c>
      <c r="Y3084" s="1" t="s">
        <v>11503</v>
      </c>
      <c r="Z3084" s="1" t="s">
        <v>11504</v>
      </c>
      <c r="AA3084" s="1">
        <v>201900000</v>
      </c>
      <c r="AB3084" s="1">
        <v>35</v>
      </c>
    </row>
    <row r="3085" spans="1:28" x14ac:dyDescent="0.2">
      <c r="A3085" s="1">
        <v>8039</v>
      </c>
      <c r="B3085" s="1" t="s">
        <v>10590</v>
      </c>
      <c r="D3085" s="1" t="s">
        <v>10685</v>
      </c>
      <c r="F3085" s="1" t="s">
        <v>11077</v>
      </c>
      <c r="H3085" s="1" t="s">
        <v>11235</v>
      </c>
      <c r="J3085" s="1" t="s">
        <v>11236</v>
      </c>
      <c r="L3085" s="1" t="s">
        <v>2078</v>
      </c>
      <c r="N3085" s="1" t="s">
        <v>4649</v>
      </c>
      <c r="P3085" s="1" t="s">
        <v>6773</v>
      </c>
      <c r="Q3085" s="3">
        <v>0</v>
      </c>
      <c r="R3085" s="23" t="s">
        <v>10605</v>
      </c>
      <c r="S3085" s="23" t="s">
        <v>6844</v>
      </c>
      <c r="T3085" s="23" t="s">
        <v>4866</v>
      </c>
      <c r="U3085" s="3">
        <v>35</v>
      </c>
      <c r="W3085" s="45" t="str">
        <f>HYPERLINK("http://ictvonline.org/taxonomy/p/taxonomy-history?taxnode_id=201906690","ICTVonline=201906690")</f>
        <v>ICTVonline=201906690</v>
      </c>
      <c r="X3085" s="1" t="s">
        <v>11505</v>
      </c>
      <c r="Y3085" s="1" t="s">
        <v>11506</v>
      </c>
      <c r="Z3085" s="1" t="s">
        <v>11507</v>
      </c>
      <c r="AA3085" s="1">
        <v>201900000</v>
      </c>
      <c r="AB3085" s="1">
        <v>35</v>
      </c>
    </row>
    <row r="3086" spans="1:28" x14ac:dyDescent="0.2">
      <c r="A3086" s="1">
        <v>8041</v>
      </c>
      <c r="B3086" s="1" t="s">
        <v>10590</v>
      </c>
      <c r="D3086" s="1" t="s">
        <v>10685</v>
      </c>
      <c r="F3086" s="1" t="s">
        <v>11077</v>
      </c>
      <c r="H3086" s="1" t="s">
        <v>11235</v>
      </c>
      <c r="J3086" s="1" t="s">
        <v>11236</v>
      </c>
      <c r="L3086" s="1" t="s">
        <v>2078</v>
      </c>
      <c r="N3086" s="1" t="s">
        <v>4649</v>
      </c>
      <c r="P3086" s="1" t="s">
        <v>6774</v>
      </c>
      <c r="Q3086" s="3">
        <v>0</v>
      </c>
      <c r="R3086" s="23" t="s">
        <v>10605</v>
      </c>
      <c r="S3086" s="23" t="s">
        <v>6844</v>
      </c>
      <c r="T3086" s="23" t="s">
        <v>4866</v>
      </c>
      <c r="U3086" s="3">
        <v>35</v>
      </c>
      <c r="W3086" s="45" t="str">
        <f>HYPERLINK("http://ictvonline.org/taxonomy/p/taxonomy-history?taxnode_id=201906689","ICTVonline=201906689")</f>
        <v>ICTVonline=201906689</v>
      </c>
      <c r="X3086" s="1" t="s">
        <v>11508</v>
      </c>
      <c r="Y3086" s="1" t="s">
        <v>11509</v>
      </c>
      <c r="Z3086" s="1" t="s">
        <v>11510</v>
      </c>
      <c r="AA3086" s="1">
        <v>201900000</v>
      </c>
      <c r="AB3086" s="1">
        <v>35</v>
      </c>
    </row>
    <row r="3087" spans="1:28" x14ac:dyDescent="0.2">
      <c r="A3087" s="1">
        <v>8045</v>
      </c>
      <c r="B3087" s="1" t="s">
        <v>10590</v>
      </c>
      <c r="D3087" s="1" t="s">
        <v>10685</v>
      </c>
      <c r="F3087" s="1" t="s">
        <v>11077</v>
      </c>
      <c r="H3087" s="1" t="s">
        <v>11235</v>
      </c>
      <c r="J3087" s="1" t="s">
        <v>11236</v>
      </c>
      <c r="L3087" s="1" t="s">
        <v>2078</v>
      </c>
      <c r="N3087" s="1" t="s">
        <v>673</v>
      </c>
      <c r="P3087" s="1" t="s">
        <v>3768</v>
      </c>
      <c r="Q3087" s="3">
        <v>0</v>
      </c>
      <c r="R3087" s="23" t="s">
        <v>10605</v>
      </c>
      <c r="S3087" s="23" t="s">
        <v>6844</v>
      </c>
      <c r="T3087" s="23" t="s">
        <v>4866</v>
      </c>
      <c r="U3087" s="3">
        <v>35</v>
      </c>
      <c r="W3087" s="45" t="str">
        <f>HYPERLINK("http://ictvonline.org/taxonomy/p/taxonomy-history?taxnode_id=201903511","ICTVonline=201903511")</f>
        <v>ICTVonline=201903511</v>
      </c>
      <c r="Y3087" s="1" t="s">
        <v>11511</v>
      </c>
      <c r="Z3087" s="1" t="s">
        <v>11512</v>
      </c>
      <c r="AA3087" s="1">
        <v>201900000</v>
      </c>
      <c r="AB3087" s="1">
        <v>35</v>
      </c>
    </row>
    <row r="3088" spans="1:28" x14ac:dyDescent="0.2">
      <c r="A3088" s="1">
        <v>8047</v>
      </c>
      <c r="B3088" s="1" t="s">
        <v>10590</v>
      </c>
      <c r="D3088" s="1" t="s">
        <v>10685</v>
      </c>
      <c r="F3088" s="1" t="s">
        <v>11077</v>
      </c>
      <c r="H3088" s="1" t="s">
        <v>11235</v>
      </c>
      <c r="J3088" s="1" t="s">
        <v>11236</v>
      </c>
      <c r="L3088" s="1" t="s">
        <v>2078</v>
      </c>
      <c r="N3088" s="1" t="s">
        <v>673</v>
      </c>
      <c r="P3088" s="1" t="s">
        <v>2234</v>
      </c>
      <c r="Q3088" s="3">
        <v>0</v>
      </c>
      <c r="R3088" s="23" t="s">
        <v>10605</v>
      </c>
      <c r="S3088" s="23" t="s">
        <v>6844</v>
      </c>
      <c r="T3088" s="23" t="s">
        <v>4866</v>
      </c>
      <c r="U3088" s="3">
        <v>35</v>
      </c>
      <c r="W3088" s="45" t="str">
        <f>HYPERLINK("http://ictvonline.org/taxonomy/p/taxonomy-history?taxnode_id=201903512","ICTVonline=201903512")</f>
        <v>ICTVonline=201903512</v>
      </c>
      <c r="AA3088" s="1">
        <v>201900000</v>
      </c>
      <c r="AB3088" s="1">
        <v>35</v>
      </c>
    </row>
    <row r="3089" spans="1:28" x14ac:dyDescent="0.2">
      <c r="A3089" s="1">
        <v>8049</v>
      </c>
      <c r="B3089" s="1" t="s">
        <v>10590</v>
      </c>
      <c r="D3089" s="1" t="s">
        <v>10685</v>
      </c>
      <c r="F3089" s="1" t="s">
        <v>11077</v>
      </c>
      <c r="H3089" s="1" t="s">
        <v>11235</v>
      </c>
      <c r="J3089" s="1" t="s">
        <v>11236</v>
      </c>
      <c r="L3089" s="1" t="s">
        <v>2078</v>
      </c>
      <c r="N3089" s="1" t="s">
        <v>673</v>
      </c>
      <c r="P3089" s="1" t="s">
        <v>2235</v>
      </c>
      <c r="Q3089" s="3">
        <v>0</v>
      </c>
      <c r="R3089" s="23" t="s">
        <v>10605</v>
      </c>
      <c r="S3089" s="23" t="s">
        <v>6844</v>
      </c>
      <c r="T3089" s="23" t="s">
        <v>4866</v>
      </c>
      <c r="U3089" s="3">
        <v>35</v>
      </c>
      <c r="W3089" s="45" t="str">
        <f>HYPERLINK("http://ictvonline.org/taxonomy/p/taxonomy-history?taxnode_id=201903513","ICTVonline=201903513")</f>
        <v>ICTVonline=201903513</v>
      </c>
      <c r="AA3089" s="1">
        <v>201900000</v>
      </c>
      <c r="AB3089" s="1">
        <v>35</v>
      </c>
    </row>
    <row r="3090" spans="1:28" x14ac:dyDescent="0.2">
      <c r="A3090" s="1">
        <v>8051</v>
      </c>
      <c r="B3090" s="1" t="s">
        <v>10590</v>
      </c>
      <c r="D3090" s="1" t="s">
        <v>10685</v>
      </c>
      <c r="F3090" s="1" t="s">
        <v>11077</v>
      </c>
      <c r="H3090" s="1" t="s">
        <v>11235</v>
      </c>
      <c r="J3090" s="1" t="s">
        <v>11236</v>
      </c>
      <c r="L3090" s="1" t="s">
        <v>2078</v>
      </c>
      <c r="N3090" s="1" t="s">
        <v>673</v>
      </c>
      <c r="P3090" s="1" t="s">
        <v>2236</v>
      </c>
      <c r="Q3090" s="3">
        <v>0</v>
      </c>
      <c r="R3090" s="23" t="s">
        <v>10605</v>
      </c>
      <c r="S3090" s="23" t="s">
        <v>6844</v>
      </c>
      <c r="T3090" s="23" t="s">
        <v>4866</v>
      </c>
      <c r="U3090" s="3">
        <v>35</v>
      </c>
      <c r="W3090" s="45" t="str">
        <f>HYPERLINK("http://ictvonline.org/taxonomy/p/taxonomy-history?taxnode_id=201903514","ICTVonline=201903514")</f>
        <v>ICTVonline=201903514</v>
      </c>
      <c r="AA3090" s="1">
        <v>201900000</v>
      </c>
      <c r="AB3090" s="1">
        <v>35</v>
      </c>
    </row>
    <row r="3091" spans="1:28" x14ac:dyDescent="0.2">
      <c r="A3091" s="1">
        <v>8053</v>
      </c>
      <c r="B3091" s="1" t="s">
        <v>10590</v>
      </c>
      <c r="D3091" s="1" t="s">
        <v>10685</v>
      </c>
      <c r="F3091" s="1" t="s">
        <v>11077</v>
      </c>
      <c r="H3091" s="1" t="s">
        <v>11235</v>
      </c>
      <c r="J3091" s="1" t="s">
        <v>11236</v>
      </c>
      <c r="L3091" s="1" t="s">
        <v>2078</v>
      </c>
      <c r="N3091" s="1" t="s">
        <v>673</v>
      </c>
      <c r="P3091" s="1" t="s">
        <v>2237</v>
      </c>
      <c r="Q3091" s="3">
        <v>0</v>
      </c>
      <c r="R3091" s="23" t="s">
        <v>10605</v>
      </c>
      <c r="S3091" s="23" t="s">
        <v>6844</v>
      </c>
      <c r="T3091" s="23" t="s">
        <v>4866</v>
      </c>
      <c r="U3091" s="3">
        <v>35</v>
      </c>
      <c r="W3091" s="45" t="str">
        <f>HYPERLINK("http://ictvonline.org/taxonomy/p/taxonomy-history?taxnode_id=201903515","ICTVonline=201903515")</f>
        <v>ICTVonline=201903515</v>
      </c>
      <c r="AA3091" s="1">
        <v>201900000</v>
      </c>
      <c r="AB3091" s="1">
        <v>35</v>
      </c>
    </row>
    <row r="3092" spans="1:28" x14ac:dyDescent="0.2">
      <c r="A3092" s="1">
        <v>8055</v>
      </c>
      <c r="B3092" s="1" t="s">
        <v>10590</v>
      </c>
      <c r="D3092" s="1" t="s">
        <v>10685</v>
      </c>
      <c r="F3092" s="1" t="s">
        <v>11077</v>
      </c>
      <c r="H3092" s="1" t="s">
        <v>11235</v>
      </c>
      <c r="J3092" s="1" t="s">
        <v>11236</v>
      </c>
      <c r="L3092" s="1" t="s">
        <v>2078</v>
      </c>
      <c r="N3092" s="1" t="s">
        <v>673</v>
      </c>
      <c r="P3092" s="1" t="s">
        <v>2238</v>
      </c>
      <c r="Q3092" s="3">
        <v>0</v>
      </c>
      <c r="R3092" s="23" t="s">
        <v>10605</v>
      </c>
      <c r="S3092" s="23" t="s">
        <v>6844</v>
      </c>
      <c r="T3092" s="23" t="s">
        <v>4866</v>
      </c>
      <c r="U3092" s="3">
        <v>35</v>
      </c>
      <c r="W3092" s="45" t="str">
        <f>HYPERLINK("http://ictvonline.org/taxonomy/p/taxonomy-history?taxnode_id=201903516","ICTVonline=201903516")</f>
        <v>ICTVonline=201903516</v>
      </c>
      <c r="AA3092" s="1">
        <v>201900000</v>
      </c>
      <c r="AB3092" s="1">
        <v>35</v>
      </c>
    </row>
    <row r="3093" spans="1:28" x14ac:dyDescent="0.2">
      <c r="A3093" s="1">
        <v>8057</v>
      </c>
      <c r="B3093" s="1" t="s">
        <v>10590</v>
      </c>
      <c r="D3093" s="1" t="s">
        <v>10685</v>
      </c>
      <c r="F3093" s="1" t="s">
        <v>11077</v>
      </c>
      <c r="H3093" s="1" t="s">
        <v>11235</v>
      </c>
      <c r="J3093" s="1" t="s">
        <v>11236</v>
      </c>
      <c r="L3093" s="1" t="s">
        <v>2078</v>
      </c>
      <c r="N3093" s="1" t="s">
        <v>673</v>
      </c>
      <c r="P3093" s="1" t="s">
        <v>5365</v>
      </c>
      <c r="Q3093" s="3">
        <v>0</v>
      </c>
      <c r="R3093" s="23" t="s">
        <v>10605</v>
      </c>
      <c r="S3093" s="23" t="s">
        <v>6844</v>
      </c>
      <c r="T3093" s="23" t="s">
        <v>4866</v>
      </c>
      <c r="U3093" s="3">
        <v>35</v>
      </c>
      <c r="W3093" s="45" t="str">
        <f>HYPERLINK("http://ictvonline.org/taxonomy/p/taxonomy-history?taxnode_id=201905853","ICTVonline=201905853")</f>
        <v>ICTVonline=201905853</v>
      </c>
      <c r="AA3093" s="1">
        <v>201900000</v>
      </c>
      <c r="AB3093" s="1">
        <v>35</v>
      </c>
    </row>
    <row r="3094" spans="1:28" x14ac:dyDescent="0.2">
      <c r="A3094" s="1">
        <v>8059</v>
      </c>
      <c r="B3094" s="1" t="s">
        <v>10590</v>
      </c>
      <c r="D3094" s="1" t="s">
        <v>10685</v>
      </c>
      <c r="F3094" s="1" t="s">
        <v>11077</v>
      </c>
      <c r="H3094" s="1" t="s">
        <v>11235</v>
      </c>
      <c r="J3094" s="1" t="s">
        <v>11236</v>
      </c>
      <c r="L3094" s="1" t="s">
        <v>2078</v>
      </c>
      <c r="N3094" s="1" t="s">
        <v>673</v>
      </c>
      <c r="P3094" s="1" t="s">
        <v>2239</v>
      </c>
      <c r="Q3094" s="3">
        <v>0</v>
      </c>
      <c r="R3094" s="23" t="s">
        <v>10605</v>
      </c>
      <c r="S3094" s="23" t="s">
        <v>6844</v>
      </c>
      <c r="T3094" s="23" t="s">
        <v>4866</v>
      </c>
      <c r="U3094" s="3">
        <v>35</v>
      </c>
      <c r="W3094" s="45" t="str">
        <f>HYPERLINK("http://ictvonline.org/taxonomy/p/taxonomy-history?taxnode_id=201903517","ICTVonline=201903517")</f>
        <v>ICTVonline=201903517</v>
      </c>
      <c r="AA3094" s="1">
        <v>201900000</v>
      </c>
      <c r="AB3094" s="1">
        <v>35</v>
      </c>
    </row>
    <row r="3095" spans="1:28" x14ac:dyDescent="0.2">
      <c r="A3095" s="1">
        <v>8061</v>
      </c>
      <c r="B3095" s="1" t="s">
        <v>10590</v>
      </c>
      <c r="D3095" s="1" t="s">
        <v>10685</v>
      </c>
      <c r="F3095" s="1" t="s">
        <v>11077</v>
      </c>
      <c r="H3095" s="1" t="s">
        <v>11235</v>
      </c>
      <c r="J3095" s="1" t="s">
        <v>11236</v>
      </c>
      <c r="L3095" s="1" t="s">
        <v>2078</v>
      </c>
      <c r="N3095" s="1" t="s">
        <v>673</v>
      </c>
      <c r="P3095" s="1" t="s">
        <v>1476</v>
      </c>
      <c r="Q3095" s="3">
        <v>0</v>
      </c>
      <c r="R3095" s="23" t="s">
        <v>10605</v>
      </c>
      <c r="S3095" s="23" t="s">
        <v>6844</v>
      </c>
      <c r="T3095" s="23" t="s">
        <v>4866</v>
      </c>
      <c r="U3095" s="3">
        <v>35</v>
      </c>
      <c r="W3095" s="45" t="str">
        <f>HYPERLINK("http://ictvonline.org/taxonomy/p/taxonomy-history?taxnode_id=201903518","ICTVonline=201903518")</f>
        <v>ICTVonline=201903518</v>
      </c>
      <c r="AA3095" s="1">
        <v>201900000</v>
      </c>
      <c r="AB3095" s="1">
        <v>35</v>
      </c>
    </row>
    <row r="3096" spans="1:28" x14ac:dyDescent="0.2">
      <c r="A3096" s="1">
        <v>8063</v>
      </c>
      <c r="B3096" s="1" t="s">
        <v>10590</v>
      </c>
      <c r="D3096" s="1" t="s">
        <v>10685</v>
      </c>
      <c r="F3096" s="1" t="s">
        <v>11077</v>
      </c>
      <c r="H3096" s="1" t="s">
        <v>11235</v>
      </c>
      <c r="J3096" s="1" t="s">
        <v>11236</v>
      </c>
      <c r="L3096" s="1" t="s">
        <v>2078</v>
      </c>
      <c r="N3096" s="1" t="s">
        <v>673</v>
      </c>
      <c r="P3096" s="1" t="s">
        <v>2240</v>
      </c>
      <c r="Q3096" s="3">
        <v>0</v>
      </c>
      <c r="R3096" s="23" t="s">
        <v>10605</v>
      </c>
      <c r="S3096" s="23" t="s">
        <v>6844</v>
      </c>
      <c r="T3096" s="23" t="s">
        <v>4866</v>
      </c>
      <c r="U3096" s="3">
        <v>35</v>
      </c>
      <c r="W3096" s="45" t="str">
        <f>HYPERLINK("http://ictvonline.org/taxonomy/p/taxonomy-history?taxnode_id=201903519","ICTVonline=201903519")</f>
        <v>ICTVonline=201903519</v>
      </c>
      <c r="AA3096" s="1">
        <v>201900000</v>
      </c>
      <c r="AB3096" s="1">
        <v>35</v>
      </c>
    </row>
    <row r="3097" spans="1:28" x14ac:dyDescent="0.2">
      <c r="A3097" s="1">
        <v>8065</v>
      </c>
      <c r="B3097" s="1" t="s">
        <v>10590</v>
      </c>
      <c r="D3097" s="1" t="s">
        <v>10685</v>
      </c>
      <c r="F3097" s="1" t="s">
        <v>11077</v>
      </c>
      <c r="H3097" s="1" t="s">
        <v>11235</v>
      </c>
      <c r="J3097" s="1" t="s">
        <v>11236</v>
      </c>
      <c r="L3097" s="1" t="s">
        <v>2078</v>
      </c>
      <c r="N3097" s="1" t="s">
        <v>673</v>
      </c>
      <c r="P3097" s="1" t="s">
        <v>2241</v>
      </c>
      <c r="Q3097" s="3">
        <v>0</v>
      </c>
      <c r="R3097" s="23" t="s">
        <v>10605</v>
      </c>
      <c r="S3097" s="23" t="s">
        <v>6844</v>
      </c>
      <c r="T3097" s="23" t="s">
        <v>4866</v>
      </c>
      <c r="U3097" s="3">
        <v>35</v>
      </c>
      <c r="W3097" s="45" t="str">
        <f>HYPERLINK("http://ictvonline.org/taxonomy/p/taxonomy-history?taxnode_id=201903520","ICTVonline=201903520")</f>
        <v>ICTVonline=201903520</v>
      </c>
      <c r="AA3097" s="1">
        <v>201900000</v>
      </c>
      <c r="AB3097" s="1">
        <v>35</v>
      </c>
    </row>
    <row r="3098" spans="1:28" x14ac:dyDescent="0.2">
      <c r="A3098" s="1">
        <v>8067</v>
      </c>
      <c r="B3098" s="1" t="s">
        <v>10590</v>
      </c>
      <c r="D3098" s="1" t="s">
        <v>10685</v>
      </c>
      <c r="F3098" s="1" t="s">
        <v>11077</v>
      </c>
      <c r="H3098" s="1" t="s">
        <v>11235</v>
      </c>
      <c r="J3098" s="1" t="s">
        <v>11236</v>
      </c>
      <c r="L3098" s="1" t="s">
        <v>2078</v>
      </c>
      <c r="N3098" s="1" t="s">
        <v>673</v>
      </c>
      <c r="P3098" s="1" t="s">
        <v>1477</v>
      </c>
      <c r="Q3098" s="3">
        <v>0</v>
      </c>
      <c r="R3098" s="23" t="s">
        <v>10605</v>
      </c>
      <c r="S3098" s="23" t="s">
        <v>6844</v>
      </c>
      <c r="T3098" s="23" t="s">
        <v>4866</v>
      </c>
      <c r="U3098" s="3">
        <v>35</v>
      </c>
      <c r="W3098" s="45" t="str">
        <f>HYPERLINK("http://ictvonline.org/taxonomy/p/taxonomy-history?taxnode_id=201903521","ICTVonline=201903521")</f>
        <v>ICTVonline=201903521</v>
      </c>
      <c r="AA3098" s="1">
        <v>201900000</v>
      </c>
      <c r="AB3098" s="1">
        <v>35</v>
      </c>
    </row>
    <row r="3099" spans="1:28" x14ac:dyDescent="0.2">
      <c r="A3099" s="1">
        <v>8069</v>
      </c>
      <c r="B3099" s="1" t="s">
        <v>10590</v>
      </c>
      <c r="D3099" s="1" t="s">
        <v>10685</v>
      </c>
      <c r="F3099" s="1" t="s">
        <v>11077</v>
      </c>
      <c r="H3099" s="1" t="s">
        <v>11235</v>
      </c>
      <c r="J3099" s="1" t="s">
        <v>11236</v>
      </c>
      <c r="L3099" s="1" t="s">
        <v>2078</v>
      </c>
      <c r="N3099" s="1" t="s">
        <v>673</v>
      </c>
      <c r="P3099" s="1" t="s">
        <v>5366</v>
      </c>
      <c r="Q3099" s="3">
        <v>0</v>
      </c>
      <c r="R3099" s="23" t="s">
        <v>10605</v>
      </c>
      <c r="S3099" s="23" t="s">
        <v>6844</v>
      </c>
      <c r="T3099" s="23" t="s">
        <v>4866</v>
      </c>
      <c r="U3099" s="3">
        <v>35</v>
      </c>
      <c r="W3099" s="45" t="str">
        <f>HYPERLINK("http://ictvonline.org/taxonomy/p/taxonomy-history?taxnode_id=201905854","ICTVonline=201905854")</f>
        <v>ICTVonline=201905854</v>
      </c>
      <c r="AA3099" s="1">
        <v>201900000</v>
      </c>
      <c r="AB3099" s="1">
        <v>35</v>
      </c>
    </row>
    <row r="3100" spans="1:28" x14ac:dyDescent="0.2">
      <c r="A3100" s="1">
        <v>8071</v>
      </c>
      <c r="B3100" s="1" t="s">
        <v>10590</v>
      </c>
      <c r="D3100" s="1" t="s">
        <v>10685</v>
      </c>
      <c r="F3100" s="1" t="s">
        <v>11077</v>
      </c>
      <c r="H3100" s="1" t="s">
        <v>11235</v>
      </c>
      <c r="J3100" s="1" t="s">
        <v>11236</v>
      </c>
      <c r="L3100" s="1" t="s">
        <v>2078</v>
      </c>
      <c r="N3100" s="1" t="s">
        <v>673</v>
      </c>
      <c r="P3100" s="1" t="s">
        <v>2242</v>
      </c>
      <c r="Q3100" s="3">
        <v>0</v>
      </c>
      <c r="R3100" s="23" t="s">
        <v>10605</v>
      </c>
      <c r="S3100" s="23" t="s">
        <v>6844</v>
      </c>
      <c r="T3100" s="23" t="s">
        <v>4866</v>
      </c>
      <c r="U3100" s="3">
        <v>35</v>
      </c>
      <c r="W3100" s="45" t="str">
        <f>HYPERLINK("http://ictvonline.org/taxonomy/p/taxonomy-history?taxnode_id=201903522","ICTVonline=201903522")</f>
        <v>ICTVonline=201903522</v>
      </c>
      <c r="AA3100" s="1">
        <v>201900000</v>
      </c>
      <c r="AB3100" s="1">
        <v>35</v>
      </c>
    </row>
    <row r="3101" spans="1:28" x14ac:dyDescent="0.2">
      <c r="A3101" s="1">
        <v>8073</v>
      </c>
      <c r="B3101" s="1" t="s">
        <v>10590</v>
      </c>
      <c r="D3101" s="1" t="s">
        <v>10685</v>
      </c>
      <c r="F3101" s="1" t="s">
        <v>11077</v>
      </c>
      <c r="H3101" s="1" t="s">
        <v>11235</v>
      </c>
      <c r="J3101" s="1" t="s">
        <v>11236</v>
      </c>
      <c r="L3101" s="1" t="s">
        <v>2078</v>
      </c>
      <c r="N3101" s="1" t="s">
        <v>673</v>
      </c>
      <c r="P3101" s="1" t="s">
        <v>562</v>
      </c>
      <c r="Q3101" s="3">
        <v>0</v>
      </c>
      <c r="R3101" s="23" t="s">
        <v>10605</v>
      </c>
      <c r="S3101" s="23" t="s">
        <v>6844</v>
      </c>
      <c r="T3101" s="23" t="s">
        <v>4866</v>
      </c>
      <c r="U3101" s="3">
        <v>35</v>
      </c>
      <c r="W3101" s="45" t="str">
        <f>HYPERLINK("http://ictvonline.org/taxonomy/p/taxonomy-history?taxnode_id=201903523","ICTVonline=201903523")</f>
        <v>ICTVonline=201903523</v>
      </c>
      <c r="AA3101" s="1">
        <v>201900000</v>
      </c>
      <c r="AB3101" s="1">
        <v>35</v>
      </c>
    </row>
    <row r="3102" spans="1:28" x14ac:dyDescent="0.2">
      <c r="A3102" s="1">
        <v>8075</v>
      </c>
      <c r="B3102" s="1" t="s">
        <v>10590</v>
      </c>
      <c r="D3102" s="1" t="s">
        <v>10685</v>
      </c>
      <c r="F3102" s="1" t="s">
        <v>11077</v>
      </c>
      <c r="H3102" s="1" t="s">
        <v>11235</v>
      </c>
      <c r="J3102" s="1" t="s">
        <v>11236</v>
      </c>
      <c r="L3102" s="1" t="s">
        <v>2078</v>
      </c>
      <c r="N3102" s="1" t="s">
        <v>673</v>
      </c>
      <c r="P3102" s="1" t="s">
        <v>11513</v>
      </c>
      <c r="Q3102" s="3">
        <v>0</v>
      </c>
      <c r="R3102" s="23" t="s">
        <v>10596</v>
      </c>
      <c r="S3102" s="23" t="s">
        <v>6849</v>
      </c>
      <c r="T3102" s="23" t="s">
        <v>4864</v>
      </c>
      <c r="U3102" s="3">
        <v>35</v>
      </c>
      <c r="V3102" s="3" t="s">
        <v>11514</v>
      </c>
      <c r="W3102" s="45" t="str">
        <f>HYPERLINK("http://ictvonline.org/taxonomy/p/taxonomy-history?taxnode_id=201908695","ICTVonline=201908695")</f>
        <v>ICTVonline=201908695</v>
      </c>
      <c r="X3102" s="1" t="s">
        <v>11515</v>
      </c>
      <c r="Y3102" s="1" t="s">
        <v>11516</v>
      </c>
      <c r="Z3102" s="1" t="s">
        <v>11517</v>
      </c>
      <c r="AA3102" s="1">
        <v>201900000</v>
      </c>
      <c r="AB3102" s="1">
        <v>35</v>
      </c>
    </row>
    <row r="3103" spans="1:28" x14ac:dyDescent="0.2">
      <c r="A3103" s="1">
        <v>8077</v>
      </c>
      <c r="B3103" s="1" t="s">
        <v>10590</v>
      </c>
      <c r="D3103" s="1" t="s">
        <v>10685</v>
      </c>
      <c r="F3103" s="1" t="s">
        <v>11077</v>
      </c>
      <c r="H3103" s="1" t="s">
        <v>11235</v>
      </c>
      <c r="J3103" s="1" t="s">
        <v>11236</v>
      </c>
      <c r="L3103" s="1" t="s">
        <v>2078</v>
      </c>
      <c r="N3103" s="1" t="s">
        <v>673</v>
      </c>
      <c r="P3103" s="1" t="s">
        <v>2243</v>
      </c>
      <c r="Q3103" s="3">
        <v>0</v>
      </c>
      <c r="R3103" s="23" t="s">
        <v>10605</v>
      </c>
      <c r="S3103" s="23" t="s">
        <v>6844</v>
      </c>
      <c r="T3103" s="23" t="s">
        <v>4866</v>
      </c>
      <c r="U3103" s="3">
        <v>35</v>
      </c>
      <c r="W3103" s="45" t="str">
        <f>HYPERLINK("http://ictvonline.org/taxonomy/p/taxonomy-history?taxnode_id=201903524","ICTVonline=201903524")</f>
        <v>ICTVonline=201903524</v>
      </c>
      <c r="AA3103" s="1">
        <v>201900000</v>
      </c>
      <c r="AB3103" s="1">
        <v>35</v>
      </c>
    </row>
    <row r="3104" spans="1:28" x14ac:dyDescent="0.2">
      <c r="A3104" s="1">
        <v>8079</v>
      </c>
      <c r="B3104" s="1" t="s">
        <v>10590</v>
      </c>
      <c r="D3104" s="1" t="s">
        <v>10685</v>
      </c>
      <c r="F3104" s="1" t="s">
        <v>11077</v>
      </c>
      <c r="H3104" s="1" t="s">
        <v>11235</v>
      </c>
      <c r="J3104" s="1" t="s">
        <v>11236</v>
      </c>
      <c r="L3104" s="1" t="s">
        <v>2078</v>
      </c>
      <c r="N3104" s="1" t="s">
        <v>673</v>
      </c>
      <c r="P3104" s="1" t="s">
        <v>1478</v>
      </c>
      <c r="Q3104" s="3">
        <v>1</v>
      </c>
      <c r="R3104" s="23" t="s">
        <v>10605</v>
      </c>
      <c r="S3104" s="23" t="s">
        <v>6844</v>
      </c>
      <c r="T3104" s="23" t="s">
        <v>4866</v>
      </c>
      <c r="U3104" s="3">
        <v>35</v>
      </c>
      <c r="W3104" s="45" t="str">
        <f>HYPERLINK("http://ictvonline.org/taxonomy/p/taxonomy-history?taxnode_id=201903525","ICTVonline=201903525")</f>
        <v>ICTVonline=201903525</v>
      </c>
      <c r="AA3104" s="1">
        <v>201900000</v>
      </c>
      <c r="AB3104" s="1">
        <v>35</v>
      </c>
    </row>
    <row r="3105" spans="1:28" x14ac:dyDescent="0.2">
      <c r="A3105" s="1">
        <v>8081</v>
      </c>
      <c r="B3105" s="1" t="s">
        <v>10590</v>
      </c>
      <c r="D3105" s="1" t="s">
        <v>10685</v>
      </c>
      <c r="F3105" s="1" t="s">
        <v>11077</v>
      </c>
      <c r="H3105" s="1" t="s">
        <v>11235</v>
      </c>
      <c r="J3105" s="1" t="s">
        <v>11236</v>
      </c>
      <c r="L3105" s="1" t="s">
        <v>2078</v>
      </c>
      <c r="N3105" s="1" t="s">
        <v>673</v>
      </c>
      <c r="P3105" s="1" t="s">
        <v>6775</v>
      </c>
      <c r="Q3105" s="3">
        <v>0</v>
      </c>
      <c r="R3105" s="23" t="s">
        <v>10605</v>
      </c>
      <c r="S3105" s="23" t="s">
        <v>6844</v>
      </c>
      <c r="T3105" s="23" t="s">
        <v>4866</v>
      </c>
      <c r="U3105" s="3">
        <v>35</v>
      </c>
      <c r="W3105" s="45" t="str">
        <f>HYPERLINK("http://ictvonline.org/taxonomy/p/taxonomy-history?taxnode_id=201906685","ICTVonline=201906685")</f>
        <v>ICTVonline=201906685</v>
      </c>
      <c r="X3105" s="1" t="s">
        <v>11518</v>
      </c>
      <c r="Y3105" s="1" t="s">
        <v>11519</v>
      </c>
      <c r="Z3105" s="1" t="s">
        <v>11520</v>
      </c>
      <c r="AA3105" s="1">
        <v>201900000</v>
      </c>
      <c r="AB3105" s="1">
        <v>35</v>
      </c>
    </row>
    <row r="3106" spans="1:28" x14ac:dyDescent="0.2">
      <c r="A3106" s="1">
        <v>8083</v>
      </c>
      <c r="B3106" s="1" t="s">
        <v>10590</v>
      </c>
      <c r="D3106" s="1" t="s">
        <v>10685</v>
      </c>
      <c r="F3106" s="1" t="s">
        <v>11077</v>
      </c>
      <c r="H3106" s="1" t="s">
        <v>11235</v>
      </c>
      <c r="J3106" s="1" t="s">
        <v>11236</v>
      </c>
      <c r="L3106" s="1" t="s">
        <v>2078</v>
      </c>
      <c r="N3106" s="1" t="s">
        <v>673</v>
      </c>
      <c r="P3106" s="1" t="s">
        <v>369</v>
      </c>
      <c r="Q3106" s="3">
        <v>0</v>
      </c>
      <c r="R3106" s="23" t="s">
        <v>10605</v>
      </c>
      <c r="S3106" s="23" t="s">
        <v>6844</v>
      </c>
      <c r="T3106" s="23" t="s">
        <v>4866</v>
      </c>
      <c r="U3106" s="3">
        <v>35</v>
      </c>
      <c r="W3106" s="45" t="str">
        <f>HYPERLINK("http://ictvonline.org/taxonomy/p/taxonomy-history?taxnode_id=201903526","ICTVonline=201903526")</f>
        <v>ICTVonline=201903526</v>
      </c>
      <c r="AA3106" s="1">
        <v>201900000</v>
      </c>
      <c r="AB3106" s="1">
        <v>35</v>
      </c>
    </row>
    <row r="3107" spans="1:28" x14ac:dyDescent="0.2">
      <c r="A3107" s="1">
        <v>8085</v>
      </c>
      <c r="B3107" s="1" t="s">
        <v>10590</v>
      </c>
      <c r="D3107" s="1" t="s">
        <v>10685</v>
      </c>
      <c r="F3107" s="1" t="s">
        <v>11077</v>
      </c>
      <c r="H3107" s="1" t="s">
        <v>11235</v>
      </c>
      <c r="J3107" s="1" t="s">
        <v>11236</v>
      </c>
      <c r="L3107" s="1" t="s">
        <v>2078</v>
      </c>
      <c r="N3107" s="1" t="s">
        <v>673</v>
      </c>
      <c r="P3107" s="1" t="s">
        <v>2244</v>
      </c>
      <c r="Q3107" s="3">
        <v>0</v>
      </c>
      <c r="R3107" s="23" t="s">
        <v>10605</v>
      </c>
      <c r="S3107" s="23" t="s">
        <v>6844</v>
      </c>
      <c r="T3107" s="23" t="s">
        <v>4866</v>
      </c>
      <c r="U3107" s="3">
        <v>35</v>
      </c>
      <c r="W3107" s="45" t="str">
        <f>HYPERLINK("http://ictvonline.org/taxonomy/p/taxonomy-history?taxnode_id=201903527","ICTVonline=201903527")</f>
        <v>ICTVonline=201903527</v>
      </c>
      <c r="AA3107" s="1">
        <v>201900000</v>
      </c>
      <c r="AB3107" s="1">
        <v>35</v>
      </c>
    </row>
    <row r="3108" spans="1:28" x14ac:dyDescent="0.2">
      <c r="A3108" s="1">
        <v>8087</v>
      </c>
      <c r="B3108" s="1" t="s">
        <v>10590</v>
      </c>
      <c r="D3108" s="1" t="s">
        <v>10685</v>
      </c>
      <c r="F3108" s="1" t="s">
        <v>11077</v>
      </c>
      <c r="H3108" s="1" t="s">
        <v>11235</v>
      </c>
      <c r="J3108" s="1" t="s">
        <v>11236</v>
      </c>
      <c r="L3108" s="1" t="s">
        <v>2078</v>
      </c>
      <c r="N3108" s="1" t="s">
        <v>673</v>
      </c>
      <c r="P3108" s="1" t="s">
        <v>370</v>
      </c>
      <c r="Q3108" s="3">
        <v>0</v>
      </c>
      <c r="R3108" s="23" t="s">
        <v>10605</v>
      </c>
      <c r="S3108" s="23" t="s">
        <v>6844</v>
      </c>
      <c r="T3108" s="23" t="s">
        <v>4866</v>
      </c>
      <c r="U3108" s="3">
        <v>35</v>
      </c>
      <c r="W3108" s="45" t="str">
        <f>HYPERLINK("http://ictvonline.org/taxonomy/p/taxonomy-history?taxnode_id=201903528","ICTVonline=201903528")</f>
        <v>ICTVonline=201903528</v>
      </c>
      <c r="AA3108" s="1">
        <v>201900000</v>
      </c>
      <c r="AB3108" s="1">
        <v>35</v>
      </c>
    </row>
    <row r="3109" spans="1:28" x14ac:dyDescent="0.2">
      <c r="A3109" s="1">
        <v>8089</v>
      </c>
      <c r="B3109" s="1" t="s">
        <v>10590</v>
      </c>
      <c r="D3109" s="1" t="s">
        <v>10685</v>
      </c>
      <c r="F3109" s="1" t="s">
        <v>11077</v>
      </c>
      <c r="H3109" s="1" t="s">
        <v>11235</v>
      </c>
      <c r="J3109" s="1" t="s">
        <v>11236</v>
      </c>
      <c r="L3109" s="1" t="s">
        <v>2078</v>
      </c>
      <c r="N3109" s="1" t="s">
        <v>673</v>
      </c>
      <c r="P3109" s="1" t="s">
        <v>2245</v>
      </c>
      <c r="Q3109" s="3">
        <v>0</v>
      </c>
      <c r="R3109" s="23" t="s">
        <v>10605</v>
      </c>
      <c r="S3109" s="23" t="s">
        <v>6844</v>
      </c>
      <c r="T3109" s="23" t="s">
        <v>4866</v>
      </c>
      <c r="U3109" s="3">
        <v>35</v>
      </c>
      <c r="W3109" s="45" t="str">
        <f>HYPERLINK("http://ictvonline.org/taxonomy/p/taxonomy-history?taxnode_id=201903529","ICTVonline=201903529")</f>
        <v>ICTVonline=201903529</v>
      </c>
      <c r="AA3109" s="1">
        <v>201900000</v>
      </c>
      <c r="AB3109" s="1">
        <v>35</v>
      </c>
    </row>
    <row r="3110" spans="1:28" x14ac:dyDescent="0.2">
      <c r="A3110" s="1">
        <v>8091</v>
      </c>
      <c r="B3110" s="1" t="s">
        <v>10590</v>
      </c>
      <c r="D3110" s="1" t="s">
        <v>10685</v>
      </c>
      <c r="F3110" s="1" t="s">
        <v>11077</v>
      </c>
      <c r="H3110" s="1" t="s">
        <v>11235</v>
      </c>
      <c r="J3110" s="1" t="s">
        <v>11236</v>
      </c>
      <c r="L3110" s="1" t="s">
        <v>2078</v>
      </c>
      <c r="N3110" s="1" t="s">
        <v>673</v>
      </c>
      <c r="P3110" s="1" t="s">
        <v>2246</v>
      </c>
      <c r="Q3110" s="3">
        <v>0</v>
      </c>
      <c r="R3110" s="23" t="s">
        <v>10605</v>
      </c>
      <c r="S3110" s="23" t="s">
        <v>6844</v>
      </c>
      <c r="T3110" s="23" t="s">
        <v>4866</v>
      </c>
      <c r="U3110" s="3">
        <v>35</v>
      </c>
      <c r="W3110" s="45" t="str">
        <f>HYPERLINK("http://ictvonline.org/taxonomy/p/taxonomy-history?taxnode_id=201903530","ICTVonline=201903530")</f>
        <v>ICTVonline=201903530</v>
      </c>
      <c r="AA3110" s="1">
        <v>201900000</v>
      </c>
      <c r="AB3110" s="1">
        <v>35</v>
      </c>
    </row>
    <row r="3111" spans="1:28" x14ac:dyDescent="0.2">
      <c r="A3111" s="1">
        <v>8093</v>
      </c>
      <c r="B3111" s="1" t="s">
        <v>10590</v>
      </c>
      <c r="D3111" s="1" t="s">
        <v>10685</v>
      </c>
      <c r="F3111" s="1" t="s">
        <v>11077</v>
      </c>
      <c r="H3111" s="1" t="s">
        <v>11235</v>
      </c>
      <c r="J3111" s="1" t="s">
        <v>11236</v>
      </c>
      <c r="L3111" s="1" t="s">
        <v>2078</v>
      </c>
      <c r="N3111" s="1" t="s">
        <v>673</v>
      </c>
      <c r="P3111" s="1" t="s">
        <v>6776</v>
      </c>
      <c r="Q3111" s="3">
        <v>0</v>
      </c>
      <c r="R3111" s="23" t="s">
        <v>10605</v>
      </c>
      <c r="S3111" s="23" t="s">
        <v>6844</v>
      </c>
      <c r="T3111" s="23" t="s">
        <v>4866</v>
      </c>
      <c r="U3111" s="3">
        <v>35</v>
      </c>
      <c r="W3111" s="45" t="str">
        <f>HYPERLINK("http://ictvonline.org/taxonomy/p/taxonomy-history?taxnode_id=201906686","ICTVonline=201906686")</f>
        <v>ICTVonline=201906686</v>
      </c>
      <c r="X3111" s="1" t="s">
        <v>11521</v>
      </c>
      <c r="Y3111" s="1" t="s">
        <v>11522</v>
      </c>
      <c r="Z3111" s="1" t="s">
        <v>11523</v>
      </c>
      <c r="AA3111" s="1">
        <v>201900000</v>
      </c>
      <c r="AB3111" s="1">
        <v>35</v>
      </c>
    </row>
    <row r="3112" spans="1:28" x14ac:dyDescent="0.2">
      <c r="A3112" s="1">
        <v>8095</v>
      </c>
      <c r="B3112" s="1" t="s">
        <v>10590</v>
      </c>
      <c r="D3112" s="1" t="s">
        <v>10685</v>
      </c>
      <c r="F3112" s="1" t="s">
        <v>11077</v>
      </c>
      <c r="H3112" s="1" t="s">
        <v>11235</v>
      </c>
      <c r="J3112" s="1" t="s">
        <v>11236</v>
      </c>
      <c r="L3112" s="1" t="s">
        <v>2078</v>
      </c>
      <c r="N3112" s="1" t="s">
        <v>673</v>
      </c>
      <c r="P3112" s="1" t="s">
        <v>6777</v>
      </c>
      <c r="Q3112" s="3">
        <v>0</v>
      </c>
      <c r="R3112" s="23" t="s">
        <v>10605</v>
      </c>
      <c r="S3112" s="23" t="s">
        <v>6844</v>
      </c>
      <c r="T3112" s="23" t="s">
        <v>4866</v>
      </c>
      <c r="U3112" s="3">
        <v>35</v>
      </c>
      <c r="W3112" s="45" t="str">
        <f>HYPERLINK("http://ictvonline.org/taxonomy/p/taxonomy-history?taxnode_id=201906687","ICTVonline=201906687")</f>
        <v>ICTVonline=201906687</v>
      </c>
      <c r="X3112" s="1" t="s">
        <v>11524</v>
      </c>
      <c r="Y3112" s="1" t="s">
        <v>11525</v>
      </c>
      <c r="Z3112" s="1" t="s">
        <v>11526</v>
      </c>
      <c r="AA3112" s="1">
        <v>201900000</v>
      </c>
      <c r="AB3112" s="1">
        <v>35</v>
      </c>
    </row>
    <row r="3113" spans="1:28" x14ac:dyDescent="0.2">
      <c r="A3113" s="1">
        <v>8097</v>
      </c>
      <c r="B3113" s="1" t="s">
        <v>10590</v>
      </c>
      <c r="D3113" s="1" t="s">
        <v>10685</v>
      </c>
      <c r="F3113" s="1" t="s">
        <v>11077</v>
      </c>
      <c r="H3113" s="1" t="s">
        <v>11235</v>
      </c>
      <c r="J3113" s="1" t="s">
        <v>11236</v>
      </c>
      <c r="L3113" s="1" t="s">
        <v>2078</v>
      </c>
      <c r="N3113" s="1" t="s">
        <v>673</v>
      </c>
      <c r="P3113" s="1" t="s">
        <v>2247</v>
      </c>
      <c r="Q3113" s="3">
        <v>0</v>
      </c>
      <c r="R3113" s="23" t="s">
        <v>10605</v>
      </c>
      <c r="S3113" s="23" t="s">
        <v>6844</v>
      </c>
      <c r="T3113" s="23" t="s">
        <v>4866</v>
      </c>
      <c r="U3113" s="3">
        <v>35</v>
      </c>
      <c r="W3113" s="45" t="str">
        <f>HYPERLINK("http://ictvonline.org/taxonomy/p/taxonomy-history?taxnode_id=201903531","ICTVonline=201903531")</f>
        <v>ICTVonline=201903531</v>
      </c>
      <c r="AA3113" s="1">
        <v>201900000</v>
      </c>
      <c r="AB3113" s="1">
        <v>35</v>
      </c>
    </row>
    <row r="3114" spans="1:28" x14ac:dyDescent="0.2">
      <c r="A3114" s="1">
        <v>8099</v>
      </c>
      <c r="B3114" s="1" t="s">
        <v>10590</v>
      </c>
      <c r="D3114" s="1" t="s">
        <v>10685</v>
      </c>
      <c r="F3114" s="1" t="s">
        <v>11077</v>
      </c>
      <c r="H3114" s="1" t="s">
        <v>11235</v>
      </c>
      <c r="J3114" s="1" t="s">
        <v>11236</v>
      </c>
      <c r="L3114" s="1" t="s">
        <v>2078</v>
      </c>
      <c r="N3114" s="1" t="s">
        <v>673</v>
      </c>
      <c r="P3114" s="1" t="s">
        <v>5367</v>
      </c>
      <c r="Q3114" s="3">
        <v>0</v>
      </c>
      <c r="R3114" s="23" t="s">
        <v>10605</v>
      </c>
      <c r="S3114" s="23" t="s">
        <v>6844</v>
      </c>
      <c r="T3114" s="23" t="s">
        <v>4866</v>
      </c>
      <c r="U3114" s="3">
        <v>35</v>
      </c>
      <c r="W3114" s="45" t="str">
        <f>HYPERLINK("http://ictvonline.org/taxonomy/p/taxonomy-history?taxnode_id=201903532","ICTVonline=201903532")</f>
        <v>ICTVonline=201903532</v>
      </c>
      <c r="AA3114" s="1">
        <v>201900000</v>
      </c>
      <c r="AB3114" s="1">
        <v>35</v>
      </c>
    </row>
    <row r="3115" spans="1:28" x14ac:dyDescent="0.2">
      <c r="A3115" s="1">
        <v>8101</v>
      </c>
      <c r="B3115" s="1" t="s">
        <v>10590</v>
      </c>
      <c r="D3115" s="1" t="s">
        <v>10685</v>
      </c>
      <c r="F3115" s="1" t="s">
        <v>11077</v>
      </c>
      <c r="H3115" s="1" t="s">
        <v>11235</v>
      </c>
      <c r="J3115" s="1" t="s">
        <v>11236</v>
      </c>
      <c r="L3115" s="1" t="s">
        <v>2078</v>
      </c>
      <c r="N3115" s="1" t="s">
        <v>673</v>
      </c>
      <c r="P3115" s="1" t="s">
        <v>5368</v>
      </c>
      <c r="Q3115" s="3">
        <v>0</v>
      </c>
      <c r="R3115" s="23" t="s">
        <v>10605</v>
      </c>
      <c r="S3115" s="23" t="s">
        <v>6844</v>
      </c>
      <c r="T3115" s="23" t="s">
        <v>4866</v>
      </c>
      <c r="U3115" s="3">
        <v>35</v>
      </c>
      <c r="W3115" s="45" t="str">
        <f>HYPERLINK("http://ictvonline.org/taxonomy/p/taxonomy-history?taxnode_id=201903533","ICTVonline=201903533")</f>
        <v>ICTVonline=201903533</v>
      </c>
      <c r="AA3115" s="1">
        <v>201900000</v>
      </c>
      <c r="AB3115" s="1">
        <v>35</v>
      </c>
    </row>
    <row r="3116" spans="1:28" x14ac:dyDescent="0.2">
      <c r="A3116" s="1">
        <v>8103</v>
      </c>
      <c r="B3116" s="1" t="s">
        <v>10590</v>
      </c>
      <c r="D3116" s="1" t="s">
        <v>10685</v>
      </c>
      <c r="F3116" s="1" t="s">
        <v>11077</v>
      </c>
      <c r="H3116" s="1" t="s">
        <v>11235</v>
      </c>
      <c r="J3116" s="1" t="s">
        <v>11236</v>
      </c>
      <c r="L3116" s="1" t="s">
        <v>2078</v>
      </c>
      <c r="N3116" s="1" t="s">
        <v>673</v>
      </c>
      <c r="P3116" s="1" t="s">
        <v>5369</v>
      </c>
      <c r="Q3116" s="3">
        <v>0</v>
      </c>
      <c r="R3116" s="23" t="s">
        <v>10605</v>
      </c>
      <c r="S3116" s="23" t="s">
        <v>6844</v>
      </c>
      <c r="T3116" s="23" t="s">
        <v>4866</v>
      </c>
      <c r="U3116" s="3">
        <v>35</v>
      </c>
      <c r="W3116" s="45" t="str">
        <f>HYPERLINK("http://ictvonline.org/taxonomy/p/taxonomy-history?taxnode_id=201905855","ICTVonline=201905855")</f>
        <v>ICTVonline=201905855</v>
      </c>
      <c r="AA3116" s="1">
        <v>201900000</v>
      </c>
      <c r="AB3116" s="1">
        <v>35</v>
      </c>
    </row>
    <row r="3117" spans="1:28" x14ac:dyDescent="0.2">
      <c r="A3117" s="1">
        <v>8105</v>
      </c>
      <c r="B3117" s="1" t="s">
        <v>10590</v>
      </c>
      <c r="D3117" s="1" t="s">
        <v>10685</v>
      </c>
      <c r="F3117" s="1" t="s">
        <v>11077</v>
      </c>
      <c r="H3117" s="1" t="s">
        <v>11235</v>
      </c>
      <c r="J3117" s="1" t="s">
        <v>11236</v>
      </c>
      <c r="L3117" s="1" t="s">
        <v>2078</v>
      </c>
      <c r="N3117" s="1" t="s">
        <v>673</v>
      </c>
      <c r="P3117" s="1" t="s">
        <v>371</v>
      </c>
      <c r="Q3117" s="3">
        <v>0</v>
      </c>
      <c r="R3117" s="23" t="s">
        <v>10605</v>
      </c>
      <c r="S3117" s="23" t="s">
        <v>6844</v>
      </c>
      <c r="T3117" s="23" t="s">
        <v>4866</v>
      </c>
      <c r="U3117" s="3">
        <v>35</v>
      </c>
      <c r="W3117" s="45" t="str">
        <f>HYPERLINK("http://ictvonline.org/taxonomy/p/taxonomy-history?taxnode_id=201903534","ICTVonline=201903534")</f>
        <v>ICTVonline=201903534</v>
      </c>
      <c r="AA3117" s="1">
        <v>201900000</v>
      </c>
      <c r="AB3117" s="1">
        <v>35</v>
      </c>
    </row>
    <row r="3118" spans="1:28" x14ac:dyDescent="0.2">
      <c r="A3118" s="1">
        <v>8107</v>
      </c>
      <c r="B3118" s="1" t="s">
        <v>10590</v>
      </c>
      <c r="D3118" s="1" t="s">
        <v>10685</v>
      </c>
      <c r="F3118" s="1" t="s">
        <v>11077</v>
      </c>
      <c r="H3118" s="1" t="s">
        <v>11235</v>
      </c>
      <c r="J3118" s="1" t="s">
        <v>11236</v>
      </c>
      <c r="L3118" s="1" t="s">
        <v>2078</v>
      </c>
      <c r="N3118" s="1" t="s">
        <v>673</v>
      </c>
      <c r="P3118" s="1" t="s">
        <v>372</v>
      </c>
      <c r="Q3118" s="3">
        <v>0</v>
      </c>
      <c r="R3118" s="23" t="s">
        <v>10605</v>
      </c>
      <c r="S3118" s="23" t="s">
        <v>6844</v>
      </c>
      <c r="T3118" s="23" t="s">
        <v>4866</v>
      </c>
      <c r="U3118" s="3">
        <v>35</v>
      </c>
      <c r="W3118" s="45" t="str">
        <f>HYPERLINK("http://ictvonline.org/taxonomy/p/taxonomy-history?taxnode_id=201903535","ICTVonline=201903535")</f>
        <v>ICTVonline=201903535</v>
      </c>
      <c r="AA3118" s="1">
        <v>201900000</v>
      </c>
      <c r="AB3118" s="1">
        <v>35</v>
      </c>
    </row>
    <row r="3119" spans="1:28" x14ac:dyDescent="0.2">
      <c r="A3119" s="1">
        <v>8109</v>
      </c>
      <c r="B3119" s="1" t="s">
        <v>10590</v>
      </c>
      <c r="D3119" s="1" t="s">
        <v>10685</v>
      </c>
      <c r="F3119" s="1" t="s">
        <v>11077</v>
      </c>
      <c r="H3119" s="1" t="s">
        <v>11235</v>
      </c>
      <c r="J3119" s="1" t="s">
        <v>11236</v>
      </c>
      <c r="L3119" s="1" t="s">
        <v>2078</v>
      </c>
      <c r="N3119" s="1" t="s">
        <v>673</v>
      </c>
      <c r="P3119" s="1" t="s">
        <v>373</v>
      </c>
      <c r="Q3119" s="3">
        <v>0</v>
      </c>
      <c r="R3119" s="23" t="s">
        <v>10605</v>
      </c>
      <c r="S3119" s="23" t="s">
        <v>6844</v>
      </c>
      <c r="T3119" s="23" t="s">
        <v>4866</v>
      </c>
      <c r="U3119" s="3">
        <v>35</v>
      </c>
      <c r="W3119" s="45" t="str">
        <f>HYPERLINK("http://ictvonline.org/taxonomy/p/taxonomy-history?taxnode_id=201903536","ICTVonline=201903536")</f>
        <v>ICTVonline=201903536</v>
      </c>
      <c r="AA3119" s="1">
        <v>201900000</v>
      </c>
      <c r="AB3119" s="1">
        <v>35</v>
      </c>
    </row>
    <row r="3120" spans="1:28" x14ac:dyDescent="0.2">
      <c r="A3120" s="1">
        <v>8111</v>
      </c>
      <c r="B3120" s="1" t="s">
        <v>10590</v>
      </c>
      <c r="D3120" s="1" t="s">
        <v>10685</v>
      </c>
      <c r="F3120" s="1" t="s">
        <v>11077</v>
      </c>
      <c r="H3120" s="1" t="s">
        <v>11235</v>
      </c>
      <c r="J3120" s="1" t="s">
        <v>11236</v>
      </c>
      <c r="L3120" s="1" t="s">
        <v>2078</v>
      </c>
      <c r="N3120" s="1" t="s">
        <v>673</v>
      </c>
      <c r="P3120" s="1" t="s">
        <v>5370</v>
      </c>
      <c r="Q3120" s="3">
        <v>0</v>
      </c>
      <c r="R3120" s="23" t="s">
        <v>10605</v>
      </c>
      <c r="S3120" s="23" t="s">
        <v>6844</v>
      </c>
      <c r="T3120" s="23" t="s">
        <v>4866</v>
      </c>
      <c r="U3120" s="3">
        <v>35</v>
      </c>
      <c r="W3120" s="45" t="str">
        <f>HYPERLINK("http://ictvonline.org/taxonomy/p/taxonomy-history?taxnode_id=201905856","ICTVonline=201905856")</f>
        <v>ICTVonline=201905856</v>
      </c>
      <c r="AA3120" s="1">
        <v>201900000</v>
      </c>
      <c r="AB3120" s="1">
        <v>35</v>
      </c>
    </row>
    <row r="3121" spans="1:28" x14ac:dyDescent="0.2">
      <c r="A3121" s="1">
        <v>8113</v>
      </c>
      <c r="B3121" s="1" t="s">
        <v>10590</v>
      </c>
      <c r="D3121" s="1" t="s">
        <v>10685</v>
      </c>
      <c r="F3121" s="1" t="s">
        <v>11077</v>
      </c>
      <c r="H3121" s="1" t="s">
        <v>11235</v>
      </c>
      <c r="J3121" s="1" t="s">
        <v>11236</v>
      </c>
      <c r="L3121" s="1" t="s">
        <v>2078</v>
      </c>
      <c r="N3121" s="1" t="s">
        <v>673</v>
      </c>
      <c r="P3121" s="1" t="s">
        <v>3769</v>
      </c>
      <c r="Q3121" s="3">
        <v>0</v>
      </c>
      <c r="R3121" s="23" t="s">
        <v>10605</v>
      </c>
      <c r="S3121" s="23" t="s">
        <v>6844</v>
      </c>
      <c r="T3121" s="23" t="s">
        <v>4866</v>
      </c>
      <c r="U3121" s="3">
        <v>35</v>
      </c>
      <c r="W3121" s="45" t="str">
        <f>HYPERLINK("http://ictvonline.org/taxonomy/p/taxonomy-history?taxnode_id=201903537","ICTVonline=201903537")</f>
        <v>ICTVonline=201903537</v>
      </c>
      <c r="Y3121" s="1" t="s">
        <v>11527</v>
      </c>
      <c r="Z3121" s="1" t="s">
        <v>11528</v>
      </c>
      <c r="AA3121" s="1">
        <v>201900000</v>
      </c>
      <c r="AB3121" s="1">
        <v>35</v>
      </c>
    </row>
    <row r="3122" spans="1:28" x14ac:dyDescent="0.2">
      <c r="A3122" s="1">
        <v>8115</v>
      </c>
      <c r="B3122" s="1" t="s">
        <v>10590</v>
      </c>
      <c r="D3122" s="1" t="s">
        <v>10685</v>
      </c>
      <c r="F3122" s="1" t="s">
        <v>11077</v>
      </c>
      <c r="H3122" s="1" t="s">
        <v>11235</v>
      </c>
      <c r="J3122" s="1" t="s">
        <v>11236</v>
      </c>
      <c r="L3122" s="1" t="s">
        <v>2078</v>
      </c>
      <c r="N3122" s="1" t="s">
        <v>673</v>
      </c>
      <c r="P3122" s="1" t="s">
        <v>5371</v>
      </c>
      <c r="Q3122" s="3">
        <v>0</v>
      </c>
      <c r="R3122" s="23" t="s">
        <v>10605</v>
      </c>
      <c r="S3122" s="23" t="s">
        <v>6844</v>
      </c>
      <c r="T3122" s="23" t="s">
        <v>4866</v>
      </c>
      <c r="U3122" s="3">
        <v>35</v>
      </c>
      <c r="W3122" s="45" t="str">
        <f>HYPERLINK("http://ictvonline.org/taxonomy/p/taxonomy-history?taxnode_id=201905857","ICTVonline=201905857")</f>
        <v>ICTVonline=201905857</v>
      </c>
      <c r="AA3122" s="1">
        <v>201900000</v>
      </c>
      <c r="AB3122" s="1">
        <v>35</v>
      </c>
    </row>
    <row r="3123" spans="1:28" x14ac:dyDescent="0.2">
      <c r="A3123" s="1">
        <v>8117</v>
      </c>
      <c r="B3123" s="1" t="s">
        <v>10590</v>
      </c>
      <c r="D3123" s="1" t="s">
        <v>10685</v>
      </c>
      <c r="F3123" s="1" t="s">
        <v>11077</v>
      </c>
      <c r="H3123" s="1" t="s">
        <v>11235</v>
      </c>
      <c r="J3123" s="1" t="s">
        <v>11236</v>
      </c>
      <c r="L3123" s="1" t="s">
        <v>2078</v>
      </c>
      <c r="N3123" s="1" t="s">
        <v>673</v>
      </c>
      <c r="P3123" s="1" t="s">
        <v>3770</v>
      </c>
      <c r="Q3123" s="3">
        <v>0</v>
      </c>
      <c r="R3123" s="23" t="s">
        <v>10605</v>
      </c>
      <c r="S3123" s="23" t="s">
        <v>6844</v>
      </c>
      <c r="T3123" s="23" t="s">
        <v>4866</v>
      </c>
      <c r="U3123" s="3">
        <v>35</v>
      </c>
      <c r="W3123" s="45" t="str">
        <f>HYPERLINK("http://ictvonline.org/taxonomy/p/taxonomy-history?taxnode_id=201903538","ICTVonline=201903538")</f>
        <v>ICTVonline=201903538</v>
      </c>
      <c r="Y3123" s="1" t="s">
        <v>11529</v>
      </c>
      <c r="Z3123" s="1" t="s">
        <v>11530</v>
      </c>
      <c r="AA3123" s="1">
        <v>201900000</v>
      </c>
      <c r="AB3123" s="1">
        <v>35</v>
      </c>
    </row>
    <row r="3124" spans="1:28" x14ac:dyDescent="0.2">
      <c r="A3124" s="1">
        <v>8119</v>
      </c>
      <c r="B3124" s="1" t="s">
        <v>10590</v>
      </c>
      <c r="D3124" s="1" t="s">
        <v>10685</v>
      </c>
      <c r="F3124" s="1" t="s">
        <v>11077</v>
      </c>
      <c r="H3124" s="1" t="s">
        <v>11235</v>
      </c>
      <c r="J3124" s="1" t="s">
        <v>11236</v>
      </c>
      <c r="L3124" s="1" t="s">
        <v>2078</v>
      </c>
      <c r="N3124" s="1" t="s">
        <v>673</v>
      </c>
      <c r="P3124" s="1" t="s">
        <v>374</v>
      </c>
      <c r="Q3124" s="3">
        <v>0</v>
      </c>
      <c r="R3124" s="23" t="s">
        <v>10605</v>
      </c>
      <c r="S3124" s="23" t="s">
        <v>6844</v>
      </c>
      <c r="T3124" s="23" t="s">
        <v>4866</v>
      </c>
      <c r="U3124" s="3">
        <v>35</v>
      </c>
      <c r="W3124" s="45" t="str">
        <f>HYPERLINK("http://ictvonline.org/taxonomy/p/taxonomy-history?taxnode_id=201903539","ICTVonline=201903539")</f>
        <v>ICTVonline=201903539</v>
      </c>
      <c r="AA3124" s="1">
        <v>201900000</v>
      </c>
      <c r="AB3124" s="1">
        <v>35</v>
      </c>
    </row>
    <row r="3125" spans="1:28" x14ac:dyDescent="0.2">
      <c r="A3125" s="1">
        <v>8121</v>
      </c>
      <c r="B3125" s="1" t="s">
        <v>10590</v>
      </c>
      <c r="D3125" s="1" t="s">
        <v>10685</v>
      </c>
      <c r="F3125" s="1" t="s">
        <v>11077</v>
      </c>
      <c r="H3125" s="1" t="s">
        <v>11235</v>
      </c>
      <c r="J3125" s="1" t="s">
        <v>11236</v>
      </c>
      <c r="L3125" s="1" t="s">
        <v>2078</v>
      </c>
      <c r="N3125" s="1" t="s">
        <v>673</v>
      </c>
      <c r="P3125" s="1" t="s">
        <v>563</v>
      </c>
      <c r="Q3125" s="3">
        <v>0</v>
      </c>
      <c r="R3125" s="23" t="s">
        <v>10605</v>
      </c>
      <c r="S3125" s="23" t="s">
        <v>6844</v>
      </c>
      <c r="T3125" s="23" t="s">
        <v>4866</v>
      </c>
      <c r="U3125" s="3">
        <v>35</v>
      </c>
      <c r="W3125" s="45" t="str">
        <f>HYPERLINK("http://ictvonline.org/taxonomy/p/taxonomy-history?taxnode_id=201903540","ICTVonline=201903540")</f>
        <v>ICTVonline=201903540</v>
      </c>
      <c r="AA3125" s="1">
        <v>201900000</v>
      </c>
      <c r="AB3125" s="1">
        <v>35</v>
      </c>
    </row>
    <row r="3126" spans="1:28" x14ac:dyDescent="0.2">
      <c r="A3126" s="1">
        <v>8123</v>
      </c>
      <c r="B3126" s="1" t="s">
        <v>10590</v>
      </c>
      <c r="D3126" s="1" t="s">
        <v>10685</v>
      </c>
      <c r="F3126" s="1" t="s">
        <v>11077</v>
      </c>
      <c r="H3126" s="1" t="s">
        <v>11235</v>
      </c>
      <c r="J3126" s="1" t="s">
        <v>11236</v>
      </c>
      <c r="L3126" s="1" t="s">
        <v>2078</v>
      </c>
      <c r="N3126" s="1" t="s">
        <v>673</v>
      </c>
      <c r="P3126" s="1" t="s">
        <v>2248</v>
      </c>
      <c r="Q3126" s="3">
        <v>0</v>
      </c>
      <c r="R3126" s="23" t="s">
        <v>10605</v>
      </c>
      <c r="S3126" s="23" t="s">
        <v>6844</v>
      </c>
      <c r="T3126" s="23" t="s">
        <v>4866</v>
      </c>
      <c r="U3126" s="3">
        <v>35</v>
      </c>
      <c r="W3126" s="45" t="str">
        <f>HYPERLINK("http://ictvonline.org/taxonomy/p/taxonomy-history?taxnode_id=201903541","ICTVonline=201903541")</f>
        <v>ICTVonline=201903541</v>
      </c>
      <c r="AA3126" s="1">
        <v>201900000</v>
      </c>
      <c r="AB3126" s="1">
        <v>35</v>
      </c>
    </row>
    <row r="3127" spans="1:28" x14ac:dyDescent="0.2">
      <c r="A3127" s="1">
        <v>8125</v>
      </c>
      <c r="B3127" s="1" t="s">
        <v>10590</v>
      </c>
      <c r="D3127" s="1" t="s">
        <v>10685</v>
      </c>
      <c r="F3127" s="1" t="s">
        <v>11077</v>
      </c>
      <c r="H3127" s="1" t="s">
        <v>11235</v>
      </c>
      <c r="J3127" s="1" t="s">
        <v>11236</v>
      </c>
      <c r="L3127" s="1" t="s">
        <v>2078</v>
      </c>
      <c r="N3127" s="1" t="s">
        <v>673</v>
      </c>
      <c r="P3127" s="1" t="s">
        <v>375</v>
      </c>
      <c r="Q3127" s="3">
        <v>0</v>
      </c>
      <c r="R3127" s="23" t="s">
        <v>10605</v>
      </c>
      <c r="S3127" s="23" t="s">
        <v>6844</v>
      </c>
      <c r="T3127" s="23" t="s">
        <v>4866</v>
      </c>
      <c r="U3127" s="3">
        <v>35</v>
      </c>
      <c r="W3127" s="45" t="str">
        <f>HYPERLINK("http://ictvonline.org/taxonomy/p/taxonomy-history?taxnode_id=201903542","ICTVonline=201903542")</f>
        <v>ICTVonline=201903542</v>
      </c>
      <c r="AA3127" s="1">
        <v>201900000</v>
      </c>
      <c r="AB3127" s="1">
        <v>35</v>
      </c>
    </row>
    <row r="3128" spans="1:28" x14ac:dyDescent="0.2">
      <c r="A3128" s="1">
        <v>8129</v>
      </c>
      <c r="B3128" s="1" t="s">
        <v>10590</v>
      </c>
      <c r="D3128" s="1" t="s">
        <v>10685</v>
      </c>
      <c r="F3128" s="1" t="s">
        <v>11077</v>
      </c>
      <c r="H3128" s="1" t="s">
        <v>11235</v>
      </c>
      <c r="J3128" s="1" t="s">
        <v>11236</v>
      </c>
      <c r="L3128" s="1" t="s">
        <v>2078</v>
      </c>
      <c r="N3128" s="1" t="s">
        <v>376</v>
      </c>
      <c r="P3128" s="1" t="s">
        <v>377</v>
      </c>
      <c r="Q3128" s="3">
        <v>1</v>
      </c>
      <c r="R3128" s="23" t="s">
        <v>10605</v>
      </c>
      <c r="S3128" s="23" t="s">
        <v>6844</v>
      </c>
      <c r="T3128" s="23" t="s">
        <v>4866</v>
      </c>
      <c r="U3128" s="3">
        <v>35</v>
      </c>
      <c r="W3128" s="45" t="str">
        <f>HYPERLINK("http://ictvonline.org/taxonomy/p/taxonomy-history?taxnode_id=201903544","ICTVonline=201903544")</f>
        <v>ICTVonline=201903544</v>
      </c>
      <c r="AA3128" s="1">
        <v>201900000</v>
      </c>
      <c r="AB3128" s="1">
        <v>35</v>
      </c>
    </row>
    <row r="3129" spans="1:28" x14ac:dyDescent="0.2">
      <c r="A3129" s="1">
        <v>8133</v>
      </c>
      <c r="B3129" s="1" t="s">
        <v>10590</v>
      </c>
      <c r="D3129" s="1" t="s">
        <v>10685</v>
      </c>
      <c r="F3129" s="1" t="s">
        <v>11077</v>
      </c>
      <c r="H3129" s="1" t="s">
        <v>11235</v>
      </c>
      <c r="J3129" s="1" t="s">
        <v>11236</v>
      </c>
      <c r="L3129" s="1" t="s">
        <v>2078</v>
      </c>
      <c r="N3129" s="1" t="s">
        <v>2249</v>
      </c>
      <c r="P3129" s="1" t="s">
        <v>11531</v>
      </c>
      <c r="Q3129" s="3">
        <v>0</v>
      </c>
      <c r="R3129" s="23" t="s">
        <v>10596</v>
      </c>
      <c r="S3129" s="23" t="s">
        <v>6849</v>
      </c>
      <c r="T3129" s="23" t="s">
        <v>4864</v>
      </c>
      <c r="U3129" s="3">
        <v>35</v>
      </c>
      <c r="V3129" s="3" t="s">
        <v>11532</v>
      </c>
      <c r="W3129" s="45" t="str">
        <f>HYPERLINK("http://ictvonline.org/taxonomy/p/taxonomy-history?taxnode_id=201908673","ICTVonline=201908673")</f>
        <v>ICTVonline=201908673</v>
      </c>
      <c r="X3129" s="1" t="s">
        <v>11533</v>
      </c>
      <c r="Y3129" s="1" t="s">
        <v>11534</v>
      </c>
      <c r="Z3129" s="1" t="s">
        <v>11535</v>
      </c>
      <c r="AA3129" s="1">
        <v>201900000</v>
      </c>
      <c r="AB3129" s="1">
        <v>35</v>
      </c>
    </row>
    <row r="3130" spans="1:28" x14ac:dyDescent="0.2">
      <c r="A3130" s="1">
        <v>8135</v>
      </c>
      <c r="B3130" s="1" t="s">
        <v>10590</v>
      </c>
      <c r="D3130" s="1" t="s">
        <v>10685</v>
      </c>
      <c r="F3130" s="1" t="s">
        <v>11077</v>
      </c>
      <c r="H3130" s="1" t="s">
        <v>11235</v>
      </c>
      <c r="J3130" s="1" t="s">
        <v>11236</v>
      </c>
      <c r="L3130" s="1" t="s">
        <v>2078</v>
      </c>
      <c r="N3130" s="1" t="s">
        <v>2249</v>
      </c>
      <c r="P3130" s="1" t="s">
        <v>2250</v>
      </c>
      <c r="Q3130" s="3">
        <v>1</v>
      </c>
      <c r="R3130" s="23" t="s">
        <v>10605</v>
      </c>
      <c r="S3130" s="23" t="s">
        <v>6844</v>
      </c>
      <c r="T3130" s="23" t="s">
        <v>4866</v>
      </c>
      <c r="U3130" s="3">
        <v>35</v>
      </c>
      <c r="W3130" s="45" t="str">
        <f>HYPERLINK("http://ictvonline.org/taxonomy/p/taxonomy-history?taxnode_id=201903546","ICTVonline=201903546")</f>
        <v>ICTVonline=201903546</v>
      </c>
      <c r="AA3130" s="1">
        <v>201900000</v>
      </c>
      <c r="AB3130" s="1">
        <v>35</v>
      </c>
    </row>
    <row r="3131" spans="1:28" x14ac:dyDescent="0.2">
      <c r="A3131" s="1">
        <v>8137</v>
      </c>
      <c r="B3131" s="1" t="s">
        <v>10590</v>
      </c>
      <c r="D3131" s="1" t="s">
        <v>10685</v>
      </c>
      <c r="F3131" s="1" t="s">
        <v>11077</v>
      </c>
      <c r="H3131" s="1" t="s">
        <v>11235</v>
      </c>
      <c r="J3131" s="1" t="s">
        <v>11236</v>
      </c>
      <c r="L3131" s="1" t="s">
        <v>2078</v>
      </c>
      <c r="N3131" s="1" t="s">
        <v>2249</v>
      </c>
      <c r="P3131" s="1" t="s">
        <v>5372</v>
      </c>
      <c r="Q3131" s="3">
        <v>0</v>
      </c>
      <c r="R3131" s="23" t="s">
        <v>10605</v>
      </c>
      <c r="S3131" s="23" t="s">
        <v>6844</v>
      </c>
      <c r="T3131" s="23" t="s">
        <v>4866</v>
      </c>
      <c r="U3131" s="3">
        <v>35</v>
      </c>
      <c r="W3131" s="45" t="str">
        <f>HYPERLINK("http://ictvonline.org/taxonomy/p/taxonomy-history?taxnode_id=201905858","ICTVonline=201905858")</f>
        <v>ICTVonline=201905858</v>
      </c>
      <c r="AA3131" s="1">
        <v>201900000</v>
      </c>
      <c r="AB3131" s="1">
        <v>35</v>
      </c>
    </row>
    <row r="3132" spans="1:28" x14ac:dyDescent="0.2">
      <c r="A3132" s="1">
        <v>8140</v>
      </c>
      <c r="B3132" s="1" t="s">
        <v>10590</v>
      </c>
      <c r="D3132" s="1" t="s">
        <v>10685</v>
      </c>
      <c r="F3132" s="1" t="s">
        <v>11077</v>
      </c>
      <c r="H3132" s="1" t="s">
        <v>11235</v>
      </c>
      <c r="J3132" s="1" t="s">
        <v>11236</v>
      </c>
      <c r="L3132" s="1" t="s">
        <v>2078</v>
      </c>
      <c r="P3132" s="1" t="s">
        <v>4651</v>
      </c>
      <c r="Q3132" s="3">
        <v>0</v>
      </c>
      <c r="R3132" s="23" t="s">
        <v>10605</v>
      </c>
      <c r="S3132" s="23" t="s">
        <v>6844</v>
      </c>
      <c r="T3132" s="23" t="s">
        <v>4866</v>
      </c>
      <c r="U3132" s="3">
        <v>35</v>
      </c>
      <c r="W3132" s="45" t="str">
        <f>HYPERLINK("http://ictvonline.org/taxonomy/p/taxonomy-history?taxnode_id=201903548","ICTVonline=201903548")</f>
        <v>ICTVonline=201903548</v>
      </c>
      <c r="Y3132" s="1" t="s">
        <v>11536</v>
      </c>
      <c r="Z3132" s="1" t="s">
        <v>11537</v>
      </c>
      <c r="AA3132" s="1">
        <v>201900000</v>
      </c>
      <c r="AB3132" s="1">
        <v>35</v>
      </c>
    </row>
    <row r="3133" spans="1:28" x14ac:dyDescent="0.2">
      <c r="A3133" s="1">
        <v>8142</v>
      </c>
      <c r="B3133" s="1" t="s">
        <v>10590</v>
      </c>
      <c r="D3133" s="1" t="s">
        <v>10685</v>
      </c>
      <c r="F3133" s="1" t="s">
        <v>11077</v>
      </c>
      <c r="H3133" s="1" t="s">
        <v>11235</v>
      </c>
      <c r="J3133" s="1" t="s">
        <v>11236</v>
      </c>
      <c r="L3133" s="1" t="s">
        <v>2078</v>
      </c>
      <c r="P3133" s="1" t="s">
        <v>4652</v>
      </c>
      <c r="Q3133" s="3">
        <v>0</v>
      </c>
      <c r="R3133" s="23" t="s">
        <v>10605</v>
      </c>
      <c r="S3133" s="23" t="s">
        <v>6844</v>
      </c>
      <c r="T3133" s="23" t="s">
        <v>4866</v>
      </c>
      <c r="U3133" s="3">
        <v>35</v>
      </c>
      <c r="W3133" s="45" t="str">
        <f>HYPERLINK("http://ictvonline.org/taxonomy/p/taxonomy-history?taxnode_id=201903549","ICTVonline=201903549")</f>
        <v>ICTVonline=201903549</v>
      </c>
      <c r="Y3133" s="1" t="s">
        <v>11538</v>
      </c>
      <c r="Z3133" s="1" t="s">
        <v>11539</v>
      </c>
      <c r="AA3133" s="1">
        <v>201900000</v>
      </c>
      <c r="AB3133" s="1">
        <v>35</v>
      </c>
    </row>
    <row r="3134" spans="1:28" x14ac:dyDescent="0.2">
      <c r="A3134" s="1">
        <v>8147</v>
      </c>
      <c r="B3134" s="1" t="s">
        <v>10590</v>
      </c>
      <c r="D3134" s="1" t="s">
        <v>10685</v>
      </c>
      <c r="F3134" s="1" t="s">
        <v>11077</v>
      </c>
      <c r="H3134" s="1" t="s">
        <v>11235</v>
      </c>
      <c r="J3134" s="1" t="s">
        <v>11236</v>
      </c>
      <c r="L3134" s="1" t="s">
        <v>3771</v>
      </c>
      <c r="N3134" s="1" t="s">
        <v>3772</v>
      </c>
      <c r="P3134" s="1" t="s">
        <v>4653</v>
      </c>
      <c r="Q3134" s="3">
        <v>0</v>
      </c>
      <c r="R3134" s="23" t="s">
        <v>10605</v>
      </c>
      <c r="S3134" s="23" t="s">
        <v>6844</v>
      </c>
      <c r="T3134" s="23" t="s">
        <v>4866</v>
      </c>
      <c r="U3134" s="3">
        <v>35</v>
      </c>
      <c r="W3134" s="45" t="str">
        <f>HYPERLINK("http://ictvonline.org/taxonomy/p/taxonomy-history?taxnode_id=201903553","ICTVonline=201903553")</f>
        <v>ICTVonline=201903553</v>
      </c>
      <c r="Y3134" s="1" t="s">
        <v>11540</v>
      </c>
      <c r="Z3134" s="1" t="s">
        <v>11541</v>
      </c>
      <c r="AA3134" s="1">
        <v>201900000</v>
      </c>
      <c r="AB3134" s="1">
        <v>35</v>
      </c>
    </row>
    <row r="3135" spans="1:28" x14ac:dyDescent="0.2">
      <c r="A3135" s="1">
        <v>8149</v>
      </c>
      <c r="B3135" s="1" t="s">
        <v>10590</v>
      </c>
      <c r="D3135" s="1" t="s">
        <v>10685</v>
      </c>
      <c r="F3135" s="1" t="s">
        <v>11077</v>
      </c>
      <c r="H3135" s="1" t="s">
        <v>11235</v>
      </c>
      <c r="J3135" s="1" t="s">
        <v>11236</v>
      </c>
      <c r="L3135" s="1" t="s">
        <v>3771</v>
      </c>
      <c r="N3135" s="1" t="s">
        <v>3772</v>
      </c>
      <c r="P3135" s="1" t="s">
        <v>4654</v>
      </c>
      <c r="Q3135" s="3">
        <v>0</v>
      </c>
      <c r="R3135" s="23" t="s">
        <v>10605</v>
      </c>
      <c r="S3135" s="23" t="s">
        <v>6844</v>
      </c>
      <c r="T3135" s="23" t="s">
        <v>4866</v>
      </c>
      <c r="U3135" s="3">
        <v>35</v>
      </c>
      <c r="W3135" s="45" t="str">
        <f>HYPERLINK("http://ictvonline.org/taxonomy/p/taxonomy-history?taxnode_id=201903554","ICTVonline=201903554")</f>
        <v>ICTVonline=201903554</v>
      </c>
      <c r="Y3135" s="1" t="s">
        <v>11542</v>
      </c>
      <c r="Z3135" s="1" t="s">
        <v>11543</v>
      </c>
      <c r="AA3135" s="1">
        <v>201900000</v>
      </c>
      <c r="AB3135" s="1">
        <v>35</v>
      </c>
    </row>
    <row r="3136" spans="1:28" x14ac:dyDescent="0.2">
      <c r="A3136" s="1">
        <v>8151</v>
      </c>
      <c r="B3136" s="1" t="s">
        <v>10590</v>
      </c>
      <c r="D3136" s="1" t="s">
        <v>10685</v>
      </c>
      <c r="F3136" s="1" t="s">
        <v>11077</v>
      </c>
      <c r="H3136" s="1" t="s">
        <v>11235</v>
      </c>
      <c r="J3136" s="1" t="s">
        <v>11236</v>
      </c>
      <c r="L3136" s="1" t="s">
        <v>3771</v>
      </c>
      <c r="N3136" s="1" t="s">
        <v>3772</v>
      </c>
      <c r="P3136" s="1" t="s">
        <v>4655</v>
      </c>
      <c r="Q3136" s="3">
        <v>0</v>
      </c>
      <c r="R3136" s="23" t="s">
        <v>10605</v>
      </c>
      <c r="S3136" s="23" t="s">
        <v>6844</v>
      </c>
      <c r="T3136" s="23" t="s">
        <v>4866</v>
      </c>
      <c r="U3136" s="3">
        <v>35</v>
      </c>
      <c r="W3136" s="45" t="str">
        <f>HYPERLINK("http://ictvonline.org/taxonomy/p/taxonomy-history?taxnode_id=201903555","ICTVonline=201903555")</f>
        <v>ICTVonline=201903555</v>
      </c>
      <c r="Y3136" s="1" t="s">
        <v>11544</v>
      </c>
      <c r="Z3136" s="1" t="s">
        <v>11545</v>
      </c>
      <c r="AA3136" s="1">
        <v>201900000</v>
      </c>
      <c r="AB3136" s="1">
        <v>35</v>
      </c>
    </row>
    <row r="3137" spans="1:28" x14ac:dyDescent="0.2">
      <c r="A3137" s="1">
        <v>8153</v>
      </c>
      <c r="B3137" s="1" t="s">
        <v>10590</v>
      </c>
      <c r="D3137" s="1" t="s">
        <v>10685</v>
      </c>
      <c r="F3137" s="1" t="s">
        <v>11077</v>
      </c>
      <c r="H3137" s="1" t="s">
        <v>11235</v>
      </c>
      <c r="J3137" s="1" t="s">
        <v>11236</v>
      </c>
      <c r="L3137" s="1" t="s">
        <v>3771</v>
      </c>
      <c r="N3137" s="1" t="s">
        <v>3772</v>
      </c>
      <c r="P3137" s="1" t="s">
        <v>4656</v>
      </c>
      <c r="Q3137" s="3">
        <v>0</v>
      </c>
      <c r="R3137" s="23" t="s">
        <v>10605</v>
      </c>
      <c r="S3137" s="23" t="s">
        <v>6844</v>
      </c>
      <c r="T3137" s="23" t="s">
        <v>4866</v>
      </c>
      <c r="U3137" s="3">
        <v>35</v>
      </c>
      <c r="W3137" s="45" t="str">
        <f>HYPERLINK("http://ictvonline.org/taxonomy/p/taxonomy-history?taxnode_id=201903556","ICTVonline=201903556")</f>
        <v>ICTVonline=201903556</v>
      </c>
      <c r="Y3137" s="1" t="s">
        <v>11546</v>
      </c>
      <c r="Z3137" s="1" t="s">
        <v>11547</v>
      </c>
      <c r="AA3137" s="1">
        <v>201900000</v>
      </c>
      <c r="AB3137" s="1">
        <v>35</v>
      </c>
    </row>
    <row r="3138" spans="1:28" x14ac:dyDescent="0.2">
      <c r="A3138" s="1">
        <v>8155</v>
      </c>
      <c r="B3138" s="1" t="s">
        <v>10590</v>
      </c>
      <c r="D3138" s="1" t="s">
        <v>10685</v>
      </c>
      <c r="F3138" s="1" t="s">
        <v>11077</v>
      </c>
      <c r="H3138" s="1" t="s">
        <v>11235</v>
      </c>
      <c r="J3138" s="1" t="s">
        <v>11236</v>
      </c>
      <c r="L3138" s="1" t="s">
        <v>3771</v>
      </c>
      <c r="N3138" s="1" t="s">
        <v>3772</v>
      </c>
      <c r="P3138" s="1" t="s">
        <v>4657</v>
      </c>
      <c r="Q3138" s="3">
        <v>0</v>
      </c>
      <c r="R3138" s="23" t="s">
        <v>10605</v>
      </c>
      <c r="S3138" s="23" t="s">
        <v>6844</v>
      </c>
      <c r="T3138" s="23" t="s">
        <v>4866</v>
      </c>
      <c r="U3138" s="3">
        <v>35</v>
      </c>
      <c r="W3138" s="45" t="str">
        <f>HYPERLINK("http://ictvonline.org/taxonomy/p/taxonomy-history?taxnode_id=201903557","ICTVonline=201903557")</f>
        <v>ICTVonline=201903557</v>
      </c>
      <c r="Y3138" s="1" t="s">
        <v>11548</v>
      </c>
      <c r="Z3138" s="1">
        <v>254000000</v>
      </c>
      <c r="AA3138" s="1">
        <v>201900000</v>
      </c>
      <c r="AB3138" s="1">
        <v>35</v>
      </c>
    </row>
    <row r="3139" spans="1:28" x14ac:dyDescent="0.2">
      <c r="A3139" s="1">
        <v>8157</v>
      </c>
      <c r="B3139" s="1" t="s">
        <v>10590</v>
      </c>
      <c r="D3139" s="1" t="s">
        <v>10685</v>
      </c>
      <c r="F3139" s="1" t="s">
        <v>11077</v>
      </c>
      <c r="H3139" s="1" t="s">
        <v>11235</v>
      </c>
      <c r="J3139" s="1" t="s">
        <v>11236</v>
      </c>
      <c r="L3139" s="1" t="s">
        <v>3771</v>
      </c>
      <c r="N3139" s="1" t="s">
        <v>3772</v>
      </c>
      <c r="P3139" s="1" t="s">
        <v>4658</v>
      </c>
      <c r="Q3139" s="3">
        <v>0</v>
      </c>
      <c r="R3139" s="23" t="s">
        <v>10605</v>
      </c>
      <c r="S3139" s="23" t="s">
        <v>6844</v>
      </c>
      <c r="T3139" s="23" t="s">
        <v>4866</v>
      </c>
      <c r="U3139" s="3">
        <v>35</v>
      </c>
      <c r="W3139" s="45" t="str">
        <f>HYPERLINK("http://ictvonline.org/taxonomy/p/taxonomy-history?taxnode_id=201903558","ICTVonline=201903558")</f>
        <v>ICTVonline=201903558</v>
      </c>
      <c r="Y3139" s="1" t="s">
        <v>11549</v>
      </c>
      <c r="Z3139" s="1" t="s">
        <v>11550</v>
      </c>
      <c r="AA3139" s="1">
        <v>201900000</v>
      </c>
      <c r="AB3139" s="1">
        <v>35</v>
      </c>
    </row>
    <row r="3140" spans="1:28" x14ac:dyDescent="0.2">
      <c r="A3140" s="1">
        <v>8159</v>
      </c>
      <c r="B3140" s="1" t="s">
        <v>10590</v>
      </c>
      <c r="D3140" s="1" t="s">
        <v>10685</v>
      </c>
      <c r="F3140" s="1" t="s">
        <v>11077</v>
      </c>
      <c r="H3140" s="1" t="s">
        <v>11235</v>
      </c>
      <c r="J3140" s="1" t="s">
        <v>11236</v>
      </c>
      <c r="L3140" s="1" t="s">
        <v>3771</v>
      </c>
      <c r="N3140" s="1" t="s">
        <v>3772</v>
      </c>
      <c r="P3140" s="1" t="s">
        <v>4659</v>
      </c>
      <c r="Q3140" s="3">
        <v>0</v>
      </c>
      <c r="R3140" s="23" t="s">
        <v>10605</v>
      </c>
      <c r="S3140" s="23" t="s">
        <v>6844</v>
      </c>
      <c r="T3140" s="23" t="s">
        <v>4866</v>
      </c>
      <c r="U3140" s="3">
        <v>35</v>
      </c>
      <c r="W3140" s="45" t="str">
        <f>HYPERLINK("http://ictvonline.org/taxonomy/p/taxonomy-history?taxnode_id=201903559","ICTVonline=201903559")</f>
        <v>ICTVonline=201903559</v>
      </c>
      <c r="Y3140" s="1" t="s">
        <v>11551</v>
      </c>
      <c r="Z3140" s="1" t="s">
        <v>11552</v>
      </c>
      <c r="AA3140" s="1">
        <v>201900000</v>
      </c>
      <c r="AB3140" s="1">
        <v>35</v>
      </c>
    </row>
    <row r="3141" spans="1:28" x14ac:dyDescent="0.2">
      <c r="A3141" s="1">
        <v>8161</v>
      </c>
      <c r="B3141" s="1" t="s">
        <v>10590</v>
      </c>
      <c r="D3141" s="1" t="s">
        <v>10685</v>
      </c>
      <c r="F3141" s="1" t="s">
        <v>11077</v>
      </c>
      <c r="H3141" s="1" t="s">
        <v>11235</v>
      </c>
      <c r="J3141" s="1" t="s">
        <v>11236</v>
      </c>
      <c r="L3141" s="1" t="s">
        <v>3771</v>
      </c>
      <c r="N3141" s="1" t="s">
        <v>3772</v>
      </c>
      <c r="P3141" s="1" t="s">
        <v>4660</v>
      </c>
      <c r="Q3141" s="3">
        <v>0</v>
      </c>
      <c r="R3141" s="23" t="s">
        <v>10605</v>
      </c>
      <c r="S3141" s="23" t="s">
        <v>6844</v>
      </c>
      <c r="T3141" s="23" t="s">
        <v>4866</v>
      </c>
      <c r="U3141" s="3">
        <v>35</v>
      </c>
      <c r="W3141" s="45" t="str">
        <f>HYPERLINK("http://ictvonline.org/taxonomy/p/taxonomy-history?taxnode_id=201903560","ICTVonline=201903560")</f>
        <v>ICTVonline=201903560</v>
      </c>
      <c r="Y3141" s="1" t="s">
        <v>11553</v>
      </c>
      <c r="Z3141" s="1" t="s">
        <v>11554</v>
      </c>
      <c r="AA3141" s="1">
        <v>201900000</v>
      </c>
      <c r="AB3141" s="1">
        <v>35</v>
      </c>
    </row>
    <row r="3142" spans="1:28" x14ac:dyDescent="0.2">
      <c r="A3142" s="1">
        <v>8163</v>
      </c>
      <c r="B3142" s="1" t="s">
        <v>10590</v>
      </c>
      <c r="D3142" s="1" t="s">
        <v>10685</v>
      </c>
      <c r="F3142" s="1" t="s">
        <v>11077</v>
      </c>
      <c r="H3142" s="1" t="s">
        <v>11235</v>
      </c>
      <c r="J3142" s="1" t="s">
        <v>11236</v>
      </c>
      <c r="L3142" s="1" t="s">
        <v>3771</v>
      </c>
      <c r="N3142" s="1" t="s">
        <v>3772</v>
      </c>
      <c r="P3142" s="1" t="s">
        <v>4661</v>
      </c>
      <c r="Q3142" s="3">
        <v>0</v>
      </c>
      <c r="R3142" s="23" t="s">
        <v>10605</v>
      </c>
      <c r="S3142" s="23" t="s">
        <v>6844</v>
      </c>
      <c r="T3142" s="23" t="s">
        <v>4866</v>
      </c>
      <c r="U3142" s="3">
        <v>35</v>
      </c>
      <c r="W3142" s="45" t="str">
        <f>HYPERLINK("http://ictvonline.org/taxonomy/p/taxonomy-history?taxnode_id=201903561","ICTVonline=201903561")</f>
        <v>ICTVonline=201903561</v>
      </c>
      <c r="Y3142" s="1" t="s">
        <v>11555</v>
      </c>
      <c r="Z3142" s="1" t="s">
        <v>11556</v>
      </c>
      <c r="AA3142" s="1">
        <v>201900000</v>
      </c>
      <c r="AB3142" s="1">
        <v>35</v>
      </c>
    </row>
    <row r="3143" spans="1:28" x14ac:dyDescent="0.2">
      <c r="A3143" s="1">
        <v>8165</v>
      </c>
      <c r="B3143" s="1" t="s">
        <v>10590</v>
      </c>
      <c r="D3143" s="1" t="s">
        <v>10685</v>
      </c>
      <c r="F3143" s="1" t="s">
        <v>11077</v>
      </c>
      <c r="H3143" s="1" t="s">
        <v>11235</v>
      </c>
      <c r="J3143" s="1" t="s">
        <v>11236</v>
      </c>
      <c r="L3143" s="1" t="s">
        <v>3771</v>
      </c>
      <c r="N3143" s="1" t="s">
        <v>3772</v>
      </c>
      <c r="P3143" s="1" t="s">
        <v>4662</v>
      </c>
      <c r="Q3143" s="3">
        <v>0</v>
      </c>
      <c r="R3143" s="23" t="s">
        <v>10605</v>
      </c>
      <c r="S3143" s="23" t="s">
        <v>6844</v>
      </c>
      <c r="T3143" s="23" t="s">
        <v>4866</v>
      </c>
      <c r="U3143" s="3">
        <v>35</v>
      </c>
      <c r="W3143" s="45" t="str">
        <f>HYPERLINK("http://ictvonline.org/taxonomy/p/taxonomy-history?taxnode_id=201903562","ICTVonline=201903562")</f>
        <v>ICTVonline=201903562</v>
      </c>
      <c r="Y3143" s="1" t="s">
        <v>11557</v>
      </c>
      <c r="Z3143" s="1" t="s">
        <v>11558</v>
      </c>
      <c r="AA3143" s="1">
        <v>201900000</v>
      </c>
      <c r="AB3143" s="1">
        <v>35</v>
      </c>
    </row>
    <row r="3144" spans="1:28" x14ac:dyDescent="0.2">
      <c r="A3144" s="1">
        <v>8167</v>
      </c>
      <c r="B3144" s="1" t="s">
        <v>10590</v>
      </c>
      <c r="D3144" s="1" t="s">
        <v>10685</v>
      </c>
      <c r="F3144" s="1" t="s">
        <v>11077</v>
      </c>
      <c r="H3144" s="1" t="s">
        <v>11235</v>
      </c>
      <c r="J3144" s="1" t="s">
        <v>11236</v>
      </c>
      <c r="L3144" s="1" t="s">
        <v>3771</v>
      </c>
      <c r="N3144" s="1" t="s">
        <v>3772</v>
      </c>
      <c r="P3144" s="1" t="s">
        <v>4663</v>
      </c>
      <c r="Q3144" s="3">
        <v>0</v>
      </c>
      <c r="R3144" s="23" t="s">
        <v>10605</v>
      </c>
      <c r="S3144" s="23" t="s">
        <v>6844</v>
      </c>
      <c r="T3144" s="23" t="s">
        <v>4866</v>
      </c>
      <c r="U3144" s="3">
        <v>35</v>
      </c>
      <c r="W3144" s="45" t="str">
        <f>HYPERLINK("http://ictvonline.org/taxonomy/p/taxonomy-history?taxnode_id=201903563","ICTVonline=201903563")</f>
        <v>ICTVonline=201903563</v>
      </c>
      <c r="Y3144" s="1" t="s">
        <v>11559</v>
      </c>
      <c r="Z3144" s="1" t="s">
        <v>11560</v>
      </c>
      <c r="AA3144" s="1">
        <v>201900000</v>
      </c>
      <c r="AB3144" s="1">
        <v>35</v>
      </c>
    </row>
    <row r="3145" spans="1:28" x14ac:dyDescent="0.2">
      <c r="A3145" s="1">
        <v>8169</v>
      </c>
      <c r="B3145" s="1" t="s">
        <v>10590</v>
      </c>
      <c r="D3145" s="1" t="s">
        <v>10685</v>
      </c>
      <c r="F3145" s="1" t="s">
        <v>11077</v>
      </c>
      <c r="H3145" s="1" t="s">
        <v>11235</v>
      </c>
      <c r="J3145" s="1" t="s">
        <v>11236</v>
      </c>
      <c r="L3145" s="1" t="s">
        <v>3771</v>
      </c>
      <c r="N3145" s="1" t="s">
        <v>3772</v>
      </c>
      <c r="P3145" s="1" t="s">
        <v>4664</v>
      </c>
      <c r="Q3145" s="3">
        <v>0</v>
      </c>
      <c r="R3145" s="23" t="s">
        <v>10605</v>
      </c>
      <c r="S3145" s="23" t="s">
        <v>6844</v>
      </c>
      <c r="T3145" s="23" t="s">
        <v>4866</v>
      </c>
      <c r="U3145" s="3">
        <v>35</v>
      </c>
      <c r="W3145" s="45" t="str">
        <f>HYPERLINK("http://ictvonline.org/taxonomy/p/taxonomy-history?taxnode_id=201903564","ICTVonline=201903564")</f>
        <v>ICTVonline=201903564</v>
      </c>
      <c r="Y3145" s="1" t="s">
        <v>11561</v>
      </c>
      <c r="Z3145" s="1" t="s">
        <v>11562</v>
      </c>
      <c r="AA3145" s="1">
        <v>201900000</v>
      </c>
      <c r="AB3145" s="1">
        <v>35</v>
      </c>
    </row>
    <row r="3146" spans="1:28" x14ac:dyDescent="0.2">
      <c r="A3146" s="1">
        <v>8171</v>
      </c>
      <c r="B3146" s="1" t="s">
        <v>10590</v>
      </c>
      <c r="D3146" s="1" t="s">
        <v>10685</v>
      </c>
      <c r="F3146" s="1" t="s">
        <v>11077</v>
      </c>
      <c r="H3146" s="1" t="s">
        <v>11235</v>
      </c>
      <c r="J3146" s="1" t="s">
        <v>11236</v>
      </c>
      <c r="L3146" s="1" t="s">
        <v>3771</v>
      </c>
      <c r="N3146" s="1" t="s">
        <v>3772</v>
      </c>
      <c r="P3146" s="1" t="s">
        <v>4665</v>
      </c>
      <c r="Q3146" s="3">
        <v>0</v>
      </c>
      <c r="R3146" s="23" t="s">
        <v>10605</v>
      </c>
      <c r="S3146" s="23" t="s">
        <v>6844</v>
      </c>
      <c r="T3146" s="23" t="s">
        <v>4866</v>
      </c>
      <c r="U3146" s="3">
        <v>35</v>
      </c>
      <c r="W3146" s="45" t="str">
        <f>HYPERLINK("http://ictvonline.org/taxonomy/p/taxonomy-history?taxnode_id=201903565","ICTVonline=201903565")</f>
        <v>ICTVonline=201903565</v>
      </c>
      <c r="Y3146" s="1" t="s">
        <v>11563</v>
      </c>
      <c r="Z3146" s="1" t="s">
        <v>11564</v>
      </c>
      <c r="AA3146" s="1">
        <v>201900000</v>
      </c>
      <c r="AB3146" s="1">
        <v>35</v>
      </c>
    </row>
    <row r="3147" spans="1:28" x14ac:dyDescent="0.2">
      <c r="A3147" s="1">
        <v>8173</v>
      </c>
      <c r="B3147" s="1" t="s">
        <v>10590</v>
      </c>
      <c r="D3147" s="1" t="s">
        <v>10685</v>
      </c>
      <c r="F3147" s="1" t="s">
        <v>11077</v>
      </c>
      <c r="H3147" s="1" t="s">
        <v>11235</v>
      </c>
      <c r="J3147" s="1" t="s">
        <v>11236</v>
      </c>
      <c r="L3147" s="1" t="s">
        <v>3771</v>
      </c>
      <c r="N3147" s="1" t="s">
        <v>3772</v>
      </c>
      <c r="P3147" s="1" t="s">
        <v>4666</v>
      </c>
      <c r="Q3147" s="3">
        <v>0</v>
      </c>
      <c r="R3147" s="23" t="s">
        <v>10605</v>
      </c>
      <c r="S3147" s="23" t="s">
        <v>6844</v>
      </c>
      <c r="T3147" s="23" t="s">
        <v>4866</v>
      </c>
      <c r="U3147" s="3">
        <v>35</v>
      </c>
      <c r="W3147" s="45" t="str">
        <f>HYPERLINK("http://ictvonline.org/taxonomy/p/taxonomy-history?taxnode_id=201903566","ICTVonline=201903566")</f>
        <v>ICTVonline=201903566</v>
      </c>
      <c r="Y3147" s="1" t="s">
        <v>11565</v>
      </c>
      <c r="Z3147" s="1" t="s">
        <v>11566</v>
      </c>
      <c r="AA3147" s="1">
        <v>201900000</v>
      </c>
      <c r="AB3147" s="1">
        <v>35</v>
      </c>
    </row>
    <row r="3148" spans="1:28" x14ac:dyDescent="0.2">
      <c r="A3148" s="1">
        <v>8175</v>
      </c>
      <c r="B3148" s="1" t="s">
        <v>10590</v>
      </c>
      <c r="D3148" s="1" t="s">
        <v>10685</v>
      </c>
      <c r="F3148" s="1" t="s">
        <v>11077</v>
      </c>
      <c r="H3148" s="1" t="s">
        <v>11235</v>
      </c>
      <c r="J3148" s="1" t="s">
        <v>11236</v>
      </c>
      <c r="L3148" s="1" t="s">
        <v>3771</v>
      </c>
      <c r="N3148" s="1" t="s">
        <v>3772</v>
      </c>
      <c r="P3148" s="1" t="s">
        <v>4667</v>
      </c>
      <c r="Q3148" s="3">
        <v>0</v>
      </c>
      <c r="R3148" s="23" t="s">
        <v>10605</v>
      </c>
      <c r="S3148" s="23" t="s">
        <v>6844</v>
      </c>
      <c r="T3148" s="23" t="s">
        <v>4866</v>
      </c>
      <c r="U3148" s="3">
        <v>35</v>
      </c>
      <c r="W3148" s="45" t="str">
        <f>HYPERLINK("http://ictvonline.org/taxonomy/p/taxonomy-history?taxnode_id=201903567","ICTVonline=201903567")</f>
        <v>ICTVonline=201903567</v>
      </c>
      <c r="Y3148" s="1" t="s">
        <v>11567</v>
      </c>
      <c r="Z3148" s="1" t="s">
        <v>11568</v>
      </c>
      <c r="AA3148" s="1">
        <v>201900000</v>
      </c>
      <c r="AB3148" s="1">
        <v>35</v>
      </c>
    </row>
    <row r="3149" spans="1:28" x14ac:dyDescent="0.2">
      <c r="A3149" s="1">
        <v>8177</v>
      </c>
      <c r="B3149" s="1" t="s">
        <v>10590</v>
      </c>
      <c r="D3149" s="1" t="s">
        <v>10685</v>
      </c>
      <c r="F3149" s="1" t="s">
        <v>11077</v>
      </c>
      <c r="H3149" s="1" t="s">
        <v>11235</v>
      </c>
      <c r="J3149" s="1" t="s">
        <v>11236</v>
      </c>
      <c r="L3149" s="1" t="s">
        <v>3771</v>
      </c>
      <c r="N3149" s="1" t="s">
        <v>3772</v>
      </c>
      <c r="P3149" s="1" t="s">
        <v>4668</v>
      </c>
      <c r="Q3149" s="3">
        <v>0</v>
      </c>
      <c r="R3149" s="23" t="s">
        <v>10605</v>
      </c>
      <c r="S3149" s="23" t="s">
        <v>6844</v>
      </c>
      <c r="T3149" s="23" t="s">
        <v>4866</v>
      </c>
      <c r="U3149" s="3">
        <v>35</v>
      </c>
      <c r="W3149" s="45" t="str">
        <f>HYPERLINK("http://ictvonline.org/taxonomy/p/taxonomy-history?taxnode_id=201903568","ICTVonline=201903568")</f>
        <v>ICTVonline=201903568</v>
      </c>
      <c r="Y3149" s="1" t="s">
        <v>11569</v>
      </c>
      <c r="Z3149" s="1" t="s">
        <v>11570</v>
      </c>
      <c r="AA3149" s="1">
        <v>201900000</v>
      </c>
      <c r="AB3149" s="1">
        <v>35</v>
      </c>
    </row>
    <row r="3150" spans="1:28" x14ac:dyDescent="0.2">
      <c r="A3150" s="1">
        <v>8179</v>
      </c>
      <c r="B3150" s="1" t="s">
        <v>10590</v>
      </c>
      <c r="D3150" s="1" t="s">
        <v>10685</v>
      </c>
      <c r="F3150" s="1" t="s">
        <v>11077</v>
      </c>
      <c r="H3150" s="1" t="s">
        <v>11235</v>
      </c>
      <c r="J3150" s="1" t="s">
        <v>11236</v>
      </c>
      <c r="L3150" s="1" t="s">
        <v>3771</v>
      </c>
      <c r="N3150" s="1" t="s">
        <v>3772</v>
      </c>
      <c r="P3150" s="1" t="s">
        <v>4669</v>
      </c>
      <c r="Q3150" s="3">
        <v>0</v>
      </c>
      <c r="R3150" s="23" t="s">
        <v>10605</v>
      </c>
      <c r="S3150" s="23" t="s">
        <v>6844</v>
      </c>
      <c r="T3150" s="23" t="s">
        <v>4866</v>
      </c>
      <c r="U3150" s="3">
        <v>35</v>
      </c>
      <c r="W3150" s="45" t="str">
        <f>HYPERLINK("http://ictvonline.org/taxonomy/p/taxonomy-history?taxnode_id=201903569","ICTVonline=201903569")</f>
        <v>ICTVonline=201903569</v>
      </c>
      <c r="Y3150" s="1" t="s">
        <v>11571</v>
      </c>
      <c r="Z3150" s="1" t="s">
        <v>11572</v>
      </c>
      <c r="AA3150" s="1">
        <v>201900000</v>
      </c>
      <c r="AB3150" s="1">
        <v>35</v>
      </c>
    </row>
    <row r="3151" spans="1:28" x14ac:dyDescent="0.2">
      <c r="A3151" s="1">
        <v>8181</v>
      </c>
      <c r="B3151" s="1" t="s">
        <v>10590</v>
      </c>
      <c r="D3151" s="1" t="s">
        <v>10685</v>
      </c>
      <c r="F3151" s="1" t="s">
        <v>11077</v>
      </c>
      <c r="H3151" s="1" t="s">
        <v>11235</v>
      </c>
      <c r="J3151" s="1" t="s">
        <v>11236</v>
      </c>
      <c r="L3151" s="1" t="s">
        <v>3771</v>
      </c>
      <c r="N3151" s="1" t="s">
        <v>3772</v>
      </c>
      <c r="P3151" s="1" t="s">
        <v>4670</v>
      </c>
      <c r="Q3151" s="3">
        <v>0</v>
      </c>
      <c r="R3151" s="23" t="s">
        <v>10605</v>
      </c>
      <c r="S3151" s="23" t="s">
        <v>6844</v>
      </c>
      <c r="T3151" s="23" t="s">
        <v>4866</v>
      </c>
      <c r="U3151" s="3">
        <v>35</v>
      </c>
      <c r="W3151" s="45" t="str">
        <f>HYPERLINK("http://ictvonline.org/taxonomy/p/taxonomy-history?taxnode_id=201903570","ICTVonline=201903570")</f>
        <v>ICTVonline=201903570</v>
      </c>
      <c r="Y3151" s="1" t="s">
        <v>11573</v>
      </c>
      <c r="Z3151" s="1" t="s">
        <v>11574</v>
      </c>
      <c r="AA3151" s="1">
        <v>201900000</v>
      </c>
      <c r="AB3151" s="1">
        <v>35</v>
      </c>
    </row>
    <row r="3152" spans="1:28" x14ac:dyDescent="0.2">
      <c r="A3152" s="1">
        <v>8183</v>
      </c>
      <c r="B3152" s="1" t="s">
        <v>10590</v>
      </c>
      <c r="D3152" s="1" t="s">
        <v>10685</v>
      </c>
      <c r="F3152" s="1" t="s">
        <v>11077</v>
      </c>
      <c r="H3152" s="1" t="s">
        <v>11235</v>
      </c>
      <c r="J3152" s="1" t="s">
        <v>11236</v>
      </c>
      <c r="L3152" s="1" t="s">
        <v>3771</v>
      </c>
      <c r="N3152" s="1" t="s">
        <v>3772</v>
      </c>
      <c r="P3152" s="1" t="s">
        <v>4671</v>
      </c>
      <c r="Q3152" s="3">
        <v>0</v>
      </c>
      <c r="R3152" s="23" t="s">
        <v>10605</v>
      </c>
      <c r="S3152" s="23" t="s">
        <v>6844</v>
      </c>
      <c r="T3152" s="23" t="s">
        <v>4866</v>
      </c>
      <c r="U3152" s="3">
        <v>35</v>
      </c>
      <c r="W3152" s="45" t="str">
        <f>HYPERLINK("http://ictvonline.org/taxonomy/p/taxonomy-history?taxnode_id=201903571","ICTVonline=201903571")</f>
        <v>ICTVonline=201903571</v>
      </c>
      <c r="Y3152" s="1" t="s">
        <v>11575</v>
      </c>
      <c r="Z3152" s="1" t="s">
        <v>11576</v>
      </c>
      <c r="AA3152" s="1">
        <v>201900000</v>
      </c>
      <c r="AB3152" s="1">
        <v>35</v>
      </c>
    </row>
    <row r="3153" spans="1:28" x14ac:dyDescent="0.2">
      <c r="A3153" s="1">
        <v>8185</v>
      </c>
      <c r="B3153" s="1" t="s">
        <v>10590</v>
      </c>
      <c r="D3153" s="1" t="s">
        <v>10685</v>
      </c>
      <c r="F3153" s="1" t="s">
        <v>11077</v>
      </c>
      <c r="H3153" s="1" t="s">
        <v>11235</v>
      </c>
      <c r="J3153" s="1" t="s">
        <v>11236</v>
      </c>
      <c r="L3153" s="1" t="s">
        <v>3771</v>
      </c>
      <c r="N3153" s="1" t="s">
        <v>3772</v>
      </c>
      <c r="P3153" s="1" t="s">
        <v>4672</v>
      </c>
      <c r="Q3153" s="3">
        <v>0</v>
      </c>
      <c r="R3153" s="23" t="s">
        <v>10605</v>
      </c>
      <c r="S3153" s="23" t="s">
        <v>6844</v>
      </c>
      <c r="T3153" s="23" t="s">
        <v>4866</v>
      </c>
      <c r="U3153" s="3">
        <v>35</v>
      </c>
      <c r="W3153" s="45" t="str">
        <f>HYPERLINK("http://ictvonline.org/taxonomy/p/taxonomy-history?taxnode_id=201903572","ICTVonline=201903572")</f>
        <v>ICTVonline=201903572</v>
      </c>
      <c r="Y3153" s="1" t="s">
        <v>11577</v>
      </c>
      <c r="Z3153" s="1" t="s">
        <v>11578</v>
      </c>
      <c r="AA3153" s="1">
        <v>201900000</v>
      </c>
      <c r="AB3153" s="1">
        <v>35</v>
      </c>
    </row>
    <row r="3154" spans="1:28" x14ac:dyDescent="0.2">
      <c r="A3154" s="1">
        <v>8187</v>
      </c>
      <c r="B3154" s="1" t="s">
        <v>10590</v>
      </c>
      <c r="D3154" s="1" t="s">
        <v>10685</v>
      </c>
      <c r="F3154" s="1" t="s">
        <v>11077</v>
      </c>
      <c r="H3154" s="1" t="s">
        <v>11235</v>
      </c>
      <c r="J3154" s="1" t="s">
        <v>11236</v>
      </c>
      <c r="L3154" s="1" t="s">
        <v>3771</v>
      </c>
      <c r="N3154" s="1" t="s">
        <v>3772</v>
      </c>
      <c r="P3154" s="1" t="s">
        <v>4673</v>
      </c>
      <c r="Q3154" s="3">
        <v>0</v>
      </c>
      <c r="R3154" s="23" t="s">
        <v>10605</v>
      </c>
      <c r="S3154" s="23" t="s">
        <v>6844</v>
      </c>
      <c r="T3154" s="23" t="s">
        <v>4866</v>
      </c>
      <c r="U3154" s="3">
        <v>35</v>
      </c>
      <c r="W3154" s="45" t="str">
        <f>HYPERLINK("http://ictvonline.org/taxonomy/p/taxonomy-history?taxnode_id=201903573","ICTVonline=201903573")</f>
        <v>ICTVonline=201903573</v>
      </c>
      <c r="Y3154" s="1" t="s">
        <v>11579</v>
      </c>
      <c r="Z3154" s="1" t="s">
        <v>11580</v>
      </c>
      <c r="AA3154" s="1">
        <v>201900000</v>
      </c>
      <c r="AB3154" s="1">
        <v>35</v>
      </c>
    </row>
    <row r="3155" spans="1:28" x14ac:dyDescent="0.2">
      <c r="A3155" s="1">
        <v>8189</v>
      </c>
      <c r="B3155" s="1" t="s">
        <v>10590</v>
      </c>
      <c r="D3155" s="1" t="s">
        <v>10685</v>
      </c>
      <c r="F3155" s="1" t="s">
        <v>11077</v>
      </c>
      <c r="H3155" s="1" t="s">
        <v>11235</v>
      </c>
      <c r="J3155" s="1" t="s">
        <v>11236</v>
      </c>
      <c r="L3155" s="1" t="s">
        <v>3771</v>
      </c>
      <c r="N3155" s="1" t="s">
        <v>3772</v>
      </c>
      <c r="P3155" s="1" t="s">
        <v>4674</v>
      </c>
      <c r="Q3155" s="3">
        <v>0</v>
      </c>
      <c r="R3155" s="23" t="s">
        <v>10605</v>
      </c>
      <c r="S3155" s="23" t="s">
        <v>6844</v>
      </c>
      <c r="T3155" s="23" t="s">
        <v>4866</v>
      </c>
      <c r="U3155" s="3">
        <v>35</v>
      </c>
      <c r="W3155" s="45" t="str">
        <f>HYPERLINK("http://ictvonline.org/taxonomy/p/taxonomy-history?taxnode_id=201903574","ICTVonline=201903574")</f>
        <v>ICTVonline=201903574</v>
      </c>
      <c r="Y3155" s="1" t="s">
        <v>11581</v>
      </c>
      <c r="Z3155" s="1" t="s">
        <v>11582</v>
      </c>
      <c r="AA3155" s="1">
        <v>201900000</v>
      </c>
      <c r="AB3155" s="1">
        <v>35</v>
      </c>
    </row>
    <row r="3156" spans="1:28" x14ac:dyDescent="0.2">
      <c r="A3156" s="1">
        <v>8191</v>
      </c>
      <c r="B3156" s="1" t="s">
        <v>10590</v>
      </c>
      <c r="D3156" s="1" t="s">
        <v>10685</v>
      </c>
      <c r="F3156" s="1" t="s">
        <v>11077</v>
      </c>
      <c r="H3156" s="1" t="s">
        <v>11235</v>
      </c>
      <c r="J3156" s="1" t="s">
        <v>11236</v>
      </c>
      <c r="L3156" s="1" t="s">
        <v>3771</v>
      </c>
      <c r="N3156" s="1" t="s">
        <v>3772</v>
      </c>
      <c r="P3156" s="1" t="s">
        <v>4675</v>
      </c>
      <c r="Q3156" s="3">
        <v>0</v>
      </c>
      <c r="R3156" s="23" t="s">
        <v>10605</v>
      </c>
      <c r="S3156" s="23" t="s">
        <v>6844</v>
      </c>
      <c r="T3156" s="23" t="s">
        <v>4866</v>
      </c>
      <c r="U3156" s="3">
        <v>35</v>
      </c>
      <c r="W3156" s="45" t="str">
        <f>HYPERLINK("http://ictvonline.org/taxonomy/p/taxonomy-history?taxnode_id=201903575","ICTVonline=201903575")</f>
        <v>ICTVonline=201903575</v>
      </c>
      <c r="Y3156" s="1" t="s">
        <v>11583</v>
      </c>
      <c r="Z3156" s="1" t="s">
        <v>11584</v>
      </c>
      <c r="AA3156" s="1">
        <v>201900000</v>
      </c>
      <c r="AB3156" s="1">
        <v>35</v>
      </c>
    </row>
    <row r="3157" spans="1:28" x14ac:dyDescent="0.2">
      <c r="A3157" s="1">
        <v>8193</v>
      </c>
      <c r="B3157" s="1" t="s">
        <v>10590</v>
      </c>
      <c r="D3157" s="1" t="s">
        <v>10685</v>
      </c>
      <c r="F3157" s="1" t="s">
        <v>11077</v>
      </c>
      <c r="H3157" s="1" t="s">
        <v>11235</v>
      </c>
      <c r="J3157" s="1" t="s">
        <v>11236</v>
      </c>
      <c r="L3157" s="1" t="s">
        <v>3771</v>
      </c>
      <c r="N3157" s="1" t="s">
        <v>3772</v>
      </c>
      <c r="P3157" s="1" t="s">
        <v>4676</v>
      </c>
      <c r="Q3157" s="3">
        <v>0</v>
      </c>
      <c r="R3157" s="23" t="s">
        <v>10605</v>
      </c>
      <c r="S3157" s="23" t="s">
        <v>6844</v>
      </c>
      <c r="T3157" s="23" t="s">
        <v>4866</v>
      </c>
      <c r="U3157" s="3">
        <v>35</v>
      </c>
      <c r="W3157" s="45" t="str">
        <f>HYPERLINK("http://ictvonline.org/taxonomy/p/taxonomy-history?taxnode_id=201903576","ICTVonline=201903576")</f>
        <v>ICTVonline=201903576</v>
      </c>
      <c r="Y3157" s="1" t="s">
        <v>11585</v>
      </c>
      <c r="Z3157" s="1" t="s">
        <v>11586</v>
      </c>
      <c r="AA3157" s="1">
        <v>201900000</v>
      </c>
      <c r="AB3157" s="1">
        <v>35</v>
      </c>
    </row>
    <row r="3158" spans="1:28" x14ac:dyDescent="0.2">
      <c r="A3158" s="1">
        <v>8195</v>
      </c>
      <c r="B3158" s="1" t="s">
        <v>10590</v>
      </c>
      <c r="D3158" s="1" t="s">
        <v>10685</v>
      </c>
      <c r="F3158" s="1" t="s">
        <v>11077</v>
      </c>
      <c r="H3158" s="1" t="s">
        <v>11235</v>
      </c>
      <c r="J3158" s="1" t="s">
        <v>11236</v>
      </c>
      <c r="L3158" s="1" t="s">
        <v>3771</v>
      </c>
      <c r="N3158" s="1" t="s">
        <v>3772</v>
      </c>
      <c r="P3158" s="1" t="s">
        <v>4677</v>
      </c>
      <c r="Q3158" s="3">
        <v>0</v>
      </c>
      <c r="R3158" s="23" t="s">
        <v>10605</v>
      </c>
      <c r="S3158" s="23" t="s">
        <v>6844</v>
      </c>
      <c r="T3158" s="23" t="s">
        <v>4866</v>
      </c>
      <c r="U3158" s="3">
        <v>35</v>
      </c>
      <c r="W3158" s="45" t="str">
        <f>HYPERLINK("http://ictvonline.org/taxonomy/p/taxonomy-history?taxnode_id=201903577","ICTVonline=201903577")</f>
        <v>ICTVonline=201903577</v>
      </c>
      <c r="Y3158" s="1" t="s">
        <v>11587</v>
      </c>
      <c r="Z3158" s="1" t="s">
        <v>11588</v>
      </c>
      <c r="AA3158" s="1">
        <v>201900000</v>
      </c>
      <c r="AB3158" s="1">
        <v>35</v>
      </c>
    </row>
    <row r="3159" spans="1:28" x14ac:dyDescent="0.2">
      <c r="A3159" s="1">
        <v>8197</v>
      </c>
      <c r="B3159" s="1" t="s">
        <v>10590</v>
      </c>
      <c r="D3159" s="1" t="s">
        <v>10685</v>
      </c>
      <c r="F3159" s="1" t="s">
        <v>11077</v>
      </c>
      <c r="H3159" s="1" t="s">
        <v>11235</v>
      </c>
      <c r="J3159" s="1" t="s">
        <v>11236</v>
      </c>
      <c r="L3159" s="1" t="s">
        <v>3771</v>
      </c>
      <c r="N3159" s="1" t="s">
        <v>3772</v>
      </c>
      <c r="P3159" s="1" t="s">
        <v>4678</v>
      </c>
      <c r="Q3159" s="3">
        <v>0</v>
      </c>
      <c r="R3159" s="23" t="s">
        <v>10605</v>
      </c>
      <c r="S3159" s="23" t="s">
        <v>6844</v>
      </c>
      <c r="T3159" s="23" t="s">
        <v>4866</v>
      </c>
      <c r="U3159" s="3">
        <v>35</v>
      </c>
      <c r="W3159" s="45" t="str">
        <f>HYPERLINK("http://ictvonline.org/taxonomy/p/taxonomy-history?taxnode_id=201903578","ICTVonline=201903578")</f>
        <v>ICTVonline=201903578</v>
      </c>
      <c r="Y3159" s="1" t="s">
        <v>11589</v>
      </c>
      <c r="Z3159" s="1" t="s">
        <v>11590</v>
      </c>
      <c r="AA3159" s="1">
        <v>201900000</v>
      </c>
      <c r="AB3159" s="1">
        <v>35</v>
      </c>
    </row>
    <row r="3160" spans="1:28" x14ac:dyDescent="0.2">
      <c r="A3160" s="1">
        <v>8199</v>
      </c>
      <c r="B3160" s="1" t="s">
        <v>10590</v>
      </c>
      <c r="D3160" s="1" t="s">
        <v>10685</v>
      </c>
      <c r="F3160" s="1" t="s">
        <v>11077</v>
      </c>
      <c r="H3160" s="1" t="s">
        <v>11235</v>
      </c>
      <c r="J3160" s="1" t="s">
        <v>11236</v>
      </c>
      <c r="L3160" s="1" t="s">
        <v>3771</v>
      </c>
      <c r="N3160" s="1" t="s">
        <v>3772</v>
      </c>
      <c r="P3160" s="1" t="s">
        <v>4679</v>
      </c>
      <c r="Q3160" s="3">
        <v>0</v>
      </c>
      <c r="R3160" s="23" t="s">
        <v>10605</v>
      </c>
      <c r="S3160" s="23" t="s">
        <v>6844</v>
      </c>
      <c r="T3160" s="23" t="s">
        <v>4866</v>
      </c>
      <c r="U3160" s="3">
        <v>35</v>
      </c>
      <c r="W3160" s="45" t="str">
        <f>HYPERLINK("http://ictvonline.org/taxonomy/p/taxonomy-history?taxnode_id=201903579","ICTVonline=201903579")</f>
        <v>ICTVonline=201903579</v>
      </c>
      <c r="Y3160" s="1" t="s">
        <v>11591</v>
      </c>
      <c r="Z3160" s="1" t="s">
        <v>11592</v>
      </c>
      <c r="AA3160" s="1">
        <v>201900000</v>
      </c>
      <c r="AB3160" s="1">
        <v>35</v>
      </c>
    </row>
    <row r="3161" spans="1:28" x14ac:dyDescent="0.2">
      <c r="A3161" s="1">
        <v>8201</v>
      </c>
      <c r="B3161" s="1" t="s">
        <v>10590</v>
      </c>
      <c r="D3161" s="1" t="s">
        <v>10685</v>
      </c>
      <c r="F3161" s="1" t="s">
        <v>11077</v>
      </c>
      <c r="H3161" s="1" t="s">
        <v>11235</v>
      </c>
      <c r="J3161" s="1" t="s">
        <v>11236</v>
      </c>
      <c r="L3161" s="1" t="s">
        <v>3771</v>
      </c>
      <c r="N3161" s="1" t="s">
        <v>3772</v>
      </c>
      <c r="P3161" s="1" t="s">
        <v>4680</v>
      </c>
      <c r="Q3161" s="3">
        <v>0</v>
      </c>
      <c r="R3161" s="23" t="s">
        <v>10605</v>
      </c>
      <c r="S3161" s="23" t="s">
        <v>6844</v>
      </c>
      <c r="T3161" s="23" t="s">
        <v>4866</v>
      </c>
      <c r="U3161" s="3">
        <v>35</v>
      </c>
      <c r="W3161" s="45" t="str">
        <f>HYPERLINK("http://ictvonline.org/taxonomy/p/taxonomy-history?taxnode_id=201903580","ICTVonline=201903580")</f>
        <v>ICTVonline=201903580</v>
      </c>
      <c r="Y3161" s="1" t="s">
        <v>11593</v>
      </c>
      <c r="Z3161" s="1" t="s">
        <v>11594</v>
      </c>
      <c r="AA3161" s="1">
        <v>201900000</v>
      </c>
      <c r="AB3161" s="1">
        <v>35</v>
      </c>
    </row>
    <row r="3162" spans="1:28" x14ac:dyDescent="0.2">
      <c r="A3162" s="1">
        <v>8203</v>
      </c>
      <c r="B3162" s="1" t="s">
        <v>10590</v>
      </c>
      <c r="D3162" s="1" t="s">
        <v>10685</v>
      </c>
      <c r="F3162" s="1" t="s">
        <v>11077</v>
      </c>
      <c r="H3162" s="1" t="s">
        <v>11235</v>
      </c>
      <c r="J3162" s="1" t="s">
        <v>11236</v>
      </c>
      <c r="L3162" s="1" t="s">
        <v>3771</v>
      </c>
      <c r="N3162" s="1" t="s">
        <v>3772</v>
      </c>
      <c r="P3162" s="1" t="s">
        <v>4681</v>
      </c>
      <c r="Q3162" s="3">
        <v>0</v>
      </c>
      <c r="R3162" s="23" t="s">
        <v>10605</v>
      </c>
      <c r="S3162" s="23" t="s">
        <v>6844</v>
      </c>
      <c r="T3162" s="23" t="s">
        <v>4866</v>
      </c>
      <c r="U3162" s="3">
        <v>35</v>
      </c>
      <c r="W3162" s="45" t="str">
        <f>HYPERLINK("http://ictvonline.org/taxonomy/p/taxonomy-history?taxnode_id=201903581","ICTVonline=201903581")</f>
        <v>ICTVonline=201903581</v>
      </c>
      <c r="Y3162" s="1" t="s">
        <v>11595</v>
      </c>
      <c r="Z3162" s="1" t="s">
        <v>11596</v>
      </c>
      <c r="AA3162" s="1">
        <v>201900000</v>
      </c>
      <c r="AB3162" s="1">
        <v>35</v>
      </c>
    </row>
    <row r="3163" spans="1:28" x14ac:dyDescent="0.2">
      <c r="A3163" s="1">
        <v>8205</v>
      </c>
      <c r="B3163" s="1" t="s">
        <v>10590</v>
      </c>
      <c r="D3163" s="1" t="s">
        <v>10685</v>
      </c>
      <c r="F3163" s="1" t="s">
        <v>11077</v>
      </c>
      <c r="H3163" s="1" t="s">
        <v>11235</v>
      </c>
      <c r="J3163" s="1" t="s">
        <v>11236</v>
      </c>
      <c r="L3163" s="1" t="s">
        <v>3771</v>
      </c>
      <c r="N3163" s="1" t="s">
        <v>3772</v>
      </c>
      <c r="P3163" s="1" t="s">
        <v>4682</v>
      </c>
      <c r="Q3163" s="3">
        <v>0</v>
      </c>
      <c r="R3163" s="23" t="s">
        <v>10605</v>
      </c>
      <c r="S3163" s="23" t="s">
        <v>6844</v>
      </c>
      <c r="T3163" s="23" t="s">
        <v>4866</v>
      </c>
      <c r="U3163" s="3">
        <v>35</v>
      </c>
      <c r="W3163" s="45" t="str">
        <f>HYPERLINK("http://ictvonline.org/taxonomy/p/taxonomy-history?taxnode_id=201903582","ICTVonline=201903582")</f>
        <v>ICTVonline=201903582</v>
      </c>
      <c r="Y3163" s="1" t="s">
        <v>11597</v>
      </c>
      <c r="Z3163" s="1" t="s">
        <v>11598</v>
      </c>
      <c r="AA3163" s="1">
        <v>201900000</v>
      </c>
      <c r="AB3163" s="1">
        <v>35</v>
      </c>
    </row>
    <row r="3164" spans="1:28" x14ac:dyDescent="0.2">
      <c r="A3164" s="1">
        <v>8207</v>
      </c>
      <c r="B3164" s="1" t="s">
        <v>10590</v>
      </c>
      <c r="D3164" s="1" t="s">
        <v>10685</v>
      </c>
      <c r="F3164" s="1" t="s">
        <v>11077</v>
      </c>
      <c r="H3164" s="1" t="s">
        <v>11235</v>
      </c>
      <c r="J3164" s="1" t="s">
        <v>11236</v>
      </c>
      <c r="L3164" s="1" t="s">
        <v>3771</v>
      </c>
      <c r="N3164" s="1" t="s">
        <v>3772</v>
      </c>
      <c r="P3164" s="1" t="s">
        <v>4683</v>
      </c>
      <c r="Q3164" s="3">
        <v>0</v>
      </c>
      <c r="R3164" s="23" t="s">
        <v>10605</v>
      </c>
      <c r="S3164" s="23" t="s">
        <v>6844</v>
      </c>
      <c r="T3164" s="23" t="s">
        <v>4866</v>
      </c>
      <c r="U3164" s="3">
        <v>35</v>
      </c>
      <c r="W3164" s="45" t="str">
        <f>HYPERLINK("http://ictvonline.org/taxonomy/p/taxonomy-history?taxnode_id=201903583","ICTVonline=201903583")</f>
        <v>ICTVonline=201903583</v>
      </c>
      <c r="Y3164" s="1" t="s">
        <v>11599</v>
      </c>
      <c r="Z3164" s="1" t="s">
        <v>11600</v>
      </c>
      <c r="AA3164" s="1">
        <v>201900000</v>
      </c>
      <c r="AB3164" s="1">
        <v>35</v>
      </c>
    </row>
    <row r="3165" spans="1:28" x14ac:dyDescent="0.2">
      <c r="A3165" s="1">
        <v>8209</v>
      </c>
      <c r="B3165" s="1" t="s">
        <v>10590</v>
      </c>
      <c r="D3165" s="1" t="s">
        <v>10685</v>
      </c>
      <c r="F3165" s="1" t="s">
        <v>11077</v>
      </c>
      <c r="H3165" s="1" t="s">
        <v>11235</v>
      </c>
      <c r="J3165" s="1" t="s">
        <v>11236</v>
      </c>
      <c r="L3165" s="1" t="s">
        <v>3771</v>
      </c>
      <c r="N3165" s="1" t="s">
        <v>3772</v>
      </c>
      <c r="P3165" s="1" t="s">
        <v>4684</v>
      </c>
      <c r="Q3165" s="3">
        <v>0</v>
      </c>
      <c r="R3165" s="23" t="s">
        <v>10605</v>
      </c>
      <c r="S3165" s="23" t="s">
        <v>6844</v>
      </c>
      <c r="T3165" s="23" t="s">
        <v>4866</v>
      </c>
      <c r="U3165" s="3">
        <v>35</v>
      </c>
      <c r="W3165" s="45" t="str">
        <f>HYPERLINK("http://ictvonline.org/taxonomy/p/taxonomy-history?taxnode_id=201903584","ICTVonline=201903584")</f>
        <v>ICTVonline=201903584</v>
      </c>
      <c r="Y3165" s="1" t="s">
        <v>11601</v>
      </c>
      <c r="Z3165" s="1" t="s">
        <v>11602</v>
      </c>
      <c r="AA3165" s="1">
        <v>201900000</v>
      </c>
      <c r="AB3165" s="1">
        <v>35</v>
      </c>
    </row>
    <row r="3166" spans="1:28" x14ac:dyDescent="0.2">
      <c r="A3166" s="1">
        <v>8211</v>
      </c>
      <c r="B3166" s="1" t="s">
        <v>10590</v>
      </c>
      <c r="D3166" s="1" t="s">
        <v>10685</v>
      </c>
      <c r="F3166" s="1" t="s">
        <v>11077</v>
      </c>
      <c r="H3166" s="1" t="s">
        <v>11235</v>
      </c>
      <c r="J3166" s="1" t="s">
        <v>11236</v>
      </c>
      <c r="L3166" s="1" t="s">
        <v>3771</v>
      </c>
      <c r="N3166" s="1" t="s">
        <v>3772</v>
      </c>
      <c r="P3166" s="1" t="s">
        <v>4685</v>
      </c>
      <c r="Q3166" s="3">
        <v>0</v>
      </c>
      <c r="R3166" s="23" t="s">
        <v>10605</v>
      </c>
      <c r="S3166" s="23" t="s">
        <v>6844</v>
      </c>
      <c r="T3166" s="23" t="s">
        <v>4866</v>
      </c>
      <c r="U3166" s="3">
        <v>35</v>
      </c>
      <c r="W3166" s="45" t="str">
        <f>HYPERLINK("http://ictvonline.org/taxonomy/p/taxonomy-history?taxnode_id=201903585","ICTVonline=201903585")</f>
        <v>ICTVonline=201903585</v>
      </c>
      <c r="Y3166" s="1" t="s">
        <v>11603</v>
      </c>
      <c r="Z3166" s="1" t="s">
        <v>11604</v>
      </c>
      <c r="AA3166" s="1">
        <v>201900000</v>
      </c>
      <c r="AB3166" s="1">
        <v>35</v>
      </c>
    </row>
    <row r="3167" spans="1:28" x14ac:dyDescent="0.2">
      <c r="A3167" s="1">
        <v>8213</v>
      </c>
      <c r="B3167" s="1" t="s">
        <v>10590</v>
      </c>
      <c r="D3167" s="1" t="s">
        <v>10685</v>
      </c>
      <c r="F3167" s="1" t="s">
        <v>11077</v>
      </c>
      <c r="H3167" s="1" t="s">
        <v>11235</v>
      </c>
      <c r="J3167" s="1" t="s">
        <v>11236</v>
      </c>
      <c r="L3167" s="1" t="s">
        <v>3771</v>
      </c>
      <c r="N3167" s="1" t="s">
        <v>3772</v>
      </c>
      <c r="P3167" s="1" t="s">
        <v>4686</v>
      </c>
      <c r="Q3167" s="3">
        <v>0</v>
      </c>
      <c r="R3167" s="23" t="s">
        <v>10605</v>
      </c>
      <c r="S3167" s="23" t="s">
        <v>6844</v>
      </c>
      <c r="T3167" s="23" t="s">
        <v>4866</v>
      </c>
      <c r="U3167" s="3">
        <v>35</v>
      </c>
      <c r="W3167" s="45" t="str">
        <f>HYPERLINK("http://ictvonline.org/taxonomy/p/taxonomy-history?taxnode_id=201903586","ICTVonline=201903586")</f>
        <v>ICTVonline=201903586</v>
      </c>
      <c r="Y3167" s="1" t="s">
        <v>11605</v>
      </c>
      <c r="Z3167" s="1" t="s">
        <v>11606</v>
      </c>
      <c r="AA3167" s="1">
        <v>201900000</v>
      </c>
      <c r="AB3167" s="1">
        <v>35</v>
      </c>
    </row>
    <row r="3168" spans="1:28" x14ac:dyDescent="0.2">
      <c r="A3168" s="1">
        <v>8215</v>
      </c>
      <c r="B3168" s="1" t="s">
        <v>10590</v>
      </c>
      <c r="D3168" s="1" t="s">
        <v>10685</v>
      </c>
      <c r="F3168" s="1" t="s">
        <v>11077</v>
      </c>
      <c r="H3168" s="1" t="s">
        <v>11235</v>
      </c>
      <c r="J3168" s="1" t="s">
        <v>11236</v>
      </c>
      <c r="L3168" s="1" t="s">
        <v>3771</v>
      </c>
      <c r="N3168" s="1" t="s">
        <v>3772</v>
      </c>
      <c r="P3168" s="1" t="s">
        <v>4687</v>
      </c>
      <c r="Q3168" s="3">
        <v>0</v>
      </c>
      <c r="R3168" s="23" t="s">
        <v>10605</v>
      </c>
      <c r="S3168" s="23" t="s">
        <v>6844</v>
      </c>
      <c r="T3168" s="23" t="s">
        <v>4866</v>
      </c>
      <c r="U3168" s="3">
        <v>35</v>
      </c>
      <c r="W3168" s="45" t="str">
        <f>HYPERLINK("http://ictvonline.org/taxonomy/p/taxonomy-history?taxnode_id=201903587","ICTVonline=201903587")</f>
        <v>ICTVonline=201903587</v>
      </c>
      <c r="Y3168" s="1" t="s">
        <v>11607</v>
      </c>
      <c r="Z3168" s="1" t="s">
        <v>11608</v>
      </c>
      <c r="AA3168" s="1">
        <v>201900000</v>
      </c>
      <c r="AB3168" s="1">
        <v>35</v>
      </c>
    </row>
    <row r="3169" spans="1:28" x14ac:dyDescent="0.2">
      <c r="A3169" s="1">
        <v>8217</v>
      </c>
      <c r="B3169" s="1" t="s">
        <v>10590</v>
      </c>
      <c r="D3169" s="1" t="s">
        <v>10685</v>
      </c>
      <c r="F3169" s="1" t="s">
        <v>11077</v>
      </c>
      <c r="H3169" s="1" t="s">
        <v>11235</v>
      </c>
      <c r="J3169" s="1" t="s">
        <v>11236</v>
      </c>
      <c r="L3169" s="1" t="s">
        <v>3771</v>
      </c>
      <c r="N3169" s="1" t="s">
        <v>3772</v>
      </c>
      <c r="P3169" s="1" t="s">
        <v>3773</v>
      </c>
      <c r="Q3169" s="3">
        <v>1</v>
      </c>
      <c r="R3169" s="23" t="s">
        <v>10605</v>
      </c>
      <c r="S3169" s="23" t="s">
        <v>6844</v>
      </c>
      <c r="T3169" s="23" t="s">
        <v>4866</v>
      </c>
      <c r="U3169" s="3">
        <v>35</v>
      </c>
      <c r="W3169" s="45" t="str">
        <f>HYPERLINK("http://ictvonline.org/taxonomy/p/taxonomy-history?taxnode_id=201903588","ICTVonline=201903588")</f>
        <v>ICTVonline=201903588</v>
      </c>
      <c r="X3169" s="1" t="s">
        <v>11609</v>
      </c>
      <c r="Y3169" s="1" t="s">
        <v>11610</v>
      </c>
      <c r="Z3169" s="1" t="s">
        <v>11611</v>
      </c>
      <c r="AA3169" s="1">
        <v>201900000</v>
      </c>
      <c r="AB3169" s="1">
        <v>35</v>
      </c>
    </row>
    <row r="3170" spans="1:28" x14ac:dyDescent="0.2">
      <c r="A3170" s="1">
        <v>8219</v>
      </c>
      <c r="B3170" s="1" t="s">
        <v>10590</v>
      </c>
      <c r="D3170" s="1" t="s">
        <v>10685</v>
      </c>
      <c r="F3170" s="1" t="s">
        <v>11077</v>
      </c>
      <c r="H3170" s="1" t="s">
        <v>11235</v>
      </c>
      <c r="J3170" s="1" t="s">
        <v>11236</v>
      </c>
      <c r="L3170" s="1" t="s">
        <v>3771</v>
      </c>
      <c r="N3170" s="1" t="s">
        <v>3772</v>
      </c>
      <c r="P3170" s="1" t="s">
        <v>4688</v>
      </c>
      <c r="Q3170" s="3">
        <v>0</v>
      </c>
      <c r="R3170" s="23" t="s">
        <v>10605</v>
      </c>
      <c r="S3170" s="23" t="s">
        <v>6844</v>
      </c>
      <c r="T3170" s="23" t="s">
        <v>4866</v>
      </c>
      <c r="U3170" s="3">
        <v>35</v>
      </c>
      <c r="W3170" s="45" t="str">
        <f>HYPERLINK("http://ictvonline.org/taxonomy/p/taxonomy-history?taxnode_id=201903589","ICTVonline=201903589")</f>
        <v>ICTVonline=201903589</v>
      </c>
      <c r="Y3170" s="1" t="s">
        <v>11612</v>
      </c>
      <c r="Z3170" s="1" t="s">
        <v>11613</v>
      </c>
      <c r="AA3170" s="1">
        <v>201900000</v>
      </c>
      <c r="AB3170" s="1">
        <v>35</v>
      </c>
    </row>
    <row r="3171" spans="1:28" x14ac:dyDescent="0.2">
      <c r="A3171" s="1">
        <v>8221</v>
      </c>
      <c r="B3171" s="1" t="s">
        <v>10590</v>
      </c>
      <c r="D3171" s="1" t="s">
        <v>10685</v>
      </c>
      <c r="F3171" s="1" t="s">
        <v>11077</v>
      </c>
      <c r="H3171" s="1" t="s">
        <v>11235</v>
      </c>
      <c r="J3171" s="1" t="s">
        <v>11236</v>
      </c>
      <c r="L3171" s="1" t="s">
        <v>3771</v>
      </c>
      <c r="N3171" s="1" t="s">
        <v>3772</v>
      </c>
      <c r="P3171" s="1" t="s">
        <v>4689</v>
      </c>
      <c r="Q3171" s="3">
        <v>0</v>
      </c>
      <c r="R3171" s="23" t="s">
        <v>10605</v>
      </c>
      <c r="S3171" s="23" t="s">
        <v>6844</v>
      </c>
      <c r="T3171" s="23" t="s">
        <v>4866</v>
      </c>
      <c r="U3171" s="3">
        <v>35</v>
      </c>
      <c r="W3171" s="45" t="str">
        <f>HYPERLINK("http://ictvonline.org/taxonomy/p/taxonomy-history?taxnode_id=201903590","ICTVonline=201903590")</f>
        <v>ICTVonline=201903590</v>
      </c>
      <c r="Y3171" s="1" t="s">
        <v>11614</v>
      </c>
      <c r="Z3171" s="1" t="s">
        <v>11615</v>
      </c>
      <c r="AA3171" s="1">
        <v>201900000</v>
      </c>
      <c r="AB3171" s="1">
        <v>35</v>
      </c>
    </row>
    <row r="3172" spans="1:28" x14ac:dyDescent="0.2">
      <c r="A3172" s="1">
        <v>8223</v>
      </c>
      <c r="B3172" s="1" t="s">
        <v>10590</v>
      </c>
      <c r="D3172" s="1" t="s">
        <v>10685</v>
      </c>
      <c r="F3172" s="1" t="s">
        <v>11077</v>
      </c>
      <c r="H3172" s="1" t="s">
        <v>11235</v>
      </c>
      <c r="J3172" s="1" t="s">
        <v>11236</v>
      </c>
      <c r="L3172" s="1" t="s">
        <v>3771</v>
      </c>
      <c r="N3172" s="1" t="s">
        <v>3772</v>
      </c>
      <c r="P3172" s="1" t="s">
        <v>4690</v>
      </c>
      <c r="Q3172" s="3">
        <v>0</v>
      </c>
      <c r="R3172" s="23" t="s">
        <v>10605</v>
      </c>
      <c r="S3172" s="23" t="s">
        <v>6844</v>
      </c>
      <c r="T3172" s="23" t="s">
        <v>4866</v>
      </c>
      <c r="U3172" s="3">
        <v>35</v>
      </c>
      <c r="W3172" s="45" t="str">
        <f>HYPERLINK("http://ictvonline.org/taxonomy/p/taxonomy-history?taxnode_id=201903591","ICTVonline=201903591")</f>
        <v>ICTVonline=201903591</v>
      </c>
      <c r="Y3172" s="1" t="s">
        <v>11616</v>
      </c>
      <c r="Z3172" s="1" t="s">
        <v>11617</v>
      </c>
      <c r="AA3172" s="1">
        <v>201900000</v>
      </c>
      <c r="AB3172" s="1">
        <v>35</v>
      </c>
    </row>
    <row r="3173" spans="1:28" x14ac:dyDescent="0.2">
      <c r="A3173" s="1">
        <v>8225</v>
      </c>
      <c r="B3173" s="1" t="s">
        <v>10590</v>
      </c>
      <c r="D3173" s="1" t="s">
        <v>10685</v>
      </c>
      <c r="F3173" s="1" t="s">
        <v>11077</v>
      </c>
      <c r="H3173" s="1" t="s">
        <v>11235</v>
      </c>
      <c r="J3173" s="1" t="s">
        <v>11236</v>
      </c>
      <c r="L3173" s="1" t="s">
        <v>3771</v>
      </c>
      <c r="N3173" s="1" t="s">
        <v>3772</v>
      </c>
      <c r="P3173" s="1" t="s">
        <v>4691</v>
      </c>
      <c r="Q3173" s="3">
        <v>0</v>
      </c>
      <c r="R3173" s="23" t="s">
        <v>10605</v>
      </c>
      <c r="S3173" s="23" t="s">
        <v>6844</v>
      </c>
      <c r="T3173" s="23" t="s">
        <v>4866</v>
      </c>
      <c r="U3173" s="3">
        <v>35</v>
      </c>
      <c r="W3173" s="45" t="str">
        <f>HYPERLINK("http://ictvonline.org/taxonomy/p/taxonomy-history?taxnode_id=201903592","ICTVonline=201903592")</f>
        <v>ICTVonline=201903592</v>
      </c>
      <c r="Y3173" s="1" t="s">
        <v>11618</v>
      </c>
      <c r="Z3173" s="1" t="s">
        <v>11619</v>
      </c>
      <c r="AA3173" s="1">
        <v>201900000</v>
      </c>
      <c r="AB3173" s="1">
        <v>35</v>
      </c>
    </row>
    <row r="3174" spans="1:28" x14ac:dyDescent="0.2">
      <c r="A3174" s="1">
        <v>8227</v>
      </c>
      <c r="B3174" s="1" t="s">
        <v>10590</v>
      </c>
      <c r="D3174" s="1" t="s">
        <v>10685</v>
      </c>
      <c r="F3174" s="1" t="s">
        <v>11077</v>
      </c>
      <c r="H3174" s="1" t="s">
        <v>11235</v>
      </c>
      <c r="J3174" s="1" t="s">
        <v>11236</v>
      </c>
      <c r="L3174" s="1" t="s">
        <v>3771</v>
      </c>
      <c r="N3174" s="1" t="s">
        <v>3772</v>
      </c>
      <c r="P3174" s="1" t="s">
        <v>4692</v>
      </c>
      <c r="Q3174" s="3">
        <v>0</v>
      </c>
      <c r="R3174" s="23" t="s">
        <v>10605</v>
      </c>
      <c r="S3174" s="23" t="s">
        <v>6844</v>
      </c>
      <c r="T3174" s="23" t="s">
        <v>4866</v>
      </c>
      <c r="U3174" s="3">
        <v>35</v>
      </c>
      <c r="W3174" s="45" t="str">
        <f>HYPERLINK("http://ictvonline.org/taxonomy/p/taxonomy-history?taxnode_id=201903593","ICTVonline=201903593")</f>
        <v>ICTVonline=201903593</v>
      </c>
      <c r="Y3174" s="1" t="s">
        <v>11620</v>
      </c>
      <c r="Z3174" s="1" t="s">
        <v>11621</v>
      </c>
      <c r="AA3174" s="1">
        <v>201900000</v>
      </c>
      <c r="AB3174" s="1">
        <v>35</v>
      </c>
    </row>
    <row r="3175" spans="1:28" x14ac:dyDescent="0.2">
      <c r="A3175" s="1">
        <v>8229</v>
      </c>
      <c r="B3175" s="1" t="s">
        <v>10590</v>
      </c>
      <c r="D3175" s="1" t="s">
        <v>10685</v>
      </c>
      <c r="F3175" s="1" t="s">
        <v>11077</v>
      </c>
      <c r="H3175" s="1" t="s">
        <v>11235</v>
      </c>
      <c r="J3175" s="1" t="s">
        <v>11236</v>
      </c>
      <c r="L3175" s="1" t="s">
        <v>3771</v>
      </c>
      <c r="N3175" s="1" t="s">
        <v>3772</v>
      </c>
      <c r="P3175" s="1" t="s">
        <v>4693</v>
      </c>
      <c r="Q3175" s="3">
        <v>0</v>
      </c>
      <c r="R3175" s="23" t="s">
        <v>10605</v>
      </c>
      <c r="S3175" s="23" t="s">
        <v>6844</v>
      </c>
      <c r="T3175" s="23" t="s">
        <v>4866</v>
      </c>
      <c r="U3175" s="3">
        <v>35</v>
      </c>
      <c r="W3175" s="45" t="str">
        <f>HYPERLINK("http://ictvonline.org/taxonomy/p/taxonomy-history?taxnode_id=201903594","ICTVonline=201903594")</f>
        <v>ICTVonline=201903594</v>
      </c>
      <c r="Y3175" s="1" t="s">
        <v>11622</v>
      </c>
      <c r="Z3175" s="1" t="s">
        <v>11623</v>
      </c>
      <c r="AA3175" s="1">
        <v>201900000</v>
      </c>
      <c r="AB3175" s="1">
        <v>35</v>
      </c>
    </row>
    <row r="3176" spans="1:28" x14ac:dyDescent="0.2">
      <c r="A3176" s="1">
        <v>8231</v>
      </c>
      <c r="B3176" s="1" t="s">
        <v>10590</v>
      </c>
      <c r="D3176" s="1" t="s">
        <v>10685</v>
      </c>
      <c r="F3176" s="1" t="s">
        <v>11077</v>
      </c>
      <c r="H3176" s="1" t="s">
        <v>11235</v>
      </c>
      <c r="J3176" s="1" t="s">
        <v>11236</v>
      </c>
      <c r="L3176" s="1" t="s">
        <v>3771</v>
      </c>
      <c r="N3176" s="1" t="s">
        <v>3772</v>
      </c>
      <c r="P3176" s="1" t="s">
        <v>4694</v>
      </c>
      <c r="Q3176" s="3">
        <v>0</v>
      </c>
      <c r="R3176" s="23" t="s">
        <v>10605</v>
      </c>
      <c r="S3176" s="23" t="s">
        <v>6844</v>
      </c>
      <c r="T3176" s="23" t="s">
        <v>4866</v>
      </c>
      <c r="U3176" s="3">
        <v>35</v>
      </c>
      <c r="W3176" s="45" t="str">
        <f>HYPERLINK("http://ictvonline.org/taxonomy/p/taxonomy-history?taxnode_id=201903595","ICTVonline=201903595")</f>
        <v>ICTVonline=201903595</v>
      </c>
      <c r="Y3176" s="1" t="s">
        <v>11624</v>
      </c>
      <c r="Z3176" s="1" t="s">
        <v>11625</v>
      </c>
      <c r="AA3176" s="1">
        <v>201900000</v>
      </c>
      <c r="AB3176" s="1">
        <v>35</v>
      </c>
    </row>
    <row r="3177" spans="1:28" x14ac:dyDescent="0.2">
      <c r="A3177" s="1">
        <v>8235</v>
      </c>
      <c r="B3177" s="1" t="s">
        <v>10590</v>
      </c>
      <c r="D3177" s="1" t="s">
        <v>10685</v>
      </c>
      <c r="F3177" s="1" t="s">
        <v>11077</v>
      </c>
      <c r="H3177" s="1" t="s">
        <v>11235</v>
      </c>
      <c r="J3177" s="1" t="s">
        <v>11236</v>
      </c>
      <c r="L3177" s="1" t="s">
        <v>3771</v>
      </c>
      <c r="N3177" s="1" t="s">
        <v>4695</v>
      </c>
      <c r="P3177" s="1" t="s">
        <v>4696</v>
      </c>
      <c r="Q3177" s="3">
        <v>1</v>
      </c>
      <c r="R3177" s="23" t="s">
        <v>10605</v>
      </c>
      <c r="S3177" s="23" t="s">
        <v>6844</v>
      </c>
      <c r="T3177" s="23" t="s">
        <v>4866</v>
      </c>
      <c r="U3177" s="3">
        <v>35</v>
      </c>
      <c r="W3177" s="45" t="str">
        <f>HYPERLINK("http://ictvonline.org/taxonomy/p/taxonomy-history?taxnode_id=201903597","ICTVonline=201903597")</f>
        <v>ICTVonline=201903597</v>
      </c>
      <c r="Y3177" s="1" t="s">
        <v>11626</v>
      </c>
      <c r="Z3177" s="1" t="s">
        <v>11627</v>
      </c>
      <c r="AA3177" s="1">
        <v>201900000</v>
      </c>
      <c r="AB3177" s="1">
        <v>35</v>
      </c>
    </row>
    <row r="3178" spans="1:28" x14ac:dyDescent="0.2">
      <c r="A3178" s="1">
        <v>8239</v>
      </c>
      <c r="B3178" s="1" t="s">
        <v>10590</v>
      </c>
      <c r="D3178" s="1" t="s">
        <v>10685</v>
      </c>
      <c r="F3178" s="1" t="s">
        <v>11077</v>
      </c>
      <c r="H3178" s="1" t="s">
        <v>11235</v>
      </c>
      <c r="J3178" s="1" t="s">
        <v>11236</v>
      </c>
      <c r="L3178" s="1" t="s">
        <v>3771</v>
      </c>
      <c r="N3178" s="1" t="s">
        <v>4697</v>
      </c>
      <c r="P3178" s="1" t="s">
        <v>4698</v>
      </c>
      <c r="Q3178" s="3">
        <v>0</v>
      </c>
      <c r="R3178" s="23" t="s">
        <v>10605</v>
      </c>
      <c r="S3178" s="23" t="s">
        <v>6844</v>
      </c>
      <c r="T3178" s="23" t="s">
        <v>4866</v>
      </c>
      <c r="U3178" s="3">
        <v>35</v>
      </c>
      <c r="W3178" s="45" t="str">
        <f>HYPERLINK("http://ictvonline.org/taxonomy/p/taxonomy-history?taxnode_id=201903599","ICTVonline=201903599")</f>
        <v>ICTVonline=201903599</v>
      </c>
      <c r="Y3178" s="1" t="s">
        <v>11628</v>
      </c>
      <c r="Z3178" s="1" t="s">
        <v>11629</v>
      </c>
      <c r="AA3178" s="1">
        <v>201900000</v>
      </c>
      <c r="AB3178" s="1">
        <v>35</v>
      </c>
    </row>
    <row r="3179" spans="1:28" x14ac:dyDescent="0.2">
      <c r="A3179" s="1">
        <v>8241</v>
      </c>
      <c r="B3179" s="1" t="s">
        <v>10590</v>
      </c>
      <c r="D3179" s="1" t="s">
        <v>10685</v>
      </c>
      <c r="F3179" s="1" t="s">
        <v>11077</v>
      </c>
      <c r="H3179" s="1" t="s">
        <v>11235</v>
      </c>
      <c r="J3179" s="1" t="s">
        <v>11236</v>
      </c>
      <c r="L3179" s="1" t="s">
        <v>3771</v>
      </c>
      <c r="N3179" s="1" t="s">
        <v>4697</v>
      </c>
      <c r="P3179" s="1" t="s">
        <v>4699</v>
      </c>
      <c r="Q3179" s="3">
        <v>0</v>
      </c>
      <c r="R3179" s="23" t="s">
        <v>10605</v>
      </c>
      <c r="S3179" s="23" t="s">
        <v>6844</v>
      </c>
      <c r="T3179" s="23" t="s">
        <v>4866</v>
      </c>
      <c r="U3179" s="3">
        <v>35</v>
      </c>
      <c r="W3179" s="45" t="str">
        <f>HYPERLINK("http://ictvonline.org/taxonomy/p/taxonomy-history?taxnode_id=201903600","ICTVonline=201903600")</f>
        <v>ICTVonline=201903600</v>
      </c>
      <c r="Y3179" s="1" t="s">
        <v>11630</v>
      </c>
      <c r="Z3179" s="1" t="s">
        <v>11631</v>
      </c>
      <c r="AA3179" s="1">
        <v>201900000</v>
      </c>
      <c r="AB3179" s="1">
        <v>35</v>
      </c>
    </row>
    <row r="3180" spans="1:28" x14ac:dyDescent="0.2">
      <c r="A3180" s="1">
        <v>8243</v>
      </c>
      <c r="B3180" s="1" t="s">
        <v>10590</v>
      </c>
      <c r="D3180" s="1" t="s">
        <v>10685</v>
      </c>
      <c r="F3180" s="1" t="s">
        <v>11077</v>
      </c>
      <c r="H3180" s="1" t="s">
        <v>11235</v>
      </c>
      <c r="J3180" s="1" t="s">
        <v>11236</v>
      </c>
      <c r="L3180" s="1" t="s">
        <v>3771</v>
      </c>
      <c r="N3180" s="1" t="s">
        <v>4697</v>
      </c>
      <c r="P3180" s="1" t="s">
        <v>4700</v>
      </c>
      <c r="Q3180" s="3">
        <v>0</v>
      </c>
      <c r="R3180" s="23" t="s">
        <v>10605</v>
      </c>
      <c r="S3180" s="23" t="s">
        <v>6844</v>
      </c>
      <c r="T3180" s="23" t="s">
        <v>4866</v>
      </c>
      <c r="U3180" s="3">
        <v>35</v>
      </c>
      <c r="W3180" s="45" t="str">
        <f>HYPERLINK("http://ictvonline.org/taxonomy/p/taxonomy-history?taxnode_id=201903601","ICTVonline=201903601")</f>
        <v>ICTVonline=201903601</v>
      </c>
      <c r="Y3180" s="1" t="s">
        <v>11632</v>
      </c>
      <c r="Z3180" s="1" t="s">
        <v>11633</v>
      </c>
      <c r="AA3180" s="1">
        <v>201900000</v>
      </c>
      <c r="AB3180" s="1">
        <v>35</v>
      </c>
    </row>
    <row r="3181" spans="1:28" x14ac:dyDescent="0.2">
      <c r="A3181" s="1">
        <v>8245</v>
      </c>
      <c r="B3181" s="1" t="s">
        <v>10590</v>
      </c>
      <c r="D3181" s="1" t="s">
        <v>10685</v>
      </c>
      <c r="F3181" s="1" t="s">
        <v>11077</v>
      </c>
      <c r="H3181" s="1" t="s">
        <v>11235</v>
      </c>
      <c r="J3181" s="1" t="s">
        <v>11236</v>
      </c>
      <c r="L3181" s="1" t="s">
        <v>3771</v>
      </c>
      <c r="N3181" s="1" t="s">
        <v>4697</v>
      </c>
      <c r="P3181" s="1" t="s">
        <v>4701</v>
      </c>
      <c r="Q3181" s="3">
        <v>0</v>
      </c>
      <c r="R3181" s="23" t="s">
        <v>10605</v>
      </c>
      <c r="S3181" s="23" t="s">
        <v>6844</v>
      </c>
      <c r="T3181" s="23" t="s">
        <v>4866</v>
      </c>
      <c r="U3181" s="3">
        <v>35</v>
      </c>
      <c r="W3181" s="45" t="str">
        <f>HYPERLINK("http://ictvonline.org/taxonomy/p/taxonomy-history?taxnode_id=201903602","ICTVonline=201903602")</f>
        <v>ICTVonline=201903602</v>
      </c>
      <c r="Y3181" s="1" t="s">
        <v>11634</v>
      </c>
      <c r="Z3181" s="1" t="s">
        <v>11635</v>
      </c>
      <c r="AA3181" s="1">
        <v>201900000</v>
      </c>
      <c r="AB3181" s="1">
        <v>35</v>
      </c>
    </row>
    <row r="3182" spans="1:28" x14ac:dyDescent="0.2">
      <c r="A3182" s="1">
        <v>8247</v>
      </c>
      <c r="B3182" s="1" t="s">
        <v>10590</v>
      </c>
      <c r="D3182" s="1" t="s">
        <v>10685</v>
      </c>
      <c r="F3182" s="1" t="s">
        <v>11077</v>
      </c>
      <c r="H3182" s="1" t="s">
        <v>11235</v>
      </c>
      <c r="J3182" s="1" t="s">
        <v>11236</v>
      </c>
      <c r="L3182" s="1" t="s">
        <v>3771</v>
      </c>
      <c r="N3182" s="1" t="s">
        <v>4697</v>
      </c>
      <c r="P3182" s="1" t="s">
        <v>4702</v>
      </c>
      <c r="Q3182" s="3">
        <v>1</v>
      </c>
      <c r="R3182" s="23" t="s">
        <v>10605</v>
      </c>
      <c r="S3182" s="23" t="s">
        <v>6844</v>
      </c>
      <c r="T3182" s="23" t="s">
        <v>4866</v>
      </c>
      <c r="U3182" s="3">
        <v>35</v>
      </c>
      <c r="W3182" s="45" t="str">
        <f>HYPERLINK("http://ictvonline.org/taxonomy/p/taxonomy-history?taxnode_id=201903603","ICTVonline=201903603")</f>
        <v>ICTVonline=201903603</v>
      </c>
      <c r="Y3182" s="1" t="s">
        <v>11636</v>
      </c>
      <c r="Z3182" s="1" t="s">
        <v>11637</v>
      </c>
      <c r="AA3182" s="1">
        <v>201900000</v>
      </c>
      <c r="AB3182" s="1">
        <v>35</v>
      </c>
    </row>
    <row r="3183" spans="1:28" x14ac:dyDescent="0.2">
      <c r="A3183" s="1">
        <v>8251</v>
      </c>
      <c r="B3183" s="1" t="s">
        <v>10590</v>
      </c>
      <c r="D3183" s="1" t="s">
        <v>10685</v>
      </c>
      <c r="F3183" s="1" t="s">
        <v>11077</v>
      </c>
      <c r="H3183" s="1" t="s">
        <v>11235</v>
      </c>
      <c r="J3183" s="1" t="s">
        <v>11236</v>
      </c>
      <c r="L3183" s="1" t="s">
        <v>3771</v>
      </c>
      <c r="N3183" s="1" t="s">
        <v>4703</v>
      </c>
      <c r="P3183" s="1" t="s">
        <v>4704</v>
      </c>
      <c r="Q3183" s="3">
        <v>0</v>
      </c>
      <c r="R3183" s="23" t="s">
        <v>10605</v>
      </c>
      <c r="S3183" s="23" t="s">
        <v>6844</v>
      </c>
      <c r="T3183" s="23" t="s">
        <v>4866</v>
      </c>
      <c r="U3183" s="3">
        <v>35</v>
      </c>
      <c r="W3183" s="45" t="str">
        <f>HYPERLINK("http://ictvonline.org/taxonomy/p/taxonomy-history?taxnode_id=201903605","ICTVonline=201903605")</f>
        <v>ICTVonline=201903605</v>
      </c>
      <c r="Y3183" s="1" t="s">
        <v>11638</v>
      </c>
      <c r="Z3183" s="1" t="s">
        <v>11639</v>
      </c>
      <c r="AA3183" s="1">
        <v>201900000</v>
      </c>
      <c r="AB3183" s="1">
        <v>35</v>
      </c>
    </row>
    <row r="3184" spans="1:28" x14ac:dyDescent="0.2">
      <c r="A3184" s="1">
        <v>8253</v>
      </c>
      <c r="B3184" s="1" t="s">
        <v>10590</v>
      </c>
      <c r="D3184" s="1" t="s">
        <v>10685</v>
      </c>
      <c r="F3184" s="1" t="s">
        <v>11077</v>
      </c>
      <c r="H3184" s="1" t="s">
        <v>11235</v>
      </c>
      <c r="J3184" s="1" t="s">
        <v>11236</v>
      </c>
      <c r="L3184" s="1" t="s">
        <v>3771</v>
      </c>
      <c r="N3184" s="1" t="s">
        <v>4703</v>
      </c>
      <c r="P3184" s="1" t="s">
        <v>4705</v>
      </c>
      <c r="Q3184" s="3">
        <v>0</v>
      </c>
      <c r="R3184" s="23" t="s">
        <v>10605</v>
      </c>
      <c r="S3184" s="23" t="s">
        <v>6844</v>
      </c>
      <c r="T3184" s="23" t="s">
        <v>4866</v>
      </c>
      <c r="U3184" s="3">
        <v>35</v>
      </c>
      <c r="W3184" s="45" t="str">
        <f>HYPERLINK("http://ictvonline.org/taxonomy/p/taxonomy-history?taxnode_id=201903606","ICTVonline=201903606")</f>
        <v>ICTVonline=201903606</v>
      </c>
      <c r="Y3184" s="1" t="s">
        <v>11640</v>
      </c>
      <c r="Z3184" s="1" t="s">
        <v>11641</v>
      </c>
      <c r="AA3184" s="1">
        <v>201900000</v>
      </c>
      <c r="AB3184" s="1">
        <v>35</v>
      </c>
    </row>
    <row r="3185" spans="1:28" x14ac:dyDescent="0.2">
      <c r="A3185" s="1">
        <v>8255</v>
      </c>
      <c r="B3185" s="1" t="s">
        <v>10590</v>
      </c>
      <c r="D3185" s="1" t="s">
        <v>10685</v>
      </c>
      <c r="F3185" s="1" t="s">
        <v>11077</v>
      </c>
      <c r="H3185" s="1" t="s">
        <v>11235</v>
      </c>
      <c r="J3185" s="1" t="s">
        <v>11236</v>
      </c>
      <c r="L3185" s="1" t="s">
        <v>3771</v>
      </c>
      <c r="N3185" s="1" t="s">
        <v>4703</v>
      </c>
      <c r="P3185" s="1" t="s">
        <v>4706</v>
      </c>
      <c r="Q3185" s="3">
        <v>0</v>
      </c>
      <c r="R3185" s="23" t="s">
        <v>10605</v>
      </c>
      <c r="S3185" s="23" t="s">
        <v>6844</v>
      </c>
      <c r="T3185" s="23" t="s">
        <v>4866</v>
      </c>
      <c r="U3185" s="3">
        <v>35</v>
      </c>
      <c r="W3185" s="45" t="str">
        <f>HYPERLINK("http://ictvonline.org/taxonomy/p/taxonomy-history?taxnode_id=201903607","ICTVonline=201903607")</f>
        <v>ICTVonline=201903607</v>
      </c>
      <c r="Y3185" s="1" t="s">
        <v>11642</v>
      </c>
      <c r="Z3185" s="1" t="s">
        <v>11643</v>
      </c>
      <c r="AA3185" s="1">
        <v>201900000</v>
      </c>
      <c r="AB3185" s="1">
        <v>35</v>
      </c>
    </row>
    <row r="3186" spans="1:28" x14ac:dyDescent="0.2">
      <c r="A3186" s="1">
        <v>8257</v>
      </c>
      <c r="B3186" s="1" t="s">
        <v>10590</v>
      </c>
      <c r="D3186" s="1" t="s">
        <v>10685</v>
      </c>
      <c r="F3186" s="1" t="s">
        <v>11077</v>
      </c>
      <c r="H3186" s="1" t="s">
        <v>11235</v>
      </c>
      <c r="J3186" s="1" t="s">
        <v>11236</v>
      </c>
      <c r="L3186" s="1" t="s">
        <v>3771</v>
      </c>
      <c r="N3186" s="1" t="s">
        <v>4703</v>
      </c>
      <c r="P3186" s="1" t="s">
        <v>4707</v>
      </c>
      <c r="Q3186" s="3">
        <v>0</v>
      </c>
      <c r="R3186" s="23" t="s">
        <v>10605</v>
      </c>
      <c r="S3186" s="23" t="s">
        <v>6844</v>
      </c>
      <c r="T3186" s="23" t="s">
        <v>4866</v>
      </c>
      <c r="U3186" s="3">
        <v>35</v>
      </c>
      <c r="W3186" s="45" t="str">
        <f>HYPERLINK("http://ictvonline.org/taxonomy/p/taxonomy-history?taxnode_id=201903608","ICTVonline=201903608")</f>
        <v>ICTVonline=201903608</v>
      </c>
      <c r="Y3186" s="1" t="s">
        <v>11644</v>
      </c>
      <c r="Z3186" s="1" t="s">
        <v>11645</v>
      </c>
      <c r="AA3186" s="1">
        <v>201900000</v>
      </c>
      <c r="AB3186" s="1">
        <v>35</v>
      </c>
    </row>
    <row r="3187" spans="1:28" x14ac:dyDescent="0.2">
      <c r="A3187" s="1">
        <v>8259</v>
      </c>
      <c r="B3187" s="1" t="s">
        <v>10590</v>
      </c>
      <c r="D3187" s="1" t="s">
        <v>10685</v>
      </c>
      <c r="F3187" s="1" t="s">
        <v>11077</v>
      </c>
      <c r="H3187" s="1" t="s">
        <v>11235</v>
      </c>
      <c r="J3187" s="1" t="s">
        <v>11236</v>
      </c>
      <c r="L3187" s="1" t="s">
        <v>3771</v>
      </c>
      <c r="N3187" s="1" t="s">
        <v>4703</v>
      </c>
      <c r="P3187" s="1" t="s">
        <v>4708</v>
      </c>
      <c r="Q3187" s="3">
        <v>1</v>
      </c>
      <c r="R3187" s="23" t="s">
        <v>10605</v>
      </c>
      <c r="S3187" s="23" t="s">
        <v>6844</v>
      </c>
      <c r="T3187" s="23" t="s">
        <v>4866</v>
      </c>
      <c r="U3187" s="3">
        <v>35</v>
      </c>
      <c r="W3187" s="45" t="str">
        <f>HYPERLINK("http://ictvonline.org/taxonomy/p/taxonomy-history?taxnode_id=201903609","ICTVonline=201903609")</f>
        <v>ICTVonline=201903609</v>
      </c>
      <c r="Y3187" s="1" t="s">
        <v>11646</v>
      </c>
      <c r="Z3187" s="1" t="s">
        <v>11647</v>
      </c>
      <c r="AA3187" s="1">
        <v>201900000</v>
      </c>
      <c r="AB3187" s="1">
        <v>35</v>
      </c>
    </row>
    <row r="3188" spans="1:28" x14ac:dyDescent="0.2">
      <c r="A3188" s="1">
        <v>8261</v>
      </c>
      <c r="B3188" s="1" t="s">
        <v>10590</v>
      </c>
      <c r="D3188" s="1" t="s">
        <v>10685</v>
      </c>
      <c r="F3188" s="1" t="s">
        <v>11077</v>
      </c>
      <c r="H3188" s="1" t="s">
        <v>11235</v>
      </c>
      <c r="J3188" s="1" t="s">
        <v>11236</v>
      </c>
      <c r="L3188" s="1" t="s">
        <v>3771</v>
      </c>
      <c r="N3188" s="1" t="s">
        <v>4703</v>
      </c>
      <c r="P3188" s="1" t="s">
        <v>4709</v>
      </c>
      <c r="Q3188" s="3">
        <v>0</v>
      </c>
      <c r="R3188" s="23" t="s">
        <v>10605</v>
      </c>
      <c r="S3188" s="23" t="s">
        <v>6844</v>
      </c>
      <c r="T3188" s="23" t="s">
        <v>4866</v>
      </c>
      <c r="U3188" s="3">
        <v>35</v>
      </c>
      <c r="W3188" s="45" t="str">
        <f>HYPERLINK("http://ictvonline.org/taxonomy/p/taxonomy-history?taxnode_id=201903610","ICTVonline=201903610")</f>
        <v>ICTVonline=201903610</v>
      </c>
      <c r="Y3188" s="1" t="s">
        <v>11648</v>
      </c>
      <c r="Z3188" s="1" t="s">
        <v>11649</v>
      </c>
      <c r="AA3188" s="1">
        <v>201900000</v>
      </c>
      <c r="AB3188" s="1">
        <v>35</v>
      </c>
    </row>
    <row r="3189" spans="1:28" x14ac:dyDescent="0.2">
      <c r="A3189" s="1">
        <v>8263</v>
      </c>
      <c r="B3189" s="1" t="s">
        <v>10590</v>
      </c>
      <c r="D3189" s="1" t="s">
        <v>10685</v>
      </c>
      <c r="F3189" s="1" t="s">
        <v>11077</v>
      </c>
      <c r="H3189" s="1" t="s">
        <v>11235</v>
      </c>
      <c r="J3189" s="1" t="s">
        <v>11236</v>
      </c>
      <c r="L3189" s="1" t="s">
        <v>3771</v>
      </c>
      <c r="N3189" s="1" t="s">
        <v>4703</v>
      </c>
      <c r="P3189" s="1" t="s">
        <v>4710</v>
      </c>
      <c r="Q3189" s="3">
        <v>0</v>
      </c>
      <c r="R3189" s="23" t="s">
        <v>10605</v>
      </c>
      <c r="S3189" s="23" t="s">
        <v>6844</v>
      </c>
      <c r="T3189" s="23" t="s">
        <v>4866</v>
      </c>
      <c r="U3189" s="3">
        <v>35</v>
      </c>
      <c r="W3189" s="45" t="str">
        <f>HYPERLINK("http://ictvonline.org/taxonomy/p/taxonomy-history?taxnode_id=201903611","ICTVonline=201903611")</f>
        <v>ICTVonline=201903611</v>
      </c>
      <c r="Y3189" s="1" t="s">
        <v>11650</v>
      </c>
      <c r="Z3189" s="1" t="s">
        <v>11651</v>
      </c>
      <c r="AA3189" s="1">
        <v>201900000</v>
      </c>
      <c r="AB3189" s="1">
        <v>35</v>
      </c>
    </row>
    <row r="3190" spans="1:28" x14ac:dyDescent="0.2">
      <c r="A3190" s="1">
        <v>8265</v>
      </c>
      <c r="B3190" s="1" t="s">
        <v>10590</v>
      </c>
      <c r="D3190" s="1" t="s">
        <v>10685</v>
      </c>
      <c r="F3190" s="1" t="s">
        <v>11077</v>
      </c>
      <c r="H3190" s="1" t="s">
        <v>11235</v>
      </c>
      <c r="J3190" s="1" t="s">
        <v>11236</v>
      </c>
      <c r="L3190" s="1" t="s">
        <v>3771</v>
      </c>
      <c r="N3190" s="1" t="s">
        <v>4703</v>
      </c>
      <c r="P3190" s="1" t="s">
        <v>4711</v>
      </c>
      <c r="Q3190" s="3">
        <v>0</v>
      </c>
      <c r="R3190" s="23" t="s">
        <v>10605</v>
      </c>
      <c r="S3190" s="23" t="s">
        <v>6844</v>
      </c>
      <c r="T3190" s="23" t="s">
        <v>4866</v>
      </c>
      <c r="U3190" s="3">
        <v>35</v>
      </c>
      <c r="W3190" s="45" t="str">
        <f>HYPERLINK("http://ictvonline.org/taxonomy/p/taxonomy-history?taxnode_id=201903612","ICTVonline=201903612")</f>
        <v>ICTVonline=201903612</v>
      </c>
      <c r="Y3190" s="1" t="s">
        <v>11652</v>
      </c>
      <c r="Z3190" s="1" t="s">
        <v>11653</v>
      </c>
      <c r="AA3190" s="1">
        <v>201900000</v>
      </c>
      <c r="AB3190" s="1">
        <v>35</v>
      </c>
    </row>
    <row r="3191" spans="1:28" x14ac:dyDescent="0.2">
      <c r="A3191" s="1">
        <v>8267</v>
      </c>
      <c r="B3191" s="1" t="s">
        <v>10590</v>
      </c>
      <c r="D3191" s="1" t="s">
        <v>10685</v>
      </c>
      <c r="F3191" s="1" t="s">
        <v>11077</v>
      </c>
      <c r="H3191" s="1" t="s">
        <v>11235</v>
      </c>
      <c r="J3191" s="1" t="s">
        <v>11236</v>
      </c>
      <c r="L3191" s="1" t="s">
        <v>3771</v>
      </c>
      <c r="N3191" s="1" t="s">
        <v>4703</v>
      </c>
      <c r="P3191" s="1" t="s">
        <v>4712</v>
      </c>
      <c r="Q3191" s="3">
        <v>0</v>
      </c>
      <c r="R3191" s="23" t="s">
        <v>10605</v>
      </c>
      <c r="S3191" s="23" t="s">
        <v>6844</v>
      </c>
      <c r="T3191" s="23" t="s">
        <v>4866</v>
      </c>
      <c r="U3191" s="3">
        <v>35</v>
      </c>
      <c r="W3191" s="45" t="str">
        <f>HYPERLINK("http://ictvonline.org/taxonomy/p/taxonomy-history?taxnode_id=201903613","ICTVonline=201903613")</f>
        <v>ICTVonline=201903613</v>
      </c>
      <c r="Y3191" s="1" t="s">
        <v>11654</v>
      </c>
      <c r="Z3191" s="1" t="s">
        <v>11655</v>
      </c>
      <c r="AA3191" s="1">
        <v>201900000</v>
      </c>
      <c r="AB3191" s="1">
        <v>35</v>
      </c>
    </row>
    <row r="3192" spans="1:28" x14ac:dyDescent="0.2">
      <c r="A3192" s="1">
        <v>8269</v>
      </c>
      <c r="B3192" s="1" t="s">
        <v>10590</v>
      </c>
      <c r="D3192" s="1" t="s">
        <v>10685</v>
      </c>
      <c r="F3192" s="1" t="s">
        <v>11077</v>
      </c>
      <c r="H3192" s="1" t="s">
        <v>11235</v>
      </c>
      <c r="J3192" s="1" t="s">
        <v>11236</v>
      </c>
      <c r="L3192" s="1" t="s">
        <v>3771</v>
      </c>
      <c r="N3192" s="1" t="s">
        <v>4703</v>
      </c>
      <c r="P3192" s="1" t="s">
        <v>4713</v>
      </c>
      <c r="Q3192" s="3">
        <v>0</v>
      </c>
      <c r="R3192" s="23" t="s">
        <v>10605</v>
      </c>
      <c r="S3192" s="23" t="s">
        <v>6844</v>
      </c>
      <c r="T3192" s="23" t="s">
        <v>4866</v>
      </c>
      <c r="U3192" s="3">
        <v>35</v>
      </c>
      <c r="W3192" s="45" t="str">
        <f>HYPERLINK("http://ictvonline.org/taxonomy/p/taxonomy-history?taxnode_id=201903614","ICTVonline=201903614")</f>
        <v>ICTVonline=201903614</v>
      </c>
      <c r="Y3192" s="1" t="s">
        <v>11656</v>
      </c>
      <c r="Z3192" s="1" t="s">
        <v>11657</v>
      </c>
      <c r="AA3192" s="1">
        <v>201900000</v>
      </c>
      <c r="AB3192" s="1">
        <v>35</v>
      </c>
    </row>
    <row r="3193" spans="1:28" x14ac:dyDescent="0.2">
      <c r="A3193" s="1">
        <v>8271</v>
      </c>
      <c r="B3193" s="1" t="s">
        <v>10590</v>
      </c>
      <c r="D3193" s="1" t="s">
        <v>10685</v>
      </c>
      <c r="F3193" s="1" t="s">
        <v>11077</v>
      </c>
      <c r="H3193" s="1" t="s">
        <v>11235</v>
      </c>
      <c r="J3193" s="1" t="s">
        <v>11236</v>
      </c>
      <c r="L3193" s="1" t="s">
        <v>3771</v>
      </c>
      <c r="N3193" s="1" t="s">
        <v>4703</v>
      </c>
      <c r="P3193" s="1" t="s">
        <v>4714</v>
      </c>
      <c r="Q3193" s="3">
        <v>0</v>
      </c>
      <c r="R3193" s="23" t="s">
        <v>10605</v>
      </c>
      <c r="S3193" s="23" t="s">
        <v>6844</v>
      </c>
      <c r="T3193" s="23" t="s">
        <v>4866</v>
      </c>
      <c r="U3193" s="3">
        <v>35</v>
      </c>
      <c r="W3193" s="45" t="str">
        <f>HYPERLINK("http://ictvonline.org/taxonomy/p/taxonomy-history?taxnode_id=201903615","ICTVonline=201903615")</f>
        <v>ICTVonline=201903615</v>
      </c>
      <c r="Y3193" s="1" t="s">
        <v>11658</v>
      </c>
      <c r="Z3193" s="1" t="s">
        <v>11659</v>
      </c>
      <c r="AA3193" s="1">
        <v>201900000</v>
      </c>
      <c r="AB3193" s="1">
        <v>35</v>
      </c>
    </row>
    <row r="3194" spans="1:28" x14ac:dyDescent="0.2">
      <c r="A3194" s="1">
        <v>8273</v>
      </c>
      <c r="B3194" s="1" t="s">
        <v>10590</v>
      </c>
      <c r="D3194" s="1" t="s">
        <v>10685</v>
      </c>
      <c r="F3194" s="1" t="s">
        <v>11077</v>
      </c>
      <c r="H3194" s="1" t="s">
        <v>11235</v>
      </c>
      <c r="J3194" s="1" t="s">
        <v>11236</v>
      </c>
      <c r="L3194" s="1" t="s">
        <v>3771</v>
      </c>
      <c r="N3194" s="1" t="s">
        <v>4703</v>
      </c>
      <c r="P3194" s="1" t="s">
        <v>4715</v>
      </c>
      <c r="Q3194" s="3">
        <v>0</v>
      </c>
      <c r="R3194" s="23" t="s">
        <v>10605</v>
      </c>
      <c r="S3194" s="23" t="s">
        <v>6844</v>
      </c>
      <c r="T3194" s="23" t="s">
        <v>4866</v>
      </c>
      <c r="U3194" s="3">
        <v>35</v>
      </c>
      <c r="W3194" s="45" t="str">
        <f>HYPERLINK("http://ictvonline.org/taxonomy/p/taxonomy-history?taxnode_id=201903616","ICTVonline=201903616")</f>
        <v>ICTVonline=201903616</v>
      </c>
      <c r="Y3194" s="1" t="s">
        <v>11660</v>
      </c>
      <c r="Z3194" s="1" t="s">
        <v>11661</v>
      </c>
      <c r="AA3194" s="1">
        <v>201900000</v>
      </c>
      <c r="AB3194" s="1">
        <v>35</v>
      </c>
    </row>
    <row r="3195" spans="1:28" x14ac:dyDescent="0.2">
      <c r="A3195" s="1">
        <v>8275</v>
      </c>
      <c r="B3195" s="1" t="s">
        <v>10590</v>
      </c>
      <c r="D3195" s="1" t="s">
        <v>10685</v>
      </c>
      <c r="F3195" s="1" t="s">
        <v>11077</v>
      </c>
      <c r="H3195" s="1" t="s">
        <v>11235</v>
      </c>
      <c r="J3195" s="1" t="s">
        <v>11236</v>
      </c>
      <c r="L3195" s="1" t="s">
        <v>3771</v>
      </c>
      <c r="N3195" s="1" t="s">
        <v>4703</v>
      </c>
      <c r="P3195" s="1" t="s">
        <v>4716</v>
      </c>
      <c r="Q3195" s="3">
        <v>0</v>
      </c>
      <c r="R3195" s="23" t="s">
        <v>10605</v>
      </c>
      <c r="S3195" s="23" t="s">
        <v>6844</v>
      </c>
      <c r="T3195" s="23" t="s">
        <v>4866</v>
      </c>
      <c r="U3195" s="3">
        <v>35</v>
      </c>
      <c r="W3195" s="45" t="str">
        <f>HYPERLINK("http://ictvonline.org/taxonomy/p/taxonomy-history?taxnode_id=201903617","ICTVonline=201903617")</f>
        <v>ICTVonline=201903617</v>
      </c>
      <c r="Y3195" s="1" t="s">
        <v>11662</v>
      </c>
      <c r="Z3195" s="1" t="s">
        <v>11663</v>
      </c>
      <c r="AA3195" s="1">
        <v>201900000</v>
      </c>
      <c r="AB3195" s="1">
        <v>35</v>
      </c>
    </row>
    <row r="3196" spans="1:28" x14ac:dyDescent="0.2">
      <c r="A3196" s="1">
        <v>8277</v>
      </c>
      <c r="B3196" s="1" t="s">
        <v>10590</v>
      </c>
      <c r="D3196" s="1" t="s">
        <v>10685</v>
      </c>
      <c r="F3196" s="1" t="s">
        <v>11077</v>
      </c>
      <c r="H3196" s="1" t="s">
        <v>11235</v>
      </c>
      <c r="J3196" s="1" t="s">
        <v>11236</v>
      </c>
      <c r="L3196" s="1" t="s">
        <v>3771</v>
      </c>
      <c r="N3196" s="1" t="s">
        <v>4703</v>
      </c>
      <c r="P3196" s="1" t="s">
        <v>4717</v>
      </c>
      <c r="Q3196" s="3">
        <v>0</v>
      </c>
      <c r="R3196" s="23" t="s">
        <v>10605</v>
      </c>
      <c r="S3196" s="23" t="s">
        <v>6844</v>
      </c>
      <c r="T3196" s="23" t="s">
        <v>4866</v>
      </c>
      <c r="U3196" s="3">
        <v>35</v>
      </c>
      <c r="W3196" s="45" t="str">
        <f>HYPERLINK("http://ictvonline.org/taxonomy/p/taxonomy-history?taxnode_id=201903618","ICTVonline=201903618")</f>
        <v>ICTVonline=201903618</v>
      </c>
      <c r="Y3196" s="1" t="s">
        <v>11664</v>
      </c>
      <c r="Z3196" s="1" t="s">
        <v>11665</v>
      </c>
      <c r="AA3196" s="1">
        <v>201900000</v>
      </c>
      <c r="AB3196" s="1">
        <v>35</v>
      </c>
    </row>
    <row r="3197" spans="1:28" x14ac:dyDescent="0.2">
      <c r="A3197" s="1">
        <v>8279</v>
      </c>
      <c r="B3197" s="1" t="s">
        <v>10590</v>
      </c>
      <c r="D3197" s="1" t="s">
        <v>10685</v>
      </c>
      <c r="F3197" s="1" t="s">
        <v>11077</v>
      </c>
      <c r="H3197" s="1" t="s">
        <v>11235</v>
      </c>
      <c r="J3197" s="1" t="s">
        <v>11236</v>
      </c>
      <c r="L3197" s="1" t="s">
        <v>3771</v>
      </c>
      <c r="N3197" s="1" t="s">
        <v>4703</v>
      </c>
      <c r="P3197" s="1" t="s">
        <v>4718</v>
      </c>
      <c r="Q3197" s="3">
        <v>0</v>
      </c>
      <c r="R3197" s="23" t="s">
        <v>10605</v>
      </c>
      <c r="S3197" s="23" t="s">
        <v>6844</v>
      </c>
      <c r="T3197" s="23" t="s">
        <v>4866</v>
      </c>
      <c r="U3197" s="3">
        <v>35</v>
      </c>
      <c r="W3197" s="45" t="str">
        <f>HYPERLINK("http://ictvonline.org/taxonomy/p/taxonomy-history?taxnode_id=201903619","ICTVonline=201903619")</f>
        <v>ICTVonline=201903619</v>
      </c>
      <c r="Y3197" s="1" t="s">
        <v>11666</v>
      </c>
      <c r="Z3197" s="1" t="s">
        <v>11667</v>
      </c>
      <c r="AA3197" s="1">
        <v>201900000</v>
      </c>
      <c r="AB3197" s="1">
        <v>35</v>
      </c>
    </row>
    <row r="3198" spans="1:28" x14ac:dyDescent="0.2">
      <c r="A3198" s="1">
        <v>8281</v>
      </c>
      <c r="B3198" s="1" t="s">
        <v>10590</v>
      </c>
      <c r="D3198" s="1" t="s">
        <v>10685</v>
      </c>
      <c r="F3198" s="1" t="s">
        <v>11077</v>
      </c>
      <c r="H3198" s="1" t="s">
        <v>11235</v>
      </c>
      <c r="J3198" s="1" t="s">
        <v>11236</v>
      </c>
      <c r="L3198" s="1" t="s">
        <v>3771</v>
      </c>
      <c r="N3198" s="1" t="s">
        <v>4703</v>
      </c>
      <c r="P3198" s="1" t="s">
        <v>4719</v>
      </c>
      <c r="Q3198" s="3">
        <v>0</v>
      </c>
      <c r="R3198" s="23" t="s">
        <v>10605</v>
      </c>
      <c r="S3198" s="23" t="s">
        <v>6844</v>
      </c>
      <c r="T3198" s="23" t="s">
        <v>4866</v>
      </c>
      <c r="U3198" s="3">
        <v>35</v>
      </c>
      <c r="W3198" s="45" t="str">
        <f>HYPERLINK("http://ictvonline.org/taxonomy/p/taxonomy-history?taxnode_id=201903620","ICTVonline=201903620")</f>
        <v>ICTVonline=201903620</v>
      </c>
      <c r="Y3198" s="1" t="s">
        <v>11662</v>
      </c>
      <c r="Z3198" s="1" t="s">
        <v>11663</v>
      </c>
      <c r="AA3198" s="1">
        <v>201900000</v>
      </c>
      <c r="AB3198" s="1">
        <v>35</v>
      </c>
    </row>
    <row r="3199" spans="1:28" x14ac:dyDescent="0.2">
      <c r="A3199" s="1">
        <v>8285</v>
      </c>
      <c r="B3199" s="1" t="s">
        <v>10590</v>
      </c>
      <c r="D3199" s="1" t="s">
        <v>10685</v>
      </c>
      <c r="F3199" s="1" t="s">
        <v>11077</v>
      </c>
      <c r="H3199" s="1" t="s">
        <v>11235</v>
      </c>
      <c r="J3199" s="1" t="s">
        <v>11236</v>
      </c>
      <c r="L3199" s="1" t="s">
        <v>3771</v>
      </c>
      <c r="N3199" s="1" t="s">
        <v>4720</v>
      </c>
      <c r="P3199" s="1" t="s">
        <v>4721</v>
      </c>
      <c r="Q3199" s="3">
        <v>1</v>
      </c>
      <c r="R3199" s="23" t="s">
        <v>10605</v>
      </c>
      <c r="S3199" s="23" t="s">
        <v>6844</v>
      </c>
      <c r="T3199" s="23" t="s">
        <v>4866</v>
      </c>
      <c r="U3199" s="3">
        <v>35</v>
      </c>
      <c r="W3199" s="45" t="str">
        <f>HYPERLINK("http://ictvonline.org/taxonomy/p/taxonomy-history?taxnode_id=201903622","ICTVonline=201903622")</f>
        <v>ICTVonline=201903622</v>
      </c>
      <c r="Y3199" s="1" t="s">
        <v>11668</v>
      </c>
      <c r="Z3199" s="1" t="s">
        <v>11669</v>
      </c>
      <c r="AA3199" s="1">
        <v>201900000</v>
      </c>
      <c r="AB3199" s="1">
        <v>35</v>
      </c>
    </row>
    <row r="3200" spans="1:28" x14ac:dyDescent="0.2">
      <c r="A3200" s="1">
        <v>8287</v>
      </c>
      <c r="B3200" s="1" t="s">
        <v>10590</v>
      </c>
      <c r="D3200" s="1" t="s">
        <v>10685</v>
      </c>
      <c r="F3200" s="1" t="s">
        <v>11077</v>
      </c>
      <c r="H3200" s="1" t="s">
        <v>11235</v>
      </c>
      <c r="J3200" s="1" t="s">
        <v>11236</v>
      </c>
      <c r="L3200" s="1" t="s">
        <v>3771</v>
      </c>
      <c r="N3200" s="1" t="s">
        <v>4720</v>
      </c>
      <c r="P3200" s="1" t="s">
        <v>4722</v>
      </c>
      <c r="Q3200" s="3">
        <v>0</v>
      </c>
      <c r="R3200" s="23" t="s">
        <v>10605</v>
      </c>
      <c r="S3200" s="23" t="s">
        <v>6844</v>
      </c>
      <c r="T3200" s="23" t="s">
        <v>4866</v>
      </c>
      <c r="U3200" s="3">
        <v>35</v>
      </c>
      <c r="W3200" s="45" t="str">
        <f>HYPERLINK("http://ictvonline.org/taxonomy/p/taxonomy-history?taxnode_id=201903623","ICTVonline=201903623")</f>
        <v>ICTVonline=201903623</v>
      </c>
      <c r="Y3200" s="1" t="s">
        <v>11670</v>
      </c>
      <c r="Z3200" s="1" t="s">
        <v>11671</v>
      </c>
      <c r="AA3200" s="1">
        <v>201900000</v>
      </c>
      <c r="AB3200" s="1">
        <v>35</v>
      </c>
    </row>
    <row r="3201" spans="1:28" x14ac:dyDescent="0.2">
      <c r="A3201" s="1">
        <v>8291</v>
      </c>
      <c r="B3201" s="1" t="s">
        <v>10590</v>
      </c>
      <c r="D3201" s="1" t="s">
        <v>10685</v>
      </c>
      <c r="F3201" s="1" t="s">
        <v>11077</v>
      </c>
      <c r="H3201" s="1" t="s">
        <v>11235</v>
      </c>
      <c r="J3201" s="1" t="s">
        <v>11236</v>
      </c>
      <c r="L3201" s="1" t="s">
        <v>3771</v>
      </c>
      <c r="N3201" s="1" t="s">
        <v>4723</v>
      </c>
      <c r="P3201" s="1" t="s">
        <v>4724</v>
      </c>
      <c r="Q3201" s="3">
        <v>1</v>
      </c>
      <c r="R3201" s="23" t="s">
        <v>10605</v>
      </c>
      <c r="S3201" s="23" t="s">
        <v>6844</v>
      </c>
      <c r="T3201" s="23" t="s">
        <v>4866</v>
      </c>
      <c r="U3201" s="3">
        <v>35</v>
      </c>
      <c r="W3201" s="45" t="str">
        <f>HYPERLINK("http://ictvonline.org/taxonomy/p/taxonomy-history?taxnode_id=201903625","ICTVonline=201903625")</f>
        <v>ICTVonline=201903625</v>
      </c>
      <c r="Y3201" s="1" t="s">
        <v>11672</v>
      </c>
      <c r="Z3201" s="1" t="s">
        <v>11673</v>
      </c>
      <c r="AA3201" s="1">
        <v>201900000</v>
      </c>
      <c r="AB3201" s="1">
        <v>35</v>
      </c>
    </row>
    <row r="3202" spans="1:28" x14ac:dyDescent="0.2">
      <c r="A3202" s="1">
        <v>8293</v>
      </c>
      <c r="B3202" s="1" t="s">
        <v>10590</v>
      </c>
      <c r="D3202" s="1" t="s">
        <v>10685</v>
      </c>
      <c r="F3202" s="1" t="s">
        <v>11077</v>
      </c>
      <c r="H3202" s="1" t="s">
        <v>11235</v>
      </c>
      <c r="J3202" s="1" t="s">
        <v>11236</v>
      </c>
      <c r="L3202" s="1" t="s">
        <v>3771</v>
      </c>
      <c r="N3202" s="1" t="s">
        <v>4723</v>
      </c>
      <c r="P3202" s="1" t="s">
        <v>4725</v>
      </c>
      <c r="Q3202" s="3">
        <v>0</v>
      </c>
      <c r="R3202" s="23" t="s">
        <v>10605</v>
      </c>
      <c r="S3202" s="23" t="s">
        <v>6844</v>
      </c>
      <c r="T3202" s="23" t="s">
        <v>4866</v>
      </c>
      <c r="U3202" s="3">
        <v>35</v>
      </c>
      <c r="W3202" s="45" t="str">
        <f>HYPERLINK("http://ictvonline.org/taxonomy/p/taxonomy-history?taxnode_id=201903626","ICTVonline=201903626")</f>
        <v>ICTVonline=201903626</v>
      </c>
      <c r="Y3202" s="1" t="s">
        <v>11674</v>
      </c>
      <c r="Z3202" s="1" t="s">
        <v>11675</v>
      </c>
      <c r="AA3202" s="1">
        <v>201900000</v>
      </c>
      <c r="AB3202" s="1">
        <v>35</v>
      </c>
    </row>
    <row r="3203" spans="1:28" x14ac:dyDescent="0.2">
      <c r="A3203" s="1">
        <v>8295</v>
      </c>
      <c r="B3203" s="1" t="s">
        <v>10590</v>
      </c>
      <c r="D3203" s="1" t="s">
        <v>10685</v>
      </c>
      <c r="F3203" s="1" t="s">
        <v>11077</v>
      </c>
      <c r="H3203" s="1" t="s">
        <v>11235</v>
      </c>
      <c r="J3203" s="1" t="s">
        <v>11236</v>
      </c>
      <c r="L3203" s="1" t="s">
        <v>3771</v>
      </c>
      <c r="N3203" s="1" t="s">
        <v>4723</v>
      </c>
      <c r="P3203" s="1" t="s">
        <v>4726</v>
      </c>
      <c r="Q3203" s="3">
        <v>0</v>
      </c>
      <c r="R3203" s="23" t="s">
        <v>10605</v>
      </c>
      <c r="S3203" s="23" t="s">
        <v>6844</v>
      </c>
      <c r="T3203" s="23" t="s">
        <v>4866</v>
      </c>
      <c r="U3203" s="3">
        <v>35</v>
      </c>
      <c r="W3203" s="45" t="str">
        <f>HYPERLINK("http://ictvonline.org/taxonomy/p/taxonomy-history?taxnode_id=201903627","ICTVonline=201903627")</f>
        <v>ICTVonline=201903627</v>
      </c>
      <c r="Y3203" s="1" t="s">
        <v>11676</v>
      </c>
      <c r="Z3203" s="1" t="s">
        <v>11677</v>
      </c>
      <c r="AA3203" s="1">
        <v>201900000</v>
      </c>
      <c r="AB3203" s="1">
        <v>35</v>
      </c>
    </row>
    <row r="3204" spans="1:28" x14ac:dyDescent="0.2">
      <c r="A3204" s="1">
        <v>8299</v>
      </c>
      <c r="B3204" s="1" t="s">
        <v>10590</v>
      </c>
      <c r="D3204" s="1" t="s">
        <v>10685</v>
      </c>
      <c r="F3204" s="1" t="s">
        <v>11077</v>
      </c>
      <c r="H3204" s="1" t="s">
        <v>11235</v>
      </c>
      <c r="J3204" s="1" t="s">
        <v>11236</v>
      </c>
      <c r="L3204" s="1" t="s">
        <v>3771</v>
      </c>
      <c r="N3204" s="1" t="s">
        <v>4727</v>
      </c>
      <c r="P3204" s="1" t="s">
        <v>4728</v>
      </c>
      <c r="Q3204" s="3">
        <v>1</v>
      </c>
      <c r="R3204" s="23" t="s">
        <v>10605</v>
      </c>
      <c r="S3204" s="23" t="s">
        <v>6844</v>
      </c>
      <c r="T3204" s="23" t="s">
        <v>4866</v>
      </c>
      <c r="U3204" s="3">
        <v>35</v>
      </c>
      <c r="W3204" s="45" t="str">
        <f>HYPERLINK("http://ictvonline.org/taxonomy/p/taxonomy-history?taxnode_id=201903629","ICTVonline=201903629")</f>
        <v>ICTVonline=201903629</v>
      </c>
      <c r="Y3204" s="1" t="s">
        <v>11678</v>
      </c>
      <c r="Z3204" s="1" t="s">
        <v>11679</v>
      </c>
      <c r="AA3204" s="1">
        <v>201900000</v>
      </c>
      <c r="AB3204" s="1">
        <v>35</v>
      </c>
    </row>
    <row r="3205" spans="1:28" x14ac:dyDescent="0.2">
      <c r="A3205" s="1">
        <v>8303</v>
      </c>
      <c r="B3205" s="1" t="s">
        <v>10590</v>
      </c>
      <c r="D3205" s="1" t="s">
        <v>10685</v>
      </c>
      <c r="F3205" s="1" t="s">
        <v>11077</v>
      </c>
      <c r="H3205" s="1" t="s">
        <v>11235</v>
      </c>
      <c r="J3205" s="1" t="s">
        <v>11236</v>
      </c>
      <c r="L3205" s="1" t="s">
        <v>3771</v>
      </c>
      <c r="N3205" s="1" t="s">
        <v>4729</v>
      </c>
      <c r="P3205" s="1" t="s">
        <v>4730</v>
      </c>
      <c r="Q3205" s="3">
        <v>1</v>
      </c>
      <c r="R3205" s="23" t="s">
        <v>10605</v>
      </c>
      <c r="S3205" s="23" t="s">
        <v>6844</v>
      </c>
      <c r="T3205" s="23" t="s">
        <v>4866</v>
      </c>
      <c r="U3205" s="3">
        <v>35</v>
      </c>
      <c r="W3205" s="45" t="str">
        <f>HYPERLINK("http://ictvonline.org/taxonomy/p/taxonomy-history?taxnode_id=201903631","ICTVonline=201903631")</f>
        <v>ICTVonline=201903631</v>
      </c>
      <c r="Y3205" s="1" t="s">
        <v>11680</v>
      </c>
      <c r="Z3205" s="1" t="s">
        <v>11681</v>
      </c>
      <c r="AA3205" s="1">
        <v>201900000</v>
      </c>
      <c r="AB3205" s="1">
        <v>35</v>
      </c>
    </row>
    <row r="3206" spans="1:28" x14ac:dyDescent="0.2">
      <c r="A3206" s="1">
        <v>8307</v>
      </c>
      <c r="B3206" s="1" t="s">
        <v>10590</v>
      </c>
      <c r="D3206" s="1" t="s">
        <v>10685</v>
      </c>
      <c r="F3206" s="1" t="s">
        <v>11077</v>
      </c>
      <c r="H3206" s="1" t="s">
        <v>11235</v>
      </c>
      <c r="J3206" s="1" t="s">
        <v>11236</v>
      </c>
      <c r="L3206" s="1" t="s">
        <v>3771</v>
      </c>
      <c r="N3206" s="1" t="s">
        <v>4731</v>
      </c>
      <c r="P3206" s="1" t="s">
        <v>4732</v>
      </c>
      <c r="Q3206" s="3">
        <v>1</v>
      </c>
      <c r="R3206" s="23" t="s">
        <v>10605</v>
      </c>
      <c r="S3206" s="23" t="s">
        <v>6844</v>
      </c>
      <c r="T3206" s="23" t="s">
        <v>4866</v>
      </c>
      <c r="U3206" s="3">
        <v>35</v>
      </c>
      <c r="W3206" s="45" t="str">
        <f>HYPERLINK("http://ictvonline.org/taxonomy/p/taxonomy-history?taxnode_id=201903633","ICTVonline=201903633")</f>
        <v>ICTVonline=201903633</v>
      </c>
      <c r="Y3206" s="1" t="s">
        <v>11682</v>
      </c>
      <c r="Z3206" s="1" t="s">
        <v>11683</v>
      </c>
      <c r="AA3206" s="1">
        <v>201900000</v>
      </c>
      <c r="AB3206" s="1">
        <v>35</v>
      </c>
    </row>
    <row r="3207" spans="1:28" x14ac:dyDescent="0.2">
      <c r="A3207" s="1">
        <v>8321</v>
      </c>
      <c r="B3207" s="1" t="s">
        <v>10590</v>
      </c>
      <c r="D3207" s="1" t="s">
        <v>11684</v>
      </c>
      <c r="F3207" s="1" t="s">
        <v>11685</v>
      </c>
      <c r="H3207" s="1" t="s">
        <v>11686</v>
      </c>
      <c r="J3207" s="1" t="s">
        <v>11687</v>
      </c>
      <c r="L3207" s="1" t="s">
        <v>3859</v>
      </c>
      <c r="N3207" s="1" t="s">
        <v>3860</v>
      </c>
      <c r="P3207" s="1" t="s">
        <v>11688</v>
      </c>
      <c r="Q3207" s="3">
        <v>0</v>
      </c>
      <c r="R3207" s="23" t="s">
        <v>6854</v>
      </c>
      <c r="S3207" s="23" t="s">
        <v>6849</v>
      </c>
      <c r="T3207" s="23" t="s">
        <v>4865</v>
      </c>
      <c r="U3207" s="3">
        <v>35</v>
      </c>
      <c r="V3207" s="3" t="s">
        <v>11689</v>
      </c>
      <c r="W3207" s="45" t="str">
        <f>HYPERLINK("http://ictvonline.org/taxonomy/p/taxonomy-history?taxnode_id=201904342","ICTVonline=201904342")</f>
        <v>ICTVonline=201904342</v>
      </c>
      <c r="X3207" s="1" t="s">
        <v>11690</v>
      </c>
      <c r="Y3207" s="1" t="s">
        <v>11691</v>
      </c>
      <c r="AA3207" s="1">
        <v>201900000</v>
      </c>
      <c r="AB3207" s="1">
        <v>35</v>
      </c>
    </row>
    <row r="3208" spans="1:28" x14ac:dyDescent="0.2">
      <c r="A3208" s="1">
        <v>8323</v>
      </c>
      <c r="B3208" s="1" t="s">
        <v>10590</v>
      </c>
      <c r="D3208" s="1" t="s">
        <v>11684</v>
      </c>
      <c r="F3208" s="1" t="s">
        <v>11685</v>
      </c>
      <c r="H3208" s="1" t="s">
        <v>11686</v>
      </c>
      <c r="J3208" s="1" t="s">
        <v>11687</v>
      </c>
      <c r="L3208" s="1" t="s">
        <v>3859</v>
      </c>
      <c r="N3208" s="1" t="s">
        <v>3860</v>
      </c>
      <c r="P3208" s="1" t="s">
        <v>11692</v>
      </c>
      <c r="Q3208" s="3">
        <v>0</v>
      </c>
      <c r="R3208" s="23" t="s">
        <v>10930</v>
      </c>
      <c r="S3208" s="23" t="s">
        <v>6849</v>
      </c>
      <c r="T3208" s="23" t="s">
        <v>4865</v>
      </c>
      <c r="U3208" s="3">
        <v>35</v>
      </c>
      <c r="V3208" s="3" t="s">
        <v>11689</v>
      </c>
      <c r="W3208" s="45" t="str">
        <f>HYPERLINK("http://ictvonline.org/taxonomy/p/taxonomy-history?taxnode_id=201904343","ICTVonline=201904343")</f>
        <v>ICTVonline=201904343</v>
      </c>
      <c r="X3208" s="1" t="s">
        <v>11693</v>
      </c>
      <c r="Y3208" s="1" t="s">
        <v>11694</v>
      </c>
      <c r="AA3208" s="1">
        <v>201900000</v>
      </c>
      <c r="AB3208" s="1">
        <v>35</v>
      </c>
    </row>
    <row r="3209" spans="1:28" x14ac:dyDescent="0.2">
      <c r="A3209" s="1">
        <v>8325</v>
      </c>
      <c r="B3209" s="1" t="s">
        <v>10590</v>
      </c>
      <c r="D3209" s="1" t="s">
        <v>11684</v>
      </c>
      <c r="F3209" s="1" t="s">
        <v>11685</v>
      </c>
      <c r="H3209" s="1" t="s">
        <v>11686</v>
      </c>
      <c r="J3209" s="1" t="s">
        <v>11687</v>
      </c>
      <c r="L3209" s="1" t="s">
        <v>3859</v>
      </c>
      <c r="N3209" s="1" t="s">
        <v>3860</v>
      </c>
      <c r="P3209" s="1" t="s">
        <v>11695</v>
      </c>
      <c r="Q3209" s="3">
        <v>1</v>
      </c>
      <c r="R3209" s="23" t="s">
        <v>10930</v>
      </c>
      <c r="S3209" s="23" t="s">
        <v>6849</v>
      </c>
      <c r="T3209" s="23" t="s">
        <v>4865</v>
      </c>
      <c r="U3209" s="3">
        <v>35</v>
      </c>
      <c r="V3209" s="3" t="s">
        <v>11689</v>
      </c>
      <c r="W3209" s="45" t="str">
        <f>HYPERLINK("http://ictvonline.org/taxonomy/p/taxonomy-history?taxnode_id=201904344","ICTVonline=201904344")</f>
        <v>ICTVonline=201904344</v>
      </c>
      <c r="X3209" s="1" t="s">
        <v>11696</v>
      </c>
      <c r="Y3209" s="1" t="s">
        <v>11697</v>
      </c>
      <c r="AA3209" s="1">
        <v>201900000</v>
      </c>
      <c r="AB3209" s="1">
        <v>35</v>
      </c>
    </row>
    <row r="3210" spans="1:28" x14ac:dyDescent="0.2">
      <c r="A3210" s="1">
        <v>8327</v>
      </c>
      <c r="B3210" s="1" t="s">
        <v>10590</v>
      </c>
      <c r="D3210" s="1" t="s">
        <v>11684</v>
      </c>
      <c r="F3210" s="1" t="s">
        <v>11685</v>
      </c>
      <c r="H3210" s="1" t="s">
        <v>11686</v>
      </c>
      <c r="J3210" s="1" t="s">
        <v>11687</v>
      </c>
      <c r="L3210" s="1" t="s">
        <v>3859</v>
      </c>
      <c r="N3210" s="1" t="s">
        <v>3860</v>
      </c>
      <c r="P3210" s="1" t="s">
        <v>11698</v>
      </c>
      <c r="Q3210" s="3">
        <v>0</v>
      </c>
      <c r="R3210" s="23" t="s">
        <v>10930</v>
      </c>
      <c r="S3210" s="23" t="s">
        <v>6849</v>
      </c>
      <c r="T3210" s="23" t="s">
        <v>4865</v>
      </c>
      <c r="U3210" s="3">
        <v>35</v>
      </c>
      <c r="V3210" s="3" t="s">
        <v>11689</v>
      </c>
      <c r="W3210" s="45" t="str">
        <f>HYPERLINK("http://ictvonline.org/taxonomy/p/taxonomy-history?taxnode_id=201904345","ICTVonline=201904345")</f>
        <v>ICTVonline=201904345</v>
      </c>
      <c r="X3210" s="1" t="s">
        <v>11699</v>
      </c>
      <c r="Y3210" s="1" t="s">
        <v>11700</v>
      </c>
      <c r="AA3210" s="1">
        <v>201900000</v>
      </c>
      <c r="AB3210" s="1">
        <v>35</v>
      </c>
    </row>
    <row r="3211" spans="1:28" x14ac:dyDescent="0.2">
      <c r="A3211" s="1">
        <v>8329</v>
      </c>
      <c r="B3211" s="1" t="s">
        <v>10590</v>
      </c>
      <c r="D3211" s="1" t="s">
        <v>11684</v>
      </c>
      <c r="F3211" s="1" t="s">
        <v>11685</v>
      </c>
      <c r="H3211" s="1" t="s">
        <v>11686</v>
      </c>
      <c r="J3211" s="1" t="s">
        <v>11687</v>
      </c>
      <c r="L3211" s="1" t="s">
        <v>3859</v>
      </c>
      <c r="N3211" s="1" t="s">
        <v>3860</v>
      </c>
      <c r="P3211" s="1" t="s">
        <v>11701</v>
      </c>
      <c r="Q3211" s="3">
        <v>0</v>
      </c>
      <c r="R3211" s="23" t="s">
        <v>10930</v>
      </c>
      <c r="S3211" s="23" t="s">
        <v>6849</v>
      </c>
      <c r="T3211" s="23" t="s">
        <v>4865</v>
      </c>
      <c r="U3211" s="3">
        <v>35</v>
      </c>
      <c r="V3211" s="3" t="s">
        <v>11689</v>
      </c>
      <c r="W3211" s="45" t="str">
        <f>HYPERLINK("http://ictvonline.org/taxonomy/p/taxonomy-history?taxnode_id=201904346","ICTVonline=201904346")</f>
        <v>ICTVonline=201904346</v>
      </c>
      <c r="X3211" s="1" t="s">
        <v>11702</v>
      </c>
      <c r="Y3211" s="1" t="s">
        <v>11703</v>
      </c>
      <c r="AA3211" s="1">
        <v>201900000</v>
      </c>
      <c r="AB3211" s="1">
        <v>35</v>
      </c>
    </row>
    <row r="3212" spans="1:28" x14ac:dyDescent="0.2">
      <c r="A3212" s="1">
        <v>8333</v>
      </c>
      <c r="B3212" s="1" t="s">
        <v>10590</v>
      </c>
      <c r="D3212" s="1" t="s">
        <v>11684</v>
      </c>
      <c r="F3212" s="1" t="s">
        <v>11685</v>
      </c>
      <c r="H3212" s="1" t="s">
        <v>11686</v>
      </c>
      <c r="J3212" s="1" t="s">
        <v>11687</v>
      </c>
      <c r="L3212" s="1" t="s">
        <v>3859</v>
      </c>
      <c r="N3212" s="1" t="s">
        <v>3861</v>
      </c>
      <c r="P3212" s="1" t="s">
        <v>11704</v>
      </c>
      <c r="Q3212" s="3">
        <v>0</v>
      </c>
      <c r="R3212" s="23" t="s">
        <v>6854</v>
      </c>
      <c r="S3212" s="23" t="s">
        <v>6849</v>
      </c>
      <c r="T3212" s="23" t="s">
        <v>4865</v>
      </c>
      <c r="U3212" s="3">
        <v>35</v>
      </c>
      <c r="V3212" s="3" t="s">
        <v>11689</v>
      </c>
      <c r="W3212" s="45" t="str">
        <f>HYPERLINK("http://ictvonline.org/taxonomy/p/taxonomy-history?taxnode_id=201904348","ICTVonline=201904348")</f>
        <v>ICTVonline=201904348</v>
      </c>
      <c r="X3212" s="1" t="s">
        <v>11705</v>
      </c>
      <c r="Y3212" s="1" t="s">
        <v>11706</v>
      </c>
      <c r="AA3212" s="1">
        <v>201900000</v>
      </c>
      <c r="AB3212" s="1">
        <v>35</v>
      </c>
    </row>
    <row r="3213" spans="1:28" x14ac:dyDescent="0.2">
      <c r="A3213" s="1">
        <v>8335</v>
      </c>
      <c r="B3213" s="1" t="s">
        <v>10590</v>
      </c>
      <c r="D3213" s="1" t="s">
        <v>11684</v>
      </c>
      <c r="F3213" s="1" t="s">
        <v>11685</v>
      </c>
      <c r="H3213" s="1" t="s">
        <v>11686</v>
      </c>
      <c r="J3213" s="1" t="s">
        <v>11687</v>
      </c>
      <c r="L3213" s="1" t="s">
        <v>3859</v>
      </c>
      <c r="N3213" s="1" t="s">
        <v>3861</v>
      </c>
      <c r="P3213" s="1" t="s">
        <v>11707</v>
      </c>
      <c r="Q3213" s="3">
        <v>0</v>
      </c>
      <c r="R3213" s="23" t="s">
        <v>6854</v>
      </c>
      <c r="S3213" s="23" t="s">
        <v>6849</v>
      </c>
      <c r="T3213" s="23" t="s">
        <v>4864</v>
      </c>
      <c r="U3213" s="3">
        <v>35</v>
      </c>
      <c r="V3213" s="3" t="s">
        <v>11708</v>
      </c>
      <c r="W3213" s="45" t="str">
        <f>HYPERLINK("http://ictvonline.org/taxonomy/p/taxonomy-history?taxnode_id=201908635","ICTVonline=201908635")</f>
        <v>ICTVonline=201908635</v>
      </c>
      <c r="X3213" s="1" t="s">
        <v>11709</v>
      </c>
      <c r="Y3213" s="1" t="s">
        <v>11710</v>
      </c>
      <c r="AA3213" s="1">
        <v>201900000</v>
      </c>
      <c r="AB3213" s="1">
        <v>35</v>
      </c>
    </row>
    <row r="3214" spans="1:28" x14ac:dyDescent="0.2">
      <c r="A3214" s="1">
        <v>8337</v>
      </c>
      <c r="B3214" s="1" t="s">
        <v>10590</v>
      </c>
      <c r="D3214" s="1" t="s">
        <v>11684</v>
      </c>
      <c r="F3214" s="1" t="s">
        <v>11685</v>
      </c>
      <c r="H3214" s="1" t="s">
        <v>11686</v>
      </c>
      <c r="J3214" s="1" t="s">
        <v>11687</v>
      </c>
      <c r="L3214" s="1" t="s">
        <v>3859</v>
      </c>
      <c r="N3214" s="1" t="s">
        <v>3861</v>
      </c>
      <c r="P3214" s="1" t="s">
        <v>11711</v>
      </c>
      <c r="Q3214" s="3">
        <v>0</v>
      </c>
      <c r="R3214" s="23" t="s">
        <v>6854</v>
      </c>
      <c r="S3214" s="23" t="s">
        <v>6849</v>
      </c>
      <c r="T3214" s="23" t="s">
        <v>4864</v>
      </c>
      <c r="U3214" s="3">
        <v>35</v>
      </c>
      <c r="V3214" s="3" t="s">
        <v>11708</v>
      </c>
      <c r="W3214" s="45" t="str">
        <f>HYPERLINK("http://ictvonline.org/taxonomy/p/taxonomy-history?taxnode_id=201908636","ICTVonline=201908636")</f>
        <v>ICTVonline=201908636</v>
      </c>
      <c r="X3214" s="1" t="s">
        <v>11712</v>
      </c>
      <c r="Y3214" s="1" t="s">
        <v>11713</v>
      </c>
      <c r="AA3214" s="1">
        <v>201900000</v>
      </c>
      <c r="AB3214" s="1">
        <v>35</v>
      </c>
    </row>
    <row r="3215" spans="1:28" x14ac:dyDescent="0.2">
      <c r="A3215" s="1">
        <v>8339</v>
      </c>
      <c r="B3215" s="1" t="s">
        <v>10590</v>
      </c>
      <c r="D3215" s="1" t="s">
        <v>11684</v>
      </c>
      <c r="F3215" s="1" t="s">
        <v>11685</v>
      </c>
      <c r="H3215" s="1" t="s">
        <v>11686</v>
      </c>
      <c r="J3215" s="1" t="s">
        <v>11687</v>
      </c>
      <c r="L3215" s="1" t="s">
        <v>3859</v>
      </c>
      <c r="N3215" s="1" t="s">
        <v>3861</v>
      </c>
      <c r="P3215" s="1" t="s">
        <v>11714</v>
      </c>
      <c r="Q3215" s="3">
        <v>1</v>
      </c>
      <c r="R3215" s="23" t="s">
        <v>6854</v>
      </c>
      <c r="S3215" s="23" t="s">
        <v>6849</v>
      </c>
      <c r="T3215" s="23" t="s">
        <v>4865</v>
      </c>
      <c r="U3215" s="3">
        <v>35</v>
      </c>
      <c r="V3215" s="3" t="s">
        <v>11689</v>
      </c>
      <c r="W3215" s="45" t="str">
        <f>HYPERLINK("http://ictvonline.org/taxonomy/p/taxonomy-history?taxnode_id=201904349","ICTVonline=201904349")</f>
        <v>ICTVonline=201904349</v>
      </c>
      <c r="X3215" s="1" t="s">
        <v>11715</v>
      </c>
      <c r="Y3215" s="1" t="s">
        <v>11716</v>
      </c>
      <c r="AA3215" s="1">
        <v>201900000</v>
      </c>
      <c r="AB3215" s="1">
        <v>35</v>
      </c>
    </row>
    <row r="3216" spans="1:28" x14ac:dyDescent="0.2">
      <c r="A3216" s="1">
        <v>8341</v>
      </c>
      <c r="B3216" s="1" t="s">
        <v>10590</v>
      </c>
      <c r="D3216" s="1" t="s">
        <v>11684</v>
      </c>
      <c r="F3216" s="1" t="s">
        <v>11685</v>
      </c>
      <c r="H3216" s="1" t="s">
        <v>11686</v>
      </c>
      <c r="J3216" s="1" t="s">
        <v>11687</v>
      </c>
      <c r="L3216" s="1" t="s">
        <v>3859</v>
      </c>
      <c r="N3216" s="1" t="s">
        <v>3861</v>
      </c>
      <c r="P3216" s="1" t="s">
        <v>11717</v>
      </c>
      <c r="Q3216" s="3">
        <v>0</v>
      </c>
      <c r="R3216" s="23" t="s">
        <v>6854</v>
      </c>
      <c r="S3216" s="23" t="s">
        <v>6849</v>
      </c>
      <c r="T3216" s="23" t="s">
        <v>4864</v>
      </c>
      <c r="U3216" s="3">
        <v>35</v>
      </c>
      <c r="V3216" s="3" t="s">
        <v>11708</v>
      </c>
      <c r="W3216" s="45" t="str">
        <f>HYPERLINK("http://ictvonline.org/taxonomy/p/taxonomy-history?taxnode_id=201908637","ICTVonline=201908637")</f>
        <v>ICTVonline=201908637</v>
      </c>
      <c r="X3216" s="1" t="s">
        <v>11718</v>
      </c>
      <c r="Y3216" s="1" t="s">
        <v>11719</v>
      </c>
      <c r="AA3216" s="1">
        <v>201900000</v>
      </c>
      <c r="AB3216" s="1">
        <v>35</v>
      </c>
    </row>
    <row r="3217" spans="1:28" x14ac:dyDescent="0.2">
      <c r="A3217" s="1">
        <v>8343</v>
      </c>
      <c r="B3217" s="1" t="s">
        <v>10590</v>
      </c>
      <c r="D3217" s="1" t="s">
        <v>11684</v>
      </c>
      <c r="F3217" s="1" t="s">
        <v>11685</v>
      </c>
      <c r="H3217" s="1" t="s">
        <v>11686</v>
      </c>
      <c r="J3217" s="1" t="s">
        <v>11687</v>
      </c>
      <c r="L3217" s="1" t="s">
        <v>3859</v>
      </c>
      <c r="N3217" s="1" t="s">
        <v>3861</v>
      </c>
      <c r="P3217" s="1" t="s">
        <v>11720</v>
      </c>
      <c r="Q3217" s="3">
        <v>0</v>
      </c>
      <c r="R3217" s="23" t="s">
        <v>6854</v>
      </c>
      <c r="S3217" s="23" t="s">
        <v>6849</v>
      </c>
      <c r="T3217" s="23" t="s">
        <v>4864</v>
      </c>
      <c r="U3217" s="3">
        <v>35</v>
      </c>
      <c r="V3217" s="3" t="s">
        <v>11708</v>
      </c>
      <c r="W3217" s="45" t="str">
        <f>HYPERLINK("http://ictvonline.org/taxonomy/p/taxonomy-history?taxnode_id=201908638","ICTVonline=201908638")</f>
        <v>ICTVonline=201908638</v>
      </c>
      <c r="X3217" s="1" t="s">
        <v>11721</v>
      </c>
      <c r="Y3217" s="1" t="s">
        <v>11722</v>
      </c>
      <c r="AA3217" s="1">
        <v>201900000</v>
      </c>
      <c r="AB3217" s="1">
        <v>35</v>
      </c>
    </row>
    <row r="3218" spans="1:28" x14ac:dyDescent="0.2">
      <c r="A3218" s="1">
        <v>8345</v>
      </c>
      <c r="B3218" s="1" t="s">
        <v>10590</v>
      </c>
      <c r="D3218" s="1" t="s">
        <v>11684</v>
      </c>
      <c r="F3218" s="1" t="s">
        <v>11685</v>
      </c>
      <c r="H3218" s="1" t="s">
        <v>11686</v>
      </c>
      <c r="J3218" s="1" t="s">
        <v>11687</v>
      </c>
      <c r="L3218" s="1" t="s">
        <v>3859</v>
      </c>
      <c r="N3218" s="1" t="s">
        <v>3861</v>
      </c>
      <c r="P3218" s="1" t="s">
        <v>11723</v>
      </c>
      <c r="Q3218" s="3">
        <v>0</v>
      </c>
      <c r="R3218" s="23" t="s">
        <v>6854</v>
      </c>
      <c r="S3218" s="23" t="s">
        <v>6849</v>
      </c>
      <c r="T3218" s="23" t="s">
        <v>4864</v>
      </c>
      <c r="U3218" s="3">
        <v>35</v>
      </c>
      <c r="V3218" s="3" t="s">
        <v>11708</v>
      </c>
      <c r="W3218" s="45" t="str">
        <f>HYPERLINK("http://ictvonline.org/taxonomy/p/taxonomy-history?taxnode_id=201908639","ICTVonline=201908639")</f>
        <v>ICTVonline=201908639</v>
      </c>
      <c r="X3218" s="1" t="s">
        <v>11724</v>
      </c>
      <c r="Y3218" s="1" t="s">
        <v>11725</v>
      </c>
      <c r="AA3218" s="1">
        <v>201900000</v>
      </c>
      <c r="AB3218" s="1">
        <v>35</v>
      </c>
    </row>
    <row r="3219" spans="1:28" x14ac:dyDescent="0.2">
      <c r="A3219" s="1">
        <v>8347</v>
      </c>
      <c r="B3219" s="1" t="s">
        <v>10590</v>
      </c>
      <c r="D3219" s="1" t="s">
        <v>11684</v>
      </c>
      <c r="F3219" s="1" t="s">
        <v>11685</v>
      </c>
      <c r="H3219" s="1" t="s">
        <v>11686</v>
      </c>
      <c r="J3219" s="1" t="s">
        <v>11687</v>
      </c>
      <c r="L3219" s="1" t="s">
        <v>3859</v>
      </c>
      <c r="N3219" s="1" t="s">
        <v>3861</v>
      </c>
      <c r="P3219" s="1" t="s">
        <v>11726</v>
      </c>
      <c r="Q3219" s="3">
        <v>0</v>
      </c>
      <c r="R3219" s="23" t="s">
        <v>6854</v>
      </c>
      <c r="S3219" s="23" t="s">
        <v>6849</v>
      </c>
      <c r="T3219" s="23" t="s">
        <v>4864</v>
      </c>
      <c r="U3219" s="3">
        <v>35</v>
      </c>
      <c r="V3219" s="3" t="s">
        <v>11708</v>
      </c>
      <c r="W3219" s="45" t="str">
        <f>HYPERLINK("http://ictvonline.org/taxonomy/p/taxonomy-history?taxnode_id=201908640","ICTVonline=201908640")</f>
        <v>ICTVonline=201908640</v>
      </c>
      <c r="X3219" s="1" t="s">
        <v>11727</v>
      </c>
      <c r="Y3219" s="1" t="s">
        <v>11728</v>
      </c>
      <c r="AA3219" s="1">
        <v>201900000</v>
      </c>
      <c r="AB3219" s="1">
        <v>35</v>
      </c>
    </row>
    <row r="3220" spans="1:28" x14ac:dyDescent="0.2">
      <c r="A3220" s="1">
        <v>8349</v>
      </c>
      <c r="B3220" s="1" t="s">
        <v>10590</v>
      </c>
      <c r="D3220" s="1" t="s">
        <v>11684</v>
      </c>
      <c r="F3220" s="1" t="s">
        <v>11685</v>
      </c>
      <c r="H3220" s="1" t="s">
        <v>11686</v>
      </c>
      <c r="J3220" s="1" t="s">
        <v>11687</v>
      </c>
      <c r="L3220" s="1" t="s">
        <v>3859</v>
      </c>
      <c r="N3220" s="1" t="s">
        <v>3861</v>
      </c>
      <c r="P3220" s="1" t="s">
        <v>11729</v>
      </c>
      <c r="Q3220" s="3">
        <v>0</v>
      </c>
      <c r="R3220" s="23" t="s">
        <v>6854</v>
      </c>
      <c r="S3220" s="23" t="s">
        <v>6849</v>
      </c>
      <c r="T3220" s="23" t="s">
        <v>4864</v>
      </c>
      <c r="U3220" s="3">
        <v>35</v>
      </c>
      <c r="V3220" s="3" t="s">
        <v>11708</v>
      </c>
      <c r="W3220" s="45" t="str">
        <f>HYPERLINK("http://ictvonline.org/taxonomy/p/taxonomy-history?taxnode_id=201908641","ICTVonline=201908641")</f>
        <v>ICTVonline=201908641</v>
      </c>
      <c r="X3220" s="1" t="s">
        <v>11730</v>
      </c>
      <c r="Y3220" s="1" t="s">
        <v>11731</v>
      </c>
      <c r="AA3220" s="1">
        <v>201900000</v>
      </c>
      <c r="AB3220" s="1">
        <v>35</v>
      </c>
    </row>
    <row r="3221" spans="1:28" x14ac:dyDescent="0.2">
      <c r="A3221" s="1">
        <v>8353</v>
      </c>
      <c r="B3221" s="1" t="s">
        <v>10590</v>
      </c>
      <c r="D3221" s="1" t="s">
        <v>11684</v>
      </c>
      <c r="F3221" s="1" t="s">
        <v>11685</v>
      </c>
      <c r="H3221" s="1" t="s">
        <v>11686</v>
      </c>
      <c r="J3221" s="1" t="s">
        <v>11687</v>
      </c>
      <c r="L3221" s="1" t="s">
        <v>3859</v>
      </c>
      <c r="N3221" s="1" t="s">
        <v>3862</v>
      </c>
      <c r="P3221" s="1" t="s">
        <v>11732</v>
      </c>
      <c r="Q3221" s="3">
        <v>1</v>
      </c>
      <c r="R3221" s="23" t="s">
        <v>6854</v>
      </c>
      <c r="S3221" s="23" t="s">
        <v>6849</v>
      </c>
      <c r="T3221" s="23" t="s">
        <v>4865</v>
      </c>
      <c r="U3221" s="3">
        <v>35</v>
      </c>
      <c r="V3221" s="3" t="s">
        <v>11689</v>
      </c>
      <c r="W3221" s="45" t="str">
        <f>HYPERLINK("http://ictvonline.org/taxonomy/p/taxonomy-history?taxnode_id=201904351","ICTVonline=201904351")</f>
        <v>ICTVonline=201904351</v>
      </c>
      <c r="X3221" s="1" t="s">
        <v>11733</v>
      </c>
      <c r="Y3221" s="1" t="s">
        <v>11734</v>
      </c>
      <c r="AA3221" s="1">
        <v>201900000</v>
      </c>
      <c r="AB3221" s="1">
        <v>35</v>
      </c>
    </row>
    <row r="3222" spans="1:28" x14ac:dyDescent="0.2">
      <c r="A3222" s="1">
        <v>8369</v>
      </c>
      <c r="B3222" s="1" t="s">
        <v>6839</v>
      </c>
      <c r="D3222" s="1" t="s">
        <v>11735</v>
      </c>
      <c r="F3222" s="1" t="s">
        <v>11736</v>
      </c>
      <c r="H3222" s="1" t="s">
        <v>11737</v>
      </c>
      <c r="J3222" s="1" t="s">
        <v>11738</v>
      </c>
      <c r="L3222" s="1" t="s">
        <v>752</v>
      </c>
      <c r="N3222" s="1" t="s">
        <v>6711</v>
      </c>
      <c r="P3222" s="1" t="s">
        <v>2209</v>
      </c>
      <c r="Q3222" s="3">
        <v>0</v>
      </c>
      <c r="R3222" s="23" t="s">
        <v>11739</v>
      </c>
      <c r="S3222" s="23" t="s">
        <v>6847</v>
      </c>
      <c r="T3222" s="23" t="s">
        <v>4866</v>
      </c>
      <c r="U3222" s="3">
        <v>35</v>
      </c>
      <c r="W3222" s="45" t="str">
        <f>HYPERLINK("http://ictvonline.org/taxonomy/p/taxonomy-history?taxnode_id=201902891","ICTVonline=201902891")</f>
        <v>ICTVonline=201902891</v>
      </c>
      <c r="Y3222" s="1" t="s">
        <v>11740</v>
      </c>
      <c r="Z3222" s="1" t="s">
        <v>11741</v>
      </c>
      <c r="AA3222" s="1">
        <v>201900000</v>
      </c>
      <c r="AB3222" s="1">
        <v>35</v>
      </c>
    </row>
    <row r="3223" spans="1:28" x14ac:dyDescent="0.2">
      <c r="A3223" s="1">
        <v>8371</v>
      </c>
      <c r="B3223" s="1" t="s">
        <v>6839</v>
      </c>
      <c r="D3223" s="1" t="s">
        <v>11735</v>
      </c>
      <c r="F3223" s="1" t="s">
        <v>11736</v>
      </c>
      <c r="H3223" s="1" t="s">
        <v>11737</v>
      </c>
      <c r="J3223" s="1" t="s">
        <v>11738</v>
      </c>
      <c r="L3223" s="1" t="s">
        <v>752</v>
      </c>
      <c r="N3223" s="1" t="s">
        <v>6711</v>
      </c>
      <c r="P3223" s="1" t="s">
        <v>6712</v>
      </c>
      <c r="Q3223" s="3">
        <v>0</v>
      </c>
      <c r="R3223" s="23" t="s">
        <v>11739</v>
      </c>
      <c r="S3223" s="23" t="s">
        <v>6847</v>
      </c>
      <c r="T3223" s="23" t="s">
        <v>4866</v>
      </c>
      <c r="U3223" s="3">
        <v>35</v>
      </c>
      <c r="W3223" s="45" t="str">
        <f>HYPERLINK("http://ictvonline.org/taxonomy/p/taxonomy-history?taxnode_id=201906297","ICTVonline=201906297")</f>
        <v>ICTVonline=201906297</v>
      </c>
      <c r="X3223" s="1" t="s">
        <v>11742</v>
      </c>
      <c r="Y3223" s="1" t="s">
        <v>11743</v>
      </c>
      <c r="Z3223" s="1" t="s">
        <v>11744</v>
      </c>
      <c r="AA3223" s="1">
        <v>201900000</v>
      </c>
      <c r="AB3223" s="1">
        <v>35</v>
      </c>
    </row>
    <row r="3224" spans="1:28" x14ac:dyDescent="0.2">
      <c r="A3224" s="1">
        <v>8373</v>
      </c>
      <c r="B3224" s="1" t="s">
        <v>6839</v>
      </c>
      <c r="D3224" s="1" t="s">
        <v>11735</v>
      </c>
      <c r="F3224" s="1" t="s">
        <v>11736</v>
      </c>
      <c r="H3224" s="1" t="s">
        <v>11737</v>
      </c>
      <c r="J3224" s="1" t="s">
        <v>11738</v>
      </c>
      <c r="L3224" s="1" t="s">
        <v>752</v>
      </c>
      <c r="N3224" s="1" t="s">
        <v>6711</v>
      </c>
      <c r="P3224" s="1" t="s">
        <v>2210</v>
      </c>
      <c r="Q3224" s="3">
        <v>0</v>
      </c>
      <c r="R3224" s="23" t="s">
        <v>11739</v>
      </c>
      <c r="S3224" s="23" t="s">
        <v>6847</v>
      </c>
      <c r="T3224" s="23" t="s">
        <v>4866</v>
      </c>
      <c r="U3224" s="3">
        <v>35</v>
      </c>
      <c r="W3224" s="45" t="str">
        <f>HYPERLINK("http://ictvonline.org/taxonomy/p/taxonomy-history?taxnode_id=201902892","ICTVonline=201902892")</f>
        <v>ICTVonline=201902892</v>
      </c>
      <c r="Y3224" s="1" t="s">
        <v>11745</v>
      </c>
      <c r="Z3224" s="1" t="s">
        <v>11746</v>
      </c>
      <c r="AA3224" s="1">
        <v>201900000</v>
      </c>
      <c r="AB3224" s="1">
        <v>35</v>
      </c>
    </row>
    <row r="3225" spans="1:28" x14ac:dyDescent="0.2">
      <c r="A3225" s="1">
        <v>8375</v>
      </c>
      <c r="B3225" s="1" t="s">
        <v>6839</v>
      </c>
      <c r="D3225" s="1" t="s">
        <v>11735</v>
      </c>
      <c r="F3225" s="1" t="s">
        <v>11736</v>
      </c>
      <c r="H3225" s="1" t="s">
        <v>11737</v>
      </c>
      <c r="J3225" s="1" t="s">
        <v>11738</v>
      </c>
      <c r="L3225" s="1" t="s">
        <v>752</v>
      </c>
      <c r="N3225" s="1" t="s">
        <v>6711</v>
      </c>
      <c r="P3225" s="1" t="s">
        <v>6713</v>
      </c>
      <c r="Q3225" s="3">
        <v>0</v>
      </c>
      <c r="R3225" s="23" t="s">
        <v>11739</v>
      </c>
      <c r="S3225" s="23" t="s">
        <v>6847</v>
      </c>
      <c r="T3225" s="23" t="s">
        <v>4866</v>
      </c>
      <c r="U3225" s="3">
        <v>35</v>
      </c>
      <c r="W3225" s="45" t="str">
        <f>HYPERLINK("http://ictvonline.org/taxonomy/p/taxonomy-history?taxnode_id=201906298","ICTVonline=201906298")</f>
        <v>ICTVonline=201906298</v>
      </c>
      <c r="X3225" s="1" t="s">
        <v>11747</v>
      </c>
      <c r="Y3225" s="1" t="s">
        <v>11748</v>
      </c>
      <c r="Z3225" s="1" t="s">
        <v>11749</v>
      </c>
      <c r="AA3225" s="1">
        <v>201900000</v>
      </c>
      <c r="AB3225" s="1">
        <v>35</v>
      </c>
    </row>
    <row r="3226" spans="1:28" x14ac:dyDescent="0.2">
      <c r="A3226" s="1">
        <v>8377</v>
      </c>
      <c r="B3226" s="1" t="s">
        <v>6839</v>
      </c>
      <c r="D3226" s="1" t="s">
        <v>11735</v>
      </c>
      <c r="F3226" s="1" t="s">
        <v>11736</v>
      </c>
      <c r="H3226" s="1" t="s">
        <v>11737</v>
      </c>
      <c r="J3226" s="1" t="s">
        <v>11738</v>
      </c>
      <c r="L3226" s="1" t="s">
        <v>752</v>
      </c>
      <c r="N3226" s="1" t="s">
        <v>6711</v>
      </c>
      <c r="P3226" s="1" t="s">
        <v>6714</v>
      </c>
      <c r="Q3226" s="3">
        <v>0</v>
      </c>
      <c r="R3226" s="23" t="s">
        <v>11739</v>
      </c>
      <c r="S3226" s="23" t="s">
        <v>6847</v>
      </c>
      <c r="T3226" s="23" t="s">
        <v>4866</v>
      </c>
      <c r="U3226" s="3">
        <v>35</v>
      </c>
      <c r="W3226" s="45" t="str">
        <f>HYPERLINK("http://ictvonline.org/taxonomy/p/taxonomy-history?taxnode_id=201906299","ICTVonline=201906299")</f>
        <v>ICTVonline=201906299</v>
      </c>
      <c r="X3226" s="1" t="s">
        <v>11750</v>
      </c>
      <c r="Y3226" s="1" t="s">
        <v>11751</v>
      </c>
      <c r="Z3226" s="1" t="s">
        <v>11752</v>
      </c>
      <c r="AA3226" s="1">
        <v>201900000</v>
      </c>
      <c r="AB3226" s="1">
        <v>35</v>
      </c>
    </row>
    <row r="3227" spans="1:28" x14ac:dyDescent="0.2">
      <c r="A3227" s="1">
        <v>8379</v>
      </c>
      <c r="B3227" s="1" t="s">
        <v>6839</v>
      </c>
      <c r="D3227" s="1" t="s">
        <v>11735</v>
      </c>
      <c r="F3227" s="1" t="s">
        <v>11736</v>
      </c>
      <c r="H3227" s="1" t="s">
        <v>11737</v>
      </c>
      <c r="J3227" s="1" t="s">
        <v>11738</v>
      </c>
      <c r="L3227" s="1" t="s">
        <v>752</v>
      </c>
      <c r="N3227" s="1" t="s">
        <v>6711</v>
      </c>
      <c r="P3227" s="1" t="s">
        <v>2211</v>
      </c>
      <c r="Q3227" s="3">
        <v>0</v>
      </c>
      <c r="R3227" s="23" t="s">
        <v>11739</v>
      </c>
      <c r="S3227" s="23" t="s">
        <v>6847</v>
      </c>
      <c r="T3227" s="23" t="s">
        <v>4866</v>
      </c>
      <c r="U3227" s="3">
        <v>35</v>
      </c>
      <c r="W3227" s="45" t="str">
        <f>HYPERLINK("http://ictvonline.org/taxonomy/p/taxonomy-history?taxnode_id=201902893","ICTVonline=201902893")</f>
        <v>ICTVonline=201902893</v>
      </c>
      <c r="AA3227" s="1">
        <v>201900000</v>
      </c>
      <c r="AB3227" s="1">
        <v>35</v>
      </c>
    </row>
    <row r="3228" spans="1:28" x14ac:dyDescent="0.2">
      <c r="A3228" s="1">
        <v>8381</v>
      </c>
      <c r="B3228" s="1" t="s">
        <v>6839</v>
      </c>
      <c r="D3228" s="1" t="s">
        <v>11735</v>
      </c>
      <c r="F3228" s="1" t="s">
        <v>11736</v>
      </c>
      <c r="H3228" s="1" t="s">
        <v>11737</v>
      </c>
      <c r="J3228" s="1" t="s">
        <v>11738</v>
      </c>
      <c r="L3228" s="1" t="s">
        <v>752</v>
      </c>
      <c r="N3228" s="1" t="s">
        <v>6711</v>
      </c>
      <c r="P3228" s="1" t="s">
        <v>2212</v>
      </c>
      <c r="Q3228" s="3">
        <v>0</v>
      </c>
      <c r="R3228" s="23" t="s">
        <v>11739</v>
      </c>
      <c r="S3228" s="23" t="s">
        <v>6847</v>
      </c>
      <c r="T3228" s="23" t="s">
        <v>4866</v>
      </c>
      <c r="U3228" s="3">
        <v>35</v>
      </c>
      <c r="W3228" s="45" t="str">
        <f>HYPERLINK("http://ictvonline.org/taxonomy/p/taxonomy-history?taxnode_id=201902894","ICTVonline=201902894")</f>
        <v>ICTVonline=201902894</v>
      </c>
      <c r="AA3228" s="1">
        <v>201900000</v>
      </c>
      <c r="AB3228" s="1">
        <v>35</v>
      </c>
    </row>
    <row r="3229" spans="1:28" x14ac:dyDescent="0.2">
      <c r="A3229" s="1">
        <v>8383</v>
      </c>
      <c r="B3229" s="1" t="s">
        <v>6839</v>
      </c>
      <c r="D3229" s="1" t="s">
        <v>11735</v>
      </c>
      <c r="F3229" s="1" t="s">
        <v>11736</v>
      </c>
      <c r="H3229" s="1" t="s">
        <v>11737</v>
      </c>
      <c r="J3229" s="1" t="s">
        <v>11738</v>
      </c>
      <c r="L3229" s="1" t="s">
        <v>752</v>
      </c>
      <c r="N3229" s="1" t="s">
        <v>6711</v>
      </c>
      <c r="P3229" s="1" t="s">
        <v>6715</v>
      </c>
      <c r="Q3229" s="3">
        <v>0</v>
      </c>
      <c r="R3229" s="23" t="s">
        <v>11739</v>
      </c>
      <c r="S3229" s="23" t="s">
        <v>6847</v>
      </c>
      <c r="T3229" s="23" t="s">
        <v>4866</v>
      </c>
      <c r="U3229" s="3">
        <v>35</v>
      </c>
      <c r="W3229" s="45" t="str">
        <f>HYPERLINK("http://ictvonline.org/taxonomy/p/taxonomy-history?taxnode_id=201902895","ICTVonline=201902895")</f>
        <v>ICTVonline=201902895</v>
      </c>
      <c r="X3229" s="1" t="s">
        <v>11753</v>
      </c>
      <c r="Y3229" s="1" t="s">
        <v>11754</v>
      </c>
      <c r="Z3229" s="1" t="s">
        <v>11755</v>
      </c>
      <c r="AA3229" s="1">
        <v>201900000</v>
      </c>
      <c r="AB3229" s="1">
        <v>35</v>
      </c>
    </row>
    <row r="3230" spans="1:28" x14ac:dyDescent="0.2">
      <c r="A3230" s="1">
        <v>8385</v>
      </c>
      <c r="B3230" s="1" t="s">
        <v>6839</v>
      </c>
      <c r="D3230" s="1" t="s">
        <v>11735</v>
      </c>
      <c r="F3230" s="1" t="s">
        <v>11736</v>
      </c>
      <c r="H3230" s="1" t="s">
        <v>11737</v>
      </c>
      <c r="J3230" s="1" t="s">
        <v>11738</v>
      </c>
      <c r="L3230" s="1" t="s">
        <v>752</v>
      </c>
      <c r="N3230" s="1" t="s">
        <v>6711</v>
      </c>
      <c r="P3230" s="1" t="s">
        <v>6716</v>
      </c>
      <c r="Q3230" s="3">
        <v>0</v>
      </c>
      <c r="R3230" s="23" t="s">
        <v>11739</v>
      </c>
      <c r="S3230" s="23" t="s">
        <v>6847</v>
      </c>
      <c r="T3230" s="23" t="s">
        <v>4866</v>
      </c>
      <c r="U3230" s="3">
        <v>35</v>
      </c>
      <c r="W3230" s="45" t="str">
        <f>HYPERLINK("http://ictvonline.org/taxonomy/p/taxonomy-history?taxnode_id=201906300","ICTVonline=201906300")</f>
        <v>ICTVonline=201906300</v>
      </c>
      <c r="X3230" s="1" t="s">
        <v>11756</v>
      </c>
      <c r="Y3230" s="1" t="s">
        <v>11757</v>
      </c>
      <c r="Z3230" s="1" t="s">
        <v>11758</v>
      </c>
      <c r="AA3230" s="1">
        <v>201900000</v>
      </c>
      <c r="AB3230" s="1">
        <v>35</v>
      </c>
    </row>
    <row r="3231" spans="1:28" x14ac:dyDescent="0.2">
      <c r="A3231" s="1">
        <v>8387</v>
      </c>
      <c r="B3231" s="1" t="s">
        <v>6839</v>
      </c>
      <c r="D3231" s="1" t="s">
        <v>11735</v>
      </c>
      <c r="F3231" s="1" t="s">
        <v>11736</v>
      </c>
      <c r="H3231" s="1" t="s">
        <v>11737</v>
      </c>
      <c r="J3231" s="1" t="s">
        <v>11738</v>
      </c>
      <c r="L3231" s="1" t="s">
        <v>752</v>
      </c>
      <c r="N3231" s="1" t="s">
        <v>6711</v>
      </c>
      <c r="P3231" s="1" t="s">
        <v>6717</v>
      </c>
      <c r="Q3231" s="3">
        <v>0</v>
      </c>
      <c r="R3231" s="23" t="s">
        <v>11739</v>
      </c>
      <c r="S3231" s="23" t="s">
        <v>6847</v>
      </c>
      <c r="T3231" s="23" t="s">
        <v>4866</v>
      </c>
      <c r="U3231" s="3">
        <v>35</v>
      </c>
      <c r="W3231" s="45" t="str">
        <f>HYPERLINK("http://ictvonline.org/taxonomy/p/taxonomy-history?taxnode_id=201906301","ICTVonline=201906301")</f>
        <v>ICTVonline=201906301</v>
      </c>
      <c r="X3231" s="1" t="s">
        <v>11759</v>
      </c>
      <c r="Y3231" s="1" t="s">
        <v>11760</v>
      </c>
      <c r="Z3231" s="1" t="s">
        <v>11761</v>
      </c>
      <c r="AA3231" s="1">
        <v>201900000</v>
      </c>
      <c r="AB3231" s="1">
        <v>35</v>
      </c>
    </row>
    <row r="3232" spans="1:28" x14ac:dyDescent="0.2">
      <c r="A3232" s="1">
        <v>8389</v>
      </c>
      <c r="B3232" s="1" t="s">
        <v>6839</v>
      </c>
      <c r="D3232" s="1" t="s">
        <v>11735</v>
      </c>
      <c r="F3232" s="1" t="s">
        <v>11736</v>
      </c>
      <c r="H3232" s="1" t="s">
        <v>11737</v>
      </c>
      <c r="J3232" s="1" t="s">
        <v>11738</v>
      </c>
      <c r="L3232" s="1" t="s">
        <v>752</v>
      </c>
      <c r="N3232" s="1" t="s">
        <v>6711</v>
      </c>
      <c r="P3232" s="1" t="s">
        <v>753</v>
      </c>
      <c r="Q3232" s="3">
        <v>0</v>
      </c>
      <c r="R3232" s="23" t="s">
        <v>11739</v>
      </c>
      <c r="S3232" s="23" t="s">
        <v>6847</v>
      </c>
      <c r="T3232" s="23" t="s">
        <v>4866</v>
      </c>
      <c r="U3232" s="3">
        <v>35</v>
      </c>
      <c r="W3232" s="45" t="str">
        <f>HYPERLINK("http://ictvonline.org/taxonomy/p/taxonomy-history?taxnode_id=201902896","ICTVonline=201902896")</f>
        <v>ICTVonline=201902896</v>
      </c>
      <c r="AA3232" s="1">
        <v>201900000</v>
      </c>
      <c r="AB3232" s="1">
        <v>35</v>
      </c>
    </row>
    <row r="3233" spans="1:28" x14ac:dyDescent="0.2">
      <c r="A3233" s="1">
        <v>8391</v>
      </c>
      <c r="B3233" s="1" t="s">
        <v>6839</v>
      </c>
      <c r="D3233" s="1" t="s">
        <v>11735</v>
      </c>
      <c r="F3233" s="1" t="s">
        <v>11736</v>
      </c>
      <c r="H3233" s="1" t="s">
        <v>11737</v>
      </c>
      <c r="J3233" s="1" t="s">
        <v>11738</v>
      </c>
      <c r="L3233" s="1" t="s">
        <v>752</v>
      </c>
      <c r="N3233" s="1" t="s">
        <v>6711</v>
      </c>
      <c r="P3233" s="1" t="s">
        <v>754</v>
      </c>
      <c r="Q3233" s="3">
        <v>1</v>
      </c>
      <c r="R3233" s="23" t="s">
        <v>11739</v>
      </c>
      <c r="S3233" s="23" t="s">
        <v>6847</v>
      </c>
      <c r="T3233" s="23" t="s">
        <v>4866</v>
      </c>
      <c r="U3233" s="3">
        <v>35</v>
      </c>
      <c r="W3233" s="45" t="str">
        <f>HYPERLINK("http://ictvonline.org/taxonomy/p/taxonomy-history?taxnode_id=201902897","ICTVonline=201902897")</f>
        <v>ICTVonline=201902897</v>
      </c>
      <c r="Y3233" s="1" t="s">
        <v>11762</v>
      </c>
      <c r="Z3233" s="1" t="s">
        <v>11763</v>
      </c>
      <c r="AA3233" s="1">
        <v>201900000</v>
      </c>
      <c r="AB3233" s="1">
        <v>35</v>
      </c>
    </row>
    <row r="3234" spans="1:28" x14ac:dyDescent="0.2">
      <c r="A3234" s="1">
        <v>8393</v>
      </c>
      <c r="B3234" s="1" t="s">
        <v>6839</v>
      </c>
      <c r="D3234" s="1" t="s">
        <v>11735</v>
      </c>
      <c r="F3234" s="1" t="s">
        <v>11736</v>
      </c>
      <c r="H3234" s="1" t="s">
        <v>11737</v>
      </c>
      <c r="J3234" s="1" t="s">
        <v>11738</v>
      </c>
      <c r="L3234" s="1" t="s">
        <v>752</v>
      </c>
      <c r="N3234" s="1" t="s">
        <v>6711</v>
      </c>
      <c r="P3234" s="1" t="s">
        <v>5272</v>
      </c>
      <c r="Q3234" s="3">
        <v>0</v>
      </c>
      <c r="R3234" s="23" t="s">
        <v>11739</v>
      </c>
      <c r="S3234" s="23" t="s">
        <v>6847</v>
      </c>
      <c r="T3234" s="23" t="s">
        <v>4866</v>
      </c>
      <c r="U3234" s="3">
        <v>35</v>
      </c>
      <c r="W3234" s="45" t="str">
        <f>HYPERLINK("http://ictvonline.org/taxonomy/p/taxonomy-history?taxnode_id=201902898","ICTVonline=201902898")</f>
        <v>ICTVonline=201902898</v>
      </c>
      <c r="AA3234" s="1">
        <v>201900000</v>
      </c>
      <c r="AB3234" s="1">
        <v>35</v>
      </c>
    </row>
    <row r="3235" spans="1:28" x14ac:dyDescent="0.2">
      <c r="A3235" s="1">
        <v>8395</v>
      </c>
      <c r="B3235" s="1" t="s">
        <v>6839</v>
      </c>
      <c r="D3235" s="1" t="s">
        <v>11735</v>
      </c>
      <c r="F3235" s="1" t="s">
        <v>11736</v>
      </c>
      <c r="H3235" s="1" t="s">
        <v>11737</v>
      </c>
      <c r="J3235" s="1" t="s">
        <v>11738</v>
      </c>
      <c r="L3235" s="1" t="s">
        <v>752</v>
      </c>
      <c r="N3235" s="1" t="s">
        <v>6711</v>
      </c>
      <c r="P3235" s="1" t="s">
        <v>6718</v>
      </c>
      <c r="Q3235" s="3">
        <v>0</v>
      </c>
      <c r="R3235" s="23" t="s">
        <v>11739</v>
      </c>
      <c r="S3235" s="23" t="s">
        <v>6847</v>
      </c>
      <c r="T3235" s="23" t="s">
        <v>4866</v>
      </c>
      <c r="U3235" s="3">
        <v>35</v>
      </c>
      <c r="W3235" s="45" t="str">
        <f>HYPERLINK("http://ictvonline.org/taxonomy/p/taxonomy-history?taxnode_id=201906302","ICTVonline=201906302")</f>
        <v>ICTVonline=201906302</v>
      </c>
      <c r="X3235" s="1" t="s">
        <v>11764</v>
      </c>
      <c r="Y3235" s="1" t="s">
        <v>11765</v>
      </c>
      <c r="Z3235" s="1" t="s">
        <v>11766</v>
      </c>
      <c r="AA3235" s="1">
        <v>201900000</v>
      </c>
      <c r="AB3235" s="1">
        <v>35</v>
      </c>
    </row>
    <row r="3236" spans="1:28" x14ac:dyDescent="0.2">
      <c r="A3236" s="1">
        <v>8397</v>
      </c>
      <c r="B3236" s="1" t="s">
        <v>6839</v>
      </c>
      <c r="D3236" s="1" t="s">
        <v>11735</v>
      </c>
      <c r="F3236" s="1" t="s">
        <v>11736</v>
      </c>
      <c r="H3236" s="1" t="s">
        <v>11737</v>
      </c>
      <c r="J3236" s="1" t="s">
        <v>11738</v>
      </c>
      <c r="L3236" s="1" t="s">
        <v>752</v>
      </c>
      <c r="N3236" s="1" t="s">
        <v>6711</v>
      </c>
      <c r="P3236" s="1" t="s">
        <v>6719</v>
      </c>
      <c r="Q3236" s="3">
        <v>0</v>
      </c>
      <c r="R3236" s="23" t="s">
        <v>11739</v>
      </c>
      <c r="S3236" s="23" t="s">
        <v>6847</v>
      </c>
      <c r="T3236" s="23" t="s">
        <v>4866</v>
      </c>
      <c r="U3236" s="3">
        <v>35</v>
      </c>
      <c r="W3236" s="45" t="str">
        <f>HYPERLINK("http://ictvonline.org/taxonomy/p/taxonomy-history?taxnode_id=201906303","ICTVonline=201906303")</f>
        <v>ICTVonline=201906303</v>
      </c>
      <c r="X3236" s="1" t="s">
        <v>11767</v>
      </c>
      <c r="Y3236" s="1" t="s">
        <v>11768</v>
      </c>
      <c r="Z3236" s="1" t="s">
        <v>11769</v>
      </c>
      <c r="AA3236" s="1">
        <v>201900000</v>
      </c>
      <c r="AB3236" s="1">
        <v>35</v>
      </c>
    </row>
    <row r="3237" spans="1:28" x14ac:dyDescent="0.2">
      <c r="A3237" s="1">
        <v>8399</v>
      </c>
      <c r="B3237" s="1" t="s">
        <v>6839</v>
      </c>
      <c r="D3237" s="1" t="s">
        <v>11735</v>
      </c>
      <c r="F3237" s="1" t="s">
        <v>11736</v>
      </c>
      <c r="H3237" s="1" t="s">
        <v>11737</v>
      </c>
      <c r="J3237" s="1" t="s">
        <v>11738</v>
      </c>
      <c r="L3237" s="1" t="s">
        <v>752</v>
      </c>
      <c r="N3237" s="1" t="s">
        <v>6711</v>
      </c>
      <c r="P3237" s="1" t="s">
        <v>6720</v>
      </c>
      <c r="Q3237" s="3">
        <v>0</v>
      </c>
      <c r="R3237" s="23" t="s">
        <v>11739</v>
      </c>
      <c r="S3237" s="23" t="s">
        <v>6847</v>
      </c>
      <c r="T3237" s="23" t="s">
        <v>4866</v>
      </c>
      <c r="U3237" s="3">
        <v>35</v>
      </c>
      <c r="W3237" s="45" t="str">
        <f>HYPERLINK("http://ictvonline.org/taxonomy/p/taxonomy-history?taxnode_id=201906304","ICTVonline=201906304")</f>
        <v>ICTVonline=201906304</v>
      </c>
      <c r="X3237" s="1" t="s">
        <v>11770</v>
      </c>
      <c r="Y3237" s="1" t="s">
        <v>11771</v>
      </c>
      <c r="Z3237" s="1" t="s">
        <v>11772</v>
      </c>
      <c r="AA3237" s="1">
        <v>201900000</v>
      </c>
      <c r="AB3237" s="1">
        <v>35</v>
      </c>
    </row>
    <row r="3238" spans="1:28" x14ac:dyDescent="0.2">
      <c r="A3238" s="1">
        <v>8401</v>
      </c>
      <c r="B3238" s="1" t="s">
        <v>6839</v>
      </c>
      <c r="D3238" s="1" t="s">
        <v>11735</v>
      </c>
      <c r="F3238" s="1" t="s">
        <v>11736</v>
      </c>
      <c r="H3238" s="1" t="s">
        <v>11737</v>
      </c>
      <c r="J3238" s="1" t="s">
        <v>11738</v>
      </c>
      <c r="L3238" s="1" t="s">
        <v>752</v>
      </c>
      <c r="N3238" s="1" t="s">
        <v>6711</v>
      </c>
      <c r="P3238" s="1" t="s">
        <v>2213</v>
      </c>
      <c r="Q3238" s="3">
        <v>0</v>
      </c>
      <c r="R3238" s="23" t="s">
        <v>11739</v>
      </c>
      <c r="S3238" s="23" t="s">
        <v>6847</v>
      </c>
      <c r="T3238" s="23" t="s">
        <v>4866</v>
      </c>
      <c r="U3238" s="3">
        <v>35</v>
      </c>
      <c r="W3238" s="45" t="str">
        <f>HYPERLINK("http://ictvonline.org/taxonomy/p/taxonomy-history?taxnode_id=201902899","ICTVonline=201902899")</f>
        <v>ICTVonline=201902899</v>
      </c>
      <c r="Y3238" s="1" t="s">
        <v>11773</v>
      </c>
      <c r="Z3238" s="1" t="s">
        <v>11774</v>
      </c>
      <c r="AA3238" s="1">
        <v>201900000</v>
      </c>
      <c r="AB3238" s="1">
        <v>35</v>
      </c>
    </row>
    <row r="3239" spans="1:28" x14ac:dyDescent="0.2">
      <c r="A3239" s="1">
        <v>8405</v>
      </c>
      <c r="B3239" s="1" t="s">
        <v>6839</v>
      </c>
      <c r="D3239" s="1" t="s">
        <v>11735</v>
      </c>
      <c r="F3239" s="1" t="s">
        <v>11736</v>
      </c>
      <c r="H3239" s="1" t="s">
        <v>11737</v>
      </c>
      <c r="J3239" s="1" t="s">
        <v>11738</v>
      </c>
      <c r="L3239" s="1" t="s">
        <v>752</v>
      </c>
      <c r="N3239" s="1" t="s">
        <v>6721</v>
      </c>
      <c r="P3239" s="1" t="s">
        <v>6722</v>
      </c>
      <c r="Q3239" s="3">
        <v>0</v>
      </c>
      <c r="R3239" s="23" t="s">
        <v>11739</v>
      </c>
      <c r="S3239" s="23" t="s">
        <v>6847</v>
      </c>
      <c r="T3239" s="23" t="s">
        <v>4866</v>
      </c>
      <c r="U3239" s="3">
        <v>35</v>
      </c>
      <c r="W3239" s="45" t="str">
        <f>HYPERLINK("http://ictvonline.org/taxonomy/p/taxonomy-history?taxnode_id=201906305","ICTVonline=201906305")</f>
        <v>ICTVonline=201906305</v>
      </c>
      <c r="X3239" s="1" t="s">
        <v>11775</v>
      </c>
      <c r="Y3239" s="1" t="s">
        <v>11776</v>
      </c>
      <c r="Z3239" s="1" t="s">
        <v>11777</v>
      </c>
      <c r="AA3239" s="1">
        <v>201900000</v>
      </c>
      <c r="AB3239" s="1">
        <v>35</v>
      </c>
    </row>
    <row r="3240" spans="1:28" x14ac:dyDescent="0.2">
      <c r="A3240" s="1">
        <v>8407</v>
      </c>
      <c r="B3240" s="1" t="s">
        <v>6839</v>
      </c>
      <c r="D3240" s="1" t="s">
        <v>11735</v>
      </c>
      <c r="F3240" s="1" t="s">
        <v>11736</v>
      </c>
      <c r="H3240" s="1" t="s">
        <v>11737</v>
      </c>
      <c r="J3240" s="1" t="s">
        <v>11738</v>
      </c>
      <c r="L3240" s="1" t="s">
        <v>752</v>
      </c>
      <c r="N3240" s="1" t="s">
        <v>6721</v>
      </c>
      <c r="P3240" s="1" t="s">
        <v>6723</v>
      </c>
      <c r="Q3240" s="3">
        <v>1</v>
      </c>
      <c r="R3240" s="23" t="s">
        <v>11739</v>
      </c>
      <c r="S3240" s="23" t="s">
        <v>6847</v>
      </c>
      <c r="T3240" s="23" t="s">
        <v>4866</v>
      </c>
      <c r="U3240" s="3">
        <v>35</v>
      </c>
      <c r="W3240" s="45" t="str">
        <f>HYPERLINK("http://ictvonline.org/taxonomy/p/taxonomy-history?taxnode_id=201906306","ICTVonline=201906306")</f>
        <v>ICTVonline=201906306</v>
      </c>
      <c r="X3240" s="1" t="s">
        <v>11778</v>
      </c>
      <c r="Y3240" s="1" t="s">
        <v>11779</v>
      </c>
      <c r="Z3240" s="1" t="s">
        <v>11780</v>
      </c>
      <c r="AA3240" s="1">
        <v>201900000</v>
      </c>
      <c r="AB3240" s="1">
        <v>35</v>
      </c>
    </row>
    <row r="3241" spans="1:28" x14ac:dyDescent="0.2">
      <c r="A3241" s="1">
        <v>8409</v>
      </c>
      <c r="B3241" s="1" t="s">
        <v>6839</v>
      </c>
      <c r="D3241" s="1" t="s">
        <v>11735</v>
      </c>
      <c r="F3241" s="1" t="s">
        <v>11736</v>
      </c>
      <c r="H3241" s="1" t="s">
        <v>11737</v>
      </c>
      <c r="J3241" s="1" t="s">
        <v>11738</v>
      </c>
      <c r="L3241" s="1" t="s">
        <v>752</v>
      </c>
      <c r="N3241" s="1" t="s">
        <v>6721</v>
      </c>
      <c r="P3241" s="1" t="s">
        <v>6724</v>
      </c>
      <c r="Q3241" s="3">
        <v>0</v>
      </c>
      <c r="R3241" s="23" t="s">
        <v>11739</v>
      </c>
      <c r="S3241" s="23" t="s">
        <v>6847</v>
      </c>
      <c r="T3241" s="23" t="s">
        <v>4866</v>
      </c>
      <c r="U3241" s="3">
        <v>35</v>
      </c>
      <c r="W3241" s="45" t="str">
        <f>HYPERLINK("http://ictvonline.org/taxonomy/p/taxonomy-history?taxnode_id=201906307","ICTVonline=201906307")</f>
        <v>ICTVonline=201906307</v>
      </c>
      <c r="X3241" s="1" t="s">
        <v>11781</v>
      </c>
      <c r="Y3241" s="1" t="s">
        <v>11782</v>
      </c>
      <c r="Z3241" s="1" t="s">
        <v>11783</v>
      </c>
      <c r="AA3241" s="1">
        <v>201900000</v>
      </c>
      <c r="AB3241" s="1">
        <v>35</v>
      </c>
    </row>
    <row r="3242" spans="1:28" x14ac:dyDescent="0.2">
      <c r="A3242" s="1">
        <v>8411</v>
      </c>
      <c r="B3242" s="1" t="s">
        <v>6839</v>
      </c>
      <c r="D3242" s="1" t="s">
        <v>11735</v>
      </c>
      <c r="F3242" s="1" t="s">
        <v>11736</v>
      </c>
      <c r="H3242" s="1" t="s">
        <v>11737</v>
      </c>
      <c r="J3242" s="1" t="s">
        <v>11738</v>
      </c>
      <c r="L3242" s="1" t="s">
        <v>752</v>
      </c>
      <c r="N3242" s="1" t="s">
        <v>6721</v>
      </c>
      <c r="P3242" s="1" t="s">
        <v>6725</v>
      </c>
      <c r="Q3242" s="3">
        <v>0</v>
      </c>
      <c r="R3242" s="23" t="s">
        <v>11739</v>
      </c>
      <c r="S3242" s="23" t="s">
        <v>6847</v>
      </c>
      <c r="T3242" s="23" t="s">
        <v>4866</v>
      </c>
      <c r="U3242" s="3">
        <v>35</v>
      </c>
      <c r="W3242" s="45" t="str">
        <f>HYPERLINK("http://ictvonline.org/taxonomy/p/taxonomy-history?taxnode_id=201906308","ICTVonline=201906308")</f>
        <v>ICTVonline=201906308</v>
      </c>
      <c r="X3242" s="1" t="s">
        <v>11784</v>
      </c>
      <c r="Y3242" s="1" t="s">
        <v>11785</v>
      </c>
      <c r="Z3242" s="1" t="s">
        <v>11786</v>
      </c>
      <c r="AA3242" s="1">
        <v>201900000</v>
      </c>
      <c r="AB3242" s="1">
        <v>35</v>
      </c>
    </row>
    <row r="3243" spans="1:28" x14ac:dyDescent="0.2">
      <c r="A3243" s="1">
        <v>8413</v>
      </c>
      <c r="B3243" s="1" t="s">
        <v>6839</v>
      </c>
      <c r="D3243" s="1" t="s">
        <v>11735</v>
      </c>
      <c r="F3243" s="1" t="s">
        <v>11736</v>
      </c>
      <c r="H3243" s="1" t="s">
        <v>11737</v>
      </c>
      <c r="J3243" s="1" t="s">
        <v>11738</v>
      </c>
      <c r="L3243" s="1" t="s">
        <v>752</v>
      </c>
      <c r="N3243" s="1" t="s">
        <v>6721</v>
      </c>
      <c r="P3243" s="1" t="s">
        <v>6726</v>
      </c>
      <c r="Q3243" s="3">
        <v>0</v>
      </c>
      <c r="R3243" s="23" t="s">
        <v>11739</v>
      </c>
      <c r="S3243" s="23" t="s">
        <v>6847</v>
      </c>
      <c r="T3243" s="23" t="s">
        <v>4866</v>
      </c>
      <c r="U3243" s="3">
        <v>35</v>
      </c>
      <c r="W3243" s="45" t="str">
        <f>HYPERLINK("http://ictvonline.org/taxonomy/p/taxonomy-history?taxnode_id=201906309","ICTVonline=201906309")</f>
        <v>ICTVonline=201906309</v>
      </c>
      <c r="X3243" s="1" t="s">
        <v>11787</v>
      </c>
      <c r="Y3243" s="1" t="s">
        <v>11788</v>
      </c>
      <c r="Z3243" s="1" t="s">
        <v>11789</v>
      </c>
      <c r="AA3243" s="1">
        <v>201900000</v>
      </c>
      <c r="AB3243" s="1">
        <v>35</v>
      </c>
    </row>
    <row r="3244" spans="1:28" x14ac:dyDescent="0.2">
      <c r="A3244" s="1">
        <v>8415</v>
      </c>
      <c r="B3244" s="1" t="s">
        <v>6839</v>
      </c>
      <c r="D3244" s="1" t="s">
        <v>11735</v>
      </c>
      <c r="F3244" s="1" t="s">
        <v>11736</v>
      </c>
      <c r="H3244" s="1" t="s">
        <v>11737</v>
      </c>
      <c r="J3244" s="1" t="s">
        <v>11738</v>
      </c>
      <c r="L3244" s="1" t="s">
        <v>752</v>
      </c>
      <c r="N3244" s="1" t="s">
        <v>6721</v>
      </c>
      <c r="P3244" s="1" t="s">
        <v>6727</v>
      </c>
      <c r="Q3244" s="3">
        <v>0</v>
      </c>
      <c r="R3244" s="23" t="s">
        <v>11739</v>
      </c>
      <c r="S3244" s="23" t="s">
        <v>6847</v>
      </c>
      <c r="T3244" s="23" t="s">
        <v>4866</v>
      </c>
      <c r="U3244" s="3">
        <v>35</v>
      </c>
      <c r="W3244" s="45" t="str">
        <f>HYPERLINK("http://ictvonline.org/taxonomy/p/taxonomy-history?taxnode_id=201906310","ICTVonline=201906310")</f>
        <v>ICTVonline=201906310</v>
      </c>
      <c r="X3244" s="1" t="s">
        <v>11790</v>
      </c>
      <c r="Y3244" s="1" t="s">
        <v>11791</v>
      </c>
      <c r="Z3244" s="1" t="s">
        <v>11792</v>
      </c>
      <c r="AA3244" s="1">
        <v>201900000</v>
      </c>
      <c r="AB3244" s="1">
        <v>35</v>
      </c>
    </row>
    <row r="3245" spans="1:28" x14ac:dyDescent="0.2">
      <c r="A3245" s="1">
        <v>8417</v>
      </c>
      <c r="B3245" s="1" t="s">
        <v>6839</v>
      </c>
      <c r="D3245" s="1" t="s">
        <v>11735</v>
      </c>
      <c r="F3245" s="1" t="s">
        <v>11736</v>
      </c>
      <c r="H3245" s="1" t="s">
        <v>11737</v>
      </c>
      <c r="J3245" s="1" t="s">
        <v>11738</v>
      </c>
      <c r="L3245" s="1" t="s">
        <v>752</v>
      </c>
      <c r="N3245" s="1" t="s">
        <v>6721</v>
      </c>
      <c r="P3245" s="1" t="s">
        <v>6728</v>
      </c>
      <c r="Q3245" s="3">
        <v>0</v>
      </c>
      <c r="R3245" s="23" t="s">
        <v>11739</v>
      </c>
      <c r="S3245" s="23" t="s">
        <v>6847</v>
      </c>
      <c r="T3245" s="23" t="s">
        <v>4866</v>
      </c>
      <c r="U3245" s="3">
        <v>35</v>
      </c>
      <c r="W3245" s="45" t="str">
        <f>HYPERLINK("http://ictvonline.org/taxonomy/p/taxonomy-history?taxnode_id=201906311","ICTVonline=201906311")</f>
        <v>ICTVonline=201906311</v>
      </c>
      <c r="X3245" s="1" t="s">
        <v>11793</v>
      </c>
      <c r="Y3245" s="1" t="s">
        <v>11794</v>
      </c>
      <c r="Z3245" s="1" t="s">
        <v>11795</v>
      </c>
      <c r="AA3245" s="1">
        <v>201900000</v>
      </c>
      <c r="AB3245" s="1">
        <v>35</v>
      </c>
    </row>
    <row r="3246" spans="1:28" x14ac:dyDescent="0.2">
      <c r="A3246" s="1">
        <v>8419</v>
      </c>
      <c r="B3246" s="1" t="s">
        <v>6839</v>
      </c>
      <c r="D3246" s="1" t="s">
        <v>11735</v>
      </c>
      <c r="F3246" s="1" t="s">
        <v>11736</v>
      </c>
      <c r="H3246" s="1" t="s">
        <v>11737</v>
      </c>
      <c r="J3246" s="1" t="s">
        <v>11738</v>
      </c>
      <c r="L3246" s="1" t="s">
        <v>752</v>
      </c>
      <c r="N3246" s="1" t="s">
        <v>6721</v>
      </c>
      <c r="P3246" s="1" t="s">
        <v>6729</v>
      </c>
      <c r="Q3246" s="3">
        <v>0</v>
      </c>
      <c r="R3246" s="23" t="s">
        <v>11739</v>
      </c>
      <c r="S3246" s="23" t="s">
        <v>6847</v>
      </c>
      <c r="T3246" s="23" t="s">
        <v>4866</v>
      </c>
      <c r="U3246" s="3">
        <v>35</v>
      </c>
      <c r="W3246" s="45" t="str">
        <f>HYPERLINK("http://ictvonline.org/taxonomy/p/taxonomy-history?taxnode_id=201906312","ICTVonline=201906312")</f>
        <v>ICTVonline=201906312</v>
      </c>
      <c r="X3246" s="1" t="s">
        <v>11796</v>
      </c>
      <c r="Y3246" s="1" t="s">
        <v>11797</v>
      </c>
      <c r="Z3246" s="1" t="s">
        <v>11798</v>
      </c>
      <c r="AA3246" s="1">
        <v>201900000</v>
      </c>
      <c r="AB3246" s="1">
        <v>35</v>
      </c>
    </row>
    <row r="3247" spans="1:28" x14ac:dyDescent="0.2">
      <c r="A3247" s="1">
        <v>8425</v>
      </c>
      <c r="B3247" s="1" t="s">
        <v>6839</v>
      </c>
      <c r="D3247" s="1" t="s">
        <v>11735</v>
      </c>
      <c r="F3247" s="1" t="s">
        <v>11736</v>
      </c>
      <c r="H3247" s="1" t="s">
        <v>11737</v>
      </c>
      <c r="J3247" s="1" t="s">
        <v>11738</v>
      </c>
      <c r="L3247" s="1" t="s">
        <v>99</v>
      </c>
      <c r="N3247" s="1" t="s">
        <v>100</v>
      </c>
      <c r="P3247" s="1" t="s">
        <v>101</v>
      </c>
      <c r="Q3247" s="3">
        <v>1</v>
      </c>
      <c r="R3247" s="23" t="s">
        <v>11739</v>
      </c>
      <c r="S3247" s="23" t="s">
        <v>6847</v>
      </c>
      <c r="T3247" s="23" t="s">
        <v>4866</v>
      </c>
      <c r="U3247" s="3">
        <v>35</v>
      </c>
      <c r="W3247" s="45" t="str">
        <f>HYPERLINK("http://ictvonline.org/taxonomy/p/taxonomy-history?taxnode_id=201903810","ICTVonline=201903810")</f>
        <v>ICTVonline=201903810</v>
      </c>
      <c r="Y3247" s="1" t="s">
        <v>11799</v>
      </c>
      <c r="Z3247" s="1" t="s">
        <v>11800</v>
      </c>
      <c r="AA3247" s="1">
        <v>201900000</v>
      </c>
      <c r="AB3247" s="1">
        <v>35</v>
      </c>
    </row>
    <row r="3248" spans="1:28" x14ac:dyDescent="0.2">
      <c r="A3248" s="1">
        <v>8431</v>
      </c>
      <c r="B3248" s="1" t="s">
        <v>6839</v>
      </c>
      <c r="D3248" s="1" t="s">
        <v>11735</v>
      </c>
      <c r="F3248" s="1" t="s">
        <v>11736</v>
      </c>
      <c r="H3248" s="1" t="s">
        <v>11737</v>
      </c>
      <c r="J3248" s="1" t="s">
        <v>11738</v>
      </c>
      <c r="L3248" s="1" t="s">
        <v>2258</v>
      </c>
      <c r="N3248" s="1" t="s">
        <v>2259</v>
      </c>
      <c r="P3248" s="1" t="s">
        <v>2260</v>
      </c>
      <c r="Q3248" s="3">
        <v>1</v>
      </c>
      <c r="R3248" s="23" t="s">
        <v>11739</v>
      </c>
      <c r="S3248" s="23" t="s">
        <v>6847</v>
      </c>
      <c r="T3248" s="23" t="s">
        <v>4866</v>
      </c>
      <c r="U3248" s="3">
        <v>35</v>
      </c>
      <c r="W3248" s="45" t="str">
        <f>HYPERLINK("http://ictvonline.org/taxonomy/p/taxonomy-history?taxnode_id=201904870","ICTVonline=201904870")</f>
        <v>ICTVonline=201904870</v>
      </c>
      <c r="Y3248" s="1" t="s">
        <v>11801</v>
      </c>
      <c r="Z3248" s="1" t="s">
        <v>11802</v>
      </c>
      <c r="AA3248" s="1">
        <v>201900000</v>
      </c>
      <c r="AB3248" s="1">
        <v>35</v>
      </c>
    </row>
    <row r="3249" spans="1:28" x14ac:dyDescent="0.2">
      <c r="A3249" s="1">
        <v>8437</v>
      </c>
      <c r="B3249" s="1" t="s">
        <v>6839</v>
      </c>
      <c r="D3249" s="1" t="s">
        <v>11735</v>
      </c>
      <c r="F3249" s="1" t="s">
        <v>11736</v>
      </c>
      <c r="H3249" s="1" t="s">
        <v>11737</v>
      </c>
      <c r="J3249" s="1" t="s">
        <v>11738</v>
      </c>
      <c r="L3249" s="1" t="s">
        <v>1898</v>
      </c>
      <c r="N3249" s="1" t="s">
        <v>1899</v>
      </c>
      <c r="P3249" s="1" t="s">
        <v>1590</v>
      </c>
      <c r="Q3249" s="3">
        <v>1</v>
      </c>
      <c r="R3249" s="23" t="s">
        <v>11739</v>
      </c>
      <c r="S3249" s="23" t="s">
        <v>6847</v>
      </c>
      <c r="T3249" s="23" t="s">
        <v>4866</v>
      </c>
      <c r="U3249" s="3">
        <v>35</v>
      </c>
      <c r="W3249" s="45" t="str">
        <f>HYPERLINK("http://ictvonline.org/taxonomy/p/taxonomy-history?taxnode_id=201905288","ICTVonline=201905288")</f>
        <v>ICTVonline=201905288</v>
      </c>
      <c r="Y3249" s="1" t="s">
        <v>11803</v>
      </c>
      <c r="Z3249" s="1" t="s">
        <v>11804</v>
      </c>
      <c r="AA3249" s="1">
        <v>201900000</v>
      </c>
      <c r="AB3249" s="1">
        <v>35</v>
      </c>
    </row>
    <row r="3250" spans="1:28" x14ac:dyDescent="0.2">
      <c r="A3250" s="1">
        <v>8441</v>
      </c>
      <c r="B3250" s="1" t="s">
        <v>6839</v>
      </c>
      <c r="D3250" s="1" t="s">
        <v>11735</v>
      </c>
      <c r="F3250" s="1" t="s">
        <v>11736</v>
      </c>
      <c r="H3250" s="1" t="s">
        <v>11737</v>
      </c>
      <c r="J3250" s="1" t="s">
        <v>11738</v>
      </c>
      <c r="L3250" s="1" t="s">
        <v>1898</v>
      </c>
      <c r="N3250" s="1" t="s">
        <v>1591</v>
      </c>
      <c r="P3250" s="1" t="s">
        <v>2581</v>
      </c>
      <c r="Q3250" s="3">
        <v>1</v>
      </c>
      <c r="R3250" s="23" t="s">
        <v>11739</v>
      </c>
      <c r="S3250" s="23" t="s">
        <v>6847</v>
      </c>
      <c r="T3250" s="23" t="s">
        <v>4866</v>
      </c>
      <c r="U3250" s="3">
        <v>35</v>
      </c>
      <c r="W3250" s="45" t="str">
        <f>HYPERLINK("http://ictvonline.org/taxonomy/p/taxonomy-history?taxnode_id=201905290","ICTVonline=201905290")</f>
        <v>ICTVonline=201905290</v>
      </c>
      <c r="Y3250" s="1" t="s">
        <v>11805</v>
      </c>
      <c r="Z3250" s="49">
        <v>43831</v>
      </c>
      <c r="AA3250" s="1">
        <v>201900000</v>
      </c>
      <c r="AB3250" s="1">
        <v>35</v>
      </c>
    </row>
    <row r="3251" spans="1:28" x14ac:dyDescent="0.2">
      <c r="A3251" s="1">
        <v>8443</v>
      </c>
      <c r="B3251" s="1" t="s">
        <v>6839</v>
      </c>
      <c r="D3251" s="1" t="s">
        <v>11735</v>
      </c>
      <c r="F3251" s="1" t="s">
        <v>11736</v>
      </c>
      <c r="H3251" s="1" t="s">
        <v>11737</v>
      </c>
      <c r="J3251" s="1" t="s">
        <v>11738</v>
      </c>
      <c r="L3251" s="1" t="s">
        <v>1898</v>
      </c>
      <c r="N3251" s="1" t="s">
        <v>1591</v>
      </c>
      <c r="P3251" s="1" t="s">
        <v>2582</v>
      </c>
      <c r="Q3251" s="3">
        <v>0</v>
      </c>
      <c r="R3251" s="23" t="s">
        <v>11739</v>
      </c>
      <c r="S3251" s="23" t="s">
        <v>6847</v>
      </c>
      <c r="T3251" s="23" t="s">
        <v>4866</v>
      </c>
      <c r="U3251" s="3">
        <v>35</v>
      </c>
      <c r="W3251" s="45" t="str">
        <f>HYPERLINK("http://ictvonline.org/taxonomy/p/taxonomy-history?taxnode_id=201905291","ICTVonline=201905291")</f>
        <v>ICTVonline=201905291</v>
      </c>
      <c r="Y3251" s="1" t="s">
        <v>11806</v>
      </c>
      <c r="Z3251" s="49">
        <v>43862</v>
      </c>
      <c r="AA3251" s="1">
        <v>201900000</v>
      </c>
      <c r="AB3251" s="1">
        <v>35</v>
      </c>
    </row>
    <row r="3252" spans="1:28" x14ac:dyDescent="0.2">
      <c r="A3252" s="1">
        <v>8447</v>
      </c>
      <c r="B3252" s="1" t="s">
        <v>6839</v>
      </c>
      <c r="D3252" s="1" t="s">
        <v>11735</v>
      </c>
      <c r="F3252" s="1" t="s">
        <v>11736</v>
      </c>
      <c r="H3252" s="1" t="s">
        <v>11737</v>
      </c>
      <c r="J3252" s="1" t="s">
        <v>11738</v>
      </c>
      <c r="L3252" s="1" t="s">
        <v>1898</v>
      </c>
      <c r="N3252" s="1" t="s">
        <v>1326</v>
      </c>
      <c r="P3252" s="1" t="s">
        <v>1327</v>
      </c>
      <c r="Q3252" s="3">
        <v>1</v>
      </c>
      <c r="R3252" s="23" t="s">
        <v>11739</v>
      </c>
      <c r="S3252" s="23" t="s">
        <v>6847</v>
      </c>
      <c r="T3252" s="23" t="s">
        <v>4866</v>
      </c>
      <c r="U3252" s="3">
        <v>35</v>
      </c>
      <c r="W3252" s="45" t="str">
        <f>HYPERLINK("http://ictvonline.org/taxonomy/p/taxonomy-history?taxnode_id=201905293","ICTVonline=201905293")</f>
        <v>ICTVonline=201905293</v>
      </c>
      <c r="Y3252" s="1" t="s">
        <v>11807</v>
      </c>
      <c r="Z3252" s="1" t="s">
        <v>11808</v>
      </c>
      <c r="AA3252" s="1">
        <v>201900000</v>
      </c>
      <c r="AB3252" s="1">
        <v>35</v>
      </c>
    </row>
    <row r="3253" spans="1:28" x14ac:dyDescent="0.2">
      <c r="A3253" s="1">
        <v>8449</v>
      </c>
      <c r="B3253" s="1" t="s">
        <v>6839</v>
      </c>
      <c r="D3253" s="1" t="s">
        <v>11735</v>
      </c>
      <c r="F3253" s="1" t="s">
        <v>11736</v>
      </c>
      <c r="H3253" s="1" t="s">
        <v>11737</v>
      </c>
      <c r="J3253" s="1" t="s">
        <v>11738</v>
      </c>
      <c r="L3253" s="1" t="s">
        <v>1898</v>
      </c>
      <c r="N3253" s="1" t="s">
        <v>1326</v>
      </c>
      <c r="P3253" s="1" t="s">
        <v>5525</v>
      </c>
      <c r="Q3253" s="3">
        <v>0</v>
      </c>
      <c r="R3253" s="23" t="s">
        <v>11739</v>
      </c>
      <c r="S3253" s="23" t="s">
        <v>6847</v>
      </c>
      <c r="T3253" s="23" t="s">
        <v>4866</v>
      </c>
      <c r="U3253" s="3">
        <v>35</v>
      </c>
      <c r="W3253" s="45" t="str">
        <f>HYPERLINK("http://ictvonline.org/taxonomy/p/taxonomy-history?taxnode_id=201905294","ICTVonline=201905294")</f>
        <v>ICTVonline=201905294</v>
      </c>
      <c r="Y3253" s="1" t="s">
        <v>11809</v>
      </c>
      <c r="Z3253" s="1" t="s">
        <v>11810</v>
      </c>
      <c r="AA3253" s="1">
        <v>201900000</v>
      </c>
      <c r="AB3253" s="1">
        <v>35</v>
      </c>
    </row>
    <row r="3254" spans="1:28" x14ac:dyDescent="0.2">
      <c r="A3254" s="1">
        <v>8451</v>
      </c>
      <c r="B3254" s="1" t="s">
        <v>6839</v>
      </c>
      <c r="D3254" s="1" t="s">
        <v>11735</v>
      </c>
      <c r="F3254" s="1" t="s">
        <v>11736</v>
      </c>
      <c r="H3254" s="1" t="s">
        <v>11737</v>
      </c>
      <c r="J3254" s="1" t="s">
        <v>11738</v>
      </c>
      <c r="L3254" s="1" t="s">
        <v>1898</v>
      </c>
      <c r="N3254" s="1" t="s">
        <v>1326</v>
      </c>
      <c r="P3254" s="1" t="s">
        <v>2583</v>
      </c>
      <c r="Q3254" s="3">
        <v>0</v>
      </c>
      <c r="R3254" s="23" t="s">
        <v>11739</v>
      </c>
      <c r="S3254" s="23" t="s">
        <v>6847</v>
      </c>
      <c r="T3254" s="23" t="s">
        <v>4866</v>
      </c>
      <c r="U3254" s="3">
        <v>35</v>
      </c>
      <c r="W3254" s="45" t="str">
        <f>HYPERLINK("http://ictvonline.org/taxonomy/p/taxonomy-history?taxnode_id=201905295","ICTVonline=201905295")</f>
        <v>ICTVonline=201905295</v>
      </c>
      <c r="Y3254" s="1" t="s">
        <v>11811</v>
      </c>
      <c r="Z3254" s="1" t="s">
        <v>11812</v>
      </c>
      <c r="AA3254" s="1">
        <v>201900000</v>
      </c>
      <c r="AB3254" s="1">
        <v>35</v>
      </c>
    </row>
    <row r="3255" spans="1:28" x14ac:dyDescent="0.2">
      <c r="A3255" s="1">
        <v>8453</v>
      </c>
      <c r="B3255" s="1" t="s">
        <v>6839</v>
      </c>
      <c r="D3255" s="1" t="s">
        <v>11735</v>
      </c>
      <c r="F3255" s="1" t="s">
        <v>11736</v>
      </c>
      <c r="H3255" s="1" t="s">
        <v>11737</v>
      </c>
      <c r="J3255" s="1" t="s">
        <v>11738</v>
      </c>
      <c r="L3255" s="1" t="s">
        <v>1898</v>
      </c>
      <c r="N3255" s="1" t="s">
        <v>1326</v>
      </c>
      <c r="P3255" s="1" t="s">
        <v>2584</v>
      </c>
      <c r="Q3255" s="3">
        <v>0</v>
      </c>
      <c r="R3255" s="23" t="s">
        <v>11739</v>
      </c>
      <c r="S3255" s="23" t="s">
        <v>6847</v>
      </c>
      <c r="T3255" s="23" t="s">
        <v>4866</v>
      </c>
      <c r="U3255" s="3">
        <v>35</v>
      </c>
      <c r="W3255" s="45" t="str">
        <f>HYPERLINK("http://ictvonline.org/taxonomy/p/taxonomy-history?taxnode_id=201905296","ICTVonline=201905296")</f>
        <v>ICTVonline=201905296</v>
      </c>
      <c r="Y3255" s="1" t="s">
        <v>11813</v>
      </c>
      <c r="Z3255" s="1" t="s">
        <v>11814</v>
      </c>
      <c r="AA3255" s="1">
        <v>201900000</v>
      </c>
      <c r="AB3255" s="1">
        <v>35</v>
      </c>
    </row>
    <row r="3256" spans="1:28" x14ac:dyDescent="0.2">
      <c r="A3256" s="1">
        <v>8455</v>
      </c>
      <c r="B3256" s="1" t="s">
        <v>6839</v>
      </c>
      <c r="D3256" s="1" t="s">
        <v>11735</v>
      </c>
      <c r="F3256" s="1" t="s">
        <v>11736</v>
      </c>
      <c r="H3256" s="1" t="s">
        <v>11737</v>
      </c>
      <c r="J3256" s="1" t="s">
        <v>11738</v>
      </c>
      <c r="L3256" s="1" t="s">
        <v>1898</v>
      </c>
      <c r="N3256" s="1" t="s">
        <v>1326</v>
      </c>
      <c r="P3256" s="1" t="s">
        <v>1328</v>
      </c>
      <c r="Q3256" s="3">
        <v>0</v>
      </c>
      <c r="R3256" s="23" t="s">
        <v>11739</v>
      </c>
      <c r="S3256" s="23" t="s">
        <v>6847</v>
      </c>
      <c r="T3256" s="23" t="s">
        <v>4866</v>
      </c>
      <c r="U3256" s="3">
        <v>35</v>
      </c>
      <c r="W3256" s="45" t="str">
        <f>HYPERLINK("http://ictvonline.org/taxonomy/p/taxonomy-history?taxnode_id=201905297","ICTVonline=201905297")</f>
        <v>ICTVonline=201905297</v>
      </c>
      <c r="Y3256" s="1" t="s">
        <v>11815</v>
      </c>
      <c r="Z3256" s="1" t="s">
        <v>11816</v>
      </c>
      <c r="AA3256" s="1">
        <v>201900000</v>
      </c>
      <c r="AB3256" s="1">
        <v>35</v>
      </c>
    </row>
    <row r="3257" spans="1:28" x14ac:dyDescent="0.2">
      <c r="A3257" s="1">
        <v>8457</v>
      </c>
      <c r="B3257" s="1" t="s">
        <v>6839</v>
      </c>
      <c r="D3257" s="1" t="s">
        <v>11735</v>
      </c>
      <c r="F3257" s="1" t="s">
        <v>11736</v>
      </c>
      <c r="H3257" s="1" t="s">
        <v>11737</v>
      </c>
      <c r="J3257" s="1" t="s">
        <v>11738</v>
      </c>
      <c r="L3257" s="1" t="s">
        <v>1898</v>
      </c>
      <c r="N3257" s="1" t="s">
        <v>1326</v>
      </c>
      <c r="P3257" s="1" t="s">
        <v>2585</v>
      </c>
      <c r="Q3257" s="3">
        <v>0</v>
      </c>
      <c r="R3257" s="23" t="s">
        <v>11739</v>
      </c>
      <c r="S3257" s="23" t="s">
        <v>6847</v>
      </c>
      <c r="T3257" s="23" t="s">
        <v>4866</v>
      </c>
      <c r="U3257" s="3">
        <v>35</v>
      </c>
      <c r="W3257" s="45" t="str">
        <f>HYPERLINK("http://ictvonline.org/taxonomy/p/taxonomy-history?taxnode_id=201905298","ICTVonline=201905298")</f>
        <v>ICTVonline=201905298</v>
      </c>
      <c r="Y3257" s="1" t="s">
        <v>11817</v>
      </c>
      <c r="Z3257" s="1" t="s">
        <v>11818</v>
      </c>
      <c r="AA3257" s="1">
        <v>201900000</v>
      </c>
      <c r="AB3257" s="1">
        <v>35</v>
      </c>
    </row>
    <row r="3258" spans="1:28" x14ac:dyDescent="0.2">
      <c r="A3258" s="1">
        <v>8459</v>
      </c>
      <c r="B3258" s="1" t="s">
        <v>6839</v>
      </c>
      <c r="D3258" s="1" t="s">
        <v>11735</v>
      </c>
      <c r="F3258" s="1" t="s">
        <v>11736</v>
      </c>
      <c r="H3258" s="1" t="s">
        <v>11737</v>
      </c>
      <c r="J3258" s="1" t="s">
        <v>11738</v>
      </c>
      <c r="L3258" s="1" t="s">
        <v>1898</v>
      </c>
      <c r="N3258" s="1" t="s">
        <v>1326</v>
      </c>
      <c r="P3258" s="1" t="s">
        <v>2586</v>
      </c>
      <c r="Q3258" s="3">
        <v>0</v>
      </c>
      <c r="R3258" s="23" t="s">
        <v>11739</v>
      </c>
      <c r="S3258" s="23" t="s">
        <v>6847</v>
      </c>
      <c r="T3258" s="23" t="s">
        <v>4866</v>
      </c>
      <c r="U3258" s="3">
        <v>35</v>
      </c>
      <c r="W3258" s="45" t="str">
        <f>HYPERLINK("http://ictvonline.org/taxonomy/p/taxonomy-history?taxnode_id=201905299","ICTVonline=201905299")</f>
        <v>ICTVonline=201905299</v>
      </c>
      <c r="Y3258" s="1" t="s">
        <v>11819</v>
      </c>
      <c r="Z3258" s="1" t="s">
        <v>11818</v>
      </c>
      <c r="AA3258" s="1">
        <v>201900000</v>
      </c>
      <c r="AB3258" s="1">
        <v>35</v>
      </c>
    </row>
    <row r="3259" spans="1:28" x14ac:dyDescent="0.2">
      <c r="A3259" s="1">
        <v>8463</v>
      </c>
      <c r="B3259" s="1" t="s">
        <v>6839</v>
      </c>
      <c r="D3259" s="1" t="s">
        <v>11735</v>
      </c>
      <c r="F3259" s="1" t="s">
        <v>11736</v>
      </c>
      <c r="H3259" s="1" t="s">
        <v>11737</v>
      </c>
      <c r="J3259" s="1" t="s">
        <v>11738</v>
      </c>
      <c r="L3259" s="1" t="s">
        <v>1898</v>
      </c>
      <c r="N3259" s="1" t="s">
        <v>207</v>
      </c>
      <c r="P3259" s="1" t="s">
        <v>208</v>
      </c>
      <c r="Q3259" s="3">
        <v>1</v>
      </c>
      <c r="R3259" s="23" t="s">
        <v>11739</v>
      </c>
      <c r="S3259" s="23" t="s">
        <v>6847</v>
      </c>
      <c r="T3259" s="23" t="s">
        <v>4866</v>
      </c>
      <c r="U3259" s="3">
        <v>35</v>
      </c>
      <c r="W3259" s="45" t="str">
        <f>HYPERLINK("http://ictvonline.org/taxonomy/p/taxonomy-history?taxnode_id=201905301","ICTVonline=201905301")</f>
        <v>ICTVonline=201905301</v>
      </c>
      <c r="Y3259" s="1" t="s">
        <v>11820</v>
      </c>
      <c r="Z3259" s="1" t="s">
        <v>11821</v>
      </c>
      <c r="AA3259" s="1">
        <v>201900000</v>
      </c>
      <c r="AB3259" s="1">
        <v>35</v>
      </c>
    </row>
    <row r="3260" spans="1:28" x14ac:dyDescent="0.2">
      <c r="A3260" s="1">
        <v>8465</v>
      </c>
      <c r="B3260" s="1" t="s">
        <v>6839</v>
      </c>
      <c r="D3260" s="1" t="s">
        <v>11735</v>
      </c>
      <c r="F3260" s="1" t="s">
        <v>11736</v>
      </c>
      <c r="H3260" s="1" t="s">
        <v>11737</v>
      </c>
      <c r="J3260" s="1" t="s">
        <v>11738</v>
      </c>
      <c r="L3260" s="1" t="s">
        <v>1898</v>
      </c>
      <c r="N3260" s="1" t="s">
        <v>207</v>
      </c>
      <c r="P3260" s="1" t="s">
        <v>209</v>
      </c>
      <c r="Q3260" s="3">
        <v>0</v>
      </c>
      <c r="R3260" s="23" t="s">
        <v>11739</v>
      </c>
      <c r="S3260" s="23" t="s">
        <v>6847</v>
      </c>
      <c r="T3260" s="23" t="s">
        <v>4866</v>
      </c>
      <c r="U3260" s="3">
        <v>35</v>
      </c>
      <c r="W3260" s="45" t="str">
        <f>HYPERLINK("http://ictvonline.org/taxonomy/p/taxonomy-history?taxnode_id=201905302","ICTVonline=201905302")</f>
        <v>ICTVonline=201905302</v>
      </c>
      <c r="Y3260" s="1" t="s">
        <v>11822</v>
      </c>
      <c r="Z3260" s="1" t="s">
        <v>11823</v>
      </c>
      <c r="AA3260" s="1">
        <v>201900000</v>
      </c>
      <c r="AB3260" s="1">
        <v>35</v>
      </c>
    </row>
    <row r="3261" spans="1:28" x14ac:dyDescent="0.2">
      <c r="A3261" s="1">
        <v>8467</v>
      </c>
      <c r="B3261" s="1" t="s">
        <v>6839</v>
      </c>
      <c r="D3261" s="1" t="s">
        <v>11735</v>
      </c>
      <c r="F3261" s="1" t="s">
        <v>11736</v>
      </c>
      <c r="H3261" s="1" t="s">
        <v>11737</v>
      </c>
      <c r="J3261" s="1" t="s">
        <v>11738</v>
      </c>
      <c r="L3261" s="1" t="s">
        <v>1898</v>
      </c>
      <c r="N3261" s="1" t="s">
        <v>207</v>
      </c>
      <c r="P3261" s="1" t="s">
        <v>210</v>
      </c>
      <c r="Q3261" s="3">
        <v>0</v>
      </c>
      <c r="R3261" s="23" t="s">
        <v>11739</v>
      </c>
      <c r="S3261" s="23" t="s">
        <v>6847</v>
      </c>
      <c r="T3261" s="23" t="s">
        <v>4866</v>
      </c>
      <c r="U3261" s="3">
        <v>35</v>
      </c>
      <c r="W3261" s="45" t="str">
        <f>HYPERLINK("http://ictvonline.org/taxonomy/p/taxonomy-history?taxnode_id=201905303","ICTVonline=201905303")</f>
        <v>ICTVonline=201905303</v>
      </c>
      <c r="Y3261" s="1" t="s">
        <v>11824</v>
      </c>
      <c r="Z3261" s="1" t="s">
        <v>11823</v>
      </c>
      <c r="AA3261" s="1">
        <v>201900000</v>
      </c>
      <c r="AB3261" s="1">
        <v>35</v>
      </c>
    </row>
    <row r="3262" spans="1:28" x14ac:dyDescent="0.2">
      <c r="A3262" s="1">
        <v>8469</v>
      </c>
      <c r="B3262" s="1" t="s">
        <v>6839</v>
      </c>
      <c r="D3262" s="1" t="s">
        <v>11735</v>
      </c>
      <c r="F3262" s="1" t="s">
        <v>11736</v>
      </c>
      <c r="H3262" s="1" t="s">
        <v>11737</v>
      </c>
      <c r="J3262" s="1" t="s">
        <v>11738</v>
      </c>
      <c r="L3262" s="1" t="s">
        <v>1898</v>
      </c>
      <c r="N3262" s="1" t="s">
        <v>207</v>
      </c>
      <c r="P3262" s="1" t="s">
        <v>2587</v>
      </c>
      <c r="Q3262" s="3">
        <v>0</v>
      </c>
      <c r="R3262" s="23" t="s">
        <v>11739</v>
      </c>
      <c r="S3262" s="23" t="s">
        <v>6847</v>
      </c>
      <c r="T3262" s="23" t="s">
        <v>4866</v>
      </c>
      <c r="U3262" s="3">
        <v>35</v>
      </c>
      <c r="W3262" s="45" t="str">
        <f>HYPERLINK("http://ictvonline.org/taxonomy/p/taxonomy-history?taxnode_id=201905304","ICTVonline=201905304")</f>
        <v>ICTVonline=201905304</v>
      </c>
      <c r="Y3262" s="1" t="s">
        <v>11825</v>
      </c>
      <c r="Z3262" s="1" t="s">
        <v>11826</v>
      </c>
      <c r="AA3262" s="1">
        <v>201900000</v>
      </c>
      <c r="AB3262" s="1">
        <v>35</v>
      </c>
    </row>
    <row r="3263" spans="1:28" x14ac:dyDescent="0.2">
      <c r="A3263" s="1">
        <v>8473</v>
      </c>
      <c r="B3263" s="1" t="s">
        <v>6839</v>
      </c>
      <c r="D3263" s="1" t="s">
        <v>11735</v>
      </c>
      <c r="F3263" s="1" t="s">
        <v>11736</v>
      </c>
      <c r="H3263" s="1" t="s">
        <v>11737</v>
      </c>
      <c r="J3263" s="1" t="s">
        <v>11738</v>
      </c>
      <c r="L3263" s="1" t="s">
        <v>1898</v>
      </c>
      <c r="N3263" s="1" t="s">
        <v>768</v>
      </c>
      <c r="P3263" s="1" t="s">
        <v>2588</v>
      </c>
      <c r="Q3263" s="3">
        <v>0</v>
      </c>
      <c r="R3263" s="23" t="s">
        <v>11739</v>
      </c>
      <c r="S3263" s="23" t="s">
        <v>6847</v>
      </c>
      <c r="T3263" s="23" t="s">
        <v>4866</v>
      </c>
      <c r="U3263" s="3">
        <v>35</v>
      </c>
      <c r="W3263" s="45" t="str">
        <f>HYPERLINK("http://ictvonline.org/taxonomy/p/taxonomy-history?taxnode_id=201905306","ICTVonline=201905306")</f>
        <v>ICTVonline=201905306</v>
      </c>
      <c r="Y3263" s="1" t="s">
        <v>11827</v>
      </c>
      <c r="Z3263" s="1" t="s">
        <v>11828</v>
      </c>
      <c r="AA3263" s="1">
        <v>201900000</v>
      </c>
      <c r="AB3263" s="1">
        <v>35</v>
      </c>
    </row>
    <row r="3264" spans="1:28" x14ac:dyDescent="0.2">
      <c r="A3264" s="1">
        <v>8475</v>
      </c>
      <c r="B3264" s="1" t="s">
        <v>6839</v>
      </c>
      <c r="D3264" s="1" t="s">
        <v>11735</v>
      </c>
      <c r="F3264" s="1" t="s">
        <v>11736</v>
      </c>
      <c r="H3264" s="1" t="s">
        <v>11737</v>
      </c>
      <c r="J3264" s="1" t="s">
        <v>11738</v>
      </c>
      <c r="L3264" s="1" t="s">
        <v>1898</v>
      </c>
      <c r="N3264" s="1" t="s">
        <v>768</v>
      </c>
      <c r="P3264" s="1" t="s">
        <v>2589</v>
      </c>
      <c r="Q3264" s="3">
        <v>0</v>
      </c>
      <c r="R3264" s="23" t="s">
        <v>11739</v>
      </c>
      <c r="S3264" s="23" t="s">
        <v>6847</v>
      </c>
      <c r="T3264" s="23" t="s">
        <v>4866</v>
      </c>
      <c r="U3264" s="3">
        <v>35</v>
      </c>
      <c r="W3264" s="45" t="str">
        <f>HYPERLINK("http://ictvonline.org/taxonomy/p/taxonomy-history?taxnode_id=201905307","ICTVonline=201905307")</f>
        <v>ICTVonline=201905307</v>
      </c>
      <c r="Y3264" s="1" t="s">
        <v>11829</v>
      </c>
      <c r="Z3264" s="1" t="s">
        <v>11830</v>
      </c>
      <c r="AA3264" s="1">
        <v>201900000</v>
      </c>
      <c r="AB3264" s="1">
        <v>35</v>
      </c>
    </row>
    <row r="3265" spans="1:28" x14ac:dyDescent="0.2">
      <c r="A3265" s="1">
        <v>8477</v>
      </c>
      <c r="B3265" s="1" t="s">
        <v>6839</v>
      </c>
      <c r="D3265" s="1" t="s">
        <v>11735</v>
      </c>
      <c r="F3265" s="1" t="s">
        <v>11736</v>
      </c>
      <c r="H3265" s="1" t="s">
        <v>11737</v>
      </c>
      <c r="J3265" s="1" t="s">
        <v>11738</v>
      </c>
      <c r="L3265" s="1" t="s">
        <v>1898</v>
      </c>
      <c r="N3265" s="1" t="s">
        <v>768</v>
      </c>
      <c r="P3265" s="1" t="s">
        <v>1229</v>
      </c>
      <c r="Q3265" s="3">
        <v>0</v>
      </c>
      <c r="R3265" s="23" t="s">
        <v>11739</v>
      </c>
      <c r="S3265" s="23" t="s">
        <v>6847</v>
      </c>
      <c r="T3265" s="23" t="s">
        <v>4866</v>
      </c>
      <c r="U3265" s="3">
        <v>35</v>
      </c>
      <c r="W3265" s="45" t="str">
        <f>HYPERLINK("http://ictvonline.org/taxonomy/p/taxonomy-history?taxnode_id=201905308","ICTVonline=201905308")</f>
        <v>ICTVonline=201905308</v>
      </c>
      <c r="Y3265" s="1" t="s">
        <v>11831</v>
      </c>
      <c r="Z3265" s="1" t="s">
        <v>11832</v>
      </c>
      <c r="AA3265" s="1">
        <v>201900000</v>
      </c>
      <c r="AB3265" s="1">
        <v>35</v>
      </c>
    </row>
    <row r="3266" spans="1:28" x14ac:dyDescent="0.2">
      <c r="A3266" s="1">
        <v>8479</v>
      </c>
      <c r="B3266" s="1" t="s">
        <v>6839</v>
      </c>
      <c r="D3266" s="1" t="s">
        <v>11735</v>
      </c>
      <c r="F3266" s="1" t="s">
        <v>11736</v>
      </c>
      <c r="H3266" s="1" t="s">
        <v>11737</v>
      </c>
      <c r="J3266" s="1" t="s">
        <v>11738</v>
      </c>
      <c r="L3266" s="1" t="s">
        <v>1898</v>
      </c>
      <c r="N3266" s="1" t="s">
        <v>768</v>
      </c>
      <c r="P3266" s="1" t="s">
        <v>1230</v>
      </c>
      <c r="Q3266" s="3">
        <v>0</v>
      </c>
      <c r="R3266" s="23" t="s">
        <v>11739</v>
      </c>
      <c r="S3266" s="23" t="s">
        <v>6847</v>
      </c>
      <c r="T3266" s="23" t="s">
        <v>4866</v>
      </c>
      <c r="U3266" s="3">
        <v>35</v>
      </c>
      <c r="W3266" s="45" t="str">
        <f>HYPERLINK("http://ictvonline.org/taxonomy/p/taxonomy-history?taxnode_id=201905309","ICTVonline=201905309")</f>
        <v>ICTVonline=201905309</v>
      </c>
      <c r="Y3266" s="1" t="s">
        <v>11833</v>
      </c>
      <c r="Z3266" s="1" t="s">
        <v>11834</v>
      </c>
      <c r="AA3266" s="1">
        <v>201900000</v>
      </c>
      <c r="AB3266" s="1">
        <v>35</v>
      </c>
    </row>
    <row r="3267" spans="1:28" x14ac:dyDescent="0.2">
      <c r="A3267" s="1">
        <v>8481</v>
      </c>
      <c r="B3267" s="1" t="s">
        <v>6839</v>
      </c>
      <c r="D3267" s="1" t="s">
        <v>11735</v>
      </c>
      <c r="F3267" s="1" t="s">
        <v>11736</v>
      </c>
      <c r="H3267" s="1" t="s">
        <v>11737</v>
      </c>
      <c r="J3267" s="1" t="s">
        <v>11738</v>
      </c>
      <c r="L3267" s="1" t="s">
        <v>1898</v>
      </c>
      <c r="N3267" s="1" t="s">
        <v>768</v>
      </c>
      <c r="P3267" s="1" t="s">
        <v>1231</v>
      </c>
      <c r="Q3267" s="3">
        <v>0</v>
      </c>
      <c r="R3267" s="23" t="s">
        <v>11739</v>
      </c>
      <c r="S3267" s="23" t="s">
        <v>6847</v>
      </c>
      <c r="T3267" s="23" t="s">
        <v>4866</v>
      </c>
      <c r="U3267" s="3">
        <v>35</v>
      </c>
      <c r="W3267" s="45" t="str">
        <f>HYPERLINK("http://ictvonline.org/taxonomy/p/taxonomy-history?taxnode_id=201905310","ICTVonline=201905310")</f>
        <v>ICTVonline=201905310</v>
      </c>
      <c r="Y3267" s="1" t="s">
        <v>11835</v>
      </c>
      <c r="Z3267" s="1" t="s">
        <v>11836</v>
      </c>
      <c r="AA3267" s="1">
        <v>201900000</v>
      </c>
      <c r="AB3267" s="1">
        <v>35</v>
      </c>
    </row>
    <row r="3268" spans="1:28" x14ac:dyDescent="0.2">
      <c r="A3268" s="1">
        <v>8483</v>
      </c>
      <c r="B3268" s="1" t="s">
        <v>6839</v>
      </c>
      <c r="D3268" s="1" t="s">
        <v>11735</v>
      </c>
      <c r="F3268" s="1" t="s">
        <v>11736</v>
      </c>
      <c r="H3268" s="1" t="s">
        <v>11737</v>
      </c>
      <c r="J3268" s="1" t="s">
        <v>11738</v>
      </c>
      <c r="L3268" s="1" t="s">
        <v>1898</v>
      </c>
      <c r="N3268" s="1" t="s">
        <v>768</v>
      </c>
      <c r="P3268" s="1" t="s">
        <v>1232</v>
      </c>
      <c r="Q3268" s="3">
        <v>0</v>
      </c>
      <c r="R3268" s="23" t="s">
        <v>11739</v>
      </c>
      <c r="S3268" s="23" t="s">
        <v>6847</v>
      </c>
      <c r="T3268" s="23" t="s">
        <v>4866</v>
      </c>
      <c r="U3268" s="3">
        <v>35</v>
      </c>
      <c r="W3268" s="45" t="str">
        <f>HYPERLINK("http://ictvonline.org/taxonomy/p/taxonomy-history?taxnode_id=201905311","ICTVonline=201905311")</f>
        <v>ICTVonline=201905311</v>
      </c>
      <c r="Y3268" s="1" t="s">
        <v>11837</v>
      </c>
      <c r="Z3268" s="1" t="s">
        <v>11838</v>
      </c>
      <c r="AA3268" s="1">
        <v>201900000</v>
      </c>
      <c r="AB3268" s="1">
        <v>35</v>
      </c>
    </row>
    <row r="3269" spans="1:28" x14ac:dyDescent="0.2">
      <c r="A3269" s="1">
        <v>8485</v>
      </c>
      <c r="B3269" s="1" t="s">
        <v>6839</v>
      </c>
      <c r="D3269" s="1" t="s">
        <v>11735</v>
      </c>
      <c r="F3269" s="1" t="s">
        <v>11736</v>
      </c>
      <c r="H3269" s="1" t="s">
        <v>11737</v>
      </c>
      <c r="J3269" s="1" t="s">
        <v>11738</v>
      </c>
      <c r="L3269" s="1" t="s">
        <v>1898</v>
      </c>
      <c r="N3269" s="1" t="s">
        <v>768</v>
      </c>
      <c r="P3269" s="1" t="s">
        <v>772</v>
      </c>
      <c r="Q3269" s="3">
        <v>0</v>
      </c>
      <c r="R3269" s="23" t="s">
        <v>11739</v>
      </c>
      <c r="S3269" s="23" t="s">
        <v>6847</v>
      </c>
      <c r="T3269" s="23" t="s">
        <v>4866</v>
      </c>
      <c r="U3269" s="3">
        <v>35</v>
      </c>
      <c r="W3269" s="45" t="str">
        <f>HYPERLINK("http://ictvonline.org/taxonomy/p/taxonomy-history?taxnode_id=201905312","ICTVonline=201905312")</f>
        <v>ICTVonline=201905312</v>
      </c>
      <c r="Y3269" s="1" t="s">
        <v>11839</v>
      </c>
      <c r="Z3269" s="1" t="s">
        <v>11840</v>
      </c>
      <c r="AA3269" s="1">
        <v>201900000</v>
      </c>
      <c r="AB3269" s="1">
        <v>35</v>
      </c>
    </row>
    <row r="3270" spans="1:28" x14ac:dyDescent="0.2">
      <c r="A3270" s="1">
        <v>8487</v>
      </c>
      <c r="B3270" s="1" t="s">
        <v>6839</v>
      </c>
      <c r="D3270" s="1" t="s">
        <v>11735</v>
      </c>
      <c r="F3270" s="1" t="s">
        <v>11736</v>
      </c>
      <c r="H3270" s="1" t="s">
        <v>11737</v>
      </c>
      <c r="J3270" s="1" t="s">
        <v>11738</v>
      </c>
      <c r="L3270" s="1" t="s">
        <v>1898</v>
      </c>
      <c r="N3270" s="1" t="s">
        <v>768</v>
      </c>
      <c r="P3270" s="1" t="s">
        <v>1505</v>
      </c>
      <c r="Q3270" s="3">
        <v>1</v>
      </c>
      <c r="R3270" s="23" t="s">
        <v>11739</v>
      </c>
      <c r="S3270" s="23" t="s">
        <v>6847</v>
      </c>
      <c r="T3270" s="23" t="s">
        <v>4866</v>
      </c>
      <c r="U3270" s="3">
        <v>35</v>
      </c>
      <c r="W3270" s="45" t="str">
        <f>HYPERLINK("http://ictvonline.org/taxonomy/p/taxonomy-history?taxnode_id=201905313","ICTVonline=201905313")</f>
        <v>ICTVonline=201905313</v>
      </c>
      <c r="Y3270" s="1" t="s">
        <v>11841</v>
      </c>
      <c r="Z3270" s="1" t="s">
        <v>11842</v>
      </c>
      <c r="AA3270" s="1">
        <v>201900000</v>
      </c>
      <c r="AB3270" s="1">
        <v>35</v>
      </c>
    </row>
    <row r="3271" spans="1:28" x14ac:dyDescent="0.2">
      <c r="A3271" s="1">
        <v>8489</v>
      </c>
      <c r="B3271" s="1" t="s">
        <v>6839</v>
      </c>
      <c r="D3271" s="1" t="s">
        <v>11735</v>
      </c>
      <c r="F3271" s="1" t="s">
        <v>11736</v>
      </c>
      <c r="H3271" s="1" t="s">
        <v>11737</v>
      </c>
      <c r="J3271" s="1" t="s">
        <v>11738</v>
      </c>
      <c r="L3271" s="1" t="s">
        <v>1898</v>
      </c>
      <c r="N3271" s="1" t="s">
        <v>768</v>
      </c>
      <c r="P3271" s="1" t="s">
        <v>773</v>
      </c>
      <c r="Q3271" s="3">
        <v>0</v>
      </c>
      <c r="R3271" s="23" t="s">
        <v>11739</v>
      </c>
      <c r="S3271" s="23" t="s">
        <v>6847</v>
      </c>
      <c r="T3271" s="23" t="s">
        <v>4866</v>
      </c>
      <c r="U3271" s="3">
        <v>35</v>
      </c>
      <c r="W3271" s="45" t="str">
        <f>HYPERLINK("http://ictvonline.org/taxonomy/p/taxonomy-history?taxnode_id=201905314","ICTVonline=201905314")</f>
        <v>ICTVonline=201905314</v>
      </c>
      <c r="Y3271" s="1" t="s">
        <v>11843</v>
      </c>
      <c r="Z3271" s="1" t="s">
        <v>11844</v>
      </c>
      <c r="AA3271" s="1">
        <v>201900000</v>
      </c>
      <c r="AB3271" s="1">
        <v>35</v>
      </c>
    </row>
    <row r="3272" spans="1:28" x14ac:dyDescent="0.2">
      <c r="A3272" s="1">
        <v>8491</v>
      </c>
      <c r="B3272" s="1" t="s">
        <v>6839</v>
      </c>
      <c r="D3272" s="1" t="s">
        <v>11735</v>
      </c>
      <c r="F3272" s="1" t="s">
        <v>11736</v>
      </c>
      <c r="H3272" s="1" t="s">
        <v>11737</v>
      </c>
      <c r="J3272" s="1" t="s">
        <v>11738</v>
      </c>
      <c r="L3272" s="1" t="s">
        <v>1898</v>
      </c>
      <c r="N3272" s="1" t="s">
        <v>768</v>
      </c>
      <c r="P3272" s="1" t="s">
        <v>2590</v>
      </c>
      <c r="Q3272" s="3">
        <v>0</v>
      </c>
      <c r="R3272" s="23" t="s">
        <v>11739</v>
      </c>
      <c r="S3272" s="23" t="s">
        <v>6847</v>
      </c>
      <c r="T3272" s="23" t="s">
        <v>4866</v>
      </c>
      <c r="U3272" s="3">
        <v>35</v>
      </c>
      <c r="W3272" s="45" t="str">
        <f>HYPERLINK("http://ictvonline.org/taxonomy/p/taxonomy-history?taxnode_id=201905315","ICTVonline=201905315")</f>
        <v>ICTVonline=201905315</v>
      </c>
      <c r="Y3272" s="1" t="s">
        <v>11845</v>
      </c>
      <c r="Z3272" s="1" t="s">
        <v>11846</v>
      </c>
      <c r="AA3272" s="1">
        <v>201900000</v>
      </c>
      <c r="AB3272" s="1">
        <v>35</v>
      </c>
    </row>
    <row r="3273" spans="1:28" x14ac:dyDescent="0.2">
      <c r="A3273" s="1">
        <v>8493</v>
      </c>
      <c r="B3273" s="1" t="s">
        <v>6839</v>
      </c>
      <c r="D3273" s="1" t="s">
        <v>11735</v>
      </c>
      <c r="F3273" s="1" t="s">
        <v>11736</v>
      </c>
      <c r="H3273" s="1" t="s">
        <v>11737</v>
      </c>
      <c r="J3273" s="1" t="s">
        <v>11738</v>
      </c>
      <c r="L3273" s="1" t="s">
        <v>1898</v>
      </c>
      <c r="N3273" s="1" t="s">
        <v>768</v>
      </c>
      <c r="P3273" s="1" t="s">
        <v>2591</v>
      </c>
      <c r="Q3273" s="3">
        <v>0</v>
      </c>
      <c r="R3273" s="23" t="s">
        <v>11739</v>
      </c>
      <c r="S3273" s="23" t="s">
        <v>6847</v>
      </c>
      <c r="T3273" s="23" t="s">
        <v>4866</v>
      </c>
      <c r="U3273" s="3">
        <v>35</v>
      </c>
      <c r="W3273" s="45" t="str">
        <f>HYPERLINK("http://ictvonline.org/taxonomy/p/taxonomy-history?taxnode_id=201905316","ICTVonline=201905316")</f>
        <v>ICTVonline=201905316</v>
      </c>
      <c r="Y3273" s="1" t="s">
        <v>11847</v>
      </c>
      <c r="Z3273" s="1" t="s">
        <v>11848</v>
      </c>
      <c r="AA3273" s="1">
        <v>201900000</v>
      </c>
      <c r="AB3273" s="1">
        <v>35</v>
      </c>
    </row>
    <row r="3274" spans="1:28" x14ac:dyDescent="0.2">
      <c r="A3274" s="1">
        <v>8495</v>
      </c>
      <c r="B3274" s="1" t="s">
        <v>6839</v>
      </c>
      <c r="D3274" s="1" t="s">
        <v>11735</v>
      </c>
      <c r="F3274" s="1" t="s">
        <v>11736</v>
      </c>
      <c r="H3274" s="1" t="s">
        <v>11737</v>
      </c>
      <c r="J3274" s="1" t="s">
        <v>11738</v>
      </c>
      <c r="L3274" s="1" t="s">
        <v>1898</v>
      </c>
      <c r="N3274" s="1" t="s">
        <v>768</v>
      </c>
      <c r="P3274" s="1" t="s">
        <v>774</v>
      </c>
      <c r="Q3274" s="3">
        <v>0</v>
      </c>
      <c r="R3274" s="23" t="s">
        <v>11739</v>
      </c>
      <c r="S3274" s="23" t="s">
        <v>6847</v>
      </c>
      <c r="T3274" s="23" t="s">
        <v>4866</v>
      </c>
      <c r="U3274" s="3">
        <v>35</v>
      </c>
      <c r="W3274" s="45" t="str">
        <f>HYPERLINK("http://ictvonline.org/taxonomy/p/taxonomy-history?taxnode_id=201905317","ICTVonline=201905317")</f>
        <v>ICTVonline=201905317</v>
      </c>
      <c r="Y3274" s="1" t="s">
        <v>11849</v>
      </c>
      <c r="Z3274" s="1" t="s">
        <v>11850</v>
      </c>
      <c r="AA3274" s="1">
        <v>201900000</v>
      </c>
      <c r="AB3274" s="1">
        <v>35</v>
      </c>
    </row>
    <row r="3275" spans="1:28" x14ac:dyDescent="0.2">
      <c r="A3275" s="1">
        <v>8497</v>
      </c>
      <c r="B3275" s="1" t="s">
        <v>6839</v>
      </c>
      <c r="D3275" s="1" t="s">
        <v>11735</v>
      </c>
      <c r="F3275" s="1" t="s">
        <v>11736</v>
      </c>
      <c r="H3275" s="1" t="s">
        <v>11737</v>
      </c>
      <c r="J3275" s="1" t="s">
        <v>11738</v>
      </c>
      <c r="L3275" s="1" t="s">
        <v>1898</v>
      </c>
      <c r="N3275" s="1" t="s">
        <v>768</v>
      </c>
      <c r="P3275" s="1" t="s">
        <v>775</v>
      </c>
      <c r="Q3275" s="3">
        <v>0</v>
      </c>
      <c r="R3275" s="23" t="s">
        <v>11739</v>
      </c>
      <c r="S3275" s="23" t="s">
        <v>6847</v>
      </c>
      <c r="T3275" s="23" t="s">
        <v>4866</v>
      </c>
      <c r="U3275" s="3">
        <v>35</v>
      </c>
      <c r="W3275" s="45" t="str">
        <f>HYPERLINK("http://ictvonline.org/taxonomy/p/taxonomy-history?taxnode_id=201905318","ICTVonline=201905318")</f>
        <v>ICTVonline=201905318</v>
      </c>
      <c r="Y3275" s="1" t="s">
        <v>11851</v>
      </c>
      <c r="Z3275" s="1" t="s">
        <v>11850</v>
      </c>
      <c r="AA3275" s="1">
        <v>201900000</v>
      </c>
      <c r="AB3275" s="1">
        <v>35</v>
      </c>
    </row>
    <row r="3276" spans="1:28" x14ac:dyDescent="0.2">
      <c r="A3276" s="1">
        <v>8499</v>
      </c>
      <c r="B3276" s="1" t="s">
        <v>6839</v>
      </c>
      <c r="D3276" s="1" t="s">
        <v>11735</v>
      </c>
      <c r="F3276" s="1" t="s">
        <v>11736</v>
      </c>
      <c r="H3276" s="1" t="s">
        <v>11737</v>
      </c>
      <c r="J3276" s="1" t="s">
        <v>11738</v>
      </c>
      <c r="L3276" s="1" t="s">
        <v>1898</v>
      </c>
      <c r="N3276" s="1" t="s">
        <v>768</v>
      </c>
      <c r="P3276" s="1" t="s">
        <v>2592</v>
      </c>
      <c r="Q3276" s="3">
        <v>0</v>
      </c>
      <c r="R3276" s="23" t="s">
        <v>11739</v>
      </c>
      <c r="S3276" s="23" t="s">
        <v>6847</v>
      </c>
      <c r="T3276" s="23" t="s">
        <v>4866</v>
      </c>
      <c r="U3276" s="3">
        <v>35</v>
      </c>
      <c r="W3276" s="45" t="str">
        <f>HYPERLINK("http://ictvonline.org/taxonomy/p/taxonomy-history?taxnode_id=201905319","ICTVonline=201905319")</f>
        <v>ICTVonline=201905319</v>
      </c>
      <c r="Y3276" s="1" t="s">
        <v>11852</v>
      </c>
      <c r="Z3276" s="1" t="s">
        <v>11853</v>
      </c>
      <c r="AA3276" s="1">
        <v>201900000</v>
      </c>
      <c r="AB3276" s="1">
        <v>35</v>
      </c>
    </row>
    <row r="3277" spans="1:28" x14ac:dyDescent="0.2">
      <c r="A3277" s="1">
        <v>8510</v>
      </c>
      <c r="B3277" s="1" t="s">
        <v>6839</v>
      </c>
      <c r="D3277" s="1" t="s">
        <v>11735</v>
      </c>
      <c r="F3277" s="1" t="s">
        <v>11736</v>
      </c>
      <c r="H3277" s="1" t="s">
        <v>11854</v>
      </c>
      <c r="J3277" s="1" t="s">
        <v>11855</v>
      </c>
      <c r="L3277" s="1" t="s">
        <v>1752</v>
      </c>
      <c r="M3277" s="1" t="s">
        <v>1154</v>
      </c>
      <c r="N3277" s="1" t="s">
        <v>731</v>
      </c>
      <c r="P3277" s="1" t="s">
        <v>732</v>
      </c>
      <c r="Q3277" s="3">
        <v>1</v>
      </c>
      <c r="R3277" s="23" t="s">
        <v>11739</v>
      </c>
      <c r="S3277" s="23" t="s">
        <v>6847</v>
      </c>
      <c r="T3277" s="23" t="s">
        <v>4866</v>
      </c>
      <c r="U3277" s="3">
        <v>35</v>
      </c>
      <c r="W3277" s="45" t="str">
        <f>HYPERLINK("http://ictvonline.org/taxonomy/p/taxonomy-history?taxnode_id=201904874","ICTVonline=201904874")</f>
        <v>ICTVonline=201904874</v>
      </c>
      <c r="AA3277" s="1">
        <v>201900000</v>
      </c>
      <c r="AB3277" s="1">
        <v>35</v>
      </c>
    </row>
    <row r="3278" spans="1:28" x14ac:dyDescent="0.2">
      <c r="A3278" s="1">
        <v>8514</v>
      </c>
      <c r="B3278" s="1" t="s">
        <v>6839</v>
      </c>
      <c r="D3278" s="1" t="s">
        <v>11735</v>
      </c>
      <c r="F3278" s="1" t="s">
        <v>11736</v>
      </c>
      <c r="H3278" s="1" t="s">
        <v>11854</v>
      </c>
      <c r="J3278" s="1" t="s">
        <v>11855</v>
      </c>
      <c r="L3278" s="1" t="s">
        <v>1752</v>
      </c>
      <c r="M3278" s="1" t="s">
        <v>1154</v>
      </c>
      <c r="N3278" s="1" t="s">
        <v>1908</v>
      </c>
      <c r="P3278" s="1" t="s">
        <v>1909</v>
      </c>
      <c r="Q3278" s="3">
        <v>1</v>
      </c>
      <c r="R3278" s="23" t="s">
        <v>11739</v>
      </c>
      <c r="S3278" s="23" t="s">
        <v>6847</v>
      </c>
      <c r="T3278" s="23" t="s">
        <v>4866</v>
      </c>
      <c r="U3278" s="3">
        <v>35</v>
      </c>
      <c r="W3278" s="45" t="str">
        <f>HYPERLINK("http://ictvonline.org/taxonomy/p/taxonomy-history?taxnode_id=201904876","ICTVonline=201904876")</f>
        <v>ICTVonline=201904876</v>
      </c>
      <c r="Y3278" s="1" t="s">
        <v>11856</v>
      </c>
      <c r="Z3278" s="1" t="s">
        <v>11857</v>
      </c>
      <c r="AA3278" s="1">
        <v>201900000</v>
      </c>
      <c r="AB3278" s="1">
        <v>35</v>
      </c>
    </row>
    <row r="3279" spans="1:28" x14ac:dyDescent="0.2">
      <c r="A3279" s="1">
        <v>8518</v>
      </c>
      <c r="B3279" s="1" t="s">
        <v>6839</v>
      </c>
      <c r="D3279" s="1" t="s">
        <v>11735</v>
      </c>
      <c r="F3279" s="1" t="s">
        <v>11736</v>
      </c>
      <c r="H3279" s="1" t="s">
        <v>11854</v>
      </c>
      <c r="J3279" s="1" t="s">
        <v>11855</v>
      </c>
      <c r="L3279" s="1" t="s">
        <v>1752</v>
      </c>
      <c r="M3279" s="1" t="s">
        <v>1154</v>
      </c>
      <c r="N3279" s="1" t="s">
        <v>1914</v>
      </c>
      <c r="P3279" s="1" t="s">
        <v>1363</v>
      </c>
      <c r="Q3279" s="3">
        <v>0</v>
      </c>
      <c r="R3279" s="23" t="s">
        <v>11739</v>
      </c>
      <c r="S3279" s="23" t="s">
        <v>6847</v>
      </c>
      <c r="T3279" s="23" t="s">
        <v>4866</v>
      </c>
      <c r="U3279" s="3">
        <v>35</v>
      </c>
      <c r="W3279" s="45" t="str">
        <f>HYPERLINK("http://ictvonline.org/taxonomy/p/taxonomy-history?taxnode_id=201904878","ICTVonline=201904878")</f>
        <v>ICTVonline=201904878</v>
      </c>
      <c r="AA3279" s="1">
        <v>201900000</v>
      </c>
      <c r="AB3279" s="1">
        <v>35</v>
      </c>
    </row>
    <row r="3280" spans="1:28" x14ac:dyDescent="0.2">
      <c r="A3280" s="1">
        <v>8520</v>
      </c>
      <c r="B3280" s="1" t="s">
        <v>6839</v>
      </c>
      <c r="D3280" s="1" t="s">
        <v>11735</v>
      </c>
      <c r="F3280" s="1" t="s">
        <v>11736</v>
      </c>
      <c r="H3280" s="1" t="s">
        <v>11854</v>
      </c>
      <c r="J3280" s="1" t="s">
        <v>11855</v>
      </c>
      <c r="L3280" s="1" t="s">
        <v>1752</v>
      </c>
      <c r="M3280" s="1" t="s">
        <v>1154</v>
      </c>
      <c r="N3280" s="1" t="s">
        <v>1914</v>
      </c>
      <c r="P3280" s="1" t="s">
        <v>1364</v>
      </c>
      <c r="Q3280" s="3">
        <v>1</v>
      </c>
      <c r="R3280" s="23" t="s">
        <v>11739</v>
      </c>
      <c r="S3280" s="23" t="s">
        <v>6847</v>
      </c>
      <c r="T3280" s="23" t="s">
        <v>4866</v>
      </c>
      <c r="U3280" s="3">
        <v>35</v>
      </c>
      <c r="W3280" s="45" t="str">
        <f>HYPERLINK("http://ictvonline.org/taxonomy/p/taxonomy-history?taxnode_id=201904879","ICTVonline=201904879")</f>
        <v>ICTVonline=201904879</v>
      </c>
      <c r="AA3280" s="1">
        <v>201900000</v>
      </c>
      <c r="AB3280" s="1">
        <v>35</v>
      </c>
    </row>
    <row r="3281" spans="1:28" x14ac:dyDescent="0.2">
      <c r="A3281" s="1">
        <v>8522</v>
      </c>
      <c r="B3281" s="1" t="s">
        <v>6839</v>
      </c>
      <c r="D3281" s="1" t="s">
        <v>11735</v>
      </c>
      <c r="F3281" s="1" t="s">
        <v>11736</v>
      </c>
      <c r="H3281" s="1" t="s">
        <v>11854</v>
      </c>
      <c r="J3281" s="1" t="s">
        <v>11855</v>
      </c>
      <c r="L3281" s="1" t="s">
        <v>1752</v>
      </c>
      <c r="M3281" s="1" t="s">
        <v>1154</v>
      </c>
      <c r="N3281" s="1" t="s">
        <v>1914</v>
      </c>
      <c r="P3281" s="1" t="s">
        <v>1365</v>
      </c>
      <c r="Q3281" s="3">
        <v>0</v>
      </c>
      <c r="R3281" s="23" t="s">
        <v>11739</v>
      </c>
      <c r="S3281" s="23" t="s">
        <v>6847</v>
      </c>
      <c r="T3281" s="23" t="s">
        <v>4866</v>
      </c>
      <c r="U3281" s="3">
        <v>35</v>
      </c>
      <c r="W3281" s="45" t="str">
        <f>HYPERLINK("http://ictvonline.org/taxonomy/p/taxonomy-history?taxnode_id=201904880","ICTVonline=201904880")</f>
        <v>ICTVonline=201904880</v>
      </c>
      <c r="AA3281" s="1">
        <v>201900000</v>
      </c>
      <c r="AB3281" s="1">
        <v>35</v>
      </c>
    </row>
    <row r="3282" spans="1:28" x14ac:dyDescent="0.2">
      <c r="A3282" s="1">
        <v>8524</v>
      </c>
      <c r="B3282" s="1" t="s">
        <v>6839</v>
      </c>
      <c r="D3282" s="1" t="s">
        <v>11735</v>
      </c>
      <c r="F3282" s="1" t="s">
        <v>11736</v>
      </c>
      <c r="H3282" s="1" t="s">
        <v>11854</v>
      </c>
      <c r="J3282" s="1" t="s">
        <v>11855</v>
      </c>
      <c r="L3282" s="1" t="s">
        <v>1752</v>
      </c>
      <c r="M3282" s="1" t="s">
        <v>1154</v>
      </c>
      <c r="N3282" s="1" t="s">
        <v>1914</v>
      </c>
      <c r="P3282" s="1" t="s">
        <v>1366</v>
      </c>
      <c r="Q3282" s="3">
        <v>0</v>
      </c>
      <c r="R3282" s="23" t="s">
        <v>11739</v>
      </c>
      <c r="S3282" s="23" t="s">
        <v>6847</v>
      </c>
      <c r="T3282" s="23" t="s">
        <v>4866</v>
      </c>
      <c r="U3282" s="3">
        <v>35</v>
      </c>
      <c r="W3282" s="45" t="str">
        <f>HYPERLINK("http://ictvonline.org/taxonomy/p/taxonomy-history?taxnode_id=201904881","ICTVonline=201904881")</f>
        <v>ICTVonline=201904881</v>
      </c>
      <c r="AA3282" s="1">
        <v>201900000</v>
      </c>
      <c r="AB3282" s="1">
        <v>35</v>
      </c>
    </row>
    <row r="3283" spans="1:28" x14ac:dyDescent="0.2">
      <c r="A3283" s="1">
        <v>8526</v>
      </c>
      <c r="B3283" s="1" t="s">
        <v>6839</v>
      </c>
      <c r="D3283" s="1" t="s">
        <v>11735</v>
      </c>
      <c r="F3283" s="1" t="s">
        <v>11736</v>
      </c>
      <c r="H3283" s="1" t="s">
        <v>11854</v>
      </c>
      <c r="J3283" s="1" t="s">
        <v>11855</v>
      </c>
      <c r="L3283" s="1" t="s">
        <v>1752</v>
      </c>
      <c r="M3283" s="1" t="s">
        <v>1154</v>
      </c>
      <c r="N3283" s="1" t="s">
        <v>1914</v>
      </c>
      <c r="P3283" s="1" t="s">
        <v>1367</v>
      </c>
      <c r="Q3283" s="3">
        <v>0</v>
      </c>
      <c r="R3283" s="23" t="s">
        <v>11739</v>
      </c>
      <c r="S3283" s="23" t="s">
        <v>6847</v>
      </c>
      <c r="T3283" s="23" t="s">
        <v>4866</v>
      </c>
      <c r="U3283" s="3">
        <v>35</v>
      </c>
      <c r="W3283" s="45" t="str">
        <f>HYPERLINK("http://ictvonline.org/taxonomy/p/taxonomy-history?taxnode_id=201904882","ICTVonline=201904882")</f>
        <v>ICTVonline=201904882</v>
      </c>
      <c r="AA3283" s="1">
        <v>201900000</v>
      </c>
      <c r="AB3283" s="1">
        <v>35</v>
      </c>
    </row>
    <row r="3284" spans="1:28" x14ac:dyDescent="0.2">
      <c r="A3284" s="1">
        <v>8528</v>
      </c>
      <c r="B3284" s="1" t="s">
        <v>6839</v>
      </c>
      <c r="D3284" s="1" t="s">
        <v>11735</v>
      </c>
      <c r="F3284" s="1" t="s">
        <v>11736</v>
      </c>
      <c r="H3284" s="1" t="s">
        <v>11854</v>
      </c>
      <c r="J3284" s="1" t="s">
        <v>11855</v>
      </c>
      <c r="L3284" s="1" t="s">
        <v>1752</v>
      </c>
      <c r="M3284" s="1" t="s">
        <v>1154</v>
      </c>
      <c r="N3284" s="1" t="s">
        <v>1914</v>
      </c>
      <c r="P3284" s="1" t="s">
        <v>1368</v>
      </c>
      <c r="Q3284" s="3">
        <v>0</v>
      </c>
      <c r="R3284" s="23" t="s">
        <v>11739</v>
      </c>
      <c r="S3284" s="23" t="s">
        <v>6847</v>
      </c>
      <c r="T3284" s="23" t="s">
        <v>4866</v>
      </c>
      <c r="U3284" s="3">
        <v>35</v>
      </c>
      <c r="W3284" s="45" t="str">
        <f>HYPERLINK("http://ictvonline.org/taxonomy/p/taxonomy-history?taxnode_id=201904883","ICTVonline=201904883")</f>
        <v>ICTVonline=201904883</v>
      </c>
      <c r="AA3284" s="1">
        <v>201900000</v>
      </c>
      <c r="AB3284" s="1">
        <v>35</v>
      </c>
    </row>
    <row r="3285" spans="1:28" x14ac:dyDescent="0.2">
      <c r="A3285" s="1">
        <v>8530</v>
      </c>
      <c r="B3285" s="1" t="s">
        <v>6839</v>
      </c>
      <c r="D3285" s="1" t="s">
        <v>11735</v>
      </c>
      <c r="F3285" s="1" t="s">
        <v>11736</v>
      </c>
      <c r="H3285" s="1" t="s">
        <v>11854</v>
      </c>
      <c r="J3285" s="1" t="s">
        <v>11855</v>
      </c>
      <c r="L3285" s="1" t="s">
        <v>1752</v>
      </c>
      <c r="M3285" s="1" t="s">
        <v>1154</v>
      </c>
      <c r="N3285" s="1" t="s">
        <v>1914</v>
      </c>
      <c r="P3285" s="1" t="s">
        <v>1380</v>
      </c>
      <c r="Q3285" s="3">
        <v>0</v>
      </c>
      <c r="R3285" s="23" t="s">
        <v>11739</v>
      </c>
      <c r="S3285" s="23" t="s">
        <v>6847</v>
      </c>
      <c r="T3285" s="23" t="s">
        <v>4866</v>
      </c>
      <c r="U3285" s="3">
        <v>35</v>
      </c>
      <c r="W3285" s="45" t="str">
        <f>HYPERLINK("http://ictvonline.org/taxonomy/p/taxonomy-history?taxnode_id=201904884","ICTVonline=201904884")</f>
        <v>ICTVonline=201904884</v>
      </c>
      <c r="AA3285" s="1">
        <v>201900000</v>
      </c>
      <c r="AB3285" s="1">
        <v>35</v>
      </c>
    </row>
    <row r="3286" spans="1:28" x14ac:dyDescent="0.2">
      <c r="A3286" s="1">
        <v>8532</v>
      </c>
      <c r="B3286" s="1" t="s">
        <v>6839</v>
      </c>
      <c r="D3286" s="1" t="s">
        <v>11735</v>
      </c>
      <c r="F3286" s="1" t="s">
        <v>11736</v>
      </c>
      <c r="H3286" s="1" t="s">
        <v>11854</v>
      </c>
      <c r="J3286" s="1" t="s">
        <v>11855</v>
      </c>
      <c r="L3286" s="1" t="s">
        <v>1752</v>
      </c>
      <c r="M3286" s="1" t="s">
        <v>1154</v>
      </c>
      <c r="N3286" s="1" t="s">
        <v>1914</v>
      </c>
      <c r="P3286" s="1" t="s">
        <v>1381</v>
      </c>
      <c r="Q3286" s="3">
        <v>0</v>
      </c>
      <c r="R3286" s="23" t="s">
        <v>11739</v>
      </c>
      <c r="S3286" s="23" t="s">
        <v>6847</v>
      </c>
      <c r="T3286" s="23" t="s">
        <v>4866</v>
      </c>
      <c r="U3286" s="3">
        <v>35</v>
      </c>
      <c r="W3286" s="45" t="str">
        <f>HYPERLINK("http://ictvonline.org/taxonomy/p/taxonomy-history?taxnode_id=201904885","ICTVonline=201904885")</f>
        <v>ICTVonline=201904885</v>
      </c>
      <c r="AA3286" s="1">
        <v>201900000</v>
      </c>
      <c r="AB3286" s="1">
        <v>35</v>
      </c>
    </row>
    <row r="3287" spans="1:28" x14ac:dyDescent="0.2">
      <c r="A3287" s="1">
        <v>8534</v>
      </c>
      <c r="B3287" s="1" t="s">
        <v>6839</v>
      </c>
      <c r="D3287" s="1" t="s">
        <v>11735</v>
      </c>
      <c r="F3287" s="1" t="s">
        <v>11736</v>
      </c>
      <c r="H3287" s="1" t="s">
        <v>11854</v>
      </c>
      <c r="J3287" s="1" t="s">
        <v>11855</v>
      </c>
      <c r="L3287" s="1" t="s">
        <v>1752</v>
      </c>
      <c r="M3287" s="1" t="s">
        <v>1154</v>
      </c>
      <c r="N3287" s="1" t="s">
        <v>1914</v>
      </c>
      <c r="P3287" s="1" t="s">
        <v>1382</v>
      </c>
      <c r="Q3287" s="3">
        <v>0</v>
      </c>
      <c r="R3287" s="23" t="s">
        <v>11739</v>
      </c>
      <c r="S3287" s="23" t="s">
        <v>6847</v>
      </c>
      <c r="T3287" s="23" t="s">
        <v>4866</v>
      </c>
      <c r="U3287" s="3">
        <v>35</v>
      </c>
      <c r="W3287" s="45" t="str">
        <f>HYPERLINK("http://ictvonline.org/taxonomy/p/taxonomy-history?taxnode_id=201904886","ICTVonline=201904886")</f>
        <v>ICTVonline=201904886</v>
      </c>
      <c r="AA3287" s="1">
        <v>201900000</v>
      </c>
      <c r="AB3287" s="1">
        <v>35</v>
      </c>
    </row>
    <row r="3288" spans="1:28" x14ac:dyDescent="0.2">
      <c r="A3288" s="1">
        <v>8536</v>
      </c>
      <c r="B3288" s="1" t="s">
        <v>6839</v>
      </c>
      <c r="D3288" s="1" t="s">
        <v>11735</v>
      </c>
      <c r="F3288" s="1" t="s">
        <v>11736</v>
      </c>
      <c r="H3288" s="1" t="s">
        <v>11854</v>
      </c>
      <c r="J3288" s="1" t="s">
        <v>11855</v>
      </c>
      <c r="L3288" s="1" t="s">
        <v>1752</v>
      </c>
      <c r="M3288" s="1" t="s">
        <v>1154</v>
      </c>
      <c r="N3288" s="1" t="s">
        <v>1914</v>
      </c>
      <c r="P3288" s="1" t="s">
        <v>1383</v>
      </c>
      <c r="Q3288" s="3">
        <v>0</v>
      </c>
      <c r="R3288" s="23" t="s">
        <v>11739</v>
      </c>
      <c r="S3288" s="23" t="s">
        <v>6847</v>
      </c>
      <c r="T3288" s="23" t="s">
        <v>4866</v>
      </c>
      <c r="U3288" s="3">
        <v>35</v>
      </c>
      <c r="W3288" s="45" t="str">
        <f>HYPERLINK("http://ictvonline.org/taxonomy/p/taxonomy-history?taxnode_id=201904887","ICTVonline=201904887")</f>
        <v>ICTVonline=201904887</v>
      </c>
      <c r="AA3288" s="1">
        <v>201900000</v>
      </c>
      <c r="AB3288" s="1">
        <v>35</v>
      </c>
    </row>
    <row r="3289" spans="1:28" x14ac:dyDescent="0.2">
      <c r="A3289" s="1">
        <v>8538</v>
      </c>
      <c r="B3289" s="1" t="s">
        <v>6839</v>
      </c>
      <c r="D3289" s="1" t="s">
        <v>11735</v>
      </c>
      <c r="F3289" s="1" t="s">
        <v>11736</v>
      </c>
      <c r="H3289" s="1" t="s">
        <v>11854</v>
      </c>
      <c r="J3289" s="1" t="s">
        <v>11855</v>
      </c>
      <c r="L3289" s="1" t="s">
        <v>1752</v>
      </c>
      <c r="M3289" s="1" t="s">
        <v>1154</v>
      </c>
      <c r="N3289" s="1" t="s">
        <v>1914</v>
      </c>
      <c r="P3289" s="1" t="s">
        <v>1384</v>
      </c>
      <c r="Q3289" s="3">
        <v>0</v>
      </c>
      <c r="R3289" s="23" t="s">
        <v>11739</v>
      </c>
      <c r="S3289" s="23" t="s">
        <v>6847</v>
      </c>
      <c r="T3289" s="23" t="s">
        <v>4866</v>
      </c>
      <c r="U3289" s="3">
        <v>35</v>
      </c>
      <c r="W3289" s="45" t="str">
        <f>HYPERLINK("http://ictvonline.org/taxonomy/p/taxonomy-history?taxnode_id=201904888","ICTVonline=201904888")</f>
        <v>ICTVonline=201904888</v>
      </c>
      <c r="AA3289" s="1">
        <v>201900000</v>
      </c>
      <c r="AB3289" s="1">
        <v>35</v>
      </c>
    </row>
    <row r="3290" spans="1:28" x14ac:dyDescent="0.2">
      <c r="A3290" s="1">
        <v>8540</v>
      </c>
      <c r="B3290" s="1" t="s">
        <v>6839</v>
      </c>
      <c r="D3290" s="1" t="s">
        <v>11735</v>
      </c>
      <c r="F3290" s="1" t="s">
        <v>11736</v>
      </c>
      <c r="H3290" s="1" t="s">
        <v>11854</v>
      </c>
      <c r="J3290" s="1" t="s">
        <v>11855</v>
      </c>
      <c r="L3290" s="1" t="s">
        <v>1752</v>
      </c>
      <c r="M3290" s="1" t="s">
        <v>1154</v>
      </c>
      <c r="N3290" s="1" t="s">
        <v>1914</v>
      </c>
      <c r="P3290" s="1" t="s">
        <v>1385</v>
      </c>
      <c r="Q3290" s="3">
        <v>0</v>
      </c>
      <c r="R3290" s="23" t="s">
        <v>11739</v>
      </c>
      <c r="S3290" s="23" t="s">
        <v>6847</v>
      </c>
      <c r="T3290" s="23" t="s">
        <v>4866</v>
      </c>
      <c r="U3290" s="3">
        <v>35</v>
      </c>
      <c r="W3290" s="45" t="str">
        <f>HYPERLINK("http://ictvonline.org/taxonomy/p/taxonomy-history?taxnode_id=201904889","ICTVonline=201904889")</f>
        <v>ICTVonline=201904889</v>
      </c>
      <c r="AA3290" s="1">
        <v>201900000</v>
      </c>
      <c r="AB3290" s="1">
        <v>35</v>
      </c>
    </row>
    <row r="3291" spans="1:28" x14ac:dyDescent="0.2">
      <c r="A3291" s="1">
        <v>8542</v>
      </c>
      <c r="B3291" s="1" t="s">
        <v>6839</v>
      </c>
      <c r="D3291" s="1" t="s">
        <v>11735</v>
      </c>
      <c r="F3291" s="1" t="s">
        <v>11736</v>
      </c>
      <c r="H3291" s="1" t="s">
        <v>11854</v>
      </c>
      <c r="J3291" s="1" t="s">
        <v>11855</v>
      </c>
      <c r="L3291" s="1" t="s">
        <v>1752</v>
      </c>
      <c r="M3291" s="1" t="s">
        <v>1154</v>
      </c>
      <c r="N3291" s="1" t="s">
        <v>1914</v>
      </c>
      <c r="P3291" s="1" t="s">
        <v>1390</v>
      </c>
      <c r="Q3291" s="3">
        <v>0</v>
      </c>
      <c r="R3291" s="23" t="s">
        <v>11739</v>
      </c>
      <c r="S3291" s="23" t="s">
        <v>6847</v>
      </c>
      <c r="T3291" s="23" t="s">
        <v>4866</v>
      </c>
      <c r="U3291" s="3">
        <v>35</v>
      </c>
      <c r="W3291" s="45" t="str">
        <f>HYPERLINK("http://ictvonline.org/taxonomy/p/taxonomy-history?taxnode_id=201904890","ICTVonline=201904890")</f>
        <v>ICTVonline=201904890</v>
      </c>
      <c r="AA3291" s="1">
        <v>201900000</v>
      </c>
      <c r="AB3291" s="1">
        <v>35</v>
      </c>
    </row>
    <row r="3292" spans="1:28" x14ac:dyDescent="0.2">
      <c r="A3292" s="1">
        <v>8544</v>
      </c>
      <c r="B3292" s="1" t="s">
        <v>6839</v>
      </c>
      <c r="D3292" s="1" t="s">
        <v>11735</v>
      </c>
      <c r="F3292" s="1" t="s">
        <v>11736</v>
      </c>
      <c r="H3292" s="1" t="s">
        <v>11854</v>
      </c>
      <c r="J3292" s="1" t="s">
        <v>11855</v>
      </c>
      <c r="L3292" s="1" t="s">
        <v>1752</v>
      </c>
      <c r="M3292" s="1" t="s">
        <v>1154</v>
      </c>
      <c r="N3292" s="1" t="s">
        <v>1914</v>
      </c>
      <c r="P3292" s="1" t="s">
        <v>1391</v>
      </c>
      <c r="Q3292" s="3">
        <v>0</v>
      </c>
      <c r="R3292" s="23" t="s">
        <v>11739</v>
      </c>
      <c r="S3292" s="23" t="s">
        <v>6847</v>
      </c>
      <c r="T3292" s="23" t="s">
        <v>4866</v>
      </c>
      <c r="U3292" s="3">
        <v>35</v>
      </c>
      <c r="W3292" s="45" t="str">
        <f>HYPERLINK("http://ictvonline.org/taxonomy/p/taxonomy-history?taxnode_id=201904891","ICTVonline=201904891")</f>
        <v>ICTVonline=201904891</v>
      </c>
      <c r="AA3292" s="1">
        <v>201900000</v>
      </c>
      <c r="AB3292" s="1">
        <v>35</v>
      </c>
    </row>
    <row r="3293" spans="1:28" x14ac:dyDescent="0.2">
      <c r="A3293" s="1">
        <v>8546</v>
      </c>
      <c r="B3293" s="1" t="s">
        <v>6839</v>
      </c>
      <c r="D3293" s="1" t="s">
        <v>11735</v>
      </c>
      <c r="F3293" s="1" t="s">
        <v>11736</v>
      </c>
      <c r="H3293" s="1" t="s">
        <v>11854</v>
      </c>
      <c r="J3293" s="1" t="s">
        <v>11855</v>
      </c>
      <c r="L3293" s="1" t="s">
        <v>1752</v>
      </c>
      <c r="M3293" s="1" t="s">
        <v>1154</v>
      </c>
      <c r="N3293" s="1" t="s">
        <v>1914</v>
      </c>
      <c r="P3293" s="1" t="s">
        <v>1392</v>
      </c>
      <c r="Q3293" s="3">
        <v>0</v>
      </c>
      <c r="R3293" s="23" t="s">
        <v>11739</v>
      </c>
      <c r="S3293" s="23" t="s">
        <v>6847</v>
      </c>
      <c r="T3293" s="23" t="s">
        <v>4866</v>
      </c>
      <c r="U3293" s="3">
        <v>35</v>
      </c>
      <c r="W3293" s="45" t="str">
        <f>HYPERLINK("http://ictvonline.org/taxonomy/p/taxonomy-history?taxnode_id=201904892","ICTVonline=201904892")</f>
        <v>ICTVonline=201904892</v>
      </c>
      <c r="AA3293" s="1">
        <v>201900000</v>
      </c>
      <c r="AB3293" s="1">
        <v>35</v>
      </c>
    </row>
    <row r="3294" spans="1:28" x14ac:dyDescent="0.2">
      <c r="A3294" s="1">
        <v>8548</v>
      </c>
      <c r="B3294" s="1" t="s">
        <v>6839</v>
      </c>
      <c r="D3294" s="1" t="s">
        <v>11735</v>
      </c>
      <c r="F3294" s="1" t="s">
        <v>11736</v>
      </c>
      <c r="H3294" s="1" t="s">
        <v>11854</v>
      </c>
      <c r="J3294" s="1" t="s">
        <v>11855</v>
      </c>
      <c r="L3294" s="1" t="s">
        <v>1752</v>
      </c>
      <c r="M3294" s="1" t="s">
        <v>1154</v>
      </c>
      <c r="N3294" s="1" t="s">
        <v>1914</v>
      </c>
      <c r="P3294" s="1" t="s">
        <v>1294</v>
      </c>
      <c r="Q3294" s="3">
        <v>0</v>
      </c>
      <c r="R3294" s="23" t="s">
        <v>11739</v>
      </c>
      <c r="S3294" s="23" t="s">
        <v>6847</v>
      </c>
      <c r="T3294" s="23" t="s">
        <v>4866</v>
      </c>
      <c r="U3294" s="3">
        <v>35</v>
      </c>
      <c r="W3294" s="45" t="str">
        <f>HYPERLINK("http://ictvonline.org/taxonomy/p/taxonomy-history?taxnode_id=201904893","ICTVonline=201904893")</f>
        <v>ICTVonline=201904893</v>
      </c>
      <c r="AA3294" s="1">
        <v>201900000</v>
      </c>
      <c r="AB3294" s="1">
        <v>35</v>
      </c>
    </row>
    <row r="3295" spans="1:28" x14ac:dyDescent="0.2">
      <c r="A3295" s="1">
        <v>8550</v>
      </c>
      <c r="B3295" s="1" t="s">
        <v>6839</v>
      </c>
      <c r="D3295" s="1" t="s">
        <v>11735</v>
      </c>
      <c r="F3295" s="1" t="s">
        <v>11736</v>
      </c>
      <c r="H3295" s="1" t="s">
        <v>11854</v>
      </c>
      <c r="J3295" s="1" t="s">
        <v>11855</v>
      </c>
      <c r="L3295" s="1" t="s">
        <v>1752</v>
      </c>
      <c r="M3295" s="1" t="s">
        <v>1154</v>
      </c>
      <c r="N3295" s="1" t="s">
        <v>1914</v>
      </c>
      <c r="P3295" s="1" t="s">
        <v>1295</v>
      </c>
      <c r="Q3295" s="3">
        <v>0</v>
      </c>
      <c r="R3295" s="23" t="s">
        <v>11739</v>
      </c>
      <c r="S3295" s="23" t="s">
        <v>6847</v>
      </c>
      <c r="T3295" s="23" t="s">
        <v>4866</v>
      </c>
      <c r="U3295" s="3">
        <v>35</v>
      </c>
      <c r="W3295" s="45" t="str">
        <f>HYPERLINK("http://ictvonline.org/taxonomy/p/taxonomy-history?taxnode_id=201904894","ICTVonline=201904894")</f>
        <v>ICTVonline=201904894</v>
      </c>
      <c r="AA3295" s="1">
        <v>201900000</v>
      </c>
      <c r="AB3295" s="1">
        <v>35</v>
      </c>
    </row>
    <row r="3296" spans="1:28" x14ac:dyDescent="0.2">
      <c r="A3296" s="1">
        <v>8552</v>
      </c>
      <c r="B3296" s="1" t="s">
        <v>6839</v>
      </c>
      <c r="D3296" s="1" t="s">
        <v>11735</v>
      </c>
      <c r="F3296" s="1" t="s">
        <v>11736</v>
      </c>
      <c r="H3296" s="1" t="s">
        <v>11854</v>
      </c>
      <c r="J3296" s="1" t="s">
        <v>11855</v>
      </c>
      <c r="L3296" s="1" t="s">
        <v>1752</v>
      </c>
      <c r="M3296" s="1" t="s">
        <v>1154</v>
      </c>
      <c r="N3296" s="1" t="s">
        <v>1914</v>
      </c>
      <c r="P3296" s="1" t="s">
        <v>1296</v>
      </c>
      <c r="Q3296" s="3">
        <v>0</v>
      </c>
      <c r="R3296" s="23" t="s">
        <v>11739</v>
      </c>
      <c r="S3296" s="23" t="s">
        <v>6847</v>
      </c>
      <c r="T3296" s="23" t="s">
        <v>4866</v>
      </c>
      <c r="U3296" s="3">
        <v>35</v>
      </c>
      <c r="W3296" s="45" t="str">
        <f>HYPERLINK("http://ictvonline.org/taxonomy/p/taxonomy-history?taxnode_id=201904895","ICTVonline=201904895")</f>
        <v>ICTVonline=201904895</v>
      </c>
      <c r="AA3296" s="1">
        <v>201900000</v>
      </c>
      <c r="AB3296" s="1">
        <v>35</v>
      </c>
    </row>
    <row r="3297" spans="1:28" x14ac:dyDescent="0.2">
      <c r="A3297" s="1">
        <v>8554</v>
      </c>
      <c r="B3297" s="1" t="s">
        <v>6839</v>
      </c>
      <c r="D3297" s="1" t="s">
        <v>11735</v>
      </c>
      <c r="F3297" s="1" t="s">
        <v>11736</v>
      </c>
      <c r="H3297" s="1" t="s">
        <v>11854</v>
      </c>
      <c r="J3297" s="1" t="s">
        <v>11855</v>
      </c>
      <c r="L3297" s="1" t="s">
        <v>1752</v>
      </c>
      <c r="M3297" s="1" t="s">
        <v>1154</v>
      </c>
      <c r="N3297" s="1" t="s">
        <v>1914</v>
      </c>
      <c r="P3297" s="1" t="s">
        <v>1297</v>
      </c>
      <c r="Q3297" s="3">
        <v>0</v>
      </c>
      <c r="R3297" s="23" t="s">
        <v>11739</v>
      </c>
      <c r="S3297" s="23" t="s">
        <v>6847</v>
      </c>
      <c r="T3297" s="23" t="s">
        <v>4866</v>
      </c>
      <c r="U3297" s="3">
        <v>35</v>
      </c>
      <c r="W3297" s="45" t="str">
        <f>HYPERLINK("http://ictvonline.org/taxonomy/p/taxonomy-history?taxnode_id=201904896","ICTVonline=201904896")</f>
        <v>ICTVonline=201904896</v>
      </c>
      <c r="AA3297" s="1">
        <v>201900000</v>
      </c>
      <c r="AB3297" s="1">
        <v>35</v>
      </c>
    </row>
    <row r="3298" spans="1:28" x14ac:dyDescent="0.2">
      <c r="A3298" s="1">
        <v>8556</v>
      </c>
      <c r="B3298" s="1" t="s">
        <v>6839</v>
      </c>
      <c r="D3298" s="1" t="s">
        <v>11735</v>
      </c>
      <c r="F3298" s="1" t="s">
        <v>11736</v>
      </c>
      <c r="H3298" s="1" t="s">
        <v>11854</v>
      </c>
      <c r="J3298" s="1" t="s">
        <v>11855</v>
      </c>
      <c r="L3298" s="1" t="s">
        <v>1752</v>
      </c>
      <c r="M3298" s="1" t="s">
        <v>1154</v>
      </c>
      <c r="N3298" s="1" t="s">
        <v>1914</v>
      </c>
      <c r="P3298" s="1" t="s">
        <v>1298</v>
      </c>
      <c r="Q3298" s="3">
        <v>0</v>
      </c>
      <c r="R3298" s="23" t="s">
        <v>11739</v>
      </c>
      <c r="S3298" s="23" t="s">
        <v>6847</v>
      </c>
      <c r="T3298" s="23" t="s">
        <v>4866</v>
      </c>
      <c r="U3298" s="3">
        <v>35</v>
      </c>
      <c r="W3298" s="45" t="str">
        <f>HYPERLINK("http://ictvonline.org/taxonomy/p/taxonomy-history?taxnode_id=201904897","ICTVonline=201904897")</f>
        <v>ICTVonline=201904897</v>
      </c>
      <c r="AA3298" s="1">
        <v>201900000</v>
      </c>
      <c r="AB3298" s="1">
        <v>35</v>
      </c>
    </row>
    <row r="3299" spans="1:28" x14ac:dyDescent="0.2">
      <c r="A3299" s="1">
        <v>8558</v>
      </c>
      <c r="B3299" s="1" t="s">
        <v>6839</v>
      </c>
      <c r="D3299" s="1" t="s">
        <v>11735</v>
      </c>
      <c r="F3299" s="1" t="s">
        <v>11736</v>
      </c>
      <c r="H3299" s="1" t="s">
        <v>11854</v>
      </c>
      <c r="J3299" s="1" t="s">
        <v>11855</v>
      </c>
      <c r="L3299" s="1" t="s">
        <v>1752</v>
      </c>
      <c r="M3299" s="1" t="s">
        <v>1154</v>
      </c>
      <c r="N3299" s="1" t="s">
        <v>1914</v>
      </c>
      <c r="P3299" s="1" t="s">
        <v>1299</v>
      </c>
      <c r="Q3299" s="3">
        <v>0</v>
      </c>
      <c r="R3299" s="23" t="s">
        <v>11739</v>
      </c>
      <c r="S3299" s="23" t="s">
        <v>6847</v>
      </c>
      <c r="T3299" s="23" t="s">
        <v>4866</v>
      </c>
      <c r="U3299" s="3">
        <v>35</v>
      </c>
      <c r="W3299" s="45" t="str">
        <f>HYPERLINK("http://ictvonline.org/taxonomy/p/taxonomy-history?taxnode_id=201904898","ICTVonline=201904898")</f>
        <v>ICTVonline=201904898</v>
      </c>
      <c r="AA3299" s="1">
        <v>201900000</v>
      </c>
      <c r="AB3299" s="1">
        <v>35</v>
      </c>
    </row>
    <row r="3300" spans="1:28" x14ac:dyDescent="0.2">
      <c r="A3300" s="1">
        <v>8560</v>
      </c>
      <c r="B3300" s="1" t="s">
        <v>6839</v>
      </c>
      <c r="D3300" s="1" t="s">
        <v>11735</v>
      </c>
      <c r="F3300" s="1" t="s">
        <v>11736</v>
      </c>
      <c r="H3300" s="1" t="s">
        <v>11854</v>
      </c>
      <c r="J3300" s="1" t="s">
        <v>11855</v>
      </c>
      <c r="L3300" s="1" t="s">
        <v>1752</v>
      </c>
      <c r="M3300" s="1" t="s">
        <v>1154</v>
      </c>
      <c r="N3300" s="1" t="s">
        <v>1914</v>
      </c>
      <c r="P3300" s="1" t="s">
        <v>1300</v>
      </c>
      <c r="Q3300" s="3">
        <v>0</v>
      </c>
      <c r="R3300" s="23" t="s">
        <v>11739</v>
      </c>
      <c r="S3300" s="23" t="s">
        <v>6847</v>
      </c>
      <c r="T3300" s="23" t="s">
        <v>4866</v>
      </c>
      <c r="U3300" s="3">
        <v>35</v>
      </c>
      <c r="W3300" s="45" t="str">
        <f>HYPERLINK("http://ictvonline.org/taxonomy/p/taxonomy-history?taxnode_id=201904899","ICTVonline=201904899")</f>
        <v>ICTVonline=201904899</v>
      </c>
      <c r="AA3300" s="1">
        <v>201900000</v>
      </c>
      <c r="AB3300" s="1">
        <v>35</v>
      </c>
    </row>
    <row r="3301" spans="1:28" x14ac:dyDescent="0.2">
      <c r="A3301" s="1">
        <v>8564</v>
      </c>
      <c r="B3301" s="1" t="s">
        <v>6839</v>
      </c>
      <c r="D3301" s="1" t="s">
        <v>11735</v>
      </c>
      <c r="F3301" s="1" t="s">
        <v>11736</v>
      </c>
      <c r="H3301" s="1" t="s">
        <v>11854</v>
      </c>
      <c r="J3301" s="1" t="s">
        <v>11855</v>
      </c>
      <c r="L3301" s="1" t="s">
        <v>1752</v>
      </c>
      <c r="M3301" s="1" t="s">
        <v>1154</v>
      </c>
      <c r="N3301" s="1" t="s">
        <v>238</v>
      </c>
      <c r="P3301" s="1" t="s">
        <v>345</v>
      </c>
      <c r="Q3301" s="3">
        <v>0</v>
      </c>
      <c r="R3301" s="23" t="s">
        <v>11739</v>
      </c>
      <c r="S3301" s="23" t="s">
        <v>6847</v>
      </c>
      <c r="T3301" s="23" t="s">
        <v>4866</v>
      </c>
      <c r="U3301" s="3">
        <v>35</v>
      </c>
      <c r="W3301" s="45" t="str">
        <f>HYPERLINK("http://ictvonline.org/taxonomy/p/taxonomy-history?taxnode_id=201904901","ICTVonline=201904901")</f>
        <v>ICTVonline=201904901</v>
      </c>
      <c r="Y3301" s="1" t="s">
        <v>11858</v>
      </c>
      <c r="Z3301" s="1" t="s">
        <v>11859</v>
      </c>
      <c r="AA3301" s="1">
        <v>201900000</v>
      </c>
      <c r="AB3301" s="1">
        <v>35</v>
      </c>
    </row>
    <row r="3302" spans="1:28" x14ac:dyDescent="0.2">
      <c r="A3302" s="1">
        <v>8566</v>
      </c>
      <c r="B3302" s="1" t="s">
        <v>6839</v>
      </c>
      <c r="D3302" s="1" t="s">
        <v>11735</v>
      </c>
      <c r="F3302" s="1" t="s">
        <v>11736</v>
      </c>
      <c r="H3302" s="1" t="s">
        <v>11854</v>
      </c>
      <c r="J3302" s="1" t="s">
        <v>11855</v>
      </c>
      <c r="L3302" s="1" t="s">
        <v>1752</v>
      </c>
      <c r="M3302" s="1" t="s">
        <v>1154</v>
      </c>
      <c r="N3302" s="1" t="s">
        <v>238</v>
      </c>
      <c r="P3302" s="1" t="s">
        <v>346</v>
      </c>
      <c r="Q3302" s="3">
        <v>0</v>
      </c>
      <c r="R3302" s="23" t="s">
        <v>11739</v>
      </c>
      <c r="S3302" s="23" t="s">
        <v>6847</v>
      </c>
      <c r="T3302" s="23" t="s">
        <v>4866</v>
      </c>
      <c r="U3302" s="3">
        <v>35</v>
      </c>
      <c r="W3302" s="45" t="str">
        <f>HYPERLINK("http://ictvonline.org/taxonomy/p/taxonomy-history?taxnode_id=201904902","ICTVonline=201904902")</f>
        <v>ICTVonline=201904902</v>
      </c>
      <c r="Y3302" s="1" t="s">
        <v>11860</v>
      </c>
      <c r="Z3302" s="1" t="s">
        <v>11861</v>
      </c>
      <c r="AA3302" s="1">
        <v>201900000</v>
      </c>
      <c r="AB3302" s="1">
        <v>35</v>
      </c>
    </row>
    <row r="3303" spans="1:28" x14ac:dyDescent="0.2">
      <c r="A3303" s="1">
        <v>8568</v>
      </c>
      <c r="B3303" s="1" t="s">
        <v>6839</v>
      </c>
      <c r="D3303" s="1" t="s">
        <v>11735</v>
      </c>
      <c r="F3303" s="1" t="s">
        <v>11736</v>
      </c>
      <c r="H3303" s="1" t="s">
        <v>11854</v>
      </c>
      <c r="J3303" s="1" t="s">
        <v>11855</v>
      </c>
      <c r="L3303" s="1" t="s">
        <v>1752</v>
      </c>
      <c r="M3303" s="1" t="s">
        <v>1154</v>
      </c>
      <c r="N3303" s="1" t="s">
        <v>238</v>
      </c>
      <c r="P3303" s="1" t="s">
        <v>347</v>
      </c>
      <c r="Q3303" s="3">
        <v>1</v>
      </c>
      <c r="R3303" s="23" t="s">
        <v>11739</v>
      </c>
      <c r="S3303" s="23" t="s">
        <v>6847</v>
      </c>
      <c r="T3303" s="23" t="s">
        <v>4866</v>
      </c>
      <c r="U3303" s="3">
        <v>35</v>
      </c>
      <c r="W3303" s="45" t="str">
        <f>HYPERLINK("http://ictvonline.org/taxonomy/p/taxonomy-history?taxnode_id=201904903","ICTVonline=201904903")</f>
        <v>ICTVonline=201904903</v>
      </c>
      <c r="Y3303" s="1" t="s">
        <v>11862</v>
      </c>
      <c r="Z3303" s="1" t="s">
        <v>11863</v>
      </c>
      <c r="AA3303" s="1">
        <v>201900000</v>
      </c>
      <c r="AB3303" s="1">
        <v>35</v>
      </c>
    </row>
    <row r="3304" spans="1:28" x14ac:dyDescent="0.2">
      <c r="A3304" s="1">
        <v>8572</v>
      </c>
      <c r="B3304" s="1" t="s">
        <v>6839</v>
      </c>
      <c r="D3304" s="1" t="s">
        <v>11735</v>
      </c>
      <c r="F3304" s="1" t="s">
        <v>11736</v>
      </c>
      <c r="H3304" s="1" t="s">
        <v>11854</v>
      </c>
      <c r="J3304" s="1" t="s">
        <v>11855</v>
      </c>
      <c r="L3304" s="1" t="s">
        <v>1752</v>
      </c>
      <c r="M3304" s="1" t="s">
        <v>1154</v>
      </c>
      <c r="N3304" s="1" t="s">
        <v>226</v>
      </c>
      <c r="P3304" s="1" t="s">
        <v>349</v>
      </c>
      <c r="Q3304" s="3">
        <v>1</v>
      </c>
      <c r="R3304" s="23" t="s">
        <v>11739</v>
      </c>
      <c r="S3304" s="23" t="s">
        <v>6847</v>
      </c>
      <c r="T3304" s="23" t="s">
        <v>4866</v>
      </c>
      <c r="U3304" s="3">
        <v>35</v>
      </c>
      <c r="W3304" s="45" t="str">
        <f>HYPERLINK("http://ictvonline.org/taxonomy/p/taxonomy-history?taxnode_id=201904905","ICTVonline=201904905")</f>
        <v>ICTVonline=201904905</v>
      </c>
      <c r="AA3304" s="1">
        <v>201900000</v>
      </c>
      <c r="AB3304" s="1">
        <v>35</v>
      </c>
    </row>
    <row r="3305" spans="1:28" x14ac:dyDescent="0.2">
      <c r="A3305" s="1">
        <v>8574</v>
      </c>
      <c r="B3305" s="1" t="s">
        <v>6839</v>
      </c>
      <c r="D3305" s="1" t="s">
        <v>11735</v>
      </c>
      <c r="F3305" s="1" t="s">
        <v>11736</v>
      </c>
      <c r="H3305" s="1" t="s">
        <v>11854</v>
      </c>
      <c r="J3305" s="1" t="s">
        <v>11855</v>
      </c>
      <c r="L3305" s="1" t="s">
        <v>1752</v>
      </c>
      <c r="M3305" s="1" t="s">
        <v>1154</v>
      </c>
      <c r="N3305" s="1" t="s">
        <v>226</v>
      </c>
      <c r="P3305" s="1" t="s">
        <v>350</v>
      </c>
      <c r="Q3305" s="3">
        <v>0</v>
      </c>
      <c r="R3305" s="23" t="s">
        <v>11739</v>
      </c>
      <c r="S3305" s="23" t="s">
        <v>6847</v>
      </c>
      <c r="T3305" s="23" t="s">
        <v>4866</v>
      </c>
      <c r="U3305" s="3">
        <v>35</v>
      </c>
      <c r="W3305" s="45" t="str">
        <f>HYPERLINK("http://ictvonline.org/taxonomy/p/taxonomy-history?taxnode_id=201904906","ICTVonline=201904906")</f>
        <v>ICTVonline=201904906</v>
      </c>
      <c r="AA3305" s="1">
        <v>201900000</v>
      </c>
      <c r="AB3305" s="1">
        <v>35</v>
      </c>
    </row>
    <row r="3306" spans="1:28" x14ac:dyDescent="0.2">
      <c r="A3306" s="1">
        <v>8576</v>
      </c>
      <c r="B3306" s="1" t="s">
        <v>6839</v>
      </c>
      <c r="D3306" s="1" t="s">
        <v>11735</v>
      </c>
      <c r="F3306" s="1" t="s">
        <v>11736</v>
      </c>
      <c r="H3306" s="1" t="s">
        <v>11854</v>
      </c>
      <c r="J3306" s="1" t="s">
        <v>11855</v>
      </c>
      <c r="L3306" s="1" t="s">
        <v>1752</v>
      </c>
      <c r="M3306" s="1" t="s">
        <v>1154</v>
      </c>
      <c r="N3306" s="1" t="s">
        <v>226</v>
      </c>
      <c r="P3306" s="1" t="s">
        <v>351</v>
      </c>
      <c r="Q3306" s="3">
        <v>0</v>
      </c>
      <c r="R3306" s="23" t="s">
        <v>11739</v>
      </c>
      <c r="S3306" s="23" t="s">
        <v>6847</v>
      </c>
      <c r="T3306" s="23" t="s">
        <v>4866</v>
      </c>
      <c r="U3306" s="3">
        <v>35</v>
      </c>
      <c r="W3306" s="45" t="str">
        <f>HYPERLINK("http://ictvonline.org/taxonomy/p/taxonomy-history?taxnode_id=201904907","ICTVonline=201904907")</f>
        <v>ICTVonline=201904907</v>
      </c>
      <c r="AA3306" s="1">
        <v>201900000</v>
      </c>
      <c r="AB3306" s="1">
        <v>35</v>
      </c>
    </row>
    <row r="3307" spans="1:28" x14ac:dyDescent="0.2">
      <c r="A3307" s="1">
        <v>8578</v>
      </c>
      <c r="B3307" s="1" t="s">
        <v>6839</v>
      </c>
      <c r="D3307" s="1" t="s">
        <v>11735</v>
      </c>
      <c r="F3307" s="1" t="s">
        <v>11736</v>
      </c>
      <c r="H3307" s="1" t="s">
        <v>11854</v>
      </c>
      <c r="J3307" s="1" t="s">
        <v>11855</v>
      </c>
      <c r="L3307" s="1" t="s">
        <v>1752</v>
      </c>
      <c r="M3307" s="1" t="s">
        <v>1154</v>
      </c>
      <c r="N3307" s="1" t="s">
        <v>226</v>
      </c>
      <c r="P3307" s="1" t="s">
        <v>352</v>
      </c>
      <c r="Q3307" s="3">
        <v>0</v>
      </c>
      <c r="R3307" s="23" t="s">
        <v>11739</v>
      </c>
      <c r="S3307" s="23" t="s">
        <v>6847</v>
      </c>
      <c r="T3307" s="23" t="s">
        <v>4866</v>
      </c>
      <c r="U3307" s="3">
        <v>35</v>
      </c>
      <c r="W3307" s="45" t="str">
        <f>HYPERLINK("http://ictvonline.org/taxonomy/p/taxonomy-history?taxnode_id=201904908","ICTVonline=201904908")</f>
        <v>ICTVonline=201904908</v>
      </c>
      <c r="AA3307" s="1">
        <v>201900000</v>
      </c>
      <c r="AB3307" s="1">
        <v>35</v>
      </c>
    </row>
    <row r="3308" spans="1:28" x14ac:dyDescent="0.2">
      <c r="A3308" s="1">
        <v>8580</v>
      </c>
      <c r="B3308" s="1" t="s">
        <v>6839</v>
      </c>
      <c r="D3308" s="1" t="s">
        <v>11735</v>
      </c>
      <c r="F3308" s="1" t="s">
        <v>11736</v>
      </c>
      <c r="H3308" s="1" t="s">
        <v>11854</v>
      </c>
      <c r="J3308" s="1" t="s">
        <v>11855</v>
      </c>
      <c r="L3308" s="1" t="s">
        <v>1752</v>
      </c>
      <c r="M3308" s="1" t="s">
        <v>1154</v>
      </c>
      <c r="N3308" s="1" t="s">
        <v>226</v>
      </c>
      <c r="P3308" s="1" t="s">
        <v>2702</v>
      </c>
      <c r="Q3308" s="3">
        <v>0</v>
      </c>
      <c r="R3308" s="23" t="s">
        <v>11739</v>
      </c>
      <c r="S3308" s="23" t="s">
        <v>6847</v>
      </c>
      <c r="T3308" s="23" t="s">
        <v>4866</v>
      </c>
      <c r="U3308" s="3">
        <v>35</v>
      </c>
      <c r="W3308" s="45" t="str">
        <f>HYPERLINK("http://ictvonline.org/taxonomy/p/taxonomy-history?taxnode_id=201904910","ICTVonline=201904910")</f>
        <v>ICTVonline=201904910</v>
      </c>
      <c r="X3308" s="1" t="s">
        <v>11864</v>
      </c>
      <c r="Y3308" s="1" t="s">
        <v>11865</v>
      </c>
      <c r="Z3308" s="1" t="s">
        <v>11866</v>
      </c>
      <c r="AA3308" s="1">
        <v>201900000</v>
      </c>
      <c r="AB3308" s="1">
        <v>35</v>
      </c>
    </row>
    <row r="3309" spans="1:28" x14ac:dyDescent="0.2">
      <c r="A3309" s="1">
        <v>8582</v>
      </c>
      <c r="B3309" s="1" t="s">
        <v>6839</v>
      </c>
      <c r="D3309" s="1" t="s">
        <v>11735</v>
      </c>
      <c r="F3309" s="1" t="s">
        <v>11736</v>
      </c>
      <c r="H3309" s="1" t="s">
        <v>11854</v>
      </c>
      <c r="J3309" s="1" t="s">
        <v>11855</v>
      </c>
      <c r="L3309" s="1" t="s">
        <v>1752</v>
      </c>
      <c r="M3309" s="1" t="s">
        <v>1154</v>
      </c>
      <c r="N3309" s="1" t="s">
        <v>226</v>
      </c>
      <c r="P3309" s="1" t="s">
        <v>2703</v>
      </c>
      <c r="Q3309" s="3">
        <v>0</v>
      </c>
      <c r="R3309" s="23" t="s">
        <v>11739</v>
      </c>
      <c r="S3309" s="23" t="s">
        <v>6847</v>
      </c>
      <c r="T3309" s="23" t="s">
        <v>4866</v>
      </c>
      <c r="U3309" s="3">
        <v>35</v>
      </c>
      <c r="W3309" s="45" t="str">
        <f>HYPERLINK("http://ictvonline.org/taxonomy/p/taxonomy-history?taxnode_id=201904911","ICTVonline=201904911")</f>
        <v>ICTVonline=201904911</v>
      </c>
      <c r="X3309" s="1" t="s">
        <v>11867</v>
      </c>
      <c r="Y3309" s="1" t="s">
        <v>11868</v>
      </c>
      <c r="Z3309" s="1" t="s">
        <v>11869</v>
      </c>
      <c r="AA3309" s="1">
        <v>201900000</v>
      </c>
      <c r="AB3309" s="1">
        <v>35</v>
      </c>
    </row>
    <row r="3310" spans="1:28" x14ac:dyDescent="0.2">
      <c r="A3310" s="1">
        <v>8584</v>
      </c>
      <c r="B3310" s="1" t="s">
        <v>6839</v>
      </c>
      <c r="D3310" s="1" t="s">
        <v>11735</v>
      </c>
      <c r="F3310" s="1" t="s">
        <v>11736</v>
      </c>
      <c r="H3310" s="1" t="s">
        <v>11854</v>
      </c>
      <c r="J3310" s="1" t="s">
        <v>11855</v>
      </c>
      <c r="L3310" s="1" t="s">
        <v>1752</v>
      </c>
      <c r="M3310" s="1" t="s">
        <v>1154</v>
      </c>
      <c r="N3310" s="1" t="s">
        <v>226</v>
      </c>
      <c r="P3310" s="1" t="s">
        <v>2704</v>
      </c>
      <c r="Q3310" s="3">
        <v>0</v>
      </c>
      <c r="R3310" s="23" t="s">
        <v>11739</v>
      </c>
      <c r="S3310" s="23" t="s">
        <v>6847</v>
      </c>
      <c r="T3310" s="23" t="s">
        <v>4866</v>
      </c>
      <c r="U3310" s="3">
        <v>35</v>
      </c>
      <c r="W3310" s="45" t="str">
        <f>HYPERLINK("http://ictvonline.org/taxonomy/p/taxonomy-history?taxnode_id=201904912","ICTVonline=201904912")</f>
        <v>ICTVonline=201904912</v>
      </c>
      <c r="X3310" s="1" t="s">
        <v>11870</v>
      </c>
      <c r="Y3310" s="1" t="s">
        <v>11871</v>
      </c>
      <c r="Z3310" s="1" t="s">
        <v>11872</v>
      </c>
      <c r="AA3310" s="1">
        <v>201900000</v>
      </c>
      <c r="AB3310" s="1">
        <v>35</v>
      </c>
    </row>
    <row r="3311" spans="1:28" x14ac:dyDescent="0.2">
      <c r="A3311" s="1">
        <v>8586</v>
      </c>
      <c r="B3311" s="1" t="s">
        <v>6839</v>
      </c>
      <c r="D3311" s="1" t="s">
        <v>11735</v>
      </c>
      <c r="F3311" s="1" t="s">
        <v>11736</v>
      </c>
      <c r="H3311" s="1" t="s">
        <v>11854</v>
      </c>
      <c r="J3311" s="1" t="s">
        <v>11855</v>
      </c>
      <c r="L3311" s="1" t="s">
        <v>1752</v>
      </c>
      <c r="M3311" s="1" t="s">
        <v>1154</v>
      </c>
      <c r="N3311" s="1" t="s">
        <v>226</v>
      </c>
      <c r="P3311" s="1" t="s">
        <v>4769</v>
      </c>
      <c r="Q3311" s="3">
        <v>0</v>
      </c>
      <c r="R3311" s="23" t="s">
        <v>11739</v>
      </c>
      <c r="S3311" s="23" t="s">
        <v>6847</v>
      </c>
      <c r="T3311" s="23" t="s">
        <v>4866</v>
      </c>
      <c r="U3311" s="3">
        <v>35</v>
      </c>
      <c r="W3311" s="45" t="str">
        <f>HYPERLINK("http://ictvonline.org/taxonomy/p/taxonomy-history?taxnode_id=201904913","ICTVonline=201904913")</f>
        <v>ICTVonline=201904913</v>
      </c>
      <c r="Y3311" s="1" t="s">
        <v>11873</v>
      </c>
      <c r="Z3311" s="1" t="s">
        <v>11874</v>
      </c>
      <c r="AA3311" s="1">
        <v>201900000</v>
      </c>
      <c r="AB3311" s="1">
        <v>35</v>
      </c>
    </row>
    <row r="3312" spans="1:28" x14ac:dyDescent="0.2">
      <c r="A3312" s="1">
        <v>8588</v>
      </c>
      <c r="B3312" s="1" t="s">
        <v>6839</v>
      </c>
      <c r="D3312" s="1" t="s">
        <v>11735</v>
      </c>
      <c r="F3312" s="1" t="s">
        <v>11736</v>
      </c>
      <c r="H3312" s="1" t="s">
        <v>11854</v>
      </c>
      <c r="J3312" s="1" t="s">
        <v>11855</v>
      </c>
      <c r="L3312" s="1" t="s">
        <v>1752</v>
      </c>
      <c r="M3312" s="1" t="s">
        <v>1154</v>
      </c>
      <c r="N3312" s="1" t="s">
        <v>226</v>
      </c>
      <c r="P3312" s="1" t="s">
        <v>11875</v>
      </c>
      <c r="Q3312" s="3">
        <v>0</v>
      </c>
      <c r="R3312" s="23" t="s">
        <v>11739</v>
      </c>
      <c r="S3312" s="23" t="s">
        <v>6849</v>
      </c>
      <c r="T3312" s="23" t="s">
        <v>4864</v>
      </c>
      <c r="U3312" s="3">
        <v>35</v>
      </c>
      <c r="V3312" s="3" t="s">
        <v>11876</v>
      </c>
      <c r="W3312" s="45" t="str">
        <f>HYPERLINK("http://ictvonline.org/taxonomy/p/taxonomy-history?taxnode_id=201907663","ICTVonline=201907663")</f>
        <v>ICTVonline=201907663</v>
      </c>
      <c r="X3312" s="1" t="s">
        <v>11877</v>
      </c>
      <c r="Y3312" s="1" t="s">
        <v>11878</v>
      </c>
      <c r="Z3312" s="1" t="s">
        <v>11879</v>
      </c>
      <c r="AA3312" s="1">
        <v>201900000</v>
      </c>
      <c r="AB3312" s="1">
        <v>35</v>
      </c>
    </row>
    <row r="3313" spans="1:28" x14ac:dyDescent="0.2">
      <c r="A3313" s="1">
        <v>8592</v>
      </c>
      <c r="B3313" s="1" t="s">
        <v>6839</v>
      </c>
      <c r="D3313" s="1" t="s">
        <v>11735</v>
      </c>
      <c r="F3313" s="1" t="s">
        <v>11736</v>
      </c>
      <c r="H3313" s="1" t="s">
        <v>11854</v>
      </c>
      <c r="J3313" s="1" t="s">
        <v>11855</v>
      </c>
      <c r="L3313" s="1" t="s">
        <v>1752</v>
      </c>
      <c r="M3313" s="1" t="s">
        <v>1154</v>
      </c>
      <c r="N3313" s="1" t="s">
        <v>353</v>
      </c>
      <c r="P3313" s="1" t="s">
        <v>354</v>
      </c>
      <c r="Q3313" s="3">
        <v>1</v>
      </c>
      <c r="R3313" s="23" t="s">
        <v>11739</v>
      </c>
      <c r="S3313" s="23" t="s">
        <v>6847</v>
      </c>
      <c r="T3313" s="23" t="s">
        <v>4866</v>
      </c>
      <c r="U3313" s="3">
        <v>35</v>
      </c>
      <c r="W3313" s="45" t="str">
        <f>HYPERLINK("http://ictvonline.org/taxonomy/p/taxonomy-history?taxnode_id=201904915","ICTVonline=201904915")</f>
        <v>ICTVonline=201904915</v>
      </c>
      <c r="AA3313" s="1">
        <v>201900000</v>
      </c>
      <c r="AB3313" s="1">
        <v>35</v>
      </c>
    </row>
    <row r="3314" spans="1:28" x14ac:dyDescent="0.2">
      <c r="A3314" s="1">
        <v>8594</v>
      </c>
      <c r="B3314" s="1" t="s">
        <v>6839</v>
      </c>
      <c r="D3314" s="1" t="s">
        <v>11735</v>
      </c>
      <c r="F3314" s="1" t="s">
        <v>11736</v>
      </c>
      <c r="H3314" s="1" t="s">
        <v>11854</v>
      </c>
      <c r="J3314" s="1" t="s">
        <v>11855</v>
      </c>
      <c r="L3314" s="1" t="s">
        <v>1752</v>
      </c>
      <c r="M3314" s="1" t="s">
        <v>1154</v>
      </c>
      <c r="N3314" s="1" t="s">
        <v>353</v>
      </c>
      <c r="P3314" s="1" t="s">
        <v>355</v>
      </c>
      <c r="Q3314" s="3">
        <v>0</v>
      </c>
      <c r="R3314" s="23" t="s">
        <v>11739</v>
      </c>
      <c r="S3314" s="23" t="s">
        <v>6847</v>
      </c>
      <c r="T3314" s="23" t="s">
        <v>4866</v>
      </c>
      <c r="U3314" s="3">
        <v>35</v>
      </c>
      <c r="W3314" s="45" t="str">
        <f>HYPERLINK("http://ictvonline.org/taxonomy/p/taxonomy-history?taxnode_id=201904916","ICTVonline=201904916")</f>
        <v>ICTVonline=201904916</v>
      </c>
      <c r="AA3314" s="1">
        <v>201900000</v>
      </c>
      <c r="AB3314" s="1">
        <v>35</v>
      </c>
    </row>
    <row r="3315" spans="1:28" x14ac:dyDescent="0.2">
      <c r="A3315" s="1">
        <v>8596</v>
      </c>
      <c r="B3315" s="1" t="s">
        <v>6839</v>
      </c>
      <c r="D3315" s="1" t="s">
        <v>11735</v>
      </c>
      <c r="F3315" s="1" t="s">
        <v>11736</v>
      </c>
      <c r="H3315" s="1" t="s">
        <v>11854</v>
      </c>
      <c r="J3315" s="1" t="s">
        <v>11855</v>
      </c>
      <c r="L3315" s="1" t="s">
        <v>1752</v>
      </c>
      <c r="M3315" s="1" t="s">
        <v>1154</v>
      </c>
      <c r="N3315" s="1" t="s">
        <v>353</v>
      </c>
      <c r="P3315" s="1" t="s">
        <v>356</v>
      </c>
      <c r="Q3315" s="3">
        <v>0</v>
      </c>
      <c r="R3315" s="23" t="s">
        <v>11739</v>
      </c>
      <c r="S3315" s="23" t="s">
        <v>6847</v>
      </c>
      <c r="T3315" s="23" t="s">
        <v>4866</v>
      </c>
      <c r="U3315" s="3">
        <v>35</v>
      </c>
      <c r="W3315" s="45" t="str">
        <f>HYPERLINK("http://ictvonline.org/taxonomy/p/taxonomy-history?taxnode_id=201904917","ICTVonline=201904917")</f>
        <v>ICTVonline=201904917</v>
      </c>
      <c r="AA3315" s="1">
        <v>201900000</v>
      </c>
      <c r="AB3315" s="1">
        <v>35</v>
      </c>
    </row>
    <row r="3316" spans="1:28" x14ac:dyDescent="0.2">
      <c r="A3316" s="1">
        <v>8602</v>
      </c>
      <c r="B3316" s="1" t="s">
        <v>6839</v>
      </c>
      <c r="D3316" s="1" t="s">
        <v>11735</v>
      </c>
      <c r="F3316" s="1" t="s">
        <v>11736</v>
      </c>
      <c r="H3316" s="1" t="s">
        <v>11854</v>
      </c>
      <c r="J3316" s="1" t="s">
        <v>11855</v>
      </c>
      <c r="L3316" s="1" t="s">
        <v>1752</v>
      </c>
      <c r="M3316" s="1" t="s">
        <v>1153</v>
      </c>
      <c r="N3316" s="1" t="s">
        <v>723</v>
      </c>
      <c r="P3316" s="1" t="s">
        <v>724</v>
      </c>
      <c r="Q3316" s="3">
        <v>1</v>
      </c>
      <c r="R3316" s="23" t="s">
        <v>11739</v>
      </c>
      <c r="S3316" s="23" t="s">
        <v>6847</v>
      </c>
      <c r="T3316" s="23" t="s">
        <v>4866</v>
      </c>
      <c r="U3316" s="3">
        <v>35</v>
      </c>
      <c r="W3316" s="45" t="str">
        <f>HYPERLINK("http://ictvonline.org/taxonomy/p/taxonomy-history?taxnode_id=201904920","ICTVonline=201904920")</f>
        <v>ICTVonline=201904920</v>
      </c>
      <c r="AA3316" s="1">
        <v>201900000</v>
      </c>
      <c r="AB3316" s="1">
        <v>35</v>
      </c>
    </row>
    <row r="3317" spans="1:28" x14ac:dyDescent="0.2">
      <c r="A3317" s="1">
        <v>8604</v>
      </c>
      <c r="B3317" s="1" t="s">
        <v>6839</v>
      </c>
      <c r="D3317" s="1" t="s">
        <v>11735</v>
      </c>
      <c r="F3317" s="1" t="s">
        <v>11736</v>
      </c>
      <c r="H3317" s="1" t="s">
        <v>11854</v>
      </c>
      <c r="J3317" s="1" t="s">
        <v>11855</v>
      </c>
      <c r="L3317" s="1" t="s">
        <v>1752</v>
      </c>
      <c r="M3317" s="1" t="s">
        <v>1153</v>
      </c>
      <c r="N3317" s="1" t="s">
        <v>723</v>
      </c>
      <c r="P3317" s="1" t="s">
        <v>725</v>
      </c>
      <c r="Q3317" s="3">
        <v>0</v>
      </c>
      <c r="R3317" s="23" t="s">
        <v>11739</v>
      </c>
      <c r="S3317" s="23" t="s">
        <v>6847</v>
      </c>
      <c r="T3317" s="23" t="s">
        <v>4866</v>
      </c>
      <c r="U3317" s="3">
        <v>35</v>
      </c>
      <c r="W3317" s="45" t="str">
        <f>HYPERLINK("http://ictvonline.org/taxonomy/p/taxonomy-history?taxnode_id=201904921","ICTVonline=201904921")</f>
        <v>ICTVonline=201904921</v>
      </c>
      <c r="AA3317" s="1">
        <v>201900000</v>
      </c>
      <c r="AB3317" s="1">
        <v>35</v>
      </c>
    </row>
    <row r="3318" spans="1:28" x14ac:dyDescent="0.2">
      <c r="A3318" s="1">
        <v>8606</v>
      </c>
      <c r="B3318" s="1" t="s">
        <v>6839</v>
      </c>
      <c r="D3318" s="1" t="s">
        <v>11735</v>
      </c>
      <c r="F3318" s="1" t="s">
        <v>11736</v>
      </c>
      <c r="H3318" s="1" t="s">
        <v>11854</v>
      </c>
      <c r="J3318" s="1" t="s">
        <v>11855</v>
      </c>
      <c r="L3318" s="1" t="s">
        <v>1752</v>
      </c>
      <c r="M3318" s="1" t="s">
        <v>1153</v>
      </c>
      <c r="N3318" s="1" t="s">
        <v>723</v>
      </c>
      <c r="P3318" s="1" t="s">
        <v>726</v>
      </c>
      <c r="Q3318" s="3">
        <v>0</v>
      </c>
      <c r="R3318" s="23" t="s">
        <v>11739</v>
      </c>
      <c r="S3318" s="23" t="s">
        <v>6847</v>
      </c>
      <c r="T3318" s="23" t="s">
        <v>4866</v>
      </c>
      <c r="U3318" s="3">
        <v>35</v>
      </c>
      <c r="W3318" s="45" t="str">
        <f>HYPERLINK("http://ictvonline.org/taxonomy/p/taxonomy-history?taxnode_id=201904922","ICTVonline=201904922")</f>
        <v>ICTVonline=201904922</v>
      </c>
      <c r="AA3318" s="1">
        <v>201900000</v>
      </c>
      <c r="AB3318" s="1">
        <v>35</v>
      </c>
    </row>
    <row r="3319" spans="1:28" x14ac:dyDescent="0.2">
      <c r="A3319" s="1">
        <v>8608</v>
      </c>
      <c r="B3319" s="1" t="s">
        <v>6839</v>
      </c>
      <c r="D3319" s="1" t="s">
        <v>11735</v>
      </c>
      <c r="F3319" s="1" t="s">
        <v>11736</v>
      </c>
      <c r="H3319" s="1" t="s">
        <v>11854</v>
      </c>
      <c r="J3319" s="1" t="s">
        <v>11855</v>
      </c>
      <c r="L3319" s="1" t="s">
        <v>1752</v>
      </c>
      <c r="M3319" s="1" t="s">
        <v>1153</v>
      </c>
      <c r="N3319" s="1" t="s">
        <v>723</v>
      </c>
      <c r="P3319" s="1" t="s">
        <v>727</v>
      </c>
      <c r="Q3319" s="3">
        <v>0</v>
      </c>
      <c r="R3319" s="23" t="s">
        <v>11739</v>
      </c>
      <c r="S3319" s="23" t="s">
        <v>6847</v>
      </c>
      <c r="T3319" s="23" t="s">
        <v>4866</v>
      </c>
      <c r="U3319" s="3">
        <v>35</v>
      </c>
      <c r="W3319" s="45" t="str">
        <f>HYPERLINK("http://ictvonline.org/taxonomy/p/taxonomy-history?taxnode_id=201904923","ICTVonline=201904923")</f>
        <v>ICTVonline=201904923</v>
      </c>
      <c r="AA3319" s="1">
        <v>201900000</v>
      </c>
      <c r="AB3319" s="1">
        <v>35</v>
      </c>
    </row>
    <row r="3320" spans="1:28" x14ac:dyDescent="0.2">
      <c r="A3320" s="1">
        <v>8610</v>
      </c>
      <c r="B3320" s="1" t="s">
        <v>6839</v>
      </c>
      <c r="D3320" s="1" t="s">
        <v>11735</v>
      </c>
      <c r="F3320" s="1" t="s">
        <v>11736</v>
      </c>
      <c r="H3320" s="1" t="s">
        <v>11854</v>
      </c>
      <c r="J3320" s="1" t="s">
        <v>11855</v>
      </c>
      <c r="L3320" s="1" t="s">
        <v>1752</v>
      </c>
      <c r="M3320" s="1" t="s">
        <v>1153</v>
      </c>
      <c r="N3320" s="1" t="s">
        <v>723</v>
      </c>
      <c r="P3320" s="1" t="s">
        <v>728</v>
      </c>
      <c r="Q3320" s="3">
        <v>0</v>
      </c>
      <c r="R3320" s="23" t="s">
        <v>11739</v>
      </c>
      <c r="S3320" s="23" t="s">
        <v>6847</v>
      </c>
      <c r="T3320" s="23" t="s">
        <v>4866</v>
      </c>
      <c r="U3320" s="3">
        <v>35</v>
      </c>
      <c r="W3320" s="45" t="str">
        <f>HYPERLINK("http://ictvonline.org/taxonomy/p/taxonomy-history?taxnode_id=201904924","ICTVonline=201904924")</f>
        <v>ICTVonline=201904924</v>
      </c>
      <c r="AA3320" s="1">
        <v>201900000</v>
      </c>
      <c r="AB3320" s="1">
        <v>35</v>
      </c>
    </row>
    <row r="3321" spans="1:28" x14ac:dyDescent="0.2">
      <c r="A3321" s="1">
        <v>8612</v>
      </c>
      <c r="B3321" s="1" t="s">
        <v>6839</v>
      </c>
      <c r="D3321" s="1" t="s">
        <v>11735</v>
      </c>
      <c r="F3321" s="1" t="s">
        <v>11736</v>
      </c>
      <c r="H3321" s="1" t="s">
        <v>11854</v>
      </c>
      <c r="J3321" s="1" t="s">
        <v>11855</v>
      </c>
      <c r="L3321" s="1" t="s">
        <v>1752</v>
      </c>
      <c r="M3321" s="1" t="s">
        <v>1153</v>
      </c>
      <c r="N3321" s="1" t="s">
        <v>723</v>
      </c>
      <c r="P3321" s="1" t="s">
        <v>729</v>
      </c>
      <c r="Q3321" s="3">
        <v>0</v>
      </c>
      <c r="R3321" s="23" t="s">
        <v>11739</v>
      </c>
      <c r="S3321" s="23" t="s">
        <v>6847</v>
      </c>
      <c r="T3321" s="23" t="s">
        <v>4866</v>
      </c>
      <c r="U3321" s="3">
        <v>35</v>
      </c>
      <c r="W3321" s="45" t="str">
        <f>HYPERLINK("http://ictvonline.org/taxonomy/p/taxonomy-history?taxnode_id=201904925","ICTVonline=201904925")</f>
        <v>ICTVonline=201904925</v>
      </c>
      <c r="AA3321" s="1">
        <v>201900000</v>
      </c>
      <c r="AB3321" s="1">
        <v>35</v>
      </c>
    </row>
    <row r="3322" spans="1:28" x14ac:dyDescent="0.2">
      <c r="A3322" s="1">
        <v>8614</v>
      </c>
      <c r="B3322" s="1" t="s">
        <v>6839</v>
      </c>
      <c r="D3322" s="1" t="s">
        <v>11735</v>
      </c>
      <c r="F3322" s="1" t="s">
        <v>11736</v>
      </c>
      <c r="H3322" s="1" t="s">
        <v>11854</v>
      </c>
      <c r="J3322" s="1" t="s">
        <v>11855</v>
      </c>
      <c r="L3322" s="1" t="s">
        <v>1752</v>
      </c>
      <c r="M3322" s="1" t="s">
        <v>1153</v>
      </c>
      <c r="N3322" s="1" t="s">
        <v>723</v>
      </c>
      <c r="P3322" s="1" t="s">
        <v>730</v>
      </c>
      <c r="Q3322" s="3">
        <v>0</v>
      </c>
      <c r="R3322" s="23" t="s">
        <v>11739</v>
      </c>
      <c r="S3322" s="23" t="s">
        <v>6847</v>
      </c>
      <c r="T3322" s="23" t="s">
        <v>4866</v>
      </c>
      <c r="U3322" s="3">
        <v>35</v>
      </c>
      <c r="W3322" s="45" t="str">
        <f>HYPERLINK("http://ictvonline.org/taxonomy/p/taxonomy-history?taxnode_id=201904926","ICTVonline=201904926")</f>
        <v>ICTVonline=201904926</v>
      </c>
      <c r="AA3322" s="1">
        <v>201900000</v>
      </c>
      <c r="AB3322" s="1">
        <v>35</v>
      </c>
    </row>
    <row r="3323" spans="1:28" x14ac:dyDescent="0.2">
      <c r="A3323" s="1">
        <v>8618</v>
      </c>
      <c r="B3323" s="1" t="s">
        <v>6839</v>
      </c>
      <c r="D3323" s="1" t="s">
        <v>11735</v>
      </c>
      <c r="F3323" s="1" t="s">
        <v>11736</v>
      </c>
      <c r="H3323" s="1" t="s">
        <v>11854</v>
      </c>
      <c r="J3323" s="1" t="s">
        <v>11855</v>
      </c>
      <c r="L3323" s="1" t="s">
        <v>1752</v>
      </c>
      <c r="M3323" s="1" t="s">
        <v>1153</v>
      </c>
      <c r="N3323" s="1" t="s">
        <v>733</v>
      </c>
      <c r="P3323" s="1" t="s">
        <v>11880</v>
      </c>
      <c r="Q3323" s="3">
        <v>1</v>
      </c>
      <c r="R3323" s="23" t="s">
        <v>11739</v>
      </c>
      <c r="S3323" s="23" t="s">
        <v>6849</v>
      </c>
      <c r="T3323" s="23" t="s">
        <v>4865</v>
      </c>
      <c r="U3323" s="3">
        <v>35</v>
      </c>
      <c r="V3323" s="3" t="s">
        <v>11881</v>
      </c>
      <c r="W3323" s="45" t="str">
        <f>HYPERLINK("http://ictvonline.org/taxonomy/p/taxonomy-history?taxnode_id=201904928","ICTVonline=201904928")</f>
        <v>ICTVonline=201904928</v>
      </c>
      <c r="AA3323" s="1">
        <v>201900000</v>
      </c>
      <c r="AB3323" s="1">
        <v>35</v>
      </c>
    </row>
    <row r="3324" spans="1:28" x14ac:dyDescent="0.2">
      <c r="A3324" s="1">
        <v>8620</v>
      </c>
      <c r="B3324" s="1" t="s">
        <v>6839</v>
      </c>
      <c r="D3324" s="1" t="s">
        <v>11735</v>
      </c>
      <c r="F3324" s="1" t="s">
        <v>11736</v>
      </c>
      <c r="H3324" s="1" t="s">
        <v>11854</v>
      </c>
      <c r="J3324" s="1" t="s">
        <v>11855</v>
      </c>
      <c r="L3324" s="1" t="s">
        <v>1752</v>
      </c>
      <c r="M3324" s="1" t="s">
        <v>1153</v>
      </c>
      <c r="N3324" s="1" t="s">
        <v>733</v>
      </c>
      <c r="P3324" s="1" t="s">
        <v>11882</v>
      </c>
      <c r="Q3324" s="3">
        <v>0</v>
      </c>
      <c r="R3324" s="23" t="s">
        <v>11739</v>
      </c>
      <c r="S3324" s="23" t="s">
        <v>6849</v>
      </c>
      <c r="T3324" s="23" t="s">
        <v>4865</v>
      </c>
      <c r="U3324" s="3">
        <v>35</v>
      </c>
      <c r="V3324" s="3" t="s">
        <v>11881</v>
      </c>
      <c r="W3324" s="45" t="str">
        <f>HYPERLINK("http://ictvonline.org/taxonomy/p/taxonomy-history?taxnode_id=201904929","ICTVonline=201904929")</f>
        <v>ICTVonline=201904929</v>
      </c>
      <c r="AA3324" s="1">
        <v>201900000</v>
      </c>
      <c r="AB3324" s="1">
        <v>35</v>
      </c>
    </row>
    <row r="3325" spans="1:28" x14ac:dyDescent="0.2">
      <c r="A3325" s="1">
        <v>8622</v>
      </c>
      <c r="B3325" s="1" t="s">
        <v>6839</v>
      </c>
      <c r="D3325" s="1" t="s">
        <v>11735</v>
      </c>
      <c r="F3325" s="1" t="s">
        <v>11736</v>
      </c>
      <c r="H3325" s="1" t="s">
        <v>11854</v>
      </c>
      <c r="J3325" s="1" t="s">
        <v>11855</v>
      </c>
      <c r="L3325" s="1" t="s">
        <v>1752</v>
      </c>
      <c r="M3325" s="1" t="s">
        <v>1153</v>
      </c>
      <c r="N3325" s="1" t="s">
        <v>733</v>
      </c>
      <c r="P3325" s="1" t="s">
        <v>11883</v>
      </c>
      <c r="Q3325" s="3">
        <v>0</v>
      </c>
      <c r="R3325" s="23" t="s">
        <v>11739</v>
      </c>
      <c r="S3325" s="23" t="s">
        <v>6849</v>
      </c>
      <c r="T3325" s="23" t="s">
        <v>4864</v>
      </c>
      <c r="U3325" s="3">
        <v>35</v>
      </c>
      <c r="V3325" s="3" t="s">
        <v>11881</v>
      </c>
      <c r="W3325" s="45" t="str">
        <f>HYPERLINK("http://ictvonline.org/taxonomy/p/taxonomy-history?taxnode_id=201907654","ICTVonline=201907654")</f>
        <v>ICTVonline=201907654</v>
      </c>
      <c r="X3325" s="1" t="s">
        <v>11884</v>
      </c>
      <c r="Y3325" s="1" t="s">
        <v>11885</v>
      </c>
      <c r="Z3325" s="1" t="s">
        <v>11886</v>
      </c>
      <c r="AA3325" s="1">
        <v>201900000</v>
      </c>
      <c r="AB3325" s="1">
        <v>35</v>
      </c>
    </row>
    <row r="3326" spans="1:28" x14ac:dyDescent="0.2">
      <c r="A3326" s="1">
        <v>8624</v>
      </c>
      <c r="B3326" s="1" t="s">
        <v>6839</v>
      </c>
      <c r="D3326" s="1" t="s">
        <v>11735</v>
      </c>
      <c r="F3326" s="1" t="s">
        <v>11736</v>
      </c>
      <c r="H3326" s="1" t="s">
        <v>11854</v>
      </c>
      <c r="J3326" s="1" t="s">
        <v>11855</v>
      </c>
      <c r="L3326" s="1" t="s">
        <v>1752</v>
      </c>
      <c r="M3326" s="1" t="s">
        <v>1153</v>
      </c>
      <c r="N3326" s="1" t="s">
        <v>733</v>
      </c>
      <c r="P3326" s="1" t="s">
        <v>11887</v>
      </c>
      <c r="Q3326" s="3">
        <v>0</v>
      </c>
      <c r="R3326" s="23" t="s">
        <v>11739</v>
      </c>
      <c r="S3326" s="23" t="s">
        <v>6849</v>
      </c>
      <c r="T3326" s="23" t="s">
        <v>4864</v>
      </c>
      <c r="U3326" s="3">
        <v>35</v>
      </c>
      <c r="V3326" s="3" t="s">
        <v>11881</v>
      </c>
      <c r="W3326" s="45" t="str">
        <f>HYPERLINK("http://ictvonline.org/taxonomy/p/taxonomy-history?taxnode_id=201907655","ICTVonline=201907655")</f>
        <v>ICTVonline=201907655</v>
      </c>
      <c r="X3326" s="1" t="s">
        <v>11888</v>
      </c>
      <c r="Y3326" s="1" t="s">
        <v>11889</v>
      </c>
      <c r="Z3326" s="1" t="s">
        <v>11890</v>
      </c>
      <c r="AA3326" s="1">
        <v>201900000</v>
      </c>
      <c r="AB3326" s="1">
        <v>35</v>
      </c>
    </row>
    <row r="3327" spans="1:28" x14ac:dyDescent="0.2">
      <c r="A3327" s="1">
        <v>8626</v>
      </c>
      <c r="B3327" s="1" t="s">
        <v>6839</v>
      </c>
      <c r="D3327" s="1" t="s">
        <v>11735</v>
      </c>
      <c r="F3327" s="1" t="s">
        <v>11736</v>
      </c>
      <c r="H3327" s="1" t="s">
        <v>11854</v>
      </c>
      <c r="J3327" s="1" t="s">
        <v>11855</v>
      </c>
      <c r="L3327" s="1" t="s">
        <v>1752</v>
      </c>
      <c r="M3327" s="1" t="s">
        <v>1153</v>
      </c>
      <c r="N3327" s="1" t="s">
        <v>733</v>
      </c>
      <c r="P3327" s="1" t="s">
        <v>11891</v>
      </c>
      <c r="Q3327" s="3">
        <v>0</v>
      </c>
      <c r="R3327" s="23" t="s">
        <v>11739</v>
      </c>
      <c r="S3327" s="23" t="s">
        <v>6849</v>
      </c>
      <c r="T3327" s="23" t="s">
        <v>4864</v>
      </c>
      <c r="U3327" s="3">
        <v>35</v>
      </c>
      <c r="V3327" s="3" t="s">
        <v>11881</v>
      </c>
      <c r="W3327" s="45" t="str">
        <f>HYPERLINK("http://ictvonline.org/taxonomy/p/taxonomy-history?taxnode_id=201907656","ICTVonline=201907656")</f>
        <v>ICTVonline=201907656</v>
      </c>
      <c r="X3327" s="1" t="s">
        <v>11892</v>
      </c>
      <c r="Y3327" s="1" t="s">
        <v>11893</v>
      </c>
      <c r="Z3327" s="1" t="s">
        <v>11894</v>
      </c>
      <c r="AA3327" s="1">
        <v>201900000</v>
      </c>
      <c r="AB3327" s="1">
        <v>35</v>
      </c>
    </row>
    <row r="3328" spans="1:28" x14ac:dyDescent="0.2">
      <c r="A3328" s="1">
        <v>8630</v>
      </c>
      <c r="B3328" s="1" t="s">
        <v>6839</v>
      </c>
      <c r="D3328" s="1" t="s">
        <v>11735</v>
      </c>
      <c r="F3328" s="1" t="s">
        <v>11736</v>
      </c>
      <c r="H3328" s="1" t="s">
        <v>11854</v>
      </c>
      <c r="J3328" s="1" t="s">
        <v>11855</v>
      </c>
      <c r="L3328" s="1" t="s">
        <v>1752</v>
      </c>
      <c r="M3328" s="1" t="s">
        <v>1153</v>
      </c>
      <c r="N3328" s="1" t="s">
        <v>734</v>
      </c>
      <c r="P3328" s="1" t="s">
        <v>1586</v>
      </c>
      <c r="Q3328" s="3">
        <v>1</v>
      </c>
      <c r="R3328" s="23" t="s">
        <v>11739</v>
      </c>
      <c r="S3328" s="23" t="s">
        <v>6847</v>
      </c>
      <c r="T3328" s="23" t="s">
        <v>4866</v>
      </c>
      <c r="U3328" s="3">
        <v>35</v>
      </c>
      <c r="W3328" s="45" t="str">
        <f>HYPERLINK("http://ictvonline.org/taxonomy/p/taxonomy-history?taxnode_id=201904931","ICTVonline=201904931")</f>
        <v>ICTVonline=201904931</v>
      </c>
      <c r="AA3328" s="1">
        <v>201900000</v>
      </c>
      <c r="AB3328" s="1">
        <v>35</v>
      </c>
    </row>
    <row r="3329" spans="1:28" x14ac:dyDescent="0.2">
      <c r="A3329" s="1">
        <v>8632</v>
      </c>
      <c r="B3329" s="1" t="s">
        <v>6839</v>
      </c>
      <c r="D3329" s="1" t="s">
        <v>11735</v>
      </c>
      <c r="F3329" s="1" t="s">
        <v>11736</v>
      </c>
      <c r="H3329" s="1" t="s">
        <v>11854</v>
      </c>
      <c r="J3329" s="1" t="s">
        <v>11855</v>
      </c>
      <c r="L3329" s="1" t="s">
        <v>1752</v>
      </c>
      <c r="M3329" s="1" t="s">
        <v>1153</v>
      </c>
      <c r="N3329" s="1" t="s">
        <v>734</v>
      </c>
      <c r="P3329" s="1" t="s">
        <v>1583</v>
      </c>
      <c r="Q3329" s="3">
        <v>0</v>
      </c>
      <c r="R3329" s="23" t="s">
        <v>11739</v>
      </c>
      <c r="S3329" s="23" t="s">
        <v>6847</v>
      </c>
      <c r="T3329" s="23" t="s">
        <v>4866</v>
      </c>
      <c r="U3329" s="3">
        <v>35</v>
      </c>
      <c r="W3329" s="45" t="str">
        <f>HYPERLINK("http://ictvonline.org/taxonomy/p/taxonomy-history?taxnode_id=201904932","ICTVonline=201904932")</f>
        <v>ICTVonline=201904932</v>
      </c>
      <c r="AA3329" s="1">
        <v>201900000</v>
      </c>
      <c r="AB3329" s="1">
        <v>35</v>
      </c>
    </row>
    <row r="3330" spans="1:28" x14ac:dyDescent="0.2">
      <c r="A3330" s="1">
        <v>8634</v>
      </c>
      <c r="B3330" s="1" t="s">
        <v>6839</v>
      </c>
      <c r="D3330" s="1" t="s">
        <v>11735</v>
      </c>
      <c r="F3330" s="1" t="s">
        <v>11736</v>
      </c>
      <c r="H3330" s="1" t="s">
        <v>11854</v>
      </c>
      <c r="J3330" s="1" t="s">
        <v>11855</v>
      </c>
      <c r="L3330" s="1" t="s">
        <v>1752</v>
      </c>
      <c r="M3330" s="1" t="s">
        <v>1153</v>
      </c>
      <c r="N3330" s="1" t="s">
        <v>734</v>
      </c>
      <c r="P3330" s="1" t="s">
        <v>1892</v>
      </c>
      <c r="Q3330" s="3">
        <v>0</v>
      </c>
      <c r="R3330" s="23" t="s">
        <v>11739</v>
      </c>
      <c r="S3330" s="23" t="s">
        <v>6847</v>
      </c>
      <c r="T3330" s="23" t="s">
        <v>4866</v>
      </c>
      <c r="U3330" s="3">
        <v>35</v>
      </c>
      <c r="W3330" s="45" t="str">
        <f>HYPERLINK("http://ictvonline.org/taxonomy/p/taxonomy-history?taxnode_id=201904933","ICTVonline=201904933")</f>
        <v>ICTVonline=201904933</v>
      </c>
      <c r="AA3330" s="1">
        <v>201900000</v>
      </c>
      <c r="AB3330" s="1">
        <v>35</v>
      </c>
    </row>
    <row r="3331" spans="1:28" x14ac:dyDescent="0.2">
      <c r="A3331" s="1">
        <v>8636</v>
      </c>
      <c r="B3331" s="1" t="s">
        <v>6839</v>
      </c>
      <c r="D3331" s="1" t="s">
        <v>11735</v>
      </c>
      <c r="F3331" s="1" t="s">
        <v>11736</v>
      </c>
      <c r="H3331" s="1" t="s">
        <v>11854</v>
      </c>
      <c r="J3331" s="1" t="s">
        <v>11855</v>
      </c>
      <c r="L3331" s="1" t="s">
        <v>1752</v>
      </c>
      <c r="M3331" s="1" t="s">
        <v>1153</v>
      </c>
      <c r="N3331" s="1" t="s">
        <v>734</v>
      </c>
      <c r="P3331" s="1" t="s">
        <v>1893</v>
      </c>
      <c r="Q3331" s="3">
        <v>0</v>
      </c>
      <c r="R3331" s="23" t="s">
        <v>11739</v>
      </c>
      <c r="S3331" s="23" t="s">
        <v>6847</v>
      </c>
      <c r="T3331" s="23" t="s">
        <v>4866</v>
      </c>
      <c r="U3331" s="3">
        <v>35</v>
      </c>
      <c r="W3331" s="45" t="str">
        <f>HYPERLINK("http://ictvonline.org/taxonomy/p/taxonomy-history?taxnode_id=201904934","ICTVonline=201904934")</f>
        <v>ICTVonline=201904934</v>
      </c>
      <c r="AA3331" s="1">
        <v>201900000</v>
      </c>
      <c r="AB3331" s="1">
        <v>35</v>
      </c>
    </row>
    <row r="3332" spans="1:28" x14ac:dyDescent="0.2">
      <c r="A3332" s="1">
        <v>8638</v>
      </c>
      <c r="B3332" s="1" t="s">
        <v>6839</v>
      </c>
      <c r="D3332" s="1" t="s">
        <v>11735</v>
      </c>
      <c r="F3332" s="1" t="s">
        <v>11736</v>
      </c>
      <c r="H3332" s="1" t="s">
        <v>11854</v>
      </c>
      <c r="J3332" s="1" t="s">
        <v>11855</v>
      </c>
      <c r="L3332" s="1" t="s">
        <v>1752</v>
      </c>
      <c r="M3332" s="1" t="s">
        <v>1153</v>
      </c>
      <c r="N3332" s="1" t="s">
        <v>734</v>
      </c>
      <c r="P3332" s="1" t="s">
        <v>1894</v>
      </c>
      <c r="Q3332" s="3">
        <v>0</v>
      </c>
      <c r="R3332" s="23" t="s">
        <v>11739</v>
      </c>
      <c r="S3332" s="23" t="s">
        <v>6847</v>
      </c>
      <c r="T3332" s="23" t="s">
        <v>4866</v>
      </c>
      <c r="U3332" s="3">
        <v>35</v>
      </c>
      <c r="W3332" s="45" t="str">
        <f>HYPERLINK("http://ictvonline.org/taxonomy/p/taxonomy-history?taxnode_id=201904935","ICTVonline=201904935")</f>
        <v>ICTVonline=201904935</v>
      </c>
      <c r="AA3332" s="1">
        <v>201900000</v>
      </c>
      <c r="AB3332" s="1">
        <v>35</v>
      </c>
    </row>
    <row r="3333" spans="1:28" x14ac:dyDescent="0.2">
      <c r="A3333" s="1">
        <v>8640</v>
      </c>
      <c r="B3333" s="1" t="s">
        <v>6839</v>
      </c>
      <c r="D3333" s="1" t="s">
        <v>11735</v>
      </c>
      <c r="F3333" s="1" t="s">
        <v>11736</v>
      </c>
      <c r="H3333" s="1" t="s">
        <v>11854</v>
      </c>
      <c r="J3333" s="1" t="s">
        <v>11855</v>
      </c>
      <c r="L3333" s="1" t="s">
        <v>1752</v>
      </c>
      <c r="M3333" s="1" t="s">
        <v>1153</v>
      </c>
      <c r="N3333" s="1" t="s">
        <v>734</v>
      </c>
      <c r="P3333" s="1" t="s">
        <v>1895</v>
      </c>
      <c r="Q3333" s="3">
        <v>0</v>
      </c>
      <c r="R3333" s="23" t="s">
        <v>11739</v>
      </c>
      <c r="S3333" s="23" t="s">
        <v>6847</v>
      </c>
      <c r="T3333" s="23" t="s">
        <v>4866</v>
      </c>
      <c r="U3333" s="3">
        <v>35</v>
      </c>
      <c r="W3333" s="45" t="str">
        <f>HYPERLINK("http://ictvonline.org/taxonomy/p/taxonomy-history?taxnode_id=201904936","ICTVonline=201904936")</f>
        <v>ICTVonline=201904936</v>
      </c>
      <c r="AA3333" s="1">
        <v>201900000</v>
      </c>
      <c r="AB3333" s="1">
        <v>35</v>
      </c>
    </row>
    <row r="3334" spans="1:28" x14ac:dyDescent="0.2">
      <c r="A3334" s="1">
        <v>8642</v>
      </c>
      <c r="B3334" s="1" t="s">
        <v>6839</v>
      </c>
      <c r="D3334" s="1" t="s">
        <v>11735</v>
      </c>
      <c r="F3334" s="1" t="s">
        <v>11736</v>
      </c>
      <c r="H3334" s="1" t="s">
        <v>11854</v>
      </c>
      <c r="J3334" s="1" t="s">
        <v>11855</v>
      </c>
      <c r="L3334" s="1" t="s">
        <v>1752</v>
      </c>
      <c r="M3334" s="1" t="s">
        <v>1153</v>
      </c>
      <c r="N3334" s="1" t="s">
        <v>734</v>
      </c>
      <c r="P3334" s="1" t="s">
        <v>1896</v>
      </c>
      <c r="Q3334" s="3">
        <v>0</v>
      </c>
      <c r="R3334" s="23" t="s">
        <v>11739</v>
      </c>
      <c r="S3334" s="23" t="s">
        <v>6847</v>
      </c>
      <c r="T3334" s="23" t="s">
        <v>4866</v>
      </c>
      <c r="U3334" s="3">
        <v>35</v>
      </c>
      <c r="W3334" s="45" t="str">
        <f>HYPERLINK("http://ictvonline.org/taxonomy/p/taxonomy-history?taxnode_id=201904937","ICTVonline=201904937")</f>
        <v>ICTVonline=201904937</v>
      </c>
      <c r="AA3334" s="1">
        <v>201900000</v>
      </c>
      <c r="AB3334" s="1">
        <v>35</v>
      </c>
    </row>
    <row r="3335" spans="1:28" x14ac:dyDescent="0.2">
      <c r="A3335" s="1">
        <v>8644</v>
      </c>
      <c r="B3335" s="1" t="s">
        <v>6839</v>
      </c>
      <c r="D3335" s="1" t="s">
        <v>11735</v>
      </c>
      <c r="F3335" s="1" t="s">
        <v>11736</v>
      </c>
      <c r="H3335" s="1" t="s">
        <v>11854</v>
      </c>
      <c r="J3335" s="1" t="s">
        <v>11855</v>
      </c>
      <c r="L3335" s="1" t="s">
        <v>1752</v>
      </c>
      <c r="M3335" s="1" t="s">
        <v>1153</v>
      </c>
      <c r="N3335" s="1" t="s">
        <v>734</v>
      </c>
      <c r="P3335" s="1" t="s">
        <v>1587</v>
      </c>
      <c r="Q3335" s="3">
        <v>0</v>
      </c>
      <c r="R3335" s="23" t="s">
        <v>11739</v>
      </c>
      <c r="S3335" s="23" t="s">
        <v>6847</v>
      </c>
      <c r="T3335" s="23" t="s">
        <v>4866</v>
      </c>
      <c r="U3335" s="3">
        <v>35</v>
      </c>
      <c r="W3335" s="45" t="str">
        <f>HYPERLINK("http://ictvonline.org/taxonomy/p/taxonomy-history?taxnode_id=201904938","ICTVonline=201904938")</f>
        <v>ICTVonline=201904938</v>
      </c>
      <c r="AA3335" s="1">
        <v>201900000</v>
      </c>
      <c r="AB3335" s="1">
        <v>35</v>
      </c>
    </row>
    <row r="3336" spans="1:28" x14ac:dyDescent="0.2">
      <c r="A3336" s="1">
        <v>8646</v>
      </c>
      <c r="B3336" s="1" t="s">
        <v>6839</v>
      </c>
      <c r="D3336" s="1" t="s">
        <v>11735</v>
      </c>
      <c r="F3336" s="1" t="s">
        <v>11736</v>
      </c>
      <c r="H3336" s="1" t="s">
        <v>11854</v>
      </c>
      <c r="J3336" s="1" t="s">
        <v>11855</v>
      </c>
      <c r="L3336" s="1" t="s">
        <v>1752</v>
      </c>
      <c r="M3336" s="1" t="s">
        <v>1153</v>
      </c>
      <c r="N3336" s="1" t="s">
        <v>734</v>
      </c>
      <c r="P3336" s="1" t="s">
        <v>1588</v>
      </c>
      <c r="Q3336" s="3">
        <v>0</v>
      </c>
      <c r="R3336" s="23" t="s">
        <v>11739</v>
      </c>
      <c r="S3336" s="23" t="s">
        <v>6847</v>
      </c>
      <c r="T3336" s="23" t="s">
        <v>4866</v>
      </c>
      <c r="U3336" s="3">
        <v>35</v>
      </c>
      <c r="W3336" s="45" t="str">
        <f>HYPERLINK("http://ictvonline.org/taxonomy/p/taxonomy-history?taxnode_id=201904939","ICTVonline=201904939")</f>
        <v>ICTVonline=201904939</v>
      </c>
      <c r="AA3336" s="1">
        <v>201900000</v>
      </c>
      <c r="AB3336" s="1">
        <v>35</v>
      </c>
    </row>
    <row r="3337" spans="1:28" x14ac:dyDescent="0.2">
      <c r="A3337" s="1">
        <v>8648</v>
      </c>
      <c r="B3337" s="1" t="s">
        <v>6839</v>
      </c>
      <c r="D3337" s="1" t="s">
        <v>11735</v>
      </c>
      <c r="F3337" s="1" t="s">
        <v>11736</v>
      </c>
      <c r="H3337" s="1" t="s">
        <v>11854</v>
      </c>
      <c r="J3337" s="1" t="s">
        <v>11855</v>
      </c>
      <c r="L3337" s="1" t="s">
        <v>1752</v>
      </c>
      <c r="M3337" s="1" t="s">
        <v>1153</v>
      </c>
      <c r="N3337" s="1" t="s">
        <v>734</v>
      </c>
      <c r="P3337" s="1" t="s">
        <v>1811</v>
      </c>
      <c r="Q3337" s="3">
        <v>0</v>
      </c>
      <c r="R3337" s="23" t="s">
        <v>11739</v>
      </c>
      <c r="S3337" s="23" t="s">
        <v>6847</v>
      </c>
      <c r="T3337" s="23" t="s">
        <v>4866</v>
      </c>
      <c r="U3337" s="3">
        <v>35</v>
      </c>
      <c r="W3337" s="45" t="str">
        <f>HYPERLINK("http://ictvonline.org/taxonomy/p/taxonomy-history?taxnode_id=201904940","ICTVonline=201904940")</f>
        <v>ICTVonline=201904940</v>
      </c>
      <c r="AA3337" s="1">
        <v>201900000</v>
      </c>
      <c r="AB3337" s="1">
        <v>35</v>
      </c>
    </row>
    <row r="3338" spans="1:28" x14ac:dyDescent="0.2">
      <c r="A3338" s="1">
        <v>8650</v>
      </c>
      <c r="B3338" s="1" t="s">
        <v>6839</v>
      </c>
      <c r="D3338" s="1" t="s">
        <v>11735</v>
      </c>
      <c r="F3338" s="1" t="s">
        <v>11736</v>
      </c>
      <c r="H3338" s="1" t="s">
        <v>11854</v>
      </c>
      <c r="J3338" s="1" t="s">
        <v>11855</v>
      </c>
      <c r="L3338" s="1" t="s">
        <v>1752</v>
      </c>
      <c r="M3338" s="1" t="s">
        <v>1153</v>
      </c>
      <c r="N3338" s="1" t="s">
        <v>734</v>
      </c>
      <c r="P3338" s="1" t="s">
        <v>1812</v>
      </c>
      <c r="Q3338" s="3">
        <v>0</v>
      </c>
      <c r="R3338" s="23" t="s">
        <v>11739</v>
      </c>
      <c r="S3338" s="23" t="s">
        <v>6847</v>
      </c>
      <c r="T3338" s="23" t="s">
        <v>4866</v>
      </c>
      <c r="U3338" s="3">
        <v>35</v>
      </c>
      <c r="W3338" s="45" t="str">
        <f>HYPERLINK("http://ictvonline.org/taxonomy/p/taxonomy-history?taxnode_id=201904941","ICTVonline=201904941")</f>
        <v>ICTVonline=201904941</v>
      </c>
      <c r="AA3338" s="1">
        <v>201900000</v>
      </c>
      <c r="AB3338" s="1">
        <v>35</v>
      </c>
    </row>
    <row r="3339" spans="1:28" x14ac:dyDescent="0.2">
      <c r="A3339" s="1">
        <v>8652</v>
      </c>
      <c r="B3339" s="1" t="s">
        <v>6839</v>
      </c>
      <c r="D3339" s="1" t="s">
        <v>11735</v>
      </c>
      <c r="F3339" s="1" t="s">
        <v>11736</v>
      </c>
      <c r="H3339" s="1" t="s">
        <v>11854</v>
      </c>
      <c r="J3339" s="1" t="s">
        <v>11855</v>
      </c>
      <c r="L3339" s="1" t="s">
        <v>1752</v>
      </c>
      <c r="M3339" s="1" t="s">
        <v>1153</v>
      </c>
      <c r="N3339" s="1" t="s">
        <v>734</v>
      </c>
      <c r="P3339" s="1" t="s">
        <v>1813</v>
      </c>
      <c r="Q3339" s="3">
        <v>0</v>
      </c>
      <c r="R3339" s="23" t="s">
        <v>11739</v>
      </c>
      <c r="S3339" s="23" t="s">
        <v>6847</v>
      </c>
      <c r="T3339" s="23" t="s">
        <v>4866</v>
      </c>
      <c r="U3339" s="3">
        <v>35</v>
      </c>
      <c r="W3339" s="45" t="str">
        <f>HYPERLINK("http://ictvonline.org/taxonomy/p/taxonomy-history?taxnode_id=201904942","ICTVonline=201904942")</f>
        <v>ICTVonline=201904942</v>
      </c>
      <c r="AA3339" s="1">
        <v>201900000</v>
      </c>
      <c r="AB3339" s="1">
        <v>35</v>
      </c>
    </row>
    <row r="3340" spans="1:28" x14ac:dyDescent="0.2">
      <c r="A3340" s="1">
        <v>8654</v>
      </c>
      <c r="B3340" s="1" t="s">
        <v>6839</v>
      </c>
      <c r="D3340" s="1" t="s">
        <v>11735</v>
      </c>
      <c r="F3340" s="1" t="s">
        <v>11736</v>
      </c>
      <c r="H3340" s="1" t="s">
        <v>11854</v>
      </c>
      <c r="J3340" s="1" t="s">
        <v>11855</v>
      </c>
      <c r="L3340" s="1" t="s">
        <v>1752</v>
      </c>
      <c r="M3340" s="1" t="s">
        <v>1153</v>
      </c>
      <c r="N3340" s="1" t="s">
        <v>734</v>
      </c>
      <c r="P3340" s="1" t="s">
        <v>1579</v>
      </c>
      <c r="Q3340" s="3">
        <v>0</v>
      </c>
      <c r="R3340" s="23" t="s">
        <v>11739</v>
      </c>
      <c r="S3340" s="23" t="s">
        <v>6847</v>
      </c>
      <c r="T3340" s="23" t="s">
        <v>4866</v>
      </c>
      <c r="U3340" s="3">
        <v>35</v>
      </c>
      <c r="W3340" s="45" t="str">
        <f>HYPERLINK("http://ictvonline.org/taxonomy/p/taxonomy-history?taxnode_id=201904943","ICTVonline=201904943")</f>
        <v>ICTVonline=201904943</v>
      </c>
      <c r="AA3340" s="1">
        <v>201900000</v>
      </c>
      <c r="AB3340" s="1">
        <v>35</v>
      </c>
    </row>
    <row r="3341" spans="1:28" x14ac:dyDescent="0.2">
      <c r="A3341" s="1">
        <v>8656</v>
      </c>
      <c r="B3341" s="1" t="s">
        <v>6839</v>
      </c>
      <c r="D3341" s="1" t="s">
        <v>11735</v>
      </c>
      <c r="F3341" s="1" t="s">
        <v>11736</v>
      </c>
      <c r="H3341" s="1" t="s">
        <v>11854</v>
      </c>
      <c r="J3341" s="1" t="s">
        <v>11855</v>
      </c>
      <c r="L3341" s="1" t="s">
        <v>1752</v>
      </c>
      <c r="M3341" s="1" t="s">
        <v>1153</v>
      </c>
      <c r="N3341" s="1" t="s">
        <v>734</v>
      </c>
      <c r="P3341" s="1" t="s">
        <v>1580</v>
      </c>
      <c r="Q3341" s="3">
        <v>0</v>
      </c>
      <c r="R3341" s="23" t="s">
        <v>11739</v>
      </c>
      <c r="S3341" s="23" t="s">
        <v>6847</v>
      </c>
      <c r="T3341" s="23" t="s">
        <v>4866</v>
      </c>
      <c r="U3341" s="3">
        <v>35</v>
      </c>
      <c r="W3341" s="45" t="str">
        <f>HYPERLINK("http://ictvonline.org/taxonomy/p/taxonomy-history?taxnode_id=201904944","ICTVonline=201904944")</f>
        <v>ICTVonline=201904944</v>
      </c>
      <c r="AA3341" s="1">
        <v>201900000</v>
      </c>
      <c r="AB3341" s="1">
        <v>35</v>
      </c>
    </row>
    <row r="3342" spans="1:28" x14ac:dyDescent="0.2">
      <c r="A3342" s="1">
        <v>8658</v>
      </c>
      <c r="B3342" s="1" t="s">
        <v>6839</v>
      </c>
      <c r="D3342" s="1" t="s">
        <v>11735</v>
      </c>
      <c r="F3342" s="1" t="s">
        <v>11736</v>
      </c>
      <c r="H3342" s="1" t="s">
        <v>11854</v>
      </c>
      <c r="J3342" s="1" t="s">
        <v>11855</v>
      </c>
      <c r="L3342" s="1" t="s">
        <v>1752</v>
      </c>
      <c r="M3342" s="1" t="s">
        <v>1153</v>
      </c>
      <c r="N3342" s="1" t="s">
        <v>734</v>
      </c>
      <c r="P3342" s="1" t="s">
        <v>1581</v>
      </c>
      <c r="Q3342" s="3">
        <v>0</v>
      </c>
      <c r="R3342" s="23" t="s">
        <v>11739</v>
      </c>
      <c r="S3342" s="23" t="s">
        <v>6847</v>
      </c>
      <c r="T3342" s="23" t="s">
        <v>4866</v>
      </c>
      <c r="U3342" s="3">
        <v>35</v>
      </c>
      <c r="W3342" s="45" t="str">
        <f>HYPERLINK("http://ictvonline.org/taxonomy/p/taxonomy-history?taxnode_id=201904945","ICTVonline=201904945")</f>
        <v>ICTVonline=201904945</v>
      </c>
      <c r="AA3342" s="1">
        <v>201900000</v>
      </c>
      <c r="AB3342" s="1">
        <v>35</v>
      </c>
    </row>
    <row r="3343" spans="1:28" x14ac:dyDescent="0.2">
      <c r="A3343" s="1">
        <v>8660</v>
      </c>
      <c r="B3343" s="1" t="s">
        <v>6839</v>
      </c>
      <c r="D3343" s="1" t="s">
        <v>11735</v>
      </c>
      <c r="F3343" s="1" t="s">
        <v>11736</v>
      </c>
      <c r="H3343" s="1" t="s">
        <v>11854</v>
      </c>
      <c r="J3343" s="1" t="s">
        <v>11855</v>
      </c>
      <c r="L3343" s="1" t="s">
        <v>1752</v>
      </c>
      <c r="M3343" s="1" t="s">
        <v>1153</v>
      </c>
      <c r="N3343" s="1" t="s">
        <v>734</v>
      </c>
      <c r="P3343" s="1" t="s">
        <v>1582</v>
      </c>
      <c r="Q3343" s="3">
        <v>0</v>
      </c>
      <c r="R3343" s="23" t="s">
        <v>11739</v>
      </c>
      <c r="S3343" s="23" t="s">
        <v>6847</v>
      </c>
      <c r="T3343" s="23" t="s">
        <v>4866</v>
      </c>
      <c r="U3343" s="3">
        <v>35</v>
      </c>
      <c r="W3343" s="45" t="str">
        <f>HYPERLINK("http://ictvonline.org/taxonomy/p/taxonomy-history?taxnode_id=201904946","ICTVonline=201904946")</f>
        <v>ICTVonline=201904946</v>
      </c>
      <c r="AA3343" s="1">
        <v>201900000</v>
      </c>
      <c r="AB3343" s="1">
        <v>35</v>
      </c>
    </row>
    <row r="3344" spans="1:28" x14ac:dyDescent="0.2">
      <c r="A3344" s="1">
        <v>8664</v>
      </c>
      <c r="B3344" s="1" t="s">
        <v>6839</v>
      </c>
      <c r="D3344" s="1" t="s">
        <v>11735</v>
      </c>
      <c r="F3344" s="1" t="s">
        <v>11736</v>
      </c>
      <c r="H3344" s="1" t="s">
        <v>11854</v>
      </c>
      <c r="J3344" s="1" t="s">
        <v>11855</v>
      </c>
      <c r="L3344" s="1" t="s">
        <v>1752</v>
      </c>
      <c r="M3344" s="1" t="s">
        <v>1153</v>
      </c>
      <c r="N3344" s="1" t="s">
        <v>1589</v>
      </c>
      <c r="P3344" s="1" t="s">
        <v>1815</v>
      </c>
      <c r="Q3344" s="3">
        <v>1</v>
      </c>
      <c r="R3344" s="23" t="s">
        <v>11739</v>
      </c>
      <c r="S3344" s="23" t="s">
        <v>6847</v>
      </c>
      <c r="T3344" s="23" t="s">
        <v>4866</v>
      </c>
      <c r="U3344" s="3">
        <v>35</v>
      </c>
      <c r="W3344" s="45" t="str">
        <f>HYPERLINK("http://ictvonline.org/taxonomy/p/taxonomy-history?taxnode_id=201904948","ICTVonline=201904948")</f>
        <v>ICTVonline=201904948</v>
      </c>
      <c r="AA3344" s="1">
        <v>201900000</v>
      </c>
      <c r="AB3344" s="1">
        <v>35</v>
      </c>
    </row>
    <row r="3345" spans="1:28" x14ac:dyDescent="0.2">
      <c r="A3345" s="1">
        <v>8668</v>
      </c>
      <c r="B3345" s="1" t="s">
        <v>6839</v>
      </c>
      <c r="D3345" s="1" t="s">
        <v>11735</v>
      </c>
      <c r="F3345" s="1" t="s">
        <v>11736</v>
      </c>
      <c r="H3345" s="1" t="s">
        <v>11854</v>
      </c>
      <c r="J3345" s="1" t="s">
        <v>11855</v>
      </c>
      <c r="L3345" s="1" t="s">
        <v>1752</v>
      </c>
      <c r="M3345" s="1" t="s">
        <v>1153</v>
      </c>
      <c r="N3345" s="1" t="s">
        <v>1816</v>
      </c>
      <c r="P3345" s="1" t="s">
        <v>1817</v>
      </c>
      <c r="Q3345" s="3">
        <v>1</v>
      </c>
      <c r="R3345" s="23" t="s">
        <v>11739</v>
      </c>
      <c r="S3345" s="23" t="s">
        <v>6847</v>
      </c>
      <c r="T3345" s="23" t="s">
        <v>4866</v>
      </c>
      <c r="U3345" s="3">
        <v>35</v>
      </c>
      <c r="W3345" s="45" t="str">
        <f>HYPERLINK("http://ictvonline.org/taxonomy/p/taxonomy-history?taxnode_id=201904950","ICTVonline=201904950")</f>
        <v>ICTVonline=201904950</v>
      </c>
      <c r="Y3345" s="1" t="s">
        <v>11895</v>
      </c>
      <c r="Z3345" s="1" t="s">
        <v>11896</v>
      </c>
      <c r="AA3345" s="1">
        <v>201900000</v>
      </c>
      <c r="AB3345" s="1">
        <v>35</v>
      </c>
    </row>
    <row r="3346" spans="1:28" x14ac:dyDescent="0.2">
      <c r="A3346" s="1">
        <v>8670</v>
      </c>
      <c r="B3346" s="1" t="s">
        <v>6839</v>
      </c>
      <c r="D3346" s="1" t="s">
        <v>11735</v>
      </c>
      <c r="F3346" s="1" t="s">
        <v>11736</v>
      </c>
      <c r="H3346" s="1" t="s">
        <v>11854</v>
      </c>
      <c r="J3346" s="1" t="s">
        <v>11855</v>
      </c>
      <c r="L3346" s="1" t="s">
        <v>1752</v>
      </c>
      <c r="M3346" s="1" t="s">
        <v>1153</v>
      </c>
      <c r="N3346" s="1" t="s">
        <v>1816</v>
      </c>
      <c r="P3346" s="1" t="s">
        <v>1818</v>
      </c>
      <c r="Q3346" s="3">
        <v>0</v>
      </c>
      <c r="R3346" s="23" t="s">
        <v>11739</v>
      </c>
      <c r="S3346" s="23" t="s">
        <v>6847</v>
      </c>
      <c r="T3346" s="23" t="s">
        <v>4866</v>
      </c>
      <c r="U3346" s="3">
        <v>35</v>
      </c>
      <c r="W3346" s="45" t="str">
        <f>HYPERLINK("http://ictvonline.org/taxonomy/p/taxonomy-history?taxnode_id=201904951","ICTVonline=201904951")</f>
        <v>ICTVonline=201904951</v>
      </c>
      <c r="AA3346" s="1">
        <v>201900000</v>
      </c>
      <c r="AB3346" s="1">
        <v>35</v>
      </c>
    </row>
    <row r="3347" spans="1:28" x14ac:dyDescent="0.2">
      <c r="A3347" s="1">
        <v>8672</v>
      </c>
      <c r="B3347" s="1" t="s">
        <v>6839</v>
      </c>
      <c r="D3347" s="1" t="s">
        <v>11735</v>
      </c>
      <c r="F3347" s="1" t="s">
        <v>11736</v>
      </c>
      <c r="H3347" s="1" t="s">
        <v>11854</v>
      </c>
      <c r="J3347" s="1" t="s">
        <v>11855</v>
      </c>
      <c r="L3347" s="1" t="s">
        <v>1752</v>
      </c>
      <c r="M3347" s="1" t="s">
        <v>1153</v>
      </c>
      <c r="N3347" s="1" t="s">
        <v>1816</v>
      </c>
      <c r="P3347" s="1" t="s">
        <v>1594</v>
      </c>
      <c r="Q3347" s="3">
        <v>0</v>
      </c>
      <c r="R3347" s="23" t="s">
        <v>11739</v>
      </c>
      <c r="S3347" s="23" t="s">
        <v>6847</v>
      </c>
      <c r="T3347" s="23" t="s">
        <v>4866</v>
      </c>
      <c r="U3347" s="3">
        <v>35</v>
      </c>
      <c r="W3347" s="45" t="str">
        <f>HYPERLINK("http://ictvonline.org/taxonomy/p/taxonomy-history?taxnode_id=201904952","ICTVonline=201904952")</f>
        <v>ICTVonline=201904952</v>
      </c>
      <c r="Y3347" s="1" t="s">
        <v>11897</v>
      </c>
      <c r="Z3347" s="1" t="s">
        <v>11898</v>
      </c>
      <c r="AA3347" s="1">
        <v>201900000</v>
      </c>
      <c r="AB3347" s="1">
        <v>35</v>
      </c>
    </row>
    <row r="3348" spans="1:28" x14ac:dyDescent="0.2">
      <c r="A3348" s="1">
        <v>8674</v>
      </c>
      <c r="B3348" s="1" t="s">
        <v>6839</v>
      </c>
      <c r="D3348" s="1" t="s">
        <v>11735</v>
      </c>
      <c r="F3348" s="1" t="s">
        <v>11736</v>
      </c>
      <c r="H3348" s="1" t="s">
        <v>11854</v>
      </c>
      <c r="J3348" s="1" t="s">
        <v>11855</v>
      </c>
      <c r="L3348" s="1" t="s">
        <v>1752</v>
      </c>
      <c r="M3348" s="1" t="s">
        <v>1153</v>
      </c>
      <c r="N3348" s="1" t="s">
        <v>1816</v>
      </c>
      <c r="P3348" s="1" t="s">
        <v>1595</v>
      </c>
      <c r="Q3348" s="3">
        <v>0</v>
      </c>
      <c r="R3348" s="23" t="s">
        <v>11739</v>
      </c>
      <c r="S3348" s="23" t="s">
        <v>6847</v>
      </c>
      <c r="T3348" s="23" t="s">
        <v>4866</v>
      </c>
      <c r="U3348" s="3">
        <v>35</v>
      </c>
      <c r="W3348" s="45" t="str">
        <f>HYPERLINK("http://ictvonline.org/taxonomy/p/taxonomy-history?taxnode_id=201904953","ICTVonline=201904953")</f>
        <v>ICTVonline=201904953</v>
      </c>
      <c r="Y3348" s="1" t="s">
        <v>11899</v>
      </c>
      <c r="Z3348" s="1" t="s">
        <v>11900</v>
      </c>
      <c r="AA3348" s="1">
        <v>201900000</v>
      </c>
      <c r="AB3348" s="1">
        <v>35</v>
      </c>
    </row>
    <row r="3349" spans="1:28" x14ac:dyDescent="0.2">
      <c r="A3349" s="1">
        <v>8676</v>
      </c>
      <c r="B3349" s="1" t="s">
        <v>6839</v>
      </c>
      <c r="D3349" s="1" t="s">
        <v>11735</v>
      </c>
      <c r="F3349" s="1" t="s">
        <v>11736</v>
      </c>
      <c r="H3349" s="1" t="s">
        <v>11854</v>
      </c>
      <c r="J3349" s="1" t="s">
        <v>11855</v>
      </c>
      <c r="L3349" s="1" t="s">
        <v>1752</v>
      </c>
      <c r="M3349" s="1" t="s">
        <v>1153</v>
      </c>
      <c r="N3349" s="1" t="s">
        <v>1816</v>
      </c>
      <c r="P3349" s="1" t="s">
        <v>1596</v>
      </c>
      <c r="Q3349" s="3">
        <v>0</v>
      </c>
      <c r="R3349" s="23" t="s">
        <v>11739</v>
      </c>
      <c r="S3349" s="23" t="s">
        <v>6847</v>
      </c>
      <c r="T3349" s="23" t="s">
        <v>4866</v>
      </c>
      <c r="U3349" s="3">
        <v>35</v>
      </c>
      <c r="W3349" s="45" t="str">
        <f>HYPERLINK("http://ictvonline.org/taxonomy/p/taxonomy-history?taxnode_id=201904954","ICTVonline=201904954")</f>
        <v>ICTVonline=201904954</v>
      </c>
      <c r="Y3349" s="1" t="s">
        <v>11901</v>
      </c>
      <c r="Z3349" s="1" t="s">
        <v>11902</v>
      </c>
      <c r="AA3349" s="1">
        <v>201900000</v>
      </c>
      <c r="AB3349" s="1">
        <v>35</v>
      </c>
    </row>
    <row r="3350" spans="1:28" x14ac:dyDescent="0.2">
      <c r="A3350" s="1">
        <v>8678</v>
      </c>
      <c r="B3350" s="1" t="s">
        <v>6839</v>
      </c>
      <c r="D3350" s="1" t="s">
        <v>11735</v>
      </c>
      <c r="F3350" s="1" t="s">
        <v>11736</v>
      </c>
      <c r="H3350" s="1" t="s">
        <v>11854</v>
      </c>
      <c r="J3350" s="1" t="s">
        <v>11855</v>
      </c>
      <c r="L3350" s="1" t="s">
        <v>1752</v>
      </c>
      <c r="M3350" s="1" t="s">
        <v>1153</v>
      </c>
      <c r="N3350" s="1" t="s">
        <v>1816</v>
      </c>
      <c r="P3350" s="1" t="s">
        <v>1508</v>
      </c>
      <c r="Q3350" s="3">
        <v>0</v>
      </c>
      <c r="R3350" s="23" t="s">
        <v>11739</v>
      </c>
      <c r="S3350" s="23" t="s">
        <v>6847</v>
      </c>
      <c r="T3350" s="23" t="s">
        <v>4866</v>
      </c>
      <c r="U3350" s="3">
        <v>35</v>
      </c>
      <c r="W3350" s="45" t="str">
        <f>HYPERLINK("http://ictvonline.org/taxonomy/p/taxonomy-history?taxnode_id=201904955","ICTVonline=201904955")</f>
        <v>ICTVonline=201904955</v>
      </c>
      <c r="Y3350" s="1" t="s">
        <v>11903</v>
      </c>
      <c r="Z3350" s="1" t="s">
        <v>11904</v>
      </c>
      <c r="AA3350" s="1">
        <v>201900000</v>
      </c>
      <c r="AB3350" s="1">
        <v>35</v>
      </c>
    </row>
    <row r="3351" spans="1:28" x14ac:dyDescent="0.2">
      <c r="A3351" s="1">
        <v>8680</v>
      </c>
      <c r="B3351" s="1" t="s">
        <v>6839</v>
      </c>
      <c r="D3351" s="1" t="s">
        <v>11735</v>
      </c>
      <c r="F3351" s="1" t="s">
        <v>11736</v>
      </c>
      <c r="H3351" s="1" t="s">
        <v>11854</v>
      </c>
      <c r="J3351" s="1" t="s">
        <v>11855</v>
      </c>
      <c r="L3351" s="1" t="s">
        <v>1752</v>
      </c>
      <c r="M3351" s="1" t="s">
        <v>1153</v>
      </c>
      <c r="N3351" s="1" t="s">
        <v>1816</v>
      </c>
      <c r="P3351" s="1" t="s">
        <v>1509</v>
      </c>
      <c r="Q3351" s="3">
        <v>0</v>
      </c>
      <c r="R3351" s="23" t="s">
        <v>11739</v>
      </c>
      <c r="S3351" s="23" t="s">
        <v>6847</v>
      </c>
      <c r="T3351" s="23" t="s">
        <v>4866</v>
      </c>
      <c r="U3351" s="3">
        <v>35</v>
      </c>
      <c r="W3351" s="45" t="str">
        <f>HYPERLINK("http://ictvonline.org/taxonomy/p/taxonomy-history?taxnode_id=201904956","ICTVonline=201904956")</f>
        <v>ICTVonline=201904956</v>
      </c>
      <c r="AA3351" s="1">
        <v>201900000</v>
      </c>
      <c r="AB3351" s="1">
        <v>35</v>
      </c>
    </row>
    <row r="3352" spans="1:28" x14ac:dyDescent="0.2">
      <c r="A3352" s="1">
        <v>8682</v>
      </c>
      <c r="B3352" s="1" t="s">
        <v>6839</v>
      </c>
      <c r="D3352" s="1" t="s">
        <v>11735</v>
      </c>
      <c r="F3352" s="1" t="s">
        <v>11736</v>
      </c>
      <c r="H3352" s="1" t="s">
        <v>11854</v>
      </c>
      <c r="J3352" s="1" t="s">
        <v>11855</v>
      </c>
      <c r="L3352" s="1" t="s">
        <v>1752</v>
      </c>
      <c r="M3352" s="1" t="s">
        <v>1153</v>
      </c>
      <c r="N3352" s="1" t="s">
        <v>1816</v>
      </c>
      <c r="P3352" s="1" t="s">
        <v>1597</v>
      </c>
      <c r="Q3352" s="3">
        <v>0</v>
      </c>
      <c r="R3352" s="23" t="s">
        <v>11739</v>
      </c>
      <c r="S3352" s="23" t="s">
        <v>6847</v>
      </c>
      <c r="T3352" s="23" t="s">
        <v>4866</v>
      </c>
      <c r="U3352" s="3">
        <v>35</v>
      </c>
      <c r="W3352" s="45" t="str">
        <f>HYPERLINK("http://ictvonline.org/taxonomy/p/taxonomy-history?taxnode_id=201904957","ICTVonline=201904957")</f>
        <v>ICTVonline=201904957</v>
      </c>
      <c r="Y3352" s="1" t="s">
        <v>11905</v>
      </c>
      <c r="Z3352" s="1" t="s">
        <v>11906</v>
      </c>
      <c r="AA3352" s="1">
        <v>201900000</v>
      </c>
      <c r="AB3352" s="1">
        <v>35</v>
      </c>
    </row>
    <row r="3353" spans="1:28" x14ac:dyDescent="0.2">
      <c r="A3353" s="1">
        <v>8684</v>
      </c>
      <c r="B3353" s="1" t="s">
        <v>6839</v>
      </c>
      <c r="D3353" s="1" t="s">
        <v>11735</v>
      </c>
      <c r="F3353" s="1" t="s">
        <v>11736</v>
      </c>
      <c r="H3353" s="1" t="s">
        <v>11854</v>
      </c>
      <c r="J3353" s="1" t="s">
        <v>11855</v>
      </c>
      <c r="L3353" s="1" t="s">
        <v>1752</v>
      </c>
      <c r="M3353" s="1" t="s">
        <v>1153</v>
      </c>
      <c r="N3353" s="1" t="s">
        <v>1816</v>
      </c>
      <c r="P3353" s="1" t="s">
        <v>3948</v>
      </c>
      <c r="Q3353" s="3">
        <v>0</v>
      </c>
      <c r="R3353" s="23" t="s">
        <v>11739</v>
      </c>
      <c r="S3353" s="23" t="s">
        <v>6847</v>
      </c>
      <c r="T3353" s="23" t="s">
        <v>4866</v>
      </c>
      <c r="U3353" s="3">
        <v>35</v>
      </c>
      <c r="W3353" s="45" t="str">
        <f>HYPERLINK("http://ictvonline.org/taxonomy/p/taxonomy-history?taxnode_id=201904958","ICTVonline=201904958")</f>
        <v>ICTVonline=201904958</v>
      </c>
      <c r="X3353" s="1" t="s">
        <v>11907</v>
      </c>
      <c r="Y3353" s="1" t="s">
        <v>11908</v>
      </c>
      <c r="Z3353" s="1" t="s">
        <v>11909</v>
      </c>
      <c r="AA3353" s="1">
        <v>201900000</v>
      </c>
      <c r="AB3353" s="1">
        <v>35</v>
      </c>
    </row>
    <row r="3354" spans="1:28" x14ac:dyDescent="0.2">
      <c r="A3354" s="1">
        <v>8688</v>
      </c>
      <c r="B3354" s="1" t="s">
        <v>6839</v>
      </c>
      <c r="D3354" s="1" t="s">
        <v>11735</v>
      </c>
      <c r="F3354" s="1" t="s">
        <v>11736</v>
      </c>
      <c r="H3354" s="1" t="s">
        <v>11854</v>
      </c>
      <c r="J3354" s="1" t="s">
        <v>11855</v>
      </c>
      <c r="L3354" s="1" t="s">
        <v>1752</v>
      </c>
      <c r="M3354" s="1" t="s">
        <v>1153</v>
      </c>
      <c r="N3354" s="1" t="s">
        <v>1598</v>
      </c>
      <c r="P3354" s="1" t="s">
        <v>1353</v>
      </c>
      <c r="Q3354" s="3">
        <v>1</v>
      </c>
      <c r="R3354" s="23" t="s">
        <v>11739</v>
      </c>
      <c r="S3354" s="23" t="s">
        <v>6847</v>
      </c>
      <c r="T3354" s="23" t="s">
        <v>4866</v>
      </c>
      <c r="U3354" s="3">
        <v>35</v>
      </c>
      <c r="W3354" s="45" t="str">
        <f>HYPERLINK("http://ictvonline.org/taxonomy/p/taxonomy-history?taxnode_id=201904960","ICTVonline=201904960")</f>
        <v>ICTVonline=201904960</v>
      </c>
      <c r="AA3354" s="1">
        <v>201900000</v>
      </c>
      <c r="AB3354" s="1">
        <v>35</v>
      </c>
    </row>
    <row r="3355" spans="1:28" x14ac:dyDescent="0.2">
      <c r="A3355" s="1">
        <v>8690</v>
      </c>
      <c r="B3355" s="1" t="s">
        <v>6839</v>
      </c>
      <c r="D3355" s="1" t="s">
        <v>11735</v>
      </c>
      <c r="F3355" s="1" t="s">
        <v>11736</v>
      </c>
      <c r="H3355" s="1" t="s">
        <v>11854</v>
      </c>
      <c r="J3355" s="1" t="s">
        <v>11855</v>
      </c>
      <c r="L3355" s="1" t="s">
        <v>1752</v>
      </c>
      <c r="M3355" s="1" t="s">
        <v>1153</v>
      </c>
      <c r="N3355" s="1" t="s">
        <v>1598</v>
      </c>
      <c r="P3355" s="1" t="s">
        <v>1354</v>
      </c>
      <c r="Q3355" s="3">
        <v>0</v>
      </c>
      <c r="R3355" s="23" t="s">
        <v>11739</v>
      </c>
      <c r="S3355" s="23" t="s">
        <v>6847</v>
      </c>
      <c r="T3355" s="23" t="s">
        <v>4866</v>
      </c>
      <c r="U3355" s="3">
        <v>35</v>
      </c>
      <c r="W3355" s="45" t="str">
        <f>HYPERLINK("http://ictvonline.org/taxonomy/p/taxonomy-history?taxnode_id=201904961","ICTVonline=201904961")</f>
        <v>ICTVonline=201904961</v>
      </c>
      <c r="AA3355" s="1">
        <v>201900000</v>
      </c>
      <c r="AB3355" s="1">
        <v>35</v>
      </c>
    </row>
    <row r="3356" spans="1:28" x14ac:dyDescent="0.2">
      <c r="A3356" s="1">
        <v>8692</v>
      </c>
      <c r="B3356" s="1" t="s">
        <v>6839</v>
      </c>
      <c r="D3356" s="1" t="s">
        <v>11735</v>
      </c>
      <c r="F3356" s="1" t="s">
        <v>11736</v>
      </c>
      <c r="H3356" s="1" t="s">
        <v>11854</v>
      </c>
      <c r="J3356" s="1" t="s">
        <v>11855</v>
      </c>
      <c r="L3356" s="1" t="s">
        <v>1752</v>
      </c>
      <c r="M3356" s="1" t="s">
        <v>1153</v>
      </c>
      <c r="N3356" s="1" t="s">
        <v>1598</v>
      </c>
      <c r="P3356" s="1" t="s">
        <v>1355</v>
      </c>
      <c r="Q3356" s="3">
        <v>0</v>
      </c>
      <c r="R3356" s="23" t="s">
        <v>11739</v>
      </c>
      <c r="S3356" s="23" t="s">
        <v>6847</v>
      </c>
      <c r="T3356" s="23" t="s">
        <v>4866</v>
      </c>
      <c r="U3356" s="3">
        <v>35</v>
      </c>
      <c r="W3356" s="45" t="str">
        <f>HYPERLINK("http://ictvonline.org/taxonomy/p/taxonomy-history?taxnode_id=201904962","ICTVonline=201904962")</f>
        <v>ICTVonline=201904962</v>
      </c>
      <c r="AA3356" s="1">
        <v>201900000</v>
      </c>
      <c r="AB3356" s="1">
        <v>35</v>
      </c>
    </row>
    <row r="3357" spans="1:28" x14ac:dyDescent="0.2">
      <c r="A3357" s="1">
        <v>8694</v>
      </c>
      <c r="B3357" s="1" t="s">
        <v>6839</v>
      </c>
      <c r="D3357" s="1" t="s">
        <v>11735</v>
      </c>
      <c r="F3357" s="1" t="s">
        <v>11736</v>
      </c>
      <c r="H3357" s="1" t="s">
        <v>11854</v>
      </c>
      <c r="J3357" s="1" t="s">
        <v>11855</v>
      </c>
      <c r="L3357" s="1" t="s">
        <v>1752</v>
      </c>
      <c r="M3357" s="1" t="s">
        <v>1153</v>
      </c>
      <c r="N3357" s="1" t="s">
        <v>1598</v>
      </c>
      <c r="P3357" s="1" t="s">
        <v>1356</v>
      </c>
      <c r="Q3357" s="3">
        <v>0</v>
      </c>
      <c r="R3357" s="23" t="s">
        <v>11739</v>
      </c>
      <c r="S3357" s="23" t="s">
        <v>6847</v>
      </c>
      <c r="T3357" s="23" t="s">
        <v>4866</v>
      </c>
      <c r="U3357" s="3">
        <v>35</v>
      </c>
      <c r="W3357" s="45" t="str">
        <f>HYPERLINK("http://ictvonline.org/taxonomy/p/taxonomy-history?taxnode_id=201904963","ICTVonline=201904963")</f>
        <v>ICTVonline=201904963</v>
      </c>
      <c r="AA3357" s="1">
        <v>201900000</v>
      </c>
      <c r="AB3357" s="1">
        <v>35</v>
      </c>
    </row>
    <row r="3358" spans="1:28" x14ac:dyDescent="0.2">
      <c r="A3358" s="1">
        <v>8696</v>
      </c>
      <c r="B3358" s="1" t="s">
        <v>6839</v>
      </c>
      <c r="D3358" s="1" t="s">
        <v>11735</v>
      </c>
      <c r="F3358" s="1" t="s">
        <v>11736</v>
      </c>
      <c r="H3358" s="1" t="s">
        <v>11854</v>
      </c>
      <c r="J3358" s="1" t="s">
        <v>11855</v>
      </c>
      <c r="L3358" s="1" t="s">
        <v>1752</v>
      </c>
      <c r="M3358" s="1" t="s">
        <v>1153</v>
      </c>
      <c r="N3358" s="1" t="s">
        <v>1598</v>
      </c>
      <c r="P3358" s="1" t="s">
        <v>1357</v>
      </c>
      <c r="Q3358" s="3">
        <v>0</v>
      </c>
      <c r="R3358" s="23" t="s">
        <v>11739</v>
      </c>
      <c r="S3358" s="23" t="s">
        <v>6847</v>
      </c>
      <c r="T3358" s="23" t="s">
        <v>4866</v>
      </c>
      <c r="U3358" s="3">
        <v>35</v>
      </c>
      <c r="W3358" s="45" t="str">
        <f>HYPERLINK("http://ictvonline.org/taxonomy/p/taxonomy-history?taxnode_id=201904964","ICTVonline=201904964")</f>
        <v>ICTVonline=201904964</v>
      </c>
      <c r="AA3358" s="1">
        <v>201900000</v>
      </c>
      <c r="AB3358" s="1">
        <v>35</v>
      </c>
    </row>
    <row r="3359" spans="1:28" x14ac:dyDescent="0.2">
      <c r="A3359" s="1">
        <v>8700</v>
      </c>
      <c r="B3359" s="1" t="s">
        <v>6839</v>
      </c>
      <c r="D3359" s="1" t="s">
        <v>11735</v>
      </c>
      <c r="F3359" s="1" t="s">
        <v>11736</v>
      </c>
      <c r="H3359" s="1" t="s">
        <v>11854</v>
      </c>
      <c r="J3359" s="1" t="s">
        <v>11855</v>
      </c>
      <c r="L3359" s="1" t="s">
        <v>1752</v>
      </c>
      <c r="M3359" s="1" t="s">
        <v>1153</v>
      </c>
      <c r="N3359" s="1" t="s">
        <v>1910</v>
      </c>
      <c r="P3359" s="1" t="s">
        <v>1911</v>
      </c>
      <c r="Q3359" s="3">
        <v>1</v>
      </c>
      <c r="R3359" s="23" t="s">
        <v>11739</v>
      </c>
      <c r="S3359" s="23" t="s">
        <v>6847</v>
      </c>
      <c r="T3359" s="23" t="s">
        <v>4866</v>
      </c>
      <c r="U3359" s="3">
        <v>35</v>
      </c>
      <c r="W3359" s="45" t="str">
        <f>HYPERLINK("http://ictvonline.org/taxonomy/p/taxonomy-history?taxnode_id=201904966","ICTVonline=201904966")</f>
        <v>ICTVonline=201904966</v>
      </c>
      <c r="Y3359" s="1" t="s">
        <v>11910</v>
      </c>
      <c r="Z3359" s="1" t="s">
        <v>11911</v>
      </c>
      <c r="AA3359" s="1">
        <v>201900000</v>
      </c>
      <c r="AB3359" s="1">
        <v>35</v>
      </c>
    </row>
    <row r="3360" spans="1:28" x14ac:dyDescent="0.2">
      <c r="A3360" s="1">
        <v>8702</v>
      </c>
      <c r="B3360" s="1" t="s">
        <v>6839</v>
      </c>
      <c r="D3360" s="1" t="s">
        <v>11735</v>
      </c>
      <c r="F3360" s="1" t="s">
        <v>11736</v>
      </c>
      <c r="H3360" s="1" t="s">
        <v>11854</v>
      </c>
      <c r="J3360" s="1" t="s">
        <v>11855</v>
      </c>
      <c r="L3360" s="1" t="s">
        <v>1752</v>
      </c>
      <c r="M3360" s="1" t="s">
        <v>1153</v>
      </c>
      <c r="N3360" s="1" t="s">
        <v>1910</v>
      </c>
      <c r="P3360" s="1" t="s">
        <v>1912</v>
      </c>
      <c r="Q3360" s="3">
        <v>0</v>
      </c>
      <c r="R3360" s="23" t="s">
        <v>11739</v>
      </c>
      <c r="S3360" s="23" t="s">
        <v>6847</v>
      </c>
      <c r="T3360" s="23" t="s">
        <v>4866</v>
      </c>
      <c r="U3360" s="3">
        <v>35</v>
      </c>
      <c r="W3360" s="45" t="str">
        <f>HYPERLINK("http://ictvonline.org/taxonomy/p/taxonomy-history?taxnode_id=201904967","ICTVonline=201904967")</f>
        <v>ICTVonline=201904967</v>
      </c>
      <c r="AA3360" s="1">
        <v>201900000</v>
      </c>
      <c r="AB3360" s="1">
        <v>35</v>
      </c>
    </row>
    <row r="3361" spans="1:28" x14ac:dyDescent="0.2">
      <c r="A3361" s="1">
        <v>8704</v>
      </c>
      <c r="B3361" s="1" t="s">
        <v>6839</v>
      </c>
      <c r="D3361" s="1" t="s">
        <v>11735</v>
      </c>
      <c r="F3361" s="1" t="s">
        <v>11736</v>
      </c>
      <c r="H3361" s="1" t="s">
        <v>11854</v>
      </c>
      <c r="J3361" s="1" t="s">
        <v>11855</v>
      </c>
      <c r="L3361" s="1" t="s">
        <v>1752</v>
      </c>
      <c r="M3361" s="1" t="s">
        <v>1153</v>
      </c>
      <c r="N3361" s="1" t="s">
        <v>1910</v>
      </c>
      <c r="P3361" s="1" t="s">
        <v>1913</v>
      </c>
      <c r="Q3361" s="3">
        <v>0</v>
      </c>
      <c r="R3361" s="23" t="s">
        <v>11739</v>
      </c>
      <c r="S3361" s="23" t="s">
        <v>6847</v>
      </c>
      <c r="T3361" s="23" t="s">
        <v>4866</v>
      </c>
      <c r="U3361" s="3">
        <v>35</v>
      </c>
      <c r="W3361" s="45" t="str">
        <f>HYPERLINK("http://ictvonline.org/taxonomy/p/taxonomy-history?taxnode_id=201904968","ICTVonline=201904968")</f>
        <v>ICTVonline=201904968</v>
      </c>
      <c r="Y3361" s="1" t="s">
        <v>11912</v>
      </c>
      <c r="Z3361" s="1" t="s">
        <v>11840</v>
      </c>
      <c r="AA3361" s="1">
        <v>201900000</v>
      </c>
      <c r="AB3361" s="1">
        <v>35</v>
      </c>
    </row>
    <row r="3362" spans="1:28" x14ac:dyDescent="0.2">
      <c r="A3362" s="1">
        <v>8708</v>
      </c>
      <c r="B3362" s="1" t="s">
        <v>6839</v>
      </c>
      <c r="D3362" s="1" t="s">
        <v>11735</v>
      </c>
      <c r="F3362" s="1" t="s">
        <v>11736</v>
      </c>
      <c r="H3362" s="1" t="s">
        <v>11854</v>
      </c>
      <c r="J3362" s="1" t="s">
        <v>11855</v>
      </c>
      <c r="L3362" s="1" t="s">
        <v>1752</v>
      </c>
      <c r="M3362" s="1" t="s">
        <v>1153</v>
      </c>
      <c r="N3362" s="1" t="s">
        <v>1301</v>
      </c>
      <c r="P3362" s="1" t="s">
        <v>1302</v>
      </c>
      <c r="Q3362" s="3">
        <v>0</v>
      </c>
      <c r="R3362" s="23" t="s">
        <v>11739</v>
      </c>
      <c r="S3362" s="23" t="s">
        <v>6847</v>
      </c>
      <c r="T3362" s="23" t="s">
        <v>4866</v>
      </c>
      <c r="U3362" s="3">
        <v>35</v>
      </c>
      <c r="W3362" s="45" t="str">
        <f>HYPERLINK("http://ictvonline.org/taxonomy/p/taxonomy-history?taxnode_id=201904970","ICTVonline=201904970")</f>
        <v>ICTVonline=201904970</v>
      </c>
      <c r="AA3362" s="1">
        <v>201900000</v>
      </c>
      <c r="AB3362" s="1">
        <v>35</v>
      </c>
    </row>
    <row r="3363" spans="1:28" x14ac:dyDescent="0.2">
      <c r="A3363" s="1">
        <v>8710</v>
      </c>
      <c r="B3363" s="1" t="s">
        <v>6839</v>
      </c>
      <c r="D3363" s="1" t="s">
        <v>11735</v>
      </c>
      <c r="F3363" s="1" t="s">
        <v>11736</v>
      </c>
      <c r="H3363" s="1" t="s">
        <v>11854</v>
      </c>
      <c r="J3363" s="1" t="s">
        <v>11855</v>
      </c>
      <c r="L3363" s="1" t="s">
        <v>1752</v>
      </c>
      <c r="M3363" s="1" t="s">
        <v>1153</v>
      </c>
      <c r="N3363" s="1" t="s">
        <v>1301</v>
      </c>
      <c r="P3363" s="1" t="s">
        <v>1303</v>
      </c>
      <c r="Q3363" s="3">
        <v>0</v>
      </c>
      <c r="R3363" s="23" t="s">
        <v>11739</v>
      </c>
      <c r="S3363" s="23" t="s">
        <v>6847</v>
      </c>
      <c r="T3363" s="23" t="s">
        <v>4866</v>
      </c>
      <c r="U3363" s="3">
        <v>35</v>
      </c>
      <c r="W3363" s="45" t="str">
        <f>HYPERLINK("http://ictvonline.org/taxonomy/p/taxonomy-history?taxnode_id=201904971","ICTVonline=201904971")</f>
        <v>ICTVonline=201904971</v>
      </c>
      <c r="AA3363" s="1">
        <v>201900000</v>
      </c>
      <c r="AB3363" s="1">
        <v>35</v>
      </c>
    </row>
    <row r="3364" spans="1:28" x14ac:dyDescent="0.2">
      <c r="A3364" s="1">
        <v>8712</v>
      </c>
      <c r="B3364" s="1" t="s">
        <v>6839</v>
      </c>
      <c r="D3364" s="1" t="s">
        <v>11735</v>
      </c>
      <c r="F3364" s="1" t="s">
        <v>11736</v>
      </c>
      <c r="H3364" s="1" t="s">
        <v>11854</v>
      </c>
      <c r="J3364" s="1" t="s">
        <v>11855</v>
      </c>
      <c r="L3364" s="1" t="s">
        <v>1752</v>
      </c>
      <c r="M3364" s="1" t="s">
        <v>1153</v>
      </c>
      <c r="N3364" s="1" t="s">
        <v>1301</v>
      </c>
      <c r="P3364" s="1" t="s">
        <v>11913</v>
      </c>
      <c r="Q3364" s="3">
        <v>0</v>
      </c>
      <c r="R3364" s="23" t="s">
        <v>11739</v>
      </c>
      <c r="S3364" s="23" t="s">
        <v>6849</v>
      </c>
      <c r="T3364" s="23" t="s">
        <v>4864</v>
      </c>
      <c r="U3364" s="3">
        <v>35</v>
      </c>
      <c r="V3364" s="3" t="s">
        <v>11914</v>
      </c>
      <c r="W3364" s="45" t="str">
        <f>HYPERLINK("http://ictvonline.org/taxonomy/p/taxonomy-history?taxnode_id=201907547","ICTVonline=201907547")</f>
        <v>ICTVonline=201907547</v>
      </c>
      <c r="X3364" s="1" t="s">
        <v>11915</v>
      </c>
      <c r="Y3364" s="1" t="s">
        <v>11916</v>
      </c>
      <c r="Z3364" s="1" t="s">
        <v>8652</v>
      </c>
      <c r="AA3364" s="1">
        <v>201900000</v>
      </c>
      <c r="AB3364" s="1">
        <v>35</v>
      </c>
    </row>
    <row r="3365" spans="1:28" x14ac:dyDescent="0.2">
      <c r="A3365" s="1">
        <v>8714</v>
      </c>
      <c r="B3365" s="1" t="s">
        <v>6839</v>
      </c>
      <c r="D3365" s="1" t="s">
        <v>11735</v>
      </c>
      <c r="F3365" s="1" t="s">
        <v>11736</v>
      </c>
      <c r="H3365" s="1" t="s">
        <v>11854</v>
      </c>
      <c r="J3365" s="1" t="s">
        <v>11855</v>
      </c>
      <c r="L3365" s="1" t="s">
        <v>1752</v>
      </c>
      <c r="M3365" s="1" t="s">
        <v>1153</v>
      </c>
      <c r="N3365" s="1" t="s">
        <v>1301</v>
      </c>
      <c r="P3365" s="1" t="s">
        <v>5466</v>
      </c>
      <c r="Q3365" s="3">
        <v>0</v>
      </c>
      <c r="R3365" s="23" t="s">
        <v>11739</v>
      </c>
      <c r="S3365" s="23" t="s">
        <v>6847</v>
      </c>
      <c r="T3365" s="23" t="s">
        <v>4866</v>
      </c>
      <c r="U3365" s="3">
        <v>35</v>
      </c>
      <c r="W3365" s="45" t="str">
        <f>HYPERLINK("http://ictvonline.org/taxonomy/p/taxonomy-history?taxnode_id=201905927","ICTVonline=201905927")</f>
        <v>ICTVonline=201905927</v>
      </c>
      <c r="AA3365" s="1">
        <v>201900000</v>
      </c>
      <c r="AB3365" s="1">
        <v>35</v>
      </c>
    </row>
    <row r="3366" spans="1:28" x14ac:dyDescent="0.2">
      <c r="A3366" s="1">
        <v>8716</v>
      </c>
      <c r="B3366" s="1" t="s">
        <v>6839</v>
      </c>
      <c r="D3366" s="1" t="s">
        <v>11735</v>
      </c>
      <c r="F3366" s="1" t="s">
        <v>11736</v>
      </c>
      <c r="H3366" s="1" t="s">
        <v>11854</v>
      </c>
      <c r="J3366" s="1" t="s">
        <v>11855</v>
      </c>
      <c r="L3366" s="1" t="s">
        <v>1752</v>
      </c>
      <c r="M3366" s="1" t="s">
        <v>1153</v>
      </c>
      <c r="N3366" s="1" t="s">
        <v>1301</v>
      </c>
      <c r="P3366" s="1" t="s">
        <v>1304</v>
      </c>
      <c r="Q3366" s="3">
        <v>1</v>
      </c>
      <c r="R3366" s="23" t="s">
        <v>11739</v>
      </c>
      <c r="S3366" s="23" t="s">
        <v>6847</v>
      </c>
      <c r="T3366" s="23" t="s">
        <v>4866</v>
      </c>
      <c r="U3366" s="3">
        <v>35</v>
      </c>
      <c r="W3366" s="45" t="str">
        <f>HYPERLINK("http://ictvonline.org/taxonomy/p/taxonomy-history?taxnode_id=201904972","ICTVonline=201904972")</f>
        <v>ICTVonline=201904972</v>
      </c>
      <c r="AA3366" s="1">
        <v>201900000</v>
      </c>
      <c r="AB3366" s="1">
        <v>35</v>
      </c>
    </row>
    <row r="3367" spans="1:28" x14ac:dyDescent="0.2">
      <c r="A3367" s="1">
        <v>8718</v>
      </c>
      <c r="B3367" s="1" t="s">
        <v>6839</v>
      </c>
      <c r="D3367" s="1" t="s">
        <v>11735</v>
      </c>
      <c r="F3367" s="1" t="s">
        <v>11736</v>
      </c>
      <c r="H3367" s="1" t="s">
        <v>11854</v>
      </c>
      <c r="J3367" s="1" t="s">
        <v>11855</v>
      </c>
      <c r="L3367" s="1" t="s">
        <v>1752</v>
      </c>
      <c r="M3367" s="1" t="s">
        <v>1153</v>
      </c>
      <c r="N3367" s="1" t="s">
        <v>1301</v>
      </c>
      <c r="P3367" s="1" t="s">
        <v>1305</v>
      </c>
      <c r="Q3367" s="3">
        <v>0</v>
      </c>
      <c r="R3367" s="23" t="s">
        <v>11739</v>
      </c>
      <c r="S3367" s="23" t="s">
        <v>6847</v>
      </c>
      <c r="T3367" s="23" t="s">
        <v>4866</v>
      </c>
      <c r="U3367" s="3">
        <v>35</v>
      </c>
      <c r="W3367" s="45" t="str">
        <f>HYPERLINK("http://ictvonline.org/taxonomy/p/taxonomy-history?taxnode_id=201904973","ICTVonline=201904973")</f>
        <v>ICTVonline=201904973</v>
      </c>
      <c r="AA3367" s="1">
        <v>201900000</v>
      </c>
      <c r="AB3367" s="1">
        <v>35</v>
      </c>
    </row>
    <row r="3368" spans="1:28" x14ac:dyDescent="0.2">
      <c r="A3368" s="1">
        <v>8720</v>
      </c>
      <c r="B3368" s="1" t="s">
        <v>6839</v>
      </c>
      <c r="D3368" s="1" t="s">
        <v>11735</v>
      </c>
      <c r="F3368" s="1" t="s">
        <v>11736</v>
      </c>
      <c r="H3368" s="1" t="s">
        <v>11854</v>
      </c>
      <c r="J3368" s="1" t="s">
        <v>11855</v>
      </c>
      <c r="L3368" s="1" t="s">
        <v>1752</v>
      </c>
      <c r="M3368" s="1" t="s">
        <v>1153</v>
      </c>
      <c r="N3368" s="1" t="s">
        <v>1301</v>
      </c>
      <c r="P3368" s="1" t="s">
        <v>11917</v>
      </c>
      <c r="Q3368" s="3">
        <v>0</v>
      </c>
      <c r="R3368" s="23" t="s">
        <v>11739</v>
      </c>
      <c r="S3368" s="23" t="s">
        <v>6849</v>
      </c>
      <c r="T3368" s="23" t="s">
        <v>4864</v>
      </c>
      <c r="U3368" s="3">
        <v>35</v>
      </c>
      <c r="V3368" s="3" t="s">
        <v>11914</v>
      </c>
      <c r="W3368" s="45" t="str">
        <f>HYPERLINK("http://ictvonline.org/taxonomy/p/taxonomy-history?taxnode_id=201907548","ICTVonline=201907548")</f>
        <v>ICTVonline=201907548</v>
      </c>
      <c r="X3368" s="1" t="s">
        <v>11918</v>
      </c>
      <c r="Y3368" s="1" t="s">
        <v>11919</v>
      </c>
      <c r="Z3368" s="1" t="s">
        <v>11920</v>
      </c>
      <c r="AA3368" s="1">
        <v>201900000</v>
      </c>
      <c r="AB3368" s="1">
        <v>35</v>
      </c>
    </row>
    <row r="3369" spans="1:28" x14ac:dyDescent="0.2">
      <c r="A3369" s="1">
        <v>8722</v>
      </c>
      <c r="B3369" s="1" t="s">
        <v>6839</v>
      </c>
      <c r="D3369" s="1" t="s">
        <v>11735</v>
      </c>
      <c r="F3369" s="1" t="s">
        <v>11736</v>
      </c>
      <c r="H3369" s="1" t="s">
        <v>11854</v>
      </c>
      <c r="J3369" s="1" t="s">
        <v>11855</v>
      </c>
      <c r="L3369" s="1" t="s">
        <v>1752</v>
      </c>
      <c r="M3369" s="1" t="s">
        <v>1153</v>
      </c>
      <c r="N3369" s="1" t="s">
        <v>1301</v>
      </c>
      <c r="P3369" s="1" t="s">
        <v>3949</v>
      </c>
      <c r="Q3369" s="3">
        <v>0</v>
      </c>
      <c r="R3369" s="23" t="s">
        <v>11739</v>
      </c>
      <c r="S3369" s="23" t="s">
        <v>6847</v>
      </c>
      <c r="T3369" s="23" t="s">
        <v>4866</v>
      </c>
      <c r="U3369" s="3">
        <v>35</v>
      </c>
      <c r="W3369" s="45" t="str">
        <f>HYPERLINK("http://ictvonline.org/taxonomy/p/taxonomy-history?taxnode_id=201904974","ICTVonline=201904974")</f>
        <v>ICTVonline=201904974</v>
      </c>
      <c r="Y3369" s="1" t="s">
        <v>11921</v>
      </c>
      <c r="Z3369" s="1" t="s">
        <v>11922</v>
      </c>
      <c r="AA3369" s="1">
        <v>201900000</v>
      </c>
      <c r="AB3369" s="1">
        <v>35</v>
      </c>
    </row>
    <row r="3370" spans="1:28" x14ac:dyDescent="0.2">
      <c r="A3370" s="1">
        <v>8724</v>
      </c>
      <c r="B3370" s="1" t="s">
        <v>6839</v>
      </c>
      <c r="D3370" s="1" t="s">
        <v>11735</v>
      </c>
      <c r="F3370" s="1" t="s">
        <v>11736</v>
      </c>
      <c r="H3370" s="1" t="s">
        <v>11854</v>
      </c>
      <c r="J3370" s="1" t="s">
        <v>11855</v>
      </c>
      <c r="L3370" s="1" t="s">
        <v>1752</v>
      </c>
      <c r="M3370" s="1" t="s">
        <v>1153</v>
      </c>
      <c r="N3370" s="1" t="s">
        <v>1301</v>
      </c>
      <c r="P3370" s="1" t="s">
        <v>1306</v>
      </c>
      <c r="Q3370" s="3">
        <v>0</v>
      </c>
      <c r="R3370" s="23" t="s">
        <v>11739</v>
      </c>
      <c r="S3370" s="23" t="s">
        <v>6847</v>
      </c>
      <c r="T3370" s="23" t="s">
        <v>4866</v>
      </c>
      <c r="U3370" s="3">
        <v>35</v>
      </c>
      <c r="W3370" s="45" t="str">
        <f>HYPERLINK("http://ictvonline.org/taxonomy/p/taxonomy-history?taxnode_id=201904975","ICTVonline=201904975")</f>
        <v>ICTVonline=201904975</v>
      </c>
      <c r="AA3370" s="1">
        <v>201900000</v>
      </c>
      <c r="AB3370" s="1">
        <v>35</v>
      </c>
    </row>
    <row r="3371" spans="1:28" x14ac:dyDescent="0.2">
      <c r="A3371" s="1">
        <v>8726</v>
      </c>
      <c r="B3371" s="1" t="s">
        <v>6839</v>
      </c>
      <c r="D3371" s="1" t="s">
        <v>11735</v>
      </c>
      <c r="F3371" s="1" t="s">
        <v>11736</v>
      </c>
      <c r="H3371" s="1" t="s">
        <v>11854</v>
      </c>
      <c r="J3371" s="1" t="s">
        <v>11855</v>
      </c>
      <c r="L3371" s="1" t="s">
        <v>1752</v>
      </c>
      <c r="M3371" s="1" t="s">
        <v>1153</v>
      </c>
      <c r="N3371" s="1" t="s">
        <v>1301</v>
      </c>
      <c r="P3371" s="1" t="s">
        <v>11923</v>
      </c>
      <c r="Q3371" s="3">
        <v>0</v>
      </c>
      <c r="R3371" s="23" t="s">
        <v>11739</v>
      </c>
      <c r="S3371" s="23" t="s">
        <v>6849</v>
      </c>
      <c r="T3371" s="23" t="s">
        <v>4864</v>
      </c>
      <c r="U3371" s="3">
        <v>35</v>
      </c>
      <c r="V3371" s="3" t="s">
        <v>11914</v>
      </c>
      <c r="W3371" s="45" t="str">
        <f>HYPERLINK("http://ictvonline.org/taxonomy/p/taxonomy-history?taxnode_id=201907549","ICTVonline=201907549")</f>
        <v>ICTVonline=201907549</v>
      </c>
      <c r="X3371" s="1" t="s">
        <v>11924</v>
      </c>
      <c r="Y3371" s="1" t="s">
        <v>11925</v>
      </c>
      <c r="Z3371" s="1" t="s">
        <v>11926</v>
      </c>
      <c r="AA3371" s="1">
        <v>201900000</v>
      </c>
      <c r="AB3371" s="1">
        <v>35</v>
      </c>
    </row>
    <row r="3372" spans="1:28" x14ac:dyDescent="0.2">
      <c r="A3372" s="1">
        <v>8730</v>
      </c>
      <c r="B3372" s="1" t="s">
        <v>6839</v>
      </c>
      <c r="D3372" s="1" t="s">
        <v>11735</v>
      </c>
      <c r="F3372" s="1" t="s">
        <v>11736</v>
      </c>
      <c r="H3372" s="1" t="s">
        <v>11854</v>
      </c>
      <c r="J3372" s="1" t="s">
        <v>11855</v>
      </c>
      <c r="L3372" s="1" t="s">
        <v>1752</v>
      </c>
      <c r="M3372" s="1" t="s">
        <v>1153</v>
      </c>
      <c r="N3372" s="1" t="s">
        <v>1307</v>
      </c>
      <c r="P3372" s="1" t="s">
        <v>1308</v>
      </c>
      <c r="Q3372" s="3">
        <v>0</v>
      </c>
      <c r="R3372" s="23" t="s">
        <v>11739</v>
      </c>
      <c r="S3372" s="23" t="s">
        <v>6847</v>
      </c>
      <c r="T3372" s="23" t="s">
        <v>4866</v>
      </c>
      <c r="U3372" s="3">
        <v>35</v>
      </c>
      <c r="W3372" s="45" t="str">
        <f>HYPERLINK("http://ictvonline.org/taxonomy/p/taxonomy-history?taxnode_id=201904977","ICTVonline=201904977")</f>
        <v>ICTVonline=201904977</v>
      </c>
      <c r="AA3372" s="1">
        <v>201900000</v>
      </c>
      <c r="AB3372" s="1">
        <v>35</v>
      </c>
    </row>
    <row r="3373" spans="1:28" x14ac:dyDescent="0.2">
      <c r="A3373" s="1">
        <v>8732</v>
      </c>
      <c r="B3373" s="1" t="s">
        <v>6839</v>
      </c>
      <c r="D3373" s="1" t="s">
        <v>11735</v>
      </c>
      <c r="F3373" s="1" t="s">
        <v>11736</v>
      </c>
      <c r="H3373" s="1" t="s">
        <v>11854</v>
      </c>
      <c r="J3373" s="1" t="s">
        <v>11855</v>
      </c>
      <c r="L3373" s="1" t="s">
        <v>1752</v>
      </c>
      <c r="M3373" s="1" t="s">
        <v>1153</v>
      </c>
      <c r="N3373" s="1" t="s">
        <v>1307</v>
      </c>
      <c r="P3373" s="1" t="s">
        <v>237</v>
      </c>
      <c r="Q3373" s="3">
        <v>1</v>
      </c>
      <c r="R3373" s="23" t="s">
        <v>11739</v>
      </c>
      <c r="S3373" s="23" t="s">
        <v>6847</v>
      </c>
      <c r="T3373" s="23" t="s">
        <v>4866</v>
      </c>
      <c r="U3373" s="3">
        <v>35</v>
      </c>
      <c r="W3373" s="45" t="str">
        <f>HYPERLINK("http://ictvonline.org/taxonomy/p/taxonomy-history?taxnode_id=201904978","ICTVonline=201904978")</f>
        <v>ICTVonline=201904978</v>
      </c>
      <c r="Y3373" s="1" t="s">
        <v>11927</v>
      </c>
      <c r="Z3373" s="1" t="s">
        <v>11861</v>
      </c>
      <c r="AA3373" s="1">
        <v>201900000</v>
      </c>
      <c r="AB3373" s="1">
        <v>35</v>
      </c>
    </row>
    <row r="3374" spans="1:28" x14ac:dyDescent="0.2">
      <c r="A3374" s="1">
        <v>8743</v>
      </c>
      <c r="B3374" s="1" t="s">
        <v>6839</v>
      </c>
      <c r="D3374" s="1" t="s">
        <v>11735</v>
      </c>
      <c r="F3374" s="1" t="s">
        <v>11736</v>
      </c>
      <c r="H3374" s="1" t="s">
        <v>11928</v>
      </c>
      <c r="J3374" s="1" t="s">
        <v>11929</v>
      </c>
      <c r="L3374" s="1" t="s">
        <v>2064</v>
      </c>
      <c r="N3374" s="1" t="s">
        <v>2069</v>
      </c>
      <c r="P3374" s="1" t="s">
        <v>3711</v>
      </c>
      <c r="Q3374" s="3">
        <v>1</v>
      </c>
      <c r="R3374" s="23" t="s">
        <v>11739</v>
      </c>
      <c r="S3374" s="23" t="s">
        <v>6847</v>
      </c>
      <c r="T3374" s="23" t="s">
        <v>4866</v>
      </c>
      <c r="U3374" s="3">
        <v>35</v>
      </c>
      <c r="W3374" s="45" t="str">
        <f>HYPERLINK("http://ictvonline.org/taxonomy/p/taxonomy-history?taxnode_id=201903041","ICTVonline=201903041")</f>
        <v>ICTVonline=201903041</v>
      </c>
      <c r="AA3374" s="1">
        <v>201900000</v>
      </c>
      <c r="AB3374" s="1">
        <v>35</v>
      </c>
    </row>
    <row r="3375" spans="1:28" x14ac:dyDescent="0.2">
      <c r="A3375" s="1">
        <v>8745</v>
      </c>
      <c r="B3375" s="1" t="s">
        <v>6839</v>
      </c>
      <c r="D3375" s="1" t="s">
        <v>11735</v>
      </c>
      <c r="F3375" s="1" t="s">
        <v>11736</v>
      </c>
      <c r="H3375" s="1" t="s">
        <v>11928</v>
      </c>
      <c r="J3375" s="1" t="s">
        <v>11929</v>
      </c>
      <c r="L3375" s="1" t="s">
        <v>2064</v>
      </c>
      <c r="N3375" s="1" t="s">
        <v>2069</v>
      </c>
      <c r="P3375" s="1" t="s">
        <v>5278</v>
      </c>
      <c r="Q3375" s="3">
        <v>0</v>
      </c>
      <c r="R3375" s="23" t="s">
        <v>11739</v>
      </c>
      <c r="S3375" s="23" t="s">
        <v>6847</v>
      </c>
      <c r="T3375" s="23" t="s">
        <v>4866</v>
      </c>
      <c r="U3375" s="3">
        <v>35</v>
      </c>
      <c r="W3375" s="45" t="str">
        <f>HYPERLINK("http://ictvonline.org/taxonomy/p/taxonomy-history?taxnode_id=201905775","ICTVonline=201905775")</f>
        <v>ICTVonline=201905775</v>
      </c>
      <c r="AA3375" s="1">
        <v>201900000</v>
      </c>
      <c r="AB3375" s="1">
        <v>35</v>
      </c>
    </row>
    <row r="3376" spans="1:28" x14ac:dyDescent="0.2">
      <c r="A3376" s="1">
        <v>8747</v>
      </c>
      <c r="B3376" s="1" t="s">
        <v>6839</v>
      </c>
      <c r="D3376" s="1" t="s">
        <v>11735</v>
      </c>
      <c r="F3376" s="1" t="s">
        <v>11736</v>
      </c>
      <c r="H3376" s="1" t="s">
        <v>11928</v>
      </c>
      <c r="J3376" s="1" t="s">
        <v>11929</v>
      </c>
      <c r="L3376" s="1" t="s">
        <v>2064</v>
      </c>
      <c r="N3376" s="1" t="s">
        <v>2069</v>
      </c>
      <c r="P3376" s="1" t="s">
        <v>5279</v>
      </c>
      <c r="Q3376" s="3">
        <v>0</v>
      </c>
      <c r="R3376" s="23" t="s">
        <v>11739</v>
      </c>
      <c r="S3376" s="23" t="s">
        <v>6847</v>
      </c>
      <c r="T3376" s="23" t="s">
        <v>4866</v>
      </c>
      <c r="U3376" s="3">
        <v>35</v>
      </c>
      <c r="W3376" s="45" t="str">
        <f>HYPERLINK("http://ictvonline.org/taxonomy/p/taxonomy-history?taxnode_id=201905772","ICTVonline=201905772")</f>
        <v>ICTVonline=201905772</v>
      </c>
      <c r="AA3376" s="1">
        <v>201900000</v>
      </c>
      <c r="AB3376" s="1">
        <v>35</v>
      </c>
    </row>
    <row r="3377" spans="1:28" x14ac:dyDescent="0.2">
      <c r="A3377" s="1">
        <v>8749</v>
      </c>
      <c r="B3377" s="1" t="s">
        <v>6839</v>
      </c>
      <c r="D3377" s="1" t="s">
        <v>11735</v>
      </c>
      <c r="F3377" s="1" t="s">
        <v>11736</v>
      </c>
      <c r="H3377" s="1" t="s">
        <v>11928</v>
      </c>
      <c r="J3377" s="1" t="s">
        <v>11929</v>
      </c>
      <c r="L3377" s="1" t="s">
        <v>2064</v>
      </c>
      <c r="N3377" s="1" t="s">
        <v>2069</v>
      </c>
      <c r="P3377" s="1" t="s">
        <v>5280</v>
      </c>
      <c r="Q3377" s="3">
        <v>0</v>
      </c>
      <c r="R3377" s="23" t="s">
        <v>11739</v>
      </c>
      <c r="S3377" s="23" t="s">
        <v>6847</v>
      </c>
      <c r="T3377" s="23" t="s">
        <v>4866</v>
      </c>
      <c r="U3377" s="3">
        <v>35</v>
      </c>
      <c r="W3377" s="45" t="str">
        <f>HYPERLINK("http://ictvonline.org/taxonomy/p/taxonomy-history?taxnode_id=201905773","ICTVonline=201905773")</f>
        <v>ICTVonline=201905773</v>
      </c>
      <c r="AA3377" s="1">
        <v>201900000</v>
      </c>
      <c r="AB3377" s="1">
        <v>35</v>
      </c>
    </row>
    <row r="3378" spans="1:28" x14ac:dyDescent="0.2">
      <c r="A3378" s="1">
        <v>8751</v>
      </c>
      <c r="B3378" s="1" t="s">
        <v>6839</v>
      </c>
      <c r="D3378" s="1" t="s">
        <v>11735</v>
      </c>
      <c r="F3378" s="1" t="s">
        <v>11736</v>
      </c>
      <c r="H3378" s="1" t="s">
        <v>11928</v>
      </c>
      <c r="J3378" s="1" t="s">
        <v>11929</v>
      </c>
      <c r="L3378" s="1" t="s">
        <v>2064</v>
      </c>
      <c r="N3378" s="1" t="s">
        <v>2069</v>
      </c>
      <c r="P3378" s="1" t="s">
        <v>5281</v>
      </c>
      <c r="Q3378" s="3">
        <v>0</v>
      </c>
      <c r="R3378" s="23" t="s">
        <v>11739</v>
      </c>
      <c r="S3378" s="23" t="s">
        <v>6847</v>
      </c>
      <c r="T3378" s="23" t="s">
        <v>4866</v>
      </c>
      <c r="U3378" s="3">
        <v>35</v>
      </c>
      <c r="W3378" s="45" t="str">
        <f>HYPERLINK("http://ictvonline.org/taxonomy/p/taxonomy-history?taxnode_id=201905774","ICTVonline=201905774")</f>
        <v>ICTVonline=201905774</v>
      </c>
      <c r="AA3378" s="1">
        <v>201900000</v>
      </c>
      <c r="AB3378" s="1">
        <v>35</v>
      </c>
    </row>
    <row r="3379" spans="1:28" x14ac:dyDescent="0.2">
      <c r="A3379" s="1">
        <v>8753</v>
      </c>
      <c r="B3379" s="1" t="s">
        <v>6839</v>
      </c>
      <c r="D3379" s="1" t="s">
        <v>11735</v>
      </c>
      <c r="F3379" s="1" t="s">
        <v>11736</v>
      </c>
      <c r="H3379" s="1" t="s">
        <v>11928</v>
      </c>
      <c r="J3379" s="1" t="s">
        <v>11929</v>
      </c>
      <c r="L3379" s="1" t="s">
        <v>2064</v>
      </c>
      <c r="N3379" s="1" t="s">
        <v>2069</v>
      </c>
      <c r="P3379" s="1" t="s">
        <v>5282</v>
      </c>
      <c r="Q3379" s="3">
        <v>0</v>
      </c>
      <c r="R3379" s="23" t="s">
        <v>11739</v>
      </c>
      <c r="S3379" s="23" t="s">
        <v>6847</v>
      </c>
      <c r="T3379" s="23" t="s">
        <v>4866</v>
      </c>
      <c r="U3379" s="3">
        <v>35</v>
      </c>
      <c r="W3379" s="45" t="str">
        <f>HYPERLINK("http://ictvonline.org/taxonomy/p/taxonomy-history?taxnode_id=201905776","ICTVonline=201905776")</f>
        <v>ICTVonline=201905776</v>
      </c>
      <c r="AA3379" s="1">
        <v>201900000</v>
      </c>
      <c r="AB3379" s="1">
        <v>35</v>
      </c>
    </row>
    <row r="3380" spans="1:28" x14ac:dyDescent="0.2">
      <c r="A3380" s="1">
        <v>8755</v>
      </c>
      <c r="B3380" s="1" t="s">
        <v>6839</v>
      </c>
      <c r="D3380" s="1" t="s">
        <v>11735</v>
      </c>
      <c r="F3380" s="1" t="s">
        <v>11736</v>
      </c>
      <c r="H3380" s="1" t="s">
        <v>11928</v>
      </c>
      <c r="J3380" s="1" t="s">
        <v>11929</v>
      </c>
      <c r="L3380" s="1" t="s">
        <v>2064</v>
      </c>
      <c r="N3380" s="1" t="s">
        <v>2069</v>
      </c>
      <c r="P3380" s="1" t="s">
        <v>5283</v>
      </c>
      <c r="Q3380" s="3">
        <v>0</v>
      </c>
      <c r="R3380" s="23" t="s">
        <v>11739</v>
      </c>
      <c r="S3380" s="23" t="s">
        <v>6847</v>
      </c>
      <c r="T3380" s="23" t="s">
        <v>4866</v>
      </c>
      <c r="U3380" s="3">
        <v>35</v>
      </c>
      <c r="W3380" s="45" t="str">
        <f>HYPERLINK("http://ictvonline.org/taxonomy/p/taxonomy-history?taxnode_id=201905777","ICTVonline=201905777")</f>
        <v>ICTVonline=201905777</v>
      </c>
      <c r="AA3380" s="1">
        <v>201900000</v>
      </c>
      <c r="AB3380" s="1">
        <v>35</v>
      </c>
    </row>
    <row r="3381" spans="1:28" x14ac:dyDescent="0.2">
      <c r="A3381" s="1">
        <v>8767</v>
      </c>
      <c r="B3381" s="1" t="s">
        <v>6839</v>
      </c>
      <c r="D3381" s="1" t="s">
        <v>11735</v>
      </c>
      <c r="F3381" s="1" t="s">
        <v>11930</v>
      </c>
      <c r="H3381" s="1" t="s">
        <v>11931</v>
      </c>
      <c r="J3381" s="1" t="s">
        <v>11932</v>
      </c>
      <c r="L3381" s="1" t="s">
        <v>18</v>
      </c>
      <c r="N3381" s="1" t="s">
        <v>1864</v>
      </c>
      <c r="P3381" s="1" t="s">
        <v>1865</v>
      </c>
      <c r="Q3381" s="3">
        <v>0</v>
      </c>
      <c r="R3381" s="23" t="s">
        <v>11933</v>
      </c>
      <c r="S3381" s="23" t="s">
        <v>5849</v>
      </c>
      <c r="T3381" s="23" t="s">
        <v>4866</v>
      </c>
      <c r="U3381" s="3">
        <v>35</v>
      </c>
      <c r="W3381" s="45" t="str">
        <f>HYPERLINK("http://ictvonline.org/taxonomy/p/taxonomy-history?taxnode_id=201902459","ICTVonline=201902459")</f>
        <v>ICTVonline=201902459</v>
      </c>
      <c r="AA3381" s="1">
        <v>201900000</v>
      </c>
      <c r="AB3381" s="1">
        <v>35</v>
      </c>
    </row>
    <row r="3382" spans="1:28" x14ac:dyDescent="0.2">
      <c r="A3382" s="1">
        <v>8769</v>
      </c>
      <c r="B3382" s="1" t="s">
        <v>6839</v>
      </c>
      <c r="D3382" s="1" t="s">
        <v>11735</v>
      </c>
      <c r="F3382" s="1" t="s">
        <v>11930</v>
      </c>
      <c r="H3382" s="1" t="s">
        <v>11931</v>
      </c>
      <c r="J3382" s="1" t="s">
        <v>11932</v>
      </c>
      <c r="L3382" s="1" t="s">
        <v>18</v>
      </c>
      <c r="N3382" s="1" t="s">
        <v>1864</v>
      </c>
      <c r="P3382" s="1" t="s">
        <v>1866</v>
      </c>
      <c r="Q3382" s="3">
        <v>0</v>
      </c>
      <c r="R3382" s="23" t="s">
        <v>11933</v>
      </c>
      <c r="S3382" s="23" t="s">
        <v>5849</v>
      </c>
      <c r="T3382" s="23" t="s">
        <v>4866</v>
      </c>
      <c r="U3382" s="3">
        <v>35</v>
      </c>
      <c r="W3382" s="45" t="str">
        <f>HYPERLINK("http://ictvonline.org/taxonomy/p/taxonomy-history?taxnode_id=201902460","ICTVonline=201902460")</f>
        <v>ICTVonline=201902460</v>
      </c>
      <c r="AA3382" s="1">
        <v>201900000</v>
      </c>
      <c r="AB3382" s="1">
        <v>35</v>
      </c>
    </row>
    <row r="3383" spans="1:28" x14ac:dyDescent="0.2">
      <c r="A3383" s="1">
        <v>8771</v>
      </c>
      <c r="B3383" s="1" t="s">
        <v>6839</v>
      </c>
      <c r="D3383" s="1" t="s">
        <v>11735</v>
      </c>
      <c r="F3383" s="1" t="s">
        <v>11930</v>
      </c>
      <c r="H3383" s="1" t="s">
        <v>11931</v>
      </c>
      <c r="J3383" s="1" t="s">
        <v>11932</v>
      </c>
      <c r="L3383" s="1" t="s">
        <v>18</v>
      </c>
      <c r="N3383" s="1" t="s">
        <v>1864</v>
      </c>
      <c r="P3383" s="1" t="s">
        <v>1843</v>
      </c>
      <c r="Q3383" s="3">
        <v>0</v>
      </c>
      <c r="R3383" s="23" t="s">
        <v>11933</v>
      </c>
      <c r="S3383" s="23" t="s">
        <v>5849</v>
      </c>
      <c r="T3383" s="23" t="s">
        <v>4866</v>
      </c>
      <c r="U3383" s="3">
        <v>35</v>
      </c>
      <c r="W3383" s="45" t="str">
        <f>HYPERLINK("http://ictvonline.org/taxonomy/p/taxonomy-history?taxnode_id=201902461","ICTVonline=201902461")</f>
        <v>ICTVonline=201902461</v>
      </c>
      <c r="AA3383" s="1">
        <v>201900000</v>
      </c>
      <c r="AB3383" s="1">
        <v>35</v>
      </c>
    </row>
    <row r="3384" spans="1:28" x14ac:dyDescent="0.2">
      <c r="A3384" s="1">
        <v>8773</v>
      </c>
      <c r="B3384" s="1" t="s">
        <v>6839</v>
      </c>
      <c r="D3384" s="1" t="s">
        <v>11735</v>
      </c>
      <c r="F3384" s="1" t="s">
        <v>11930</v>
      </c>
      <c r="H3384" s="1" t="s">
        <v>11931</v>
      </c>
      <c r="J3384" s="1" t="s">
        <v>11932</v>
      </c>
      <c r="L3384" s="1" t="s">
        <v>18</v>
      </c>
      <c r="N3384" s="1" t="s">
        <v>1864</v>
      </c>
      <c r="P3384" s="1" t="s">
        <v>1845</v>
      </c>
      <c r="Q3384" s="3">
        <v>1</v>
      </c>
      <c r="R3384" s="23" t="s">
        <v>11933</v>
      </c>
      <c r="S3384" s="23" t="s">
        <v>5849</v>
      </c>
      <c r="T3384" s="23" t="s">
        <v>4866</v>
      </c>
      <c r="U3384" s="3">
        <v>35</v>
      </c>
      <c r="W3384" s="45" t="str">
        <f>HYPERLINK("http://ictvonline.org/taxonomy/p/taxonomy-history?taxnode_id=201902462","ICTVonline=201902462")</f>
        <v>ICTVonline=201902462</v>
      </c>
      <c r="AA3384" s="1">
        <v>201900000</v>
      </c>
      <c r="AB3384" s="1">
        <v>35</v>
      </c>
    </row>
    <row r="3385" spans="1:28" x14ac:dyDescent="0.2">
      <c r="A3385" s="1">
        <v>8775</v>
      </c>
      <c r="B3385" s="1" t="s">
        <v>6839</v>
      </c>
      <c r="D3385" s="1" t="s">
        <v>11735</v>
      </c>
      <c r="F3385" s="1" t="s">
        <v>11930</v>
      </c>
      <c r="H3385" s="1" t="s">
        <v>11931</v>
      </c>
      <c r="J3385" s="1" t="s">
        <v>11932</v>
      </c>
      <c r="L3385" s="1" t="s">
        <v>18</v>
      </c>
      <c r="N3385" s="1" t="s">
        <v>1864</v>
      </c>
      <c r="P3385" s="1" t="s">
        <v>1559</v>
      </c>
      <c r="Q3385" s="3">
        <v>0</v>
      </c>
      <c r="R3385" s="23" t="s">
        <v>11933</v>
      </c>
      <c r="S3385" s="23" t="s">
        <v>5849</v>
      </c>
      <c r="T3385" s="23" t="s">
        <v>4866</v>
      </c>
      <c r="U3385" s="3">
        <v>35</v>
      </c>
      <c r="W3385" s="45" t="str">
        <f>HYPERLINK("http://ictvonline.org/taxonomy/p/taxonomy-history?taxnode_id=201902463","ICTVonline=201902463")</f>
        <v>ICTVonline=201902463</v>
      </c>
      <c r="AA3385" s="1">
        <v>201900000</v>
      </c>
      <c r="AB3385" s="1">
        <v>35</v>
      </c>
    </row>
    <row r="3386" spans="1:28" x14ac:dyDescent="0.2">
      <c r="A3386" s="1">
        <v>8777</v>
      </c>
      <c r="B3386" s="1" t="s">
        <v>6839</v>
      </c>
      <c r="D3386" s="1" t="s">
        <v>11735</v>
      </c>
      <c r="F3386" s="1" t="s">
        <v>11930</v>
      </c>
      <c r="H3386" s="1" t="s">
        <v>11931</v>
      </c>
      <c r="J3386" s="1" t="s">
        <v>11932</v>
      </c>
      <c r="L3386" s="1" t="s">
        <v>18</v>
      </c>
      <c r="N3386" s="1" t="s">
        <v>1864</v>
      </c>
      <c r="P3386" s="1" t="s">
        <v>1847</v>
      </c>
      <c r="Q3386" s="3">
        <v>0</v>
      </c>
      <c r="R3386" s="23" t="s">
        <v>11933</v>
      </c>
      <c r="S3386" s="23" t="s">
        <v>5849</v>
      </c>
      <c r="T3386" s="23" t="s">
        <v>4866</v>
      </c>
      <c r="U3386" s="3">
        <v>35</v>
      </c>
      <c r="W3386" s="45" t="str">
        <f>HYPERLINK("http://ictvonline.org/taxonomy/p/taxonomy-history?taxnode_id=201902464","ICTVonline=201902464")</f>
        <v>ICTVonline=201902464</v>
      </c>
      <c r="AA3386" s="1">
        <v>201900000</v>
      </c>
      <c r="AB3386" s="1">
        <v>35</v>
      </c>
    </row>
    <row r="3387" spans="1:28" x14ac:dyDescent="0.2">
      <c r="A3387" s="1">
        <v>8779</v>
      </c>
      <c r="B3387" s="1" t="s">
        <v>6839</v>
      </c>
      <c r="D3387" s="1" t="s">
        <v>11735</v>
      </c>
      <c r="F3387" s="1" t="s">
        <v>11930</v>
      </c>
      <c r="H3387" s="1" t="s">
        <v>11931</v>
      </c>
      <c r="J3387" s="1" t="s">
        <v>11932</v>
      </c>
      <c r="L3387" s="1" t="s">
        <v>18</v>
      </c>
      <c r="N3387" s="1" t="s">
        <v>1864</v>
      </c>
      <c r="P3387" s="1" t="s">
        <v>1849</v>
      </c>
      <c r="Q3387" s="3">
        <v>0</v>
      </c>
      <c r="R3387" s="23" t="s">
        <v>11933</v>
      </c>
      <c r="S3387" s="23" t="s">
        <v>5849</v>
      </c>
      <c r="T3387" s="23" t="s">
        <v>4866</v>
      </c>
      <c r="U3387" s="3">
        <v>35</v>
      </c>
      <c r="W3387" s="45" t="str">
        <f>HYPERLINK("http://ictvonline.org/taxonomy/p/taxonomy-history?taxnode_id=201902465","ICTVonline=201902465")</f>
        <v>ICTVonline=201902465</v>
      </c>
      <c r="AA3387" s="1">
        <v>201900000</v>
      </c>
      <c r="AB3387" s="1">
        <v>35</v>
      </c>
    </row>
    <row r="3388" spans="1:28" x14ac:dyDescent="0.2">
      <c r="A3388" s="1">
        <v>8783</v>
      </c>
      <c r="B3388" s="1" t="s">
        <v>6839</v>
      </c>
      <c r="D3388" s="1" t="s">
        <v>11735</v>
      </c>
      <c r="F3388" s="1" t="s">
        <v>11930</v>
      </c>
      <c r="H3388" s="1" t="s">
        <v>11931</v>
      </c>
      <c r="J3388" s="1" t="s">
        <v>11932</v>
      </c>
      <c r="L3388" s="1" t="s">
        <v>18</v>
      </c>
      <c r="N3388" s="1" t="s">
        <v>837</v>
      </c>
      <c r="P3388" s="1" t="s">
        <v>838</v>
      </c>
      <c r="Q3388" s="3">
        <v>0</v>
      </c>
      <c r="R3388" s="23" t="s">
        <v>11933</v>
      </c>
      <c r="S3388" s="23" t="s">
        <v>5849</v>
      </c>
      <c r="T3388" s="23" t="s">
        <v>4866</v>
      </c>
      <c r="U3388" s="3">
        <v>35</v>
      </c>
      <c r="W3388" s="45" t="str">
        <f>HYPERLINK("http://ictvonline.org/taxonomy/p/taxonomy-history?taxnode_id=201902467","ICTVonline=201902467")</f>
        <v>ICTVonline=201902467</v>
      </c>
      <c r="AA3388" s="1">
        <v>201900000</v>
      </c>
      <c r="AB3388" s="1">
        <v>35</v>
      </c>
    </row>
    <row r="3389" spans="1:28" x14ac:dyDescent="0.2">
      <c r="A3389" s="1">
        <v>8785</v>
      </c>
      <c r="B3389" s="1" t="s">
        <v>6839</v>
      </c>
      <c r="D3389" s="1" t="s">
        <v>11735</v>
      </c>
      <c r="F3389" s="1" t="s">
        <v>11930</v>
      </c>
      <c r="H3389" s="1" t="s">
        <v>11931</v>
      </c>
      <c r="J3389" s="1" t="s">
        <v>11932</v>
      </c>
      <c r="L3389" s="1" t="s">
        <v>18</v>
      </c>
      <c r="N3389" s="1" t="s">
        <v>837</v>
      </c>
      <c r="P3389" s="1" t="s">
        <v>839</v>
      </c>
      <c r="Q3389" s="3">
        <v>0</v>
      </c>
      <c r="R3389" s="23" t="s">
        <v>11933</v>
      </c>
      <c r="S3389" s="23" t="s">
        <v>5849</v>
      </c>
      <c r="T3389" s="23" t="s">
        <v>4866</v>
      </c>
      <c r="U3389" s="3">
        <v>35</v>
      </c>
      <c r="W3389" s="45" t="str">
        <f>HYPERLINK("http://ictvonline.org/taxonomy/p/taxonomy-history?taxnode_id=201902468","ICTVonline=201902468")</f>
        <v>ICTVonline=201902468</v>
      </c>
      <c r="AA3389" s="1">
        <v>201900000</v>
      </c>
      <c r="AB3389" s="1">
        <v>35</v>
      </c>
    </row>
    <row r="3390" spans="1:28" x14ac:dyDescent="0.2">
      <c r="A3390" s="1">
        <v>8787</v>
      </c>
      <c r="B3390" s="1" t="s">
        <v>6839</v>
      </c>
      <c r="D3390" s="1" t="s">
        <v>11735</v>
      </c>
      <c r="F3390" s="1" t="s">
        <v>11930</v>
      </c>
      <c r="H3390" s="1" t="s">
        <v>11931</v>
      </c>
      <c r="J3390" s="1" t="s">
        <v>11932</v>
      </c>
      <c r="L3390" s="1" t="s">
        <v>18</v>
      </c>
      <c r="N3390" s="1" t="s">
        <v>837</v>
      </c>
      <c r="P3390" s="1" t="s">
        <v>840</v>
      </c>
      <c r="Q3390" s="3">
        <v>1</v>
      </c>
      <c r="R3390" s="23" t="s">
        <v>11933</v>
      </c>
      <c r="S3390" s="23" t="s">
        <v>5849</v>
      </c>
      <c r="T3390" s="23" t="s">
        <v>4866</v>
      </c>
      <c r="U3390" s="3">
        <v>35</v>
      </c>
      <c r="W3390" s="45" t="str">
        <f>HYPERLINK("http://ictvonline.org/taxonomy/p/taxonomy-history?taxnode_id=201902469","ICTVonline=201902469")</f>
        <v>ICTVonline=201902469</v>
      </c>
      <c r="AA3390" s="1">
        <v>201900000</v>
      </c>
      <c r="AB3390" s="1">
        <v>35</v>
      </c>
    </row>
    <row r="3391" spans="1:28" x14ac:dyDescent="0.2">
      <c r="A3391" s="1">
        <v>8793</v>
      </c>
      <c r="B3391" s="1" t="s">
        <v>6839</v>
      </c>
      <c r="D3391" s="1" t="s">
        <v>11735</v>
      </c>
      <c r="F3391" s="1" t="s">
        <v>11930</v>
      </c>
      <c r="H3391" s="1" t="s">
        <v>11931</v>
      </c>
      <c r="J3391" s="1" t="s">
        <v>11932</v>
      </c>
      <c r="L3391" s="1" t="s">
        <v>2365</v>
      </c>
      <c r="N3391" s="1" t="s">
        <v>1247</v>
      </c>
      <c r="P3391" s="1" t="s">
        <v>1248</v>
      </c>
      <c r="Q3391" s="3">
        <v>1</v>
      </c>
      <c r="R3391" s="23" t="s">
        <v>11933</v>
      </c>
      <c r="S3391" s="23" t="s">
        <v>5849</v>
      </c>
      <c r="T3391" s="23" t="s">
        <v>4866</v>
      </c>
      <c r="U3391" s="3">
        <v>35</v>
      </c>
      <c r="W3391" s="45" t="str">
        <f>HYPERLINK("http://ictvonline.org/taxonomy/p/taxonomy-history?taxnode_id=201902733","ICTVonline=201902733")</f>
        <v>ICTVonline=201902733</v>
      </c>
      <c r="Y3391" s="1" t="s">
        <v>11934</v>
      </c>
      <c r="Z3391" s="1" t="s">
        <v>11935</v>
      </c>
      <c r="AA3391" s="1">
        <v>201900000</v>
      </c>
      <c r="AB3391" s="1">
        <v>35</v>
      </c>
    </row>
    <row r="3392" spans="1:28" x14ac:dyDescent="0.2">
      <c r="A3392" s="1">
        <v>8795</v>
      </c>
      <c r="B3392" s="1" t="s">
        <v>6839</v>
      </c>
      <c r="D3392" s="1" t="s">
        <v>11735</v>
      </c>
      <c r="F3392" s="1" t="s">
        <v>11930</v>
      </c>
      <c r="H3392" s="1" t="s">
        <v>11931</v>
      </c>
      <c r="J3392" s="1" t="s">
        <v>11932</v>
      </c>
      <c r="L3392" s="1" t="s">
        <v>2365</v>
      </c>
      <c r="N3392" s="1" t="s">
        <v>1247</v>
      </c>
      <c r="P3392" s="1" t="s">
        <v>1249</v>
      </c>
      <c r="Q3392" s="3">
        <v>0</v>
      </c>
      <c r="R3392" s="23" t="s">
        <v>11933</v>
      </c>
      <c r="S3392" s="23" t="s">
        <v>5849</v>
      </c>
      <c r="T3392" s="23" t="s">
        <v>4866</v>
      </c>
      <c r="U3392" s="3">
        <v>35</v>
      </c>
      <c r="W3392" s="45" t="str">
        <f>HYPERLINK("http://ictvonline.org/taxonomy/p/taxonomy-history?taxnode_id=201902734","ICTVonline=201902734")</f>
        <v>ICTVonline=201902734</v>
      </c>
      <c r="Y3392" s="1" t="s">
        <v>11936</v>
      </c>
      <c r="Z3392" s="1" t="s">
        <v>11937</v>
      </c>
      <c r="AA3392" s="1">
        <v>201900000</v>
      </c>
      <c r="AB3392" s="1">
        <v>35</v>
      </c>
    </row>
    <row r="3393" spans="1:28" x14ac:dyDescent="0.2">
      <c r="A3393" s="1">
        <v>8797</v>
      </c>
      <c r="B3393" s="1" t="s">
        <v>6839</v>
      </c>
      <c r="D3393" s="1" t="s">
        <v>11735</v>
      </c>
      <c r="F3393" s="1" t="s">
        <v>11930</v>
      </c>
      <c r="H3393" s="1" t="s">
        <v>11931</v>
      </c>
      <c r="J3393" s="1" t="s">
        <v>11932</v>
      </c>
      <c r="L3393" s="1" t="s">
        <v>2365</v>
      </c>
      <c r="N3393" s="1" t="s">
        <v>1247</v>
      </c>
      <c r="P3393" s="1" t="s">
        <v>2366</v>
      </c>
      <c r="Q3393" s="3">
        <v>0</v>
      </c>
      <c r="R3393" s="23" t="s">
        <v>11933</v>
      </c>
      <c r="S3393" s="23" t="s">
        <v>5849</v>
      </c>
      <c r="T3393" s="23" t="s">
        <v>4866</v>
      </c>
      <c r="U3393" s="3">
        <v>35</v>
      </c>
      <c r="W3393" s="45" t="str">
        <f>HYPERLINK("http://ictvonline.org/taxonomy/p/taxonomy-history?taxnode_id=201902735","ICTVonline=201902735")</f>
        <v>ICTVonline=201902735</v>
      </c>
      <c r="Y3393" s="1" t="s">
        <v>11938</v>
      </c>
      <c r="Z3393" s="1" t="s">
        <v>11939</v>
      </c>
      <c r="AA3393" s="1">
        <v>201900000</v>
      </c>
      <c r="AB3393" s="1">
        <v>35</v>
      </c>
    </row>
    <row r="3394" spans="1:28" x14ac:dyDescent="0.2">
      <c r="A3394" s="1">
        <v>8799</v>
      </c>
      <c r="B3394" s="1" t="s">
        <v>6839</v>
      </c>
      <c r="D3394" s="1" t="s">
        <v>11735</v>
      </c>
      <c r="F3394" s="1" t="s">
        <v>11930</v>
      </c>
      <c r="H3394" s="1" t="s">
        <v>11931</v>
      </c>
      <c r="J3394" s="1" t="s">
        <v>11932</v>
      </c>
      <c r="L3394" s="1" t="s">
        <v>2365</v>
      </c>
      <c r="N3394" s="1" t="s">
        <v>1247</v>
      </c>
      <c r="P3394" s="1" t="s">
        <v>2268</v>
      </c>
      <c r="Q3394" s="3">
        <v>0</v>
      </c>
      <c r="R3394" s="23" t="s">
        <v>11933</v>
      </c>
      <c r="S3394" s="23" t="s">
        <v>5849</v>
      </c>
      <c r="T3394" s="23" t="s">
        <v>4866</v>
      </c>
      <c r="U3394" s="3">
        <v>35</v>
      </c>
      <c r="W3394" s="45" t="str">
        <f>HYPERLINK("http://ictvonline.org/taxonomy/p/taxonomy-history?taxnode_id=201902736","ICTVonline=201902736")</f>
        <v>ICTVonline=201902736</v>
      </c>
      <c r="Y3394" s="1" t="s">
        <v>11940</v>
      </c>
      <c r="Z3394" s="1" t="s">
        <v>11941</v>
      </c>
      <c r="AA3394" s="1">
        <v>201900000</v>
      </c>
      <c r="AB3394" s="1">
        <v>35</v>
      </c>
    </row>
    <row r="3395" spans="1:28" x14ac:dyDescent="0.2">
      <c r="A3395" s="1">
        <v>8805</v>
      </c>
      <c r="B3395" s="1" t="s">
        <v>6839</v>
      </c>
      <c r="D3395" s="1" t="s">
        <v>11735</v>
      </c>
      <c r="F3395" s="1" t="s">
        <v>11930</v>
      </c>
      <c r="H3395" s="1" t="s">
        <v>11931</v>
      </c>
      <c r="J3395" s="1" t="s">
        <v>11932</v>
      </c>
      <c r="L3395" s="1" t="s">
        <v>1073</v>
      </c>
      <c r="N3395" s="1" t="s">
        <v>2656</v>
      </c>
      <c r="P3395" s="1" t="s">
        <v>2657</v>
      </c>
      <c r="Q3395" s="3">
        <v>1</v>
      </c>
      <c r="R3395" s="23" t="s">
        <v>11933</v>
      </c>
      <c r="S3395" s="23" t="s">
        <v>5849</v>
      </c>
      <c r="T3395" s="23" t="s">
        <v>4866</v>
      </c>
      <c r="U3395" s="3">
        <v>35</v>
      </c>
      <c r="W3395" s="45" t="str">
        <f>HYPERLINK("http://ictvonline.org/taxonomy/p/taxonomy-history?taxnode_id=201903665","ICTVonline=201903665")</f>
        <v>ICTVonline=201903665</v>
      </c>
      <c r="AA3395" s="1">
        <v>201900000</v>
      </c>
      <c r="AB3395" s="1">
        <v>35</v>
      </c>
    </row>
    <row r="3396" spans="1:28" x14ac:dyDescent="0.2">
      <c r="A3396" s="1">
        <v>8807</v>
      </c>
      <c r="B3396" s="1" t="s">
        <v>6839</v>
      </c>
      <c r="D3396" s="1" t="s">
        <v>11735</v>
      </c>
      <c r="F3396" s="1" t="s">
        <v>11930</v>
      </c>
      <c r="H3396" s="1" t="s">
        <v>11931</v>
      </c>
      <c r="J3396" s="1" t="s">
        <v>11932</v>
      </c>
      <c r="L3396" s="1" t="s">
        <v>1073</v>
      </c>
      <c r="N3396" s="1" t="s">
        <v>2656</v>
      </c>
      <c r="P3396" s="1" t="s">
        <v>2658</v>
      </c>
      <c r="Q3396" s="3">
        <v>0</v>
      </c>
      <c r="R3396" s="23" t="s">
        <v>11933</v>
      </c>
      <c r="S3396" s="23" t="s">
        <v>5849</v>
      </c>
      <c r="T3396" s="23" t="s">
        <v>4866</v>
      </c>
      <c r="U3396" s="3">
        <v>35</v>
      </c>
      <c r="W3396" s="45" t="str">
        <f>HYPERLINK("http://ictvonline.org/taxonomy/p/taxonomy-history?taxnode_id=201903666","ICTVonline=201903666")</f>
        <v>ICTVonline=201903666</v>
      </c>
      <c r="AA3396" s="1">
        <v>201900000</v>
      </c>
      <c r="AB3396" s="1">
        <v>35</v>
      </c>
    </row>
    <row r="3397" spans="1:28" x14ac:dyDescent="0.2">
      <c r="A3397" s="1">
        <v>8809</v>
      </c>
      <c r="B3397" s="1" t="s">
        <v>6839</v>
      </c>
      <c r="D3397" s="1" t="s">
        <v>11735</v>
      </c>
      <c r="F3397" s="1" t="s">
        <v>11930</v>
      </c>
      <c r="H3397" s="1" t="s">
        <v>11931</v>
      </c>
      <c r="J3397" s="1" t="s">
        <v>11932</v>
      </c>
      <c r="L3397" s="1" t="s">
        <v>1073</v>
      </c>
      <c r="N3397" s="1" t="s">
        <v>2656</v>
      </c>
      <c r="P3397" s="1" t="s">
        <v>2659</v>
      </c>
      <c r="Q3397" s="3">
        <v>0</v>
      </c>
      <c r="R3397" s="23" t="s">
        <v>11933</v>
      </c>
      <c r="S3397" s="23" t="s">
        <v>5849</v>
      </c>
      <c r="T3397" s="23" t="s">
        <v>4866</v>
      </c>
      <c r="U3397" s="3">
        <v>35</v>
      </c>
      <c r="W3397" s="45" t="str">
        <f>HYPERLINK("http://ictvonline.org/taxonomy/p/taxonomy-history?taxnode_id=201903667","ICTVonline=201903667")</f>
        <v>ICTVonline=201903667</v>
      </c>
      <c r="Y3397" s="1" t="s">
        <v>11942</v>
      </c>
      <c r="Z3397" s="1" t="s">
        <v>11943</v>
      </c>
      <c r="AA3397" s="1">
        <v>201900000</v>
      </c>
      <c r="AB3397" s="1">
        <v>35</v>
      </c>
    </row>
    <row r="3398" spans="1:28" x14ac:dyDescent="0.2">
      <c r="A3398" s="1">
        <v>8811</v>
      </c>
      <c r="B3398" s="1" t="s">
        <v>6839</v>
      </c>
      <c r="D3398" s="1" t="s">
        <v>11735</v>
      </c>
      <c r="F3398" s="1" t="s">
        <v>11930</v>
      </c>
      <c r="H3398" s="1" t="s">
        <v>11931</v>
      </c>
      <c r="J3398" s="1" t="s">
        <v>11932</v>
      </c>
      <c r="L3398" s="1" t="s">
        <v>1073</v>
      </c>
      <c r="N3398" s="1" t="s">
        <v>2656</v>
      </c>
      <c r="P3398" s="1" t="s">
        <v>2660</v>
      </c>
      <c r="Q3398" s="3">
        <v>0</v>
      </c>
      <c r="R3398" s="23" t="s">
        <v>11933</v>
      </c>
      <c r="S3398" s="23" t="s">
        <v>5849</v>
      </c>
      <c r="T3398" s="23" t="s">
        <v>4866</v>
      </c>
      <c r="U3398" s="3">
        <v>35</v>
      </c>
      <c r="W3398" s="45" t="str">
        <f>HYPERLINK("http://ictvonline.org/taxonomy/p/taxonomy-history?taxnode_id=201903668","ICTVonline=201903668")</f>
        <v>ICTVonline=201903668</v>
      </c>
      <c r="Y3398" s="1" t="s">
        <v>11944</v>
      </c>
      <c r="Z3398" s="1" t="s">
        <v>11945</v>
      </c>
      <c r="AA3398" s="1">
        <v>201900000</v>
      </c>
      <c r="AB3398" s="1">
        <v>35</v>
      </c>
    </row>
    <row r="3399" spans="1:28" x14ac:dyDescent="0.2">
      <c r="A3399" s="1">
        <v>8815</v>
      </c>
      <c r="B3399" s="1" t="s">
        <v>6839</v>
      </c>
      <c r="D3399" s="1" t="s">
        <v>11735</v>
      </c>
      <c r="F3399" s="1" t="s">
        <v>11930</v>
      </c>
      <c r="H3399" s="1" t="s">
        <v>11931</v>
      </c>
      <c r="J3399" s="1" t="s">
        <v>11932</v>
      </c>
      <c r="L3399" s="1" t="s">
        <v>1073</v>
      </c>
      <c r="N3399" s="1" t="s">
        <v>2661</v>
      </c>
      <c r="P3399" s="1" t="s">
        <v>2662</v>
      </c>
      <c r="Q3399" s="3">
        <v>1</v>
      </c>
      <c r="R3399" s="23" t="s">
        <v>11933</v>
      </c>
      <c r="S3399" s="23" t="s">
        <v>5849</v>
      </c>
      <c r="T3399" s="23" t="s">
        <v>4866</v>
      </c>
      <c r="U3399" s="3">
        <v>35</v>
      </c>
      <c r="W3399" s="45" t="str">
        <f>HYPERLINK("http://ictvonline.org/taxonomy/p/taxonomy-history?taxnode_id=201903670","ICTVonline=201903670")</f>
        <v>ICTVonline=201903670</v>
      </c>
      <c r="Y3399" s="1" t="s">
        <v>11946</v>
      </c>
      <c r="Z3399" s="1" t="s">
        <v>11947</v>
      </c>
      <c r="AA3399" s="1">
        <v>201900000</v>
      </c>
      <c r="AB3399" s="1">
        <v>35</v>
      </c>
    </row>
    <row r="3400" spans="1:28" x14ac:dyDescent="0.2">
      <c r="A3400" s="1">
        <v>8821</v>
      </c>
      <c r="B3400" s="1" t="s">
        <v>6839</v>
      </c>
      <c r="D3400" s="1" t="s">
        <v>11735</v>
      </c>
      <c r="F3400" s="1" t="s">
        <v>11930</v>
      </c>
      <c r="H3400" s="1" t="s">
        <v>11931</v>
      </c>
      <c r="J3400" s="1" t="s">
        <v>11932</v>
      </c>
      <c r="L3400" s="1" t="s">
        <v>6802</v>
      </c>
      <c r="N3400" s="1" t="s">
        <v>1799</v>
      </c>
      <c r="P3400" s="1" t="s">
        <v>1800</v>
      </c>
      <c r="Q3400" s="3">
        <v>1</v>
      </c>
      <c r="R3400" s="23" t="s">
        <v>11933</v>
      </c>
      <c r="S3400" s="23" t="s">
        <v>5849</v>
      </c>
      <c r="T3400" s="23" t="s">
        <v>4866</v>
      </c>
      <c r="U3400" s="3">
        <v>35</v>
      </c>
      <c r="W3400" s="45" t="str">
        <f>HYPERLINK("http://ictvonline.org/taxonomy/p/taxonomy-history?taxnode_id=201905115","ICTVonline=201905115")</f>
        <v>ICTVonline=201905115</v>
      </c>
      <c r="AA3400" s="1">
        <v>201900000</v>
      </c>
      <c r="AB3400" s="1">
        <v>35</v>
      </c>
    </row>
    <row r="3401" spans="1:28" x14ac:dyDescent="0.2">
      <c r="A3401" s="1">
        <v>8829</v>
      </c>
      <c r="B3401" s="1" t="s">
        <v>6839</v>
      </c>
      <c r="D3401" s="1" t="s">
        <v>11735</v>
      </c>
      <c r="F3401" s="1" t="s">
        <v>11930</v>
      </c>
      <c r="H3401" s="1" t="s">
        <v>11931</v>
      </c>
      <c r="J3401" s="1" t="s">
        <v>11948</v>
      </c>
      <c r="L3401" s="1" t="s">
        <v>1776</v>
      </c>
      <c r="N3401" s="1" t="s">
        <v>743</v>
      </c>
      <c r="P3401" s="1" t="s">
        <v>744</v>
      </c>
      <c r="Q3401" s="3">
        <v>1</v>
      </c>
      <c r="R3401" s="23" t="s">
        <v>11933</v>
      </c>
      <c r="S3401" s="23" t="s">
        <v>5849</v>
      </c>
      <c r="T3401" s="23" t="s">
        <v>4866</v>
      </c>
      <c r="U3401" s="3">
        <v>35</v>
      </c>
      <c r="W3401" s="45" t="str">
        <f>HYPERLINK("http://ictvonline.org/taxonomy/p/taxonomy-history?taxnode_id=201902760","ICTVonline=201902760")</f>
        <v>ICTVonline=201902760</v>
      </c>
      <c r="Y3401" s="1" t="s">
        <v>11949</v>
      </c>
      <c r="Z3401" s="1">
        <v>425</v>
      </c>
      <c r="AA3401" s="1">
        <v>201900000</v>
      </c>
      <c r="AB3401" s="1">
        <v>35</v>
      </c>
    </row>
    <row r="3402" spans="1:28" x14ac:dyDescent="0.2">
      <c r="A3402" s="1">
        <v>8833</v>
      </c>
      <c r="B3402" s="1" t="s">
        <v>6839</v>
      </c>
      <c r="D3402" s="1" t="s">
        <v>11735</v>
      </c>
      <c r="F3402" s="1" t="s">
        <v>11930</v>
      </c>
      <c r="H3402" s="1" t="s">
        <v>11931</v>
      </c>
      <c r="J3402" s="1" t="s">
        <v>11948</v>
      </c>
      <c r="L3402" s="1" t="s">
        <v>1776</v>
      </c>
      <c r="N3402" s="1" t="s">
        <v>745</v>
      </c>
      <c r="P3402" s="1" t="s">
        <v>2367</v>
      </c>
      <c r="Q3402" s="3">
        <v>0</v>
      </c>
      <c r="R3402" s="23" t="s">
        <v>11933</v>
      </c>
      <c r="S3402" s="23" t="s">
        <v>5849</v>
      </c>
      <c r="T3402" s="23" t="s">
        <v>4866</v>
      </c>
      <c r="U3402" s="3">
        <v>35</v>
      </c>
      <c r="W3402" s="45" t="str">
        <f>HYPERLINK("http://ictvonline.org/taxonomy/p/taxonomy-history?taxnode_id=201902762","ICTVonline=201902762")</f>
        <v>ICTVonline=201902762</v>
      </c>
      <c r="Y3402" s="1" t="s">
        <v>11950</v>
      </c>
      <c r="Z3402" s="1" t="s">
        <v>11951</v>
      </c>
      <c r="AA3402" s="1">
        <v>201900000</v>
      </c>
      <c r="AB3402" s="1">
        <v>35</v>
      </c>
    </row>
    <row r="3403" spans="1:28" x14ac:dyDescent="0.2">
      <c r="A3403" s="1">
        <v>8835</v>
      </c>
      <c r="B3403" s="1" t="s">
        <v>6839</v>
      </c>
      <c r="D3403" s="1" t="s">
        <v>11735</v>
      </c>
      <c r="F3403" s="1" t="s">
        <v>11930</v>
      </c>
      <c r="H3403" s="1" t="s">
        <v>11931</v>
      </c>
      <c r="J3403" s="1" t="s">
        <v>11948</v>
      </c>
      <c r="L3403" s="1" t="s">
        <v>1776</v>
      </c>
      <c r="N3403" s="1" t="s">
        <v>745</v>
      </c>
      <c r="P3403" s="1" t="s">
        <v>746</v>
      </c>
      <c r="Q3403" s="3">
        <v>1</v>
      </c>
      <c r="R3403" s="23" t="s">
        <v>11933</v>
      </c>
      <c r="S3403" s="23" t="s">
        <v>5849</v>
      </c>
      <c r="T3403" s="23" t="s">
        <v>4866</v>
      </c>
      <c r="U3403" s="3">
        <v>35</v>
      </c>
      <c r="W3403" s="45" t="str">
        <f>HYPERLINK("http://ictvonline.org/taxonomy/p/taxonomy-history?taxnode_id=201902763","ICTVonline=201902763")</f>
        <v>ICTVonline=201902763</v>
      </c>
      <c r="Y3403" s="1" t="s">
        <v>11952</v>
      </c>
      <c r="Z3403" s="1" t="s">
        <v>11953</v>
      </c>
      <c r="AA3403" s="1">
        <v>201900000</v>
      </c>
      <c r="AB3403" s="1">
        <v>35</v>
      </c>
    </row>
    <row r="3404" spans="1:28" x14ac:dyDescent="0.2">
      <c r="A3404" s="1">
        <v>8839</v>
      </c>
      <c r="B3404" s="1" t="s">
        <v>6839</v>
      </c>
      <c r="D3404" s="1" t="s">
        <v>11735</v>
      </c>
      <c r="F3404" s="1" t="s">
        <v>11930</v>
      </c>
      <c r="H3404" s="1" t="s">
        <v>11931</v>
      </c>
      <c r="J3404" s="1" t="s">
        <v>11948</v>
      </c>
      <c r="L3404" s="1" t="s">
        <v>1776</v>
      </c>
      <c r="N3404" s="1" t="s">
        <v>747</v>
      </c>
      <c r="P3404" s="1" t="s">
        <v>748</v>
      </c>
      <c r="Q3404" s="3">
        <v>0</v>
      </c>
      <c r="R3404" s="23" t="s">
        <v>11933</v>
      </c>
      <c r="S3404" s="23" t="s">
        <v>5849</v>
      </c>
      <c r="T3404" s="23" t="s">
        <v>4866</v>
      </c>
      <c r="U3404" s="3">
        <v>35</v>
      </c>
      <c r="W3404" s="45" t="str">
        <f>HYPERLINK("http://ictvonline.org/taxonomy/p/taxonomy-history?taxnode_id=201902765","ICTVonline=201902765")</f>
        <v>ICTVonline=201902765</v>
      </c>
      <c r="Y3404" s="1" t="s">
        <v>11954</v>
      </c>
      <c r="Z3404" s="1" t="s">
        <v>11955</v>
      </c>
      <c r="AA3404" s="1">
        <v>201900000</v>
      </c>
      <c r="AB3404" s="1">
        <v>35</v>
      </c>
    </row>
    <row r="3405" spans="1:28" x14ac:dyDescent="0.2">
      <c r="A3405" s="1">
        <v>8841</v>
      </c>
      <c r="B3405" s="1" t="s">
        <v>6839</v>
      </c>
      <c r="D3405" s="1" t="s">
        <v>11735</v>
      </c>
      <c r="F3405" s="1" t="s">
        <v>11930</v>
      </c>
      <c r="H3405" s="1" t="s">
        <v>11931</v>
      </c>
      <c r="J3405" s="1" t="s">
        <v>11948</v>
      </c>
      <c r="L3405" s="1" t="s">
        <v>1776</v>
      </c>
      <c r="N3405" s="1" t="s">
        <v>747</v>
      </c>
      <c r="P3405" s="1" t="s">
        <v>749</v>
      </c>
      <c r="Q3405" s="3">
        <v>1</v>
      </c>
      <c r="R3405" s="23" t="s">
        <v>11933</v>
      </c>
      <c r="S3405" s="23" t="s">
        <v>5849</v>
      </c>
      <c r="T3405" s="23" t="s">
        <v>4866</v>
      </c>
      <c r="U3405" s="3">
        <v>35</v>
      </c>
      <c r="W3405" s="45" t="str">
        <f>HYPERLINK("http://ictvonline.org/taxonomy/p/taxonomy-history?taxnode_id=201902766","ICTVonline=201902766")</f>
        <v>ICTVonline=201902766</v>
      </c>
      <c r="Y3405" s="1" t="s">
        <v>11956</v>
      </c>
      <c r="Z3405" s="1" t="s">
        <v>11957</v>
      </c>
      <c r="AA3405" s="1">
        <v>201900000</v>
      </c>
      <c r="AB3405" s="1">
        <v>35</v>
      </c>
    </row>
    <row r="3406" spans="1:28" x14ac:dyDescent="0.2">
      <c r="A3406" s="1">
        <v>8843</v>
      </c>
      <c r="B3406" s="1" t="s">
        <v>6839</v>
      </c>
      <c r="D3406" s="1" t="s">
        <v>11735</v>
      </c>
      <c r="F3406" s="1" t="s">
        <v>11930</v>
      </c>
      <c r="H3406" s="1" t="s">
        <v>11931</v>
      </c>
      <c r="J3406" s="1" t="s">
        <v>11948</v>
      </c>
      <c r="L3406" s="1" t="s">
        <v>1776</v>
      </c>
      <c r="N3406" s="1" t="s">
        <v>747</v>
      </c>
      <c r="P3406" s="1" t="s">
        <v>750</v>
      </c>
      <c r="Q3406" s="3">
        <v>0</v>
      </c>
      <c r="R3406" s="23" t="s">
        <v>11933</v>
      </c>
      <c r="S3406" s="23" t="s">
        <v>5849</v>
      </c>
      <c r="T3406" s="23" t="s">
        <v>4866</v>
      </c>
      <c r="U3406" s="3">
        <v>35</v>
      </c>
      <c r="W3406" s="45" t="str">
        <f>HYPERLINK("http://ictvonline.org/taxonomy/p/taxonomy-history?taxnode_id=201902767","ICTVonline=201902767")</f>
        <v>ICTVonline=201902767</v>
      </c>
      <c r="Y3406" s="1" t="s">
        <v>11958</v>
      </c>
      <c r="Z3406" s="1" t="s">
        <v>11959</v>
      </c>
      <c r="AA3406" s="1">
        <v>201900000</v>
      </c>
      <c r="AB3406" s="1">
        <v>35</v>
      </c>
    </row>
    <row r="3407" spans="1:28" x14ac:dyDescent="0.2">
      <c r="A3407" s="1">
        <v>8845</v>
      </c>
      <c r="B3407" s="1" t="s">
        <v>6839</v>
      </c>
      <c r="D3407" s="1" t="s">
        <v>11735</v>
      </c>
      <c r="F3407" s="1" t="s">
        <v>11930</v>
      </c>
      <c r="H3407" s="1" t="s">
        <v>11931</v>
      </c>
      <c r="J3407" s="1" t="s">
        <v>11948</v>
      </c>
      <c r="L3407" s="1" t="s">
        <v>1776</v>
      </c>
      <c r="N3407" s="1" t="s">
        <v>747</v>
      </c>
      <c r="P3407" s="1" t="s">
        <v>1779</v>
      </c>
      <c r="Q3407" s="3">
        <v>0</v>
      </c>
      <c r="R3407" s="23" t="s">
        <v>11933</v>
      </c>
      <c r="S3407" s="23" t="s">
        <v>5849</v>
      </c>
      <c r="T3407" s="23" t="s">
        <v>4866</v>
      </c>
      <c r="U3407" s="3">
        <v>35</v>
      </c>
      <c r="W3407" s="45" t="str">
        <f>HYPERLINK("http://ictvonline.org/taxonomy/p/taxonomy-history?taxnode_id=201902768","ICTVonline=201902768")</f>
        <v>ICTVonline=201902768</v>
      </c>
      <c r="Y3407" s="1" t="s">
        <v>11960</v>
      </c>
      <c r="Z3407" s="1" t="s">
        <v>11961</v>
      </c>
      <c r="AA3407" s="1">
        <v>201900000</v>
      </c>
      <c r="AB3407" s="1">
        <v>35</v>
      </c>
    </row>
    <row r="3408" spans="1:28" x14ac:dyDescent="0.2">
      <c r="A3408" s="1">
        <v>8847</v>
      </c>
      <c r="B3408" s="1" t="s">
        <v>6839</v>
      </c>
      <c r="D3408" s="1" t="s">
        <v>11735</v>
      </c>
      <c r="F3408" s="1" t="s">
        <v>11930</v>
      </c>
      <c r="H3408" s="1" t="s">
        <v>11931</v>
      </c>
      <c r="J3408" s="1" t="s">
        <v>11948</v>
      </c>
      <c r="L3408" s="1" t="s">
        <v>1776</v>
      </c>
      <c r="N3408" s="1" t="s">
        <v>747</v>
      </c>
      <c r="P3408" s="1" t="s">
        <v>1780</v>
      </c>
      <c r="Q3408" s="3">
        <v>0</v>
      </c>
      <c r="R3408" s="23" t="s">
        <v>11933</v>
      </c>
      <c r="S3408" s="23" t="s">
        <v>5849</v>
      </c>
      <c r="T3408" s="23" t="s">
        <v>4866</v>
      </c>
      <c r="U3408" s="3">
        <v>35</v>
      </c>
      <c r="W3408" s="45" t="str">
        <f>HYPERLINK("http://ictvonline.org/taxonomy/p/taxonomy-history?taxnode_id=201902769","ICTVonline=201902769")</f>
        <v>ICTVonline=201902769</v>
      </c>
      <c r="Y3408" s="1" t="s">
        <v>11962</v>
      </c>
      <c r="Z3408" s="1" t="s">
        <v>11959</v>
      </c>
      <c r="AA3408" s="1">
        <v>201900000</v>
      </c>
      <c r="AB3408" s="1">
        <v>35</v>
      </c>
    </row>
    <row r="3409" spans="1:28" x14ac:dyDescent="0.2">
      <c r="A3409" s="1">
        <v>8849</v>
      </c>
      <c r="B3409" s="1" t="s">
        <v>6839</v>
      </c>
      <c r="D3409" s="1" t="s">
        <v>11735</v>
      </c>
      <c r="F3409" s="1" t="s">
        <v>11930</v>
      </c>
      <c r="H3409" s="1" t="s">
        <v>11931</v>
      </c>
      <c r="J3409" s="1" t="s">
        <v>11948</v>
      </c>
      <c r="L3409" s="1" t="s">
        <v>1776</v>
      </c>
      <c r="N3409" s="1" t="s">
        <v>747</v>
      </c>
      <c r="P3409" s="1" t="s">
        <v>650</v>
      </c>
      <c r="Q3409" s="3">
        <v>0</v>
      </c>
      <c r="R3409" s="23" t="s">
        <v>11933</v>
      </c>
      <c r="S3409" s="23" t="s">
        <v>5849</v>
      </c>
      <c r="T3409" s="23" t="s">
        <v>4866</v>
      </c>
      <c r="U3409" s="3">
        <v>35</v>
      </c>
      <c r="W3409" s="45" t="str">
        <f>HYPERLINK("http://ictvonline.org/taxonomy/p/taxonomy-history?taxnode_id=201902770","ICTVonline=201902770")</f>
        <v>ICTVonline=201902770</v>
      </c>
      <c r="Y3409" s="1" t="s">
        <v>11963</v>
      </c>
      <c r="Z3409" s="1" t="s">
        <v>11959</v>
      </c>
      <c r="AA3409" s="1">
        <v>201900000</v>
      </c>
      <c r="AB3409" s="1">
        <v>35</v>
      </c>
    </row>
    <row r="3410" spans="1:28" x14ac:dyDescent="0.2">
      <c r="A3410" s="1">
        <v>8853</v>
      </c>
      <c r="B3410" s="1" t="s">
        <v>6839</v>
      </c>
      <c r="D3410" s="1" t="s">
        <v>11735</v>
      </c>
      <c r="F3410" s="1" t="s">
        <v>11930</v>
      </c>
      <c r="H3410" s="1" t="s">
        <v>11931</v>
      </c>
      <c r="J3410" s="1" t="s">
        <v>11948</v>
      </c>
      <c r="L3410" s="1" t="s">
        <v>1776</v>
      </c>
      <c r="N3410" s="1" t="s">
        <v>651</v>
      </c>
      <c r="P3410" s="1" t="s">
        <v>652</v>
      </c>
      <c r="Q3410" s="3">
        <v>1</v>
      </c>
      <c r="R3410" s="23" t="s">
        <v>11933</v>
      </c>
      <c r="S3410" s="23" t="s">
        <v>5849</v>
      </c>
      <c r="T3410" s="23" t="s">
        <v>4866</v>
      </c>
      <c r="U3410" s="3">
        <v>35</v>
      </c>
      <c r="W3410" s="45" t="str">
        <f>HYPERLINK("http://ictvonline.org/taxonomy/p/taxonomy-history?taxnode_id=201902772","ICTVonline=201902772")</f>
        <v>ICTVonline=201902772</v>
      </c>
      <c r="Y3410" s="1" t="s">
        <v>11964</v>
      </c>
      <c r="Z3410" s="1" t="s">
        <v>11965</v>
      </c>
      <c r="AA3410" s="1">
        <v>201900000</v>
      </c>
      <c r="AB3410" s="1">
        <v>35</v>
      </c>
    </row>
    <row r="3411" spans="1:28" x14ac:dyDescent="0.2">
      <c r="A3411" s="1">
        <v>8855</v>
      </c>
      <c r="B3411" s="1" t="s">
        <v>6839</v>
      </c>
      <c r="D3411" s="1" t="s">
        <v>11735</v>
      </c>
      <c r="F3411" s="1" t="s">
        <v>11930</v>
      </c>
      <c r="H3411" s="1" t="s">
        <v>11931</v>
      </c>
      <c r="J3411" s="1" t="s">
        <v>11948</v>
      </c>
      <c r="L3411" s="1" t="s">
        <v>1776</v>
      </c>
      <c r="N3411" s="1" t="s">
        <v>651</v>
      </c>
      <c r="P3411" s="1" t="s">
        <v>69</v>
      </c>
      <c r="Q3411" s="3">
        <v>0</v>
      </c>
      <c r="R3411" s="23" t="s">
        <v>11933</v>
      </c>
      <c r="S3411" s="23" t="s">
        <v>5849</v>
      </c>
      <c r="T3411" s="23" t="s">
        <v>4866</v>
      </c>
      <c r="U3411" s="3">
        <v>35</v>
      </c>
      <c r="W3411" s="45" t="str">
        <f>HYPERLINK("http://ictvonline.org/taxonomy/p/taxonomy-history?taxnode_id=201902773","ICTVonline=201902773")</f>
        <v>ICTVonline=201902773</v>
      </c>
      <c r="Y3411" s="1" t="s">
        <v>11966</v>
      </c>
      <c r="Z3411" s="1" t="s">
        <v>11967</v>
      </c>
      <c r="AA3411" s="1">
        <v>201900000</v>
      </c>
      <c r="AB3411" s="1">
        <v>35</v>
      </c>
    </row>
    <row r="3412" spans="1:28" x14ac:dyDescent="0.2">
      <c r="A3412" s="1">
        <v>8857</v>
      </c>
      <c r="B3412" s="1" t="s">
        <v>6839</v>
      </c>
      <c r="D3412" s="1" t="s">
        <v>11735</v>
      </c>
      <c r="F3412" s="1" t="s">
        <v>11930</v>
      </c>
      <c r="H3412" s="1" t="s">
        <v>11931</v>
      </c>
      <c r="J3412" s="1" t="s">
        <v>11948</v>
      </c>
      <c r="L3412" s="1" t="s">
        <v>1776</v>
      </c>
      <c r="N3412" s="1" t="s">
        <v>651</v>
      </c>
      <c r="P3412" s="1" t="s">
        <v>1783</v>
      </c>
      <c r="Q3412" s="3">
        <v>0</v>
      </c>
      <c r="R3412" s="23" t="s">
        <v>11933</v>
      </c>
      <c r="S3412" s="23" t="s">
        <v>5849</v>
      </c>
      <c r="T3412" s="23" t="s">
        <v>4866</v>
      </c>
      <c r="U3412" s="3">
        <v>35</v>
      </c>
      <c r="W3412" s="45" t="str">
        <f>HYPERLINK("http://ictvonline.org/taxonomy/p/taxonomy-history?taxnode_id=201902774","ICTVonline=201902774")</f>
        <v>ICTVonline=201902774</v>
      </c>
      <c r="Y3412" s="1" t="s">
        <v>11968</v>
      </c>
      <c r="Z3412" s="1" t="s">
        <v>11969</v>
      </c>
      <c r="AA3412" s="1">
        <v>201900000</v>
      </c>
      <c r="AB3412" s="1">
        <v>35</v>
      </c>
    </row>
    <row r="3413" spans="1:28" x14ac:dyDescent="0.2">
      <c r="A3413" s="1">
        <v>8859</v>
      </c>
      <c r="B3413" s="1" t="s">
        <v>6839</v>
      </c>
      <c r="D3413" s="1" t="s">
        <v>11735</v>
      </c>
      <c r="F3413" s="1" t="s">
        <v>11930</v>
      </c>
      <c r="H3413" s="1" t="s">
        <v>11931</v>
      </c>
      <c r="J3413" s="1" t="s">
        <v>11948</v>
      </c>
      <c r="L3413" s="1" t="s">
        <v>1776</v>
      </c>
      <c r="N3413" s="1" t="s">
        <v>651</v>
      </c>
      <c r="P3413" s="1" t="s">
        <v>1784</v>
      </c>
      <c r="Q3413" s="3">
        <v>0</v>
      </c>
      <c r="R3413" s="23" t="s">
        <v>11933</v>
      </c>
      <c r="S3413" s="23" t="s">
        <v>5849</v>
      </c>
      <c r="T3413" s="23" t="s">
        <v>4866</v>
      </c>
      <c r="U3413" s="3">
        <v>35</v>
      </c>
      <c r="W3413" s="45" t="str">
        <f>HYPERLINK("http://ictvonline.org/taxonomy/p/taxonomy-history?taxnode_id=201902775","ICTVonline=201902775")</f>
        <v>ICTVonline=201902775</v>
      </c>
      <c r="Y3413" s="1" t="s">
        <v>11970</v>
      </c>
      <c r="Z3413" s="1" t="s">
        <v>11971</v>
      </c>
      <c r="AA3413" s="1">
        <v>201900000</v>
      </c>
      <c r="AB3413" s="1">
        <v>35</v>
      </c>
    </row>
    <row r="3414" spans="1:28" x14ac:dyDescent="0.2">
      <c r="A3414" s="1">
        <v>8863</v>
      </c>
      <c r="B3414" s="1" t="s">
        <v>6839</v>
      </c>
      <c r="D3414" s="1" t="s">
        <v>11735</v>
      </c>
      <c r="F3414" s="1" t="s">
        <v>11930</v>
      </c>
      <c r="H3414" s="1" t="s">
        <v>11931</v>
      </c>
      <c r="J3414" s="1" t="s">
        <v>11948</v>
      </c>
      <c r="L3414" s="1" t="s">
        <v>1776</v>
      </c>
      <c r="N3414" s="1" t="s">
        <v>1785</v>
      </c>
      <c r="P3414" s="1" t="s">
        <v>5268</v>
      </c>
      <c r="Q3414" s="3">
        <v>0</v>
      </c>
      <c r="R3414" s="23" t="s">
        <v>11933</v>
      </c>
      <c r="S3414" s="23" t="s">
        <v>5849</v>
      </c>
      <c r="T3414" s="23" t="s">
        <v>4866</v>
      </c>
      <c r="U3414" s="3">
        <v>35</v>
      </c>
      <c r="W3414" s="45" t="str">
        <f>HYPERLINK("http://ictvonline.org/taxonomy/p/taxonomy-history?taxnode_id=201905758","ICTVonline=201905758")</f>
        <v>ICTVonline=201905758</v>
      </c>
      <c r="AA3414" s="1">
        <v>201900000</v>
      </c>
      <c r="AB3414" s="1">
        <v>35</v>
      </c>
    </row>
    <row r="3415" spans="1:28" x14ac:dyDescent="0.2">
      <c r="A3415" s="1">
        <v>8865</v>
      </c>
      <c r="B3415" s="1" t="s">
        <v>6839</v>
      </c>
      <c r="D3415" s="1" t="s">
        <v>11735</v>
      </c>
      <c r="F3415" s="1" t="s">
        <v>11930</v>
      </c>
      <c r="H3415" s="1" t="s">
        <v>11931</v>
      </c>
      <c r="J3415" s="1" t="s">
        <v>11948</v>
      </c>
      <c r="L3415" s="1" t="s">
        <v>1776</v>
      </c>
      <c r="N3415" s="1" t="s">
        <v>1785</v>
      </c>
      <c r="P3415" s="1" t="s">
        <v>1786</v>
      </c>
      <c r="Q3415" s="3">
        <v>0</v>
      </c>
      <c r="R3415" s="23" t="s">
        <v>11933</v>
      </c>
      <c r="S3415" s="23" t="s">
        <v>5849</v>
      </c>
      <c r="T3415" s="23" t="s">
        <v>4866</v>
      </c>
      <c r="U3415" s="3">
        <v>35</v>
      </c>
      <c r="W3415" s="45" t="str">
        <f>HYPERLINK("http://ictvonline.org/taxonomy/p/taxonomy-history?taxnode_id=201902777","ICTVonline=201902777")</f>
        <v>ICTVonline=201902777</v>
      </c>
      <c r="Y3415" s="1" t="s">
        <v>11972</v>
      </c>
      <c r="Z3415" s="1" t="s">
        <v>11973</v>
      </c>
      <c r="AA3415" s="1">
        <v>201900000</v>
      </c>
      <c r="AB3415" s="1">
        <v>35</v>
      </c>
    </row>
    <row r="3416" spans="1:28" x14ac:dyDescent="0.2">
      <c r="A3416" s="1">
        <v>8867</v>
      </c>
      <c r="B3416" s="1" t="s">
        <v>6839</v>
      </c>
      <c r="D3416" s="1" t="s">
        <v>11735</v>
      </c>
      <c r="F3416" s="1" t="s">
        <v>11930</v>
      </c>
      <c r="H3416" s="1" t="s">
        <v>11931</v>
      </c>
      <c r="J3416" s="1" t="s">
        <v>11948</v>
      </c>
      <c r="L3416" s="1" t="s">
        <v>1776</v>
      </c>
      <c r="N3416" s="1" t="s">
        <v>1785</v>
      </c>
      <c r="P3416" s="1" t="s">
        <v>1787</v>
      </c>
      <c r="Q3416" s="3">
        <v>0</v>
      </c>
      <c r="R3416" s="23" t="s">
        <v>11933</v>
      </c>
      <c r="S3416" s="23" t="s">
        <v>5849</v>
      </c>
      <c r="T3416" s="23" t="s">
        <v>4866</v>
      </c>
      <c r="U3416" s="3">
        <v>35</v>
      </c>
      <c r="W3416" s="45" t="str">
        <f>HYPERLINK("http://ictvonline.org/taxonomy/p/taxonomy-history?taxnode_id=201902778","ICTVonline=201902778")</f>
        <v>ICTVonline=201902778</v>
      </c>
      <c r="Y3416" s="1" t="s">
        <v>11974</v>
      </c>
      <c r="Z3416" s="1" t="s">
        <v>11975</v>
      </c>
      <c r="AA3416" s="1">
        <v>201900000</v>
      </c>
      <c r="AB3416" s="1">
        <v>35</v>
      </c>
    </row>
    <row r="3417" spans="1:28" x14ac:dyDescent="0.2">
      <c r="A3417" s="1">
        <v>8869</v>
      </c>
      <c r="B3417" s="1" t="s">
        <v>6839</v>
      </c>
      <c r="D3417" s="1" t="s">
        <v>11735</v>
      </c>
      <c r="F3417" s="1" t="s">
        <v>11930</v>
      </c>
      <c r="H3417" s="1" t="s">
        <v>11931</v>
      </c>
      <c r="J3417" s="1" t="s">
        <v>11948</v>
      </c>
      <c r="L3417" s="1" t="s">
        <v>1776</v>
      </c>
      <c r="N3417" s="1" t="s">
        <v>1785</v>
      </c>
      <c r="P3417" s="1" t="s">
        <v>1788</v>
      </c>
      <c r="Q3417" s="3">
        <v>0</v>
      </c>
      <c r="R3417" s="23" t="s">
        <v>11933</v>
      </c>
      <c r="S3417" s="23" t="s">
        <v>5849</v>
      </c>
      <c r="T3417" s="23" t="s">
        <v>4866</v>
      </c>
      <c r="U3417" s="3">
        <v>35</v>
      </c>
      <c r="W3417" s="45" t="str">
        <f>HYPERLINK("http://ictvonline.org/taxonomy/p/taxonomy-history?taxnode_id=201902779","ICTVonline=201902779")</f>
        <v>ICTVonline=201902779</v>
      </c>
      <c r="Y3417" s="1" t="s">
        <v>11976</v>
      </c>
      <c r="Z3417" s="1" t="s">
        <v>11977</v>
      </c>
      <c r="AA3417" s="1">
        <v>201900000</v>
      </c>
      <c r="AB3417" s="1">
        <v>35</v>
      </c>
    </row>
    <row r="3418" spans="1:28" x14ac:dyDescent="0.2">
      <c r="A3418" s="1">
        <v>8871</v>
      </c>
      <c r="B3418" s="1" t="s">
        <v>6839</v>
      </c>
      <c r="D3418" s="1" t="s">
        <v>11735</v>
      </c>
      <c r="F3418" s="1" t="s">
        <v>11930</v>
      </c>
      <c r="H3418" s="1" t="s">
        <v>11931</v>
      </c>
      <c r="J3418" s="1" t="s">
        <v>11948</v>
      </c>
      <c r="L3418" s="1" t="s">
        <v>1776</v>
      </c>
      <c r="N3418" s="1" t="s">
        <v>1785</v>
      </c>
      <c r="P3418" s="1" t="s">
        <v>70</v>
      </c>
      <c r="Q3418" s="3">
        <v>0</v>
      </c>
      <c r="R3418" s="23" t="s">
        <v>11933</v>
      </c>
      <c r="S3418" s="23" t="s">
        <v>5849</v>
      </c>
      <c r="T3418" s="23" t="s">
        <v>4866</v>
      </c>
      <c r="U3418" s="3">
        <v>35</v>
      </c>
      <c r="W3418" s="45" t="str">
        <f>HYPERLINK("http://ictvonline.org/taxonomy/p/taxonomy-history?taxnode_id=201902780","ICTVonline=201902780")</f>
        <v>ICTVonline=201902780</v>
      </c>
      <c r="Y3418" s="1" t="s">
        <v>11978</v>
      </c>
      <c r="Z3418" s="1" t="s">
        <v>11979</v>
      </c>
      <c r="AA3418" s="1">
        <v>201900000</v>
      </c>
      <c r="AB3418" s="1">
        <v>35</v>
      </c>
    </row>
    <row r="3419" spans="1:28" x14ac:dyDescent="0.2">
      <c r="A3419" s="1">
        <v>8873</v>
      </c>
      <c r="B3419" s="1" t="s">
        <v>6839</v>
      </c>
      <c r="D3419" s="1" t="s">
        <v>11735</v>
      </c>
      <c r="F3419" s="1" t="s">
        <v>11930</v>
      </c>
      <c r="H3419" s="1" t="s">
        <v>11931</v>
      </c>
      <c r="J3419" s="1" t="s">
        <v>11948</v>
      </c>
      <c r="L3419" s="1" t="s">
        <v>1776</v>
      </c>
      <c r="N3419" s="1" t="s">
        <v>1785</v>
      </c>
      <c r="P3419" s="1" t="s">
        <v>1789</v>
      </c>
      <c r="Q3419" s="3">
        <v>0</v>
      </c>
      <c r="R3419" s="23" t="s">
        <v>11933</v>
      </c>
      <c r="S3419" s="23" t="s">
        <v>5849</v>
      </c>
      <c r="T3419" s="23" t="s">
        <v>4866</v>
      </c>
      <c r="U3419" s="3">
        <v>35</v>
      </c>
      <c r="W3419" s="45" t="str">
        <f>HYPERLINK("http://ictvonline.org/taxonomy/p/taxonomy-history?taxnode_id=201902781","ICTVonline=201902781")</f>
        <v>ICTVonline=201902781</v>
      </c>
      <c r="Y3419" s="1" t="s">
        <v>11980</v>
      </c>
      <c r="Z3419" s="1" t="s">
        <v>11981</v>
      </c>
      <c r="AA3419" s="1">
        <v>201900000</v>
      </c>
      <c r="AB3419" s="1">
        <v>35</v>
      </c>
    </row>
    <row r="3420" spans="1:28" x14ac:dyDescent="0.2">
      <c r="A3420" s="1">
        <v>8875</v>
      </c>
      <c r="B3420" s="1" t="s">
        <v>6839</v>
      </c>
      <c r="D3420" s="1" t="s">
        <v>11735</v>
      </c>
      <c r="F3420" s="1" t="s">
        <v>11930</v>
      </c>
      <c r="H3420" s="1" t="s">
        <v>11931</v>
      </c>
      <c r="J3420" s="1" t="s">
        <v>11948</v>
      </c>
      <c r="L3420" s="1" t="s">
        <v>1776</v>
      </c>
      <c r="N3420" s="1" t="s">
        <v>1785</v>
      </c>
      <c r="P3420" s="1" t="s">
        <v>1790</v>
      </c>
      <c r="Q3420" s="3">
        <v>0</v>
      </c>
      <c r="R3420" s="23" t="s">
        <v>11933</v>
      </c>
      <c r="S3420" s="23" t="s">
        <v>5849</v>
      </c>
      <c r="T3420" s="23" t="s">
        <v>4866</v>
      </c>
      <c r="U3420" s="3">
        <v>35</v>
      </c>
      <c r="W3420" s="45" t="str">
        <f>HYPERLINK("http://ictvonline.org/taxonomy/p/taxonomy-history?taxnode_id=201902782","ICTVonline=201902782")</f>
        <v>ICTVonline=201902782</v>
      </c>
      <c r="Y3420" s="1" t="s">
        <v>11982</v>
      </c>
      <c r="Z3420" s="1" t="s">
        <v>11973</v>
      </c>
      <c r="AA3420" s="1">
        <v>201900000</v>
      </c>
      <c r="AB3420" s="1">
        <v>35</v>
      </c>
    </row>
    <row r="3421" spans="1:28" x14ac:dyDescent="0.2">
      <c r="A3421" s="1">
        <v>8877</v>
      </c>
      <c r="B3421" s="1" t="s">
        <v>6839</v>
      </c>
      <c r="D3421" s="1" t="s">
        <v>11735</v>
      </c>
      <c r="F3421" s="1" t="s">
        <v>11930</v>
      </c>
      <c r="H3421" s="1" t="s">
        <v>11931</v>
      </c>
      <c r="J3421" s="1" t="s">
        <v>11948</v>
      </c>
      <c r="L3421" s="1" t="s">
        <v>1776</v>
      </c>
      <c r="N3421" s="1" t="s">
        <v>1785</v>
      </c>
      <c r="P3421" s="1" t="s">
        <v>759</v>
      </c>
      <c r="Q3421" s="3">
        <v>0</v>
      </c>
      <c r="R3421" s="23" t="s">
        <v>11933</v>
      </c>
      <c r="S3421" s="23" t="s">
        <v>5849</v>
      </c>
      <c r="T3421" s="23" t="s">
        <v>4866</v>
      </c>
      <c r="U3421" s="3">
        <v>35</v>
      </c>
      <c r="W3421" s="45" t="str">
        <f>HYPERLINK("http://ictvonline.org/taxonomy/p/taxonomy-history?taxnode_id=201902783","ICTVonline=201902783")</f>
        <v>ICTVonline=201902783</v>
      </c>
      <c r="Y3421" s="1" t="s">
        <v>11983</v>
      </c>
      <c r="Z3421" s="1" t="s">
        <v>11984</v>
      </c>
      <c r="AA3421" s="1">
        <v>201900000</v>
      </c>
      <c r="AB3421" s="1">
        <v>35</v>
      </c>
    </row>
    <row r="3422" spans="1:28" x14ac:dyDescent="0.2">
      <c r="A3422" s="1">
        <v>8879</v>
      </c>
      <c r="B3422" s="1" t="s">
        <v>6839</v>
      </c>
      <c r="D3422" s="1" t="s">
        <v>11735</v>
      </c>
      <c r="F3422" s="1" t="s">
        <v>11930</v>
      </c>
      <c r="H3422" s="1" t="s">
        <v>11931</v>
      </c>
      <c r="J3422" s="1" t="s">
        <v>11948</v>
      </c>
      <c r="L3422" s="1" t="s">
        <v>1776</v>
      </c>
      <c r="N3422" s="1" t="s">
        <v>1785</v>
      </c>
      <c r="P3422" s="1" t="s">
        <v>760</v>
      </c>
      <c r="Q3422" s="3">
        <v>0</v>
      </c>
      <c r="R3422" s="23" t="s">
        <v>11933</v>
      </c>
      <c r="S3422" s="23" t="s">
        <v>5849</v>
      </c>
      <c r="T3422" s="23" t="s">
        <v>4866</v>
      </c>
      <c r="U3422" s="3">
        <v>35</v>
      </c>
      <c r="W3422" s="45" t="str">
        <f>HYPERLINK("http://ictvonline.org/taxonomy/p/taxonomy-history?taxnode_id=201902784","ICTVonline=201902784")</f>
        <v>ICTVonline=201902784</v>
      </c>
      <c r="Y3422" s="1" t="s">
        <v>11985</v>
      </c>
      <c r="Z3422" s="1" t="s">
        <v>11973</v>
      </c>
      <c r="AA3422" s="1">
        <v>201900000</v>
      </c>
      <c r="AB3422" s="1">
        <v>35</v>
      </c>
    </row>
    <row r="3423" spans="1:28" x14ac:dyDescent="0.2">
      <c r="A3423" s="1">
        <v>8881</v>
      </c>
      <c r="B3423" s="1" t="s">
        <v>6839</v>
      </c>
      <c r="D3423" s="1" t="s">
        <v>11735</v>
      </c>
      <c r="F3423" s="1" t="s">
        <v>11930</v>
      </c>
      <c r="H3423" s="1" t="s">
        <v>11931</v>
      </c>
      <c r="J3423" s="1" t="s">
        <v>11948</v>
      </c>
      <c r="L3423" s="1" t="s">
        <v>1776</v>
      </c>
      <c r="N3423" s="1" t="s">
        <v>1785</v>
      </c>
      <c r="P3423" s="1" t="s">
        <v>761</v>
      </c>
      <c r="Q3423" s="3">
        <v>0</v>
      </c>
      <c r="R3423" s="23" t="s">
        <v>11933</v>
      </c>
      <c r="S3423" s="23" t="s">
        <v>5849</v>
      </c>
      <c r="T3423" s="23" t="s">
        <v>4866</v>
      </c>
      <c r="U3423" s="3">
        <v>35</v>
      </c>
      <c r="W3423" s="45" t="str">
        <f>HYPERLINK("http://ictvonline.org/taxonomy/p/taxonomy-history?taxnode_id=201902785","ICTVonline=201902785")</f>
        <v>ICTVonline=201902785</v>
      </c>
      <c r="Y3423" s="1" t="s">
        <v>11986</v>
      </c>
      <c r="Z3423" s="1" t="s">
        <v>11987</v>
      </c>
      <c r="AA3423" s="1">
        <v>201900000</v>
      </c>
      <c r="AB3423" s="1">
        <v>35</v>
      </c>
    </row>
    <row r="3424" spans="1:28" x14ac:dyDescent="0.2">
      <c r="A3424" s="1">
        <v>8883</v>
      </c>
      <c r="B3424" s="1" t="s">
        <v>6839</v>
      </c>
      <c r="D3424" s="1" t="s">
        <v>11735</v>
      </c>
      <c r="F3424" s="1" t="s">
        <v>11930</v>
      </c>
      <c r="H3424" s="1" t="s">
        <v>11931</v>
      </c>
      <c r="J3424" s="1" t="s">
        <v>11948</v>
      </c>
      <c r="L3424" s="1" t="s">
        <v>1776</v>
      </c>
      <c r="N3424" s="1" t="s">
        <v>1785</v>
      </c>
      <c r="P3424" s="1" t="s">
        <v>762</v>
      </c>
      <c r="Q3424" s="3">
        <v>0</v>
      </c>
      <c r="R3424" s="23" t="s">
        <v>11933</v>
      </c>
      <c r="S3424" s="23" t="s">
        <v>5849</v>
      </c>
      <c r="T3424" s="23" t="s">
        <v>4866</v>
      </c>
      <c r="U3424" s="3">
        <v>35</v>
      </c>
      <c r="W3424" s="45" t="str">
        <f>HYPERLINK("http://ictvonline.org/taxonomy/p/taxonomy-history?taxnode_id=201902786","ICTVonline=201902786")</f>
        <v>ICTVonline=201902786</v>
      </c>
      <c r="Y3424" s="1" t="s">
        <v>11988</v>
      </c>
      <c r="Z3424" s="1" t="s">
        <v>11979</v>
      </c>
      <c r="AA3424" s="1">
        <v>201900000</v>
      </c>
      <c r="AB3424" s="1">
        <v>35</v>
      </c>
    </row>
    <row r="3425" spans="1:28" x14ac:dyDescent="0.2">
      <c r="A3425" s="1">
        <v>8885</v>
      </c>
      <c r="B3425" s="1" t="s">
        <v>6839</v>
      </c>
      <c r="D3425" s="1" t="s">
        <v>11735</v>
      </c>
      <c r="F3425" s="1" t="s">
        <v>11930</v>
      </c>
      <c r="H3425" s="1" t="s">
        <v>11931</v>
      </c>
      <c r="J3425" s="1" t="s">
        <v>11948</v>
      </c>
      <c r="L3425" s="1" t="s">
        <v>1776</v>
      </c>
      <c r="N3425" s="1" t="s">
        <v>1785</v>
      </c>
      <c r="P3425" s="1" t="s">
        <v>71</v>
      </c>
      <c r="Q3425" s="3">
        <v>0</v>
      </c>
      <c r="R3425" s="23" t="s">
        <v>11933</v>
      </c>
      <c r="S3425" s="23" t="s">
        <v>5849</v>
      </c>
      <c r="T3425" s="23" t="s">
        <v>4866</v>
      </c>
      <c r="U3425" s="3">
        <v>35</v>
      </c>
      <c r="W3425" s="45" t="str">
        <f>HYPERLINK("http://ictvonline.org/taxonomy/p/taxonomy-history?taxnode_id=201902787","ICTVonline=201902787")</f>
        <v>ICTVonline=201902787</v>
      </c>
      <c r="Y3425" s="1" t="s">
        <v>11989</v>
      </c>
      <c r="Z3425" s="1" t="s">
        <v>11990</v>
      </c>
      <c r="AA3425" s="1">
        <v>201900000</v>
      </c>
      <c r="AB3425" s="1">
        <v>35</v>
      </c>
    </row>
    <row r="3426" spans="1:28" x14ac:dyDescent="0.2">
      <c r="A3426" s="1">
        <v>8887</v>
      </c>
      <c r="B3426" s="1" t="s">
        <v>6839</v>
      </c>
      <c r="D3426" s="1" t="s">
        <v>11735</v>
      </c>
      <c r="F3426" s="1" t="s">
        <v>11930</v>
      </c>
      <c r="H3426" s="1" t="s">
        <v>11931</v>
      </c>
      <c r="J3426" s="1" t="s">
        <v>11948</v>
      </c>
      <c r="L3426" s="1" t="s">
        <v>1776</v>
      </c>
      <c r="N3426" s="1" t="s">
        <v>1785</v>
      </c>
      <c r="P3426" s="1" t="s">
        <v>763</v>
      </c>
      <c r="Q3426" s="3">
        <v>0</v>
      </c>
      <c r="R3426" s="23" t="s">
        <v>11933</v>
      </c>
      <c r="S3426" s="23" t="s">
        <v>5849</v>
      </c>
      <c r="T3426" s="23" t="s">
        <v>4866</v>
      </c>
      <c r="U3426" s="3">
        <v>35</v>
      </c>
      <c r="W3426" s="45" t="str">
        <f>HYPERLINK("http://ictvonline.org/taxonomy/p/taxonomy-history?taxnode_id=201902788","ICTVonline=201902788")</f>
        <v>ICTVonline=201902788</v>
      </c>
      <c r="Y3426" s="1" t="s">
        <v>11991</v>
      </c>
      <c r="Z3426" s="1" t="s">
        <v>11992</v>
      </c>
      <c r="AA3426" s="1">
        <v>201900000</v>
      </c>
      <c r="AB3426" s="1">
        <v>35</v>
      </c>
    </row>
    <row r="3427" spans="1:28" x14ac:dyDescent="0.2">
      <c r="A3427" s="1">
        <v>8889</v>
      </c>
      <c r="B3427" s="1" t="s">
        <v>6839</v>
      </c>
      <c r="D3427" s="1" t="s">
        <v>11735</v>
      </c>
      <c r="F3427" s="1" t="s">
        <v>11930</v>
      </c>
      <c r="H3427" s="1" t="s">
        <v>11931</v>
      </c>
      <c r="J3427" s="1" t="s">
        <v>11948</v>
      </c>
      <c r="L3427" s="1" t="s">
        <v>1776</v>
      </c>
      <c r="N3427" s="1" t="s">
        <v>1785</v>
      </c>
      <c r="P3427" s="1" t="s">
        <v>223</v>
      </c>
      <c r="Q3427" s="3">
        <v>0</v>
      </c>
      <c r="R3427" s="23" t="s">
        <v>11933</v>
      </c>
      <c r="S3427" s="23" t="s">
        <v>5849</v>
      </c>
      <c r="T3427" s="23" t="s">
        <v>4866</v>
      </c>
      <c r="U3427" s="3">
        <v>35</v>
      </c>
      <c r="W3427" s="45" t="str">
        <f>HYPERLINK("http://ictvonline.org/taxonomy/p/taxonomy-history?taxnode_id=201902789","ICTVonline=201902789")</f>
        <v>ICTVonline=201902789</v>
      </c>
      <c r="Y3427" s="1" t="s">
        <v>11993</v>
      </c>
      <c r="Z3427" s="1" t="s">
        <v>11994</v>
      </c>
      <c r="AA3427" s="1">
        <v>201900000</v>
      </c>
      <c r="AB3427" s="1">
        <v>35</v>
      </c>
    </row>
    <row r="3428" spans="1:28" x14ac:dyDescent="0.2">
      <c r="A3428" s="1">
        <v>8891</v>
      </c>
      <c r="B3428" s="1" t="s">
        <v>6839</v>
      </c>
      <c r="D3428" s="1" t="s">
        <v>11735</v>
      </c>
      <c r="F3428" s="1" t="s">
        <v>11930</v>
      </c>
      <c r="H3428" s="1" t="s">
        <v>11931</v>
      </c>
      <c r="J3428" s="1" t="s">
        <v>11948</v>
      </c>
      <c r="L3428" s="1" t="s">
        <v>1776</v>
      </c>
      <c r="N3428" s="1" t="s">
        <v>1785</v>
      </c>
      <c r="P3428" s="1" t="s">
        <v>5269</v>
      </c>
      <c r="Q3428" s="3">
        <v>0</v>
      </c>
      <c r="R3428" s="23" t="s">
        <v>11933</v>
      </c>
      <c r="S3428" s="23" t="s">
        <v>5849</v>
      </c>
      <c r="T3428" s="23" t="s">
        <v>4866</v>
      </c>
      <c r="U3428" s="3">
        <v>35</v>
      </c>
      <c r="W3428" s="45" t="str">
        <f>HYPERLINK("http://ictvonline.org/taxonomy/p/taxonomy-history?taxnode_id=201905759","ICTVonline=201905759")</f>
        <v>ICTVonline=201905759</v>
      </c>
      <c r="AA3428" s="1">
        <v>201900000</v>
      </c>
      <c r="AB3428" s="1">
        <v>35</v>
      </c>
    </row>
    <row r="3429" spans="1:28" x14ac:dyDescent="0.2">
      <c r="A3429" s="1">
        <v>8893</v>
      </c>
      <c r="B3429" s="1" t="s">
        <v>6839</v>
      </c>
      <c r="D3429" s="1" t="s">
        <v>11735</v>
      </c>
      <c r="F3429" s="1" t="s">
        <v>11930</v>
      </c>
      <c r="H3429" s="1" t="s">
        <v>11931</v>
      </c>
      <c r="J3429" s="1" t="s">
        <v>11948</v>
      </c>
      <c r="L3429" s="1" t="s">
        <v>1776</v>
      </c>
      <c r="N3429" s="1" t="s">
        <v>1785</v>
      </c>
      <c r="P3429" s="1" t="s">
        <v>224</v>
      </c>
      <c r="Q3429" s="3">
        <v>0</v>
      </c>
      <c r="R3429" s="23" t="s">
        <v>11933</v>
      </c>
      <c r="S3429" s="23" t="s">
        <v>5849</v>
      </c>
      <c r="T3429" s="23" t="s">
        <v>4866</v>
      </c>
      <c r="U3429" s="3">
        <v>35</v>
      </c>
      <c r="W3429" s="45" t="str">
        <f>HYPERLINK("http://ictvonline.org/taxonomy/p/taxonomy-history?taxnode_id=201902790","ICTVonline=201902790")</f>
        <v>ICTVonline=201902790</v>
      </c>
      <c r="Y3429" s="1" t="s">
        <v>11995</v>
      </c>
      <c r="Z3429" s="1" t="s">
        <v>11996</v>
      </c>
      <c r="AA3429" s="1">
        <v>201900000</v>
      </c>
      <c r="AB3429" s="1">
        <v>35</v>
      </c>
    </row>
    <row r="3430" spans="1:28" x14ac:dyDescent="0.2">
      <c r="A3430" s="1">
        <v>8895</v>
      </c>
      <c r="B3430" s="1" t="s">
        <v>6839</v>
      </c>
      <c r="D3430" s="1" t="s">
        <v>11735</v>
      </c>
      <c r="F3430" s="1" t="s">
        <v>11930</v>
      </c>
      <c r="H3430" s="1" t="s">
        <v>11931</v>
      </c>
      <c r="J3430" s="1" t="s">
        <v>11948</v>
      </c>
      <c r="L3430" s="1" t="s">
        <v>1776</v>
      </c>
      <c r="N3430" s="1" t="s">
        <v>1785</v>
      </c>
      <c r="P3430" s="1" t="s">
        <v>225</v>
      </c>
      <c r="Q3430" s="3">
        <v>0</v>
      </c>
      <c r="R3430" s="23" t="s">
        <v>11933</v>
      </c>
      <c r="S3430" s="23" t="s">
        <v>5849</v>
      </c>
      <c r="T3430" s="23" t="s">
        <v>4866</v>
      </c>
      <c r="U3430" s="3">
        <v>35</v>
      </c>
      <c r="W3430" s="45" t="str">
        <f>HYPERLINK("http://ictvonline.org/taxonomy/p/taxonomy-history?taxnode_id=201902791","ICTVonline=201902791")</f>
        <v>ICTVonline=201902791</v>
      </c>
      <c r="Y3430" s="1" t="s">
        <v>11997</v>
      </c>
      <c r="Z3430" s="1" t="s">
        <v>11998</v>
      </c>
      <c r="AA3430" s="1">
        <v>201900000</v>
      </c>
      <c r="AB3430" s="1">
        <v>35</v>
      </c>
    </row>
    <row r="3431" spans="1:28" x14ac:dyDescent="0.2">
      <c r="A3431" s="1">
        <v>8897</v>
      </c>
      <c r="B3431" s="1" t="s">
        <v>6839</v>
      </c>
      <c r="D3431" s="1" t="s">
        <v>11735</v>
      </c>
      <c r="F3431" s="1" t="s">
        <v>11930</v>
      </c>
      <c r="H3431" s="1" t="s">
        <v>11931</v>
      </c>
      <c r="J3431" s="1" t="s">
        <v>11948</v>
      </c>
      <c r="L3431" s="1" t="s">
        <v>1776</v>
      </c>
      <c r="N3431" s="1" t="s">
        <v>1785</v>
      </c>
      <c r="P3431" s="1" t="s">
        <v>1212</v>
      </c>
      <c r="Q3431" s="3">
        <v>0</v>
      </c>
      <c r="R3431" s="23" t="s">
        <v>11933</v>
      </c>
      <c r="S3431" s="23" t="s">
        <v>5849</v>
      </c>
      <c r="T3431" s="23" t="s">
        <v>4866</v>
      </c>
      <c r="U3431" s="3">
        <v>35</v>
      </c>
      <c r="W3431" s="45" t="str">
        <f>HYPERLINK("http://ictvonline.org/taxonomy/p/taxonomy-history?taxnode_id=201902792","ICTVonline=201902792")</f>
        <v>ICTVonline=201902792</v>
      </c>
      <c r="Y3431" s="1" t="s">
        <v>11999</v>
      </c>
      <c r="Z3431" s="1" t="s">
        <v>11973</v>
      </c>
      <c r="AA3431" s="1">
        <v>201900000</v>
      </c>
      <c r="AB3431" s="1">
        <v>35</v>
      </c>
    </row>
    <row r="3432" spans="1:28" x14ac:dyDescent="0.2">
      <c r="A3432" s="1">
        <v>8899</v>
      </c>
      <c r="B3432" s="1" t="s">
        <v>6839</v>
      </c>
      <c r="D3432" s="1" t="s">
        <v>11735</v>
      </c>
      <c r="F3432" s="1" t="s">
        <v>11930</v>
      </c>
      <c r="H3432" s="1" t="s">
        <v>11931</v>
      </c>
      <c r="J3432" s="1" t="s">
        <v>11948</v>
      </c>
      <c r="L3432" s="1" t="s">
        <v>1776</v>
      </c>
      <c r="N3432" s="1" t="s">
        <v>1785</v>
      </c>
      <c r="P3432" s="1" t="s">
        <v>72</v>
      </c>
      <c r="Q3432" s="3">
        <v>0</v>
      </c>
      <c r="R3432" s="23" t="s">
        <v>11933</v>
      </c>
      <c r="S3432" s="23" t="s">
        <v>5849</v>
      </c>
      <c r="T3432" s="23" t="s">
        <v>4866</v>
      </c>
      <c r="U3432" s="3">
        <v>35</v>
      </c>
      <c r="W3432" s="45" t="str">
        <f>HYPERLINK("http://ictvonline.org/taxonomy/p/taxonomy-history?taxnode_id=201902793","ICTVonline=201902793")</f>
        <v>ICTVonline=201902793</v>
      </c>
      <c r="Y3432" s="1" t="s">
        <v>12000</v>
      </c>
      <c r="Z3432" s="1" t="s">
        <v>12001</v>
      </c>
      <c r="AA3432" s="1">
        <v>201900000</v>
      </c>
      <c r="AB3432" s="1">
        <v>35</v>
      </c>
    </row>
    <row r="3433" spans="1:28" x14ac:dyDescent="0.2">
      <c r="A3433" s="1">
        <v>8901</v>
      </c>
      <c r="B3433" s="1" t="s">
        <v>6839</v>
      </c>
      <c r="D3433" s="1" t="s">
        <v>11735</v>
      </c>
      <c r="F3433" s="1" t="s">
        <v>11930</v>
      </c>
      <c r="H3433" s="1" t="s">
        <v>11931</v>
      </c>
      <c r="J3433" s="1" t="s">
        <v>11948</v>
      </c>
      <c r="L3433" s="1" t="s">
        <v>1776</v>
      </c>
      <c r="N3433" s="1" t="s">
        <v>1785</v>
      </c>
      <c r="P3433" s="1" t="s">
        <v>1949</v>
      </c>
      <c r="Q3433" s="3">
        <v>1</v>
      </c>
      <c r="R3433" s="23" t="s">
        <v>11933</v>
      </c>
      <c r="S3433" s="23" t="s">
        <v>5849</v>
      </c>
      <c r="T3433" s="23" t="s">
        <v>4866</v>
      </c>
      <c r="U3433" s="3">
        <v>35</v>
      </c>
      <c r="W3433" s="45" t="str">
        <f>HYPERLINK("http://ictvonline.org/taxonomy/p/taxonomy-history?taxnode_id=201902794","ICTVonline=201902794")</f>
        <v>ICTVonline=201902794</v>
      </c>
      <c r="Y3433" s="1" t="s">
        <v>12002</v>
      </c>
      <c r="Z3433" s="1" t="s">
        <v>12003</v>
      </c>
      <c r="AA3433" s="1">
        <v>201900000</v>
      </c>
      <c r="AB3433" s="1">
        <v>35</v>
      </c>
    </row>
    <row r="3434" spans="1:28" x14ac:dyDescent="0.2">
      <c r="A3434" s="1">
        <v>8903</v>
      </c>
      <c r="B3434" s="1" t="s">
        <v>6839</v>
      </c>
      <c r="D3434" s="1" t="s">
        <v>11735</v>
      </c>
      <c r="F3434" s="1" t="s">
        <v>11930</v>
      </c>
      <c r="H3434" s="1" t="s">
        <v>11931</v>
      </c>
      <c r="J3434" s="1" t="s">
        <v>11948</v>
      </c>
      <c r="L3434" s="1" t="s">
        <v>1776</v>
      </c>
      <c r="N3434" s="1" t="s">
        <v>1785</v>
      </c>
      <c r="P3434" s="1" t="s">
        <v>5270</v>
      </c>
      <c r="Q3434" s="3">
        <v>0</v>
      </c>
      <c r="R3434" s="23" t="s">
        <v>11933</v>
      </c>
      <c r="S3434" s="23" t="s">
        <v>5849</v>
      </c>
      <c r="T3434" s="23" t="s">
        <v>4866</v>
      </c>
      <c r="U3434" s="3">
        <v>35</v>
      </c>
      <c r="W3434" s="45" t="str">
        <f>HYPERLINK("http://ictvonline.org/taxonomy/p/taxonomy-history?taxnode_id=201905760","ICTVonline=201905760")</f>
        <v>ICTVonline=201905760</v>
      </c>
      <c r="AA3434" s="1">
        <v>201900000</v>
      </c>
      <c r="AB3434" s="1">
        <v>35</v>
      </c>
    </row>
    <row r="3435" spans="1:28" x14ac:dyDescent="0.2">
      <c r="A3435" s="1">
        <v>8905</v>
      </c>
      <c r="B3435" s="1" t="s">
        <v>6839</v>
      </c>
      <c r="D3435" s="1" t="s">
        <v>11735</v>
      </c>
      <c r="F3435" s="1" t="s">
        <v>11930</v>
      </c>
      <c r="H3435" s="1" t="s">
        <v>11931</v>
      </c>
      <c r="J3435" s="1" t="s">
        <v>11948</v>
      </c>
      <c r="L3435" s="1" t="s">
        <v>1776</v>
      </c>
      <c r="N3435" s="1" t="s">
        <v>1785</v>
      </c>
      <c r="P3435" s="1" t="s">
        <v>1950</v>
      </c>
      <c r="Q3435" s="3">
        <v>0</v>
      </c>
      <c r="R3435" s="23" t="s">
        <v>11933</v>
      </c>
      <c r="S3435" s="23" t="s">
        <v>5849</v>
      </c>
      <c r="T3435" s="23" t="s">
        <v>4866</v>
      </c>
      <c r="U3435" s="3">
        <v>35</v>
      </c>
      <c r="W3435" s="45" t="str">
        <f>HYPERLINK("http://ictvonline.org/taxonomy/p/taxonomy-history?taxnode_id=201902795","ICTVonline=201902795")</f>
        <v>ICTVonline=201902795</v>
      </c>
      <c r="Y3435" s="1" t="s">
        <v>12004</v>
      </c>
      <c r="Z3435" s="1" t="s">
        <v>11973</v>
      </c>
      <c r="AA3435" s="1">
        <v>201900000</v>
      </c>
      <c r="AB3435" s="1">
        <v>35</v>
      </c>
    </row>
    <row r="3436" spans="1:28" x14ac:dyDescent="0.2">
      <c r="A3436" s="1">
        <v>8909</v>
      </c>
      <c r="B3436" s="1" t="s">
        <v>6839</v>
      </c>
      <c r="D3436" s="1" t="s">
        <v>11735</v>
      </c>
      <c r="F3436" s="1" t="s">
        <v>11930</v>
      </c>
      <c r="H3436" s="1" t="s">
        <v>11931</v>
      </c>
      <c r="J3436" s="1" t="s">
        <v>11948</v>
      </c>
      <c r="L3436" s="1" t="s">
        <v>1776</v>
      </c>
      <c r="N3436" s="1" t="s">
        <v>1951</v>
      </c>
      <c r="P3436" s="1" t="s">
        <v>1952</v>
      </c>
      <c r="Q3436" s="3">
        <v>1</v>
      </c>
      <c r="R3436" s="23" t="s">
        <v>11933</v>
      </c>
      <c r="S3436" s="23" t="s">
        <v>5849</v>
      </c>
      <c r="T3436" s="23" t="s">
        <v>4866</v>
      </c>
      <c r="U3436" s="3">
        <v>35</v>
      </c>
      <c r="W3436" s="45" t="str">
        <f>HYPERLINK("http://ictvonline.org/taxonomy/p/taxonomy-history?taxnode_id=201902797","ICTVonline=201902797")</f>
        <v>ICTVonline=201902797</v>
      </c>
      <c r="Y3436" s="1" t="s">
        <v>12005</v>
      </c>
      <c r="Z3436" s="1" t="s">
        <v>12006</v>
      </c>
      <c r="AA3436" s="1">
        <v>201900000</v>
      </c>
      <c r="AB3436" s="1">
        <v>35</v>
      </c>
    </row>
    <row r="3437" spans="1:28" x14ac:dyDescent="0.2">
      <c r="A3437" s="1">
        <v>8915</v>
      </c>
      <c r="B3437" s="1" t="s">
        <v>6839</v>
      </c>
      <c r="D3437" s="1" t="s">
        <v>11735</v>
      </c>
      <c r="F3437" s="1" t="s">
        <v>11930</v>
      </c>
      <c r="H3437" s="1" t="s">
        <v>11931</v>
      </c>
      <c r="J3437" s="1" t="s">
        <v>11948</v>
      </c>
      <c r="L3437" s="1" t="s">
        <v>1947</v>
      </c>
      <c r="N3437" s="1" t="s">
        <v>1948</v>
      </c>
      <c r="P3437" s="1" t="s">
        <v>6743</v>
      </c>
      <c r="Q3437" s="3">
        <v>0</v>
      </c>
      <c r="R3437" s="23" t="s">
        <v>11933</v>
      </c>
      <c r="S3437" s="23" t="s">
        <v>5849</v>
      </c>
      <c r="T3437" s="23" t="s">
        <v>4866</v>
      </c>
      <c r="U3437" s="3">
        <v>35</v>
      </c>
      <c r="W3437" s="45" t="str">
        <f>HYPERLINK("http://ictvonline.org/taxonomy/p/taxonomy-history?taxnode_id=201906656","ICTVonline=201906656")</f>
        <v>ICTVonline=201906656</v>
      </c>
      <c r="X3437" s="1" t="s">
        <v>12007</v>
      </c>
      <c r="Y3437" s="1" t="s">
        <v>12008</v>
      </c>
      <c r="Z3437" s="1" t="s">
        <v>12009</v>
      </c>
      <c r="AA3437" s="1">
        <v>201900000</v>
      </c>
      <c r="AB3437" s="1">
        <v>35</v>
      </c>
    </row>
    <row r="3438" spans="1:28" x14ac:dyDescent="0.2">
      <c r="A3438" s="1">
        <v>8917</v>
      </c>
      <c r="B3438" s="1" t="s">
        <v>6839</v>
      </c>
      <c r="D3438" s="1" t="s">
        <v>11735</v>
      </c>
      <c r="F3438" s="1" t="s">
        <v>11930</v>
      </c>
      <c r="H3438" s="1" t="s">
        <v>11931</v>
      </c>
      <c r="J3438" s="1" t="s">
        <v>11948</v>
      </c>
      <c r="L3438" s="1" t="s">
        <v>1947</v>
      </c>
      <c r="N3438" s="1" t="s">
        <v>1948</v>
      </c>
      <c r="P3438" s="1" t="s">
        <v>3705</v>
      </c>
      <c r="Q3438" s="3">
        <v>0</v>
      </c>
      <c r="R3438" s="23" t="s">
        <v>11933</v>
      </c>
      <c r="S3438" s="23" t="s">
        <v>5849</v>
      </c>
      <c r="T3438" s="23" t="s">
        <v>4866</v>
      </c>
      <c r="U3438" s="3">
        <v>35</v>
      </c>
      <c r="W3438" s="45" t="str">
        <f>HYPERLINK("http://ictvonline.org/taxonomy/p/taxonomy-history?taxnode_id=201902981","ICTVonline=201902981")</f>
        <v>ICTVonline=201902981</v>
      </c>
      <c r="Y3438" s="1" t="s">
        <v>12010</v>
      </c>
      <c r="Z3438" s="1" t="s">
        <v>12011</v>
      </c>
      <c r="AA3438" s="1">
        <v>201900000</v>
      </c>
      <c r="AB3438" s="1">
        <v>35</v>
      </c>
    </row>
    <row r="3439" spans="1:28" x14ac:dyDescent="0.2">
      <c r="A3439" s="1">
        <v>8919</v>
      </c>
      <c r="B3439" s="1" t="s">
        <v>6839</v>
      </c>
      <c r="D3439" s="1" t="s">
        <v>11735</v>
      </c>
      <c r="F3439" s="1" t="s">
        <v>11930</v>
      </c>
      <c r="H3439" s="1" t="s">
        <v>11931</v>
      </c>
      <c r="J3439" s="1" t="s">
        <v>11948</v>
      </c>
      <c r="L3439" s="1" t="s">
        <v>1947</v>
      </c>
      <c r="N3439" s="1" t="s">
        <v>1948</v>
      </c>
      <c r="P3439" s="1" t="s">
        <v>2043</v>
      </c>
      <c r="Q3439" s="3">
        <v>0</v>
      </c>
      <c r="R3439" s="23" t="s">
        <v>11933</v>
      </c>
      <c r="S3439" s="23" t="s">
        <v>5849</v>
      </c>
      <c r="T3439" s="23" t="s">
        <v>4866</v>
      </c>
      <c r="U3439" s="3">
        <v>35</v>
      </c>
      <c r="W3439" s="45" t="str">
        <f>HYPERLINK("http://ictvonline.org/taxonomy/p/taxonomy-history?taxnode_id=201902982","ICTVonline=201902982")</f>
        <v>ICTVonline=201902982</v>
      </c>
      <c r="Y3439" s="1" t="s">
        <v>12012</v>
      </c>
      <c r="Z3439" s="1">
        <v>1050</v>
      </c>
      <c r="AA3439" s="1">
        <v>201900000</v>
      </c>
      <c r="AB3439" s="1">
        <v>35</v>
      </c>
    </row>
    <row r="3440" spans="1:28" x14ac:dyDescent="0.2">
      <c r="A3440" s="1">
        <v>8921</v>
      </c>
      <c r="B3440" s="1" t="s">
        <v>6839</v>
      </c>
      <c r="D3440" s="1" t="s">
        <v>11735</v>
      </c>
      <c r="F3440" s="1" t="s">
        <v>11930</v>
      </c>
      <c r="H3440" s="1" t="s">
        <v>11931</v>
      </c>
      <c r="J3440" s="1" t="s">
        <v>11948</v>
      </c>
      <c r="L3440" s="1" t="s">
        <v>1947</v>
      </c>
      <c r="N3440" s="1" t="s">
        <v>1948</v>
      </c>
      <c r="P3440" s="1" t="s">
        <v>2044</v>
      </c>
      <c r="Q3440" s="3">
        <v>1</v>
      </c>
      <c r="R3440" s="23" t="s">
        <v>11933</v>
      </c>
      <c r="S3440" s="23" t="s">
        <v>5849</v>
      </c>
      <c r="T3440" s="23" t="s">
        <v>4866</v>
      </c>
      <c r="U3440" s="3">
        <v>35</v>
      </c>
      <c r="W3440" s="45" t="str">
        <f>HYPERLINK("http://ictvonline.org/taxonomy/p/taxonomy-history?taxnode_id=201902983","ICTVonline=201902983")</f>
        <v>ICTVonline=201902983</v>
      </c>
      <c r="Y3440" s="1" t="s">
        <v>12013</v>
      </c>
      <c r="Z3440" s="1" t="s">
        <v>12014</v>
      </c>
      <c r="AA3440" s="1">
        <v>201900000</v>
      </c>
      <c r="AB3440" s="1">
        <v>35</v>
      </c>
    </row>
    <row r="3441" spans="1:28" x14ac:dyDescent="0.2">
      <c r="A3441" s="1">
        <v>8923</v>
      </c>
      <c r="B3441" s="1" t="s">
        <v>6839</v>
      </c>
      <c r="D3441" s="1" t="s">
        <v>11735</v>
      </c>
      <c r="F3441" s="1" t="s">
        <v>11930</v>
      </c>
      <c r="H3441" s="1" t="s">
        <v>11931</v>
      </c>
      <c r="J3441" s="1" t="s">
        <v>11948</v>
      </c>
      <c r="L3441" s="1" t="s">
        <v>1947</v>
      </c>
      <c r="N3441" s="1" t="s">
        <v>1948</v>
      </c>
      <c r="P3441" s="1" t="s">
        <v>2214</v>
      </c>
      <c r="Q3441" s="3">
        <v>0</v>
      </c>
      <c r="R3441" s="23" t="s">
        <v>11933</v>
      </c>
      <c r="S3441" s="23" t="s">
        <v>5849</v>
      </c>
      <c r="T3441" s="23" t="s">
        <v>4866</v>
      </c>
      <c r="U3441" s="3">
        <v>35</v>
      </c>
      <c r="W3441" s="45" t="str">
        <f>HYPERLINK("http://ictvonline.org/taxonomy/p/taxonomy-history?taxnode_id=201902984","ICTVonline=201902984")</f>
        <v>ICTVonline=201902984</v>
      </c>
      <c r="Y3441" s="1" t="s">
        <v>12015</v>
      </c>
      <c r="Z3441" s="1" t="s">
        <v>12016</v>
      </c>
      <c r="AA3441" s="1">
        <v>201900000</v>
      </c>
      <c r="AB3441" s="1">
        <v>35</v>
      </c>
    </row>
    <row r="3442" spans="1:28" x14ac:dyDescent="0.2">
      <c r="A3442" s="1">
        <v>8925</v>
      </c>
      <c r="B3442" s="1" t="s">
        <v>6839</v>
      </c>
      <c r="D3442" s="1" t="s">
        <v>11735</v>
      </c>
      <c r="F3442" s="1" t="s">
        <v>11930</v>
      </c>
      <c r="H3442" s="1" t="s">
        <v>11931</v>
      </c>
      <c r="J3442" s="1" t="s">
        <v>11948</v>
      </c>
      <c r="L3442" s="1" t="s">
        <v>1947</v>
      </c>
      <c r="N3442" s="1" t="s">
        <v>1948</v>
      </c>
      <c r="P3442" s="1" t="s">
        <v>5277</v>
      </c>
      <c r="Q3442" s="3">
        <v>0</v>
      </c>
      <c r="R3442" s="23" t="s">
        <v>11933</v>
      </c>
      <c r="S3442" s="23" t="s">
        <v>5849</v>
      </c>
      <c r="T3442" s="23" t="s">
        <v>4866</v>
      </c>
      <c r="U3442" s="3">
        <v>35</v>
      </c>
      <c r="W3442" s="45" t="str">
        <f>HYPERLINK("http://ictvonline.org/taxonomy/p/taxonomy-history?taxnode_id=201905771","ICTVonline=201905771")</f>
        <v>ICTVonline=201905771</v>
      </c>
      <c r="AA3442" s="1">
        <v>201900000</v>
      </c>
      <c r="AB3442" s="1">
        <v>35</v>
      </c>
    </row>
    <row r="3443" spans="1:28" x14ac:dyDescent="0.2">
      <c r="A3443" s="1">
        <v>8927</v>
      </c>
      <c r="B3443" s="1" t="s">
        <v>6839</v>
      </c>
      <c r="D3443" s="1" t="s">
        <v>11735</v>
      </c>
      <c r="F3443" s="1" t="s">
        <v>11930</v>
      </c>
      <c r="H3443" s="1" t="s">
        <v>11931</v>
      </c>
      <c r="J3443" s="1" t="s">
        <v>11948</v>
      </c>
      <c r="L3443" s="1" t="s">
        <v>1947</v>
      </c>
      <c r="N3443" s="1" t="s">
        <v>1948</v>
      </c>
      <c r="P3443" s="1" t="s">
        <v>2045</v>
      </c>
      <c r="Q3443" s="3">
        <v>0</v>
      </c>
      <c r="R3443" s="23" t="s">
        <v>11933</v>
      </c>
      <c r="S3443" s="23" t="s">
        <v>5849</v>
      </c>
      <c r="T3443" s="23" t="s">
        <v>4866</v>
      </c>
      <c r="U3443" s="3">
        <v>35</v>
      </c>
      <c r="W3443" s="45" t="str">
        <f>HYPERLINK("http://ictvonline.org/taxonomy/p/taxonomy-history?taxnode_id=201902985","ICTVonline=201902985")</f>
        <v>ICTVonline=201902985</v>
      </c>
      <c r="Y3443" s="1" t="s">
        <v>12017</v>
      </c>
      <c r="Z3443" s="1" t="s">
        <v>12018</v>
      </c>
      <c r="AA3443" s="1">
        <v>201900000</v>
      </c>
      <c r="AB3443" s="1">
        <v>35</v>
      </c>
    </row>
    <row r="3444" spans="1:28" x14ac:dyDescent="0.2">
      <c r="A3444" s="1">
        <v>8929</v>
      </c>
      <c r="B3444" s="1" t="s">
        <v>6839</v>
      </c>
      <c r="D3444" s="1" t="s">
        <v>11735</v>
      </c>
      <c r="F3444" s="1" t="s">
        <v>11930</v>
      </c>
      <c r="H3444" s="1" t="s">
        <v>11931</v>
      </c>
      <c r="J3444" s="1" t="s">
        <v>11948</v>
      </c>
      <c r="L3444" s="1" t="s">
        <v>1947</v>
      </c>
      <c r="N3444" s="1" t="s">
        <v>1948</v>
      </c>
      <c r="P3444" s="1" t="s">
        <v>2046</v>
      </c>
      <c r="Q3444" s="3">
        <v>0</v>
      </c>
      <c r="R3444" s="23" t="s">
        <v>11933</v>
      </c>
      <c r="S3444" s="23" t="s">
        <v>5849</v>
      </c>
      <c r="T3444" s="23" t="s">
        <v>4866</v>
      </c>
      <c r="U3444" s="3">
        <v>35</v>
      </c>
      <c r="W3444" s="45" t="str">
        <f>HYPERLINK("http://ictvonline.org/taxonomy/p/taxonomy-history?taxnode_id=201902986","ICTVonline=201902986")</f>
        <v>ICTVonline=201902986</v>
      </c>
      <c r="Y3444" s="1" t="s">
        <v>12019</v>
      </c>
      <c r="Z3444" s="1" t="s">
        <v>12020</v>
      </c>
      <c r="AA3444" s="1">
        <v>201900000</v>
      </c>
      <c r="AB3444" s="1">
        <v>35</v>
      </c>
    </row>
    <row r="3445" spans="1:28" x14ac:dyDescent="0.2">
      <c r="A3445" s="1">
        <v>8931</v>
      </c>
      <c r="B3445" s="1" t="s">
        <v>6839</v>
      </c>
      <c r="D3445" s="1" t="s">
        <v>11735</v>
      </c>
      <c r="F3445" s="1" t="s">
        <v>11930</v>
      </c>
      <c r="H3445" s="1" t="s">
        <v>11931</v>
      </c>
      <c r="J3445" s="1" t="s">
        <v>11948</v>
      </c>
      <c r="L3445" s="1" t="s">
        <v>1947</v>
      </c>
      <c r="N3445" s="1" t="s">
        <v>1948</v>
      </c>
      <c r="P3445" s="1" t="s">
        <v>2047</v>
      </c>
      <c r="Q3445" s="3">
        <v>0</v>
      </c>
      <c r="R3445" s="23" t="s">
        <v>11933</v>
      </c>
      <c r="S3445" s="23" t="s">
        <v>5849</v>
      </c>
      <c r="T3445" s="23" t="s">
        <v>4866</v>
      </c>
      <c r="U3445" s="3">
        <v>35</v>
      </c>
      <c r="W3445" s="45" t="str">
        <f>HYPERLINK("http://ictvonline.org/taxonomy/p/taxonomy-history?taxnode_id=201902987","ICTVonline=201902987")</f>
        <v>ICTVonline=201902987</v>
      </c>
      <c r="AA3445" s="1">
        <v>201900000</v>
      </c>
      <c r="AB3445" s="1">
        <v>35</v>
      </c>
    </row>
    <row r="3446" spans="1:28" x14ac:dyDescent="0.2">
      <c r="A3446" s="1">
        <v>8933</v>
      </c>
      <c r="B3446" s="1" t="s">
        <v>6839</v>
      </c>
      <c r="D3446" s="1" t="s">
        <v>11735</v>
      </c>
      <c r="F3446" s="1" t="s">
        <v>11930</v>
      </c>
      <c r="H3446" s="1" t="s">
        <v>11931</v>
      </c>
      <c r="J3446" s="1" t="s">
        <v>11948</v>
      </c>
      <c r="L3446" s="1" t="s">
        <v>1947</v>
      </c>
      <c r="N3446" s="1" t="s">
        <v>1948</v>
      </c>
      <c r="P3446" s="1" t="s">
        <v>1809</v>
      </c>
      <c r="Q3446" s="3">
        <v>0</v>
      </c>
      <c r="R3446" s="23" t="s">
        <v>11933</v>
      </c>
      <c r="S3446" s="23" t="s">
        <v>5849</v>
      </c>
      <c r="T3446" s="23" t="s">
        <v>4866</v>
      </c>
      <c r="U3446" s="3">
        <v>35</v>
      </c>
      <c r="W3446" s="45" t="str">
        <f>HYPERLINK("http://ictvonline.org/taxonomy/p/taxonomy-history?taxnode_id=201902988","ICTVonline=201902988")</f>
        <v>ICTVonline=201902988</v>
      </c>
      <c r="AA3446" s="1">
        <v>201900000</v>
      </c>
      <c r="AB3446" s="1">
        <v>35</v>
      </c>
    </row>
    <row r="3447" spans="1:28" x14ac:dyDescent="0.2">
      <c r="A3447" s="1">
        <v>8935</v>
      </c>
      <c r="B3447" s="1" t="s">
        <v>6839</v>
      </c>
      <c r="D3447" s="1" t="s">
        <v>11735</v>
      </c>
      <c r="F3447" s="1" t="s">
        <v>11930</v>
      </c>
      <c r="H3447" s="1" t="s">
        <v>11931</v>
      </c>
      <c r="J3447" s="1" t="s">
        <v>11948</v>
      </c>
      <c r="L3447" s="1" t="s">
        <v>1947</v>
      </c>
      <c r="N3447" s="1" t="s">
        <v>1948</v>
      </c>
      <c r="P3447" s="1" t="s">
        <v>12021</v>
      </c>
      <c r="Q3447" s="3">
        <v>0</v>
      </c>
      <c r="R3447" s="23" t="s">
        <v>11933</v>
      </c>
      <c r="S3447" s="23" t="s">
        <v>5849</v>
      </c>
      <c r="T3447" s="23" t="s">
        <v>4864</v>
      </c>
      <c r="U3447" s="3">
        <v>35</v>
      </c>
      <c r="V3447" s="3" t="s">
        <v>12022</v>
      </c>
      <c r="W3447" s="45" t="str">
        <f>HYPERLINK("http://ictvonline.org/taxonomy/p/taxonomy-history?taxnode_id=201907265","ICTVonline=201907265")</f>
        <v>ICTVonline=201907265</v>
      </c>
      <c r="X3447" s="1" t="s">
        <v>12023</v>
      </c>
      <c r="Y3447" s="1" t="s">
        <v>12024</v>
      </c>
      <c r="Z3447" s="1" t="s">
        <v>12025</v>
      </c>
      <c r="AA3447" s="1">
        <v>201900000</v>
      </c>
      <c r="AB3447" s="1">
        <v>35</v>
      </c>
    </row>
    <row r="3448" spans="1:28" x14ac:dyDescent="0.2">
      <c r="A3448" s="1">
        <v>8937</v>
      </c>
      <c r="B3448" s="1" t="s">
        <v>6839</v>
      </c>
      <c r="D3448" s="1" t="s">
        <v>11735</v>
      </c>
      <c r="F3448" s="1" t="s">
        <v>11930</v>
      </c>
      <c r="H3448" s="1" t="s">
        <v>11931</v>
      </c>
      <c r="J3448" s="1" t="s">
        <v>11948</v>
      </c>
      <c r="L3448" s="1" t="s">
        <v>1947</v>
      </c>
      <c r="N3448" s="1" t="s">
        <v>1948</v>
      </c>
      <c r="P3448" s="1" t="s">
        <v>2111</v>
      </c>
      <c r="Q3448" s="3">
        <v>0</v>
      </c>
      <c r="R3448" s="23" t="s">
        <v>11933</v>
      </c>
      <c r="S3448" s="23" t="s">
        <v>5849</v>
      </c>
      <c r="T3448" s="23" t="s">
        <v>4866</v>
      </c>
      <c r="U3448" s="3">
        <v>35</v>
      </c>
      <c r="W3448" s="45" t="str">
        <f>HYPERLINK("http://ictvonline.org/taxonomy/p/taxonomy-history?taxnode_id=201902989","ICTVonline=201902989")</f>
        <v>ICTVonline=201902989</v>
      </c>
      <c r="Y3448" s="1" t="s">
        <v>12026</v>
      </c>
      <c r="Z3448" s="1" t="s">
        <v>12027</v>
      </c>
      <c r="AA3448" s="1">
        <v>201900000</v>
      </c>
      <c r="AB3448" s="1">
        <v>35</v>
      </c>
    </row>
    <row r="3449" spans="1:28" x14ac:dyDescent="0.2">
      <c r="A3449" s="1">
        <v>8941</v>
      </c>
      <c r="B3449" s="1" t="s">
        <v>6839</v>
      </c>
      <c r="D3449" s="1" t="s">
        <v>11735</v>
      </c>
      <c r="F3449" s="1" t="s">
        <v>11930</v>
      </c>
      <c r="H3449" s="1" t="s">
        <v>11931</v>
      </c>
      <c r="J3449" s="1" t="s">
        <v>11948</v>
      </c>
      <c r="L3449" s="1" t="s">
        <v>1947</v>
      </c>
      <c r="N3449" s="1" t="s">
        <v>2048</v>
      </c>
      <c r="P3449" s="1" t="s">
        <v>12028</v>
      </c>
      <c r="Q3449" s="3">
        <v>0</v>
      </c>
      <c r="R3449" s="23" t="s">
        <v>11933</v>
      </c>
      <c r="S3449" s="23" t="s">
        <v>5849</v>
      </c>
      <c r="T3449" s="23" t="s">
        <v>4864</v>
      </c>
      <c r="U3449" s="3">
        <v>35</v>
      </c>
      <c r="V3449" s="3" t="s">
        <v>12022</v>
      </c>
      <c r="W3449" s="45" t="str">
        <f>HYPERLINK("http://ictvonline.org/taxonomy/p/taxonomy-history?taxnode_id=201907262","ICTVonline=201907262")</f>
        <v>ICTVonline=201907262</v>
      </c>
      <c r="X3449" s="1" t="s">
        <v>12029</v>
      </c>
      <c r="Y3449" s="1" t="s">
        <v>12030</v>
      </c>
      <c r="Z3449" s="1" t="s">
        <v>12031</v>
      </c>
      <c r="AA3449" s="1">
        <v>201900000</v>
      </c>
      <c r="AB3449" s="1">
        <v>35</v>
      </c>
    </row>
    <row r="3450" spans="1:28" x14ac:dyDescent="0.2">
      <c r="A3450" s="1">
        <v>8943</v>
      </c>
      <c r="B3450" s="1" t="s">
        <v>6839</v>
      </c>
      <c r="D3450" s="1" t="s">
        <v>11735</v>
      </c>
      <c r="F3450" s="1" t="s">
        <v>11930</v>
      </c>
      <c r="H3450" s="1" t="s">
        <v>11931</v>
      </c>
      <c r="J3450" s="1" t="s">
        <v>11948</v>
      </c>
      <c r="L3450" s="1" t="s">
        <v>1947</v>
      </c>
      <c r="N3450" s="1" t="s">
        <v>2048</v>
      </c>
      <c r="P3450" s="1" t="s">
        <v>2049</v>
      </c>
      <c r="Q3450" s="3">
        <v>0</v>
      </c>
      <c r="R3450" s="23" t="s">
        <v>11933</v>
      </c>
      <c r="S3450" s="23" t="s">
        <v>5849</v>
      </c>
      <c r="T3450" s="23" t="s">
        <v>4866</v>
      </c>
      <c r="U3450" s="3">
        <v>35</v>
      </c>
      <c r="W3450" s="45" t="str">
        <f>HYPERLINK("http://ictvonline.org/taxonomy/p/taxonomy-history?taxnode_id=201902991","ICTVonline=201902991")</f>
        <v>ICTVonline=201902991</v>
      </c>
      <c r="AA3450" s="1">
        <v>201900000</v>
      </c>
      <c r="AB3450" s="1">
        <v>35</v>
      </c>
    </row>
    <row r="3451" spans="1:28" x14ac:dyDescent="0.2">
      <c r="A3451" s="1">
        <v>8945</v>
      </c>
      <c r="B3451" s="1" t="s">
        <v>6839</v>
      </c>
      <c r="D3451" s="1" t="s">
        <v>11735</v>
      </c>
      <c r="F3451" s="1" t="s">
        <v>11930</v>
      </c>
      <c r="H3451" s="1" t="s">
        <v>11931</v>
      </c>
      <c r="J3451" s="1" t="s">
        <v>11948</v>
      </c>
      <c r="L3451" s="1" t="s">
        <v>1947</v>
      </c>
      <c r="N3451" s="1" t="s">
        <v>2048</v>
      </c>
      <c r="P3451" s="1" t="s">
        <v>2050</v>
      </c>
      <c r="Q3451" s="3">
        <v>1</v>
      </c>
      <c r="R3451" s="23" t="s">
        <v>11933</v>
      </c>
      <c r="S3451" s="23" t="s">
        <v>5849</v>
      </c>
      <c r="T3451" s="23" t="s">
        <v>4866</v>
      </c>
      <c r="U3451" s="3">
        <v>35</v>
      </c>
      <c r="W3451" s="45" t="str">
        <f>HYPERLINK("http://ictvonline.org/taxonomy/p/taxonomy-history?taxnode_id=201902992","ICTVonline=201902992")</f>
        <v>ICTVonline=201902992</v>
      </c>
      <c r="Y3451" s="1" t="s">
        <v>12032</v>
      </c>
      <c r="Z3451" s="1" t="s">
        <v>12033</v>
      </c>
      <c r="AA3451" s="1">
        <v>201900000</v>
      </c>
      <c r="AB3451" s="1">
        <v>35</v>
      </c>
    </row>
    <row r="3452" spans="1:28" x14ac:dyDescent="0.2">
      <c r="A3452" s="1">
        <v>8947</v>
      </c>
      <c r="B3452" s="1" t="s">
        <v>6839</v>
      </c>
      <c r="D3452" s="1" t="s">
        <v>11735</v>
      </c>
      <c r="F3452" s="1" t="s">
        <v>11930</v>
      </c>
      <c r="H3452" s="1" t="s">
        <v>11931</v>
      </c>
      <c r="J3452" s="1" t="s">
        <v>11948</v>
      </c>
      <c r="L3452" s="1" t="s">
        <v>1947</v>
      </c>
      <c r="N3452" s="1" t="s">
        <v>2048</v>
      </c>
      <c r="P3452" s="1" t="s">
        <v>12034</v>
      </c>
      <c r="Q3452" s="3">
        <v>0</v>
      </c>
      <c r="R3452" s="23" t="s">
        <v>11933</v>
      </c>
      <c r="S3452" s="23" t="s">
        <v>5849</v>
      </c>
      <c r="T3452" s="23" t="s">
        <v>4864</v>
      </c>
      <c r="U3452" s="3">
        <v>35</v>
      </c>
      <c r="V3452" s="3" t="s">
        <v>12022</v>
      </c>
      <c r="W3452" s="45" t="str">
        <f>HYPERLINK("http://ictvonline.org/taxonomy/p/taxonomy-history?taxnode_id=201907264","ICTVonline=201907264")</f>
        <v>ICTVonline=201907264</v>
      </c>
      <c r="X3452" s="1" t="s">
        <v>12035</v>
      </c>
      <c r="Y3452" s="1" t="s">
        <v>12036</v>
      </c>
      <c r="Z3452" s="1" t="s">
        <v>12037</v>
      </c>
      <c r="AA3452" s="1">
        <v>201900000</v>
      </c>
      <c r="AB3452" s="1">
        <v>35</v>
      </c>
    </row>
    <row r="3453" spans="1:28" x14ac:dyDescent="0.2">
      <c r="A3453" s="1">
        <v>8949</v>
      </c>
      <c r="B3453" s="1" t="s">
        <v>6839</v>
      </c>
      <c r="D3453" s="1" t="s">
        <v>11735</v>
      </c>
      <c r="F3453" s="1" t="s">
        <v>11930</v>
      </c>
      <c r="H3453" s="1" t="s">
        <v>11931</v>
      </c>
      <c r="J3453" s="1" t="s">
        <v>11948</v>
      </c>
      <c r="L3453" s="1" t="s">
        <v>1947</v>
      </c>
      <c r="N3453" s="1" t="s">
        <v>2048</v>
      </c>
      <c r="P3453" s="1" t="s">
        <v>2051</v>
      </c>
      <c r="Q3453" s="3">
        <v>0</v>
      </c>
      <c r="R3453" s="23" t="s">
        <v>11933</v>
      </c>
      <c r="S3453" s="23" t="s">
        <v>5849</v>
      </c>
      <c r="T3453" s="23" t="s">
        <v>4866</v>
      </c>
      <c r="U3453" s="3">
        <v>35</v>
      </c>
      <c r="W3453" s="45" t="str">
        <f>HYPERLINK("http://ictvonline.org/taxonomy/p/taxonomy-history?taxnode_id=201902993","ICTVonline=201902993")</f>
        <v>ICTVonline=201902993</v>
      </c>
      <c r="AA3453" s="1">
        <v>201900000</v>
      </c>
      <c r="AB3453" s="1">
        <v>35</v>
      </c>
    </row>
    <row r="3454" spans="1:28" x14ac:dyDescent="0.2">
      <c r="A3454" s="1">
        <v>8951</v>
      </c>
      <c r="B3454" s="1" t="s">
        <v>6839</v>
      </c>
      <c r="D3454" s="1" t="s">
        <v>11735</v>
      </c>
      <c r="F3454" s="1" t="s">
        <v>11930</v>
      </c>
      <c r="H3454" s="1" t="s">
        <v>11931</v>
      </c>
      <c r="J3454" s="1" t="s">
        <v>11948</v>
      </c>
      <c r="L3454" s="1" t="s">
        <v>1947</v>
      </c>
      <c r="N3454" s="1" t="s">
        <v>2048</v>
      </c>
      <c r="P3454" s="1" t="s">
        <v>2052</v>
      </c>
      <c r="Q3454" s="3">
        <v>0</v>
      </c>
      <c r="R3454" s="23" t="s">
        <v>11933</v>
      </c>
      <c r="S3454" s="23" t="s">
        <v>5849</v>
      </c>
      <c r="T3454" s="23" t="s">
        <v>4866</v>
      </c>
      <c r="U3454" s="3">
        <v>35</v>
      </c>
      <c r="W3454" s="45" t="str">
        <f>HYPERLINK("http://ictvonline.org/taxonomy/p/taxonomy-history?taxnode_id=201902994","ICTVonline=201902994")</f>
        <v>ICTVonline=201902994</v>
      </c>
      <c r="AA3454" s="1">
        <v>201900000</v>
      </c>
      <c r="AB3454" s="1">
        <v>35</v>
      </c>
    </row>
    <row r="3455" spans="1:28" x14ac:dyDescent="0.2">
      <c r="A3455" s="1">
        <v>8953</v>
      </c>
      <c r="B3455" s="1" t="s">
        <v>6839</v>
      </c>
      <c r="D3455" s="1" t="s">
        <v>11735</v>
      </c>
      <c r="F3455" s="1" t="s">
        <v>11930</v>
      </c>
      <c r="H3455" s="1" t="s">
        <v>11931</v>
      </c>
      <c r="J3455" s="1" t="s">
        <v>11948</v>
      </c>
      <c r="L3455" s="1" t="s">
        <v>1947</v>
      </c>
      <c r="N3455" s="1" t="s">
        <v>2048</v>
      </c>
      <c r="P3455" s="1" t="s">
        <v>2053</v>
      </c>
      <c r="Q3455" s="3">
        <v>0</v>
      </c>
      <c r="R3455" s="23" t="s">
        <v>11933</v>
      </c>
      <c r="S3455" s="23" t="s">
        <v>5849</v>
      </c>
      <c r="T3455" s="23" t="s">
        <v>4866</v>
      </c>
      <c r="U3455" s="3">
        <v>35</v>
      </c>
      <c r="W3455" s="45" t="str">
        <f>HYPERLINK("http://ictvonline.org/taxonomy/p/taxonomy-history?taxnode_id=201902995","ICTVonline=201902995")</f>
        <v>ICTVonline=201902995</v>
      </c>
      <c r="Y3455" s="1" t="s">
        <v>12038</v>
      </c>
      <c r="Z3455" s="1" t="s">
        <v>12039</v>
      </c>
      <c r="AA3455" s="1">
        <v>201900000</v>
      </c>
      <c r="AB3455" s="1">
        <v>35</v>
      </c>
    </row>
    <row r="3456" spans="1:28" x14ac:dyDescent="0.2">
      <c r="A3456" s="1">
        <v>8955</v>
      </c>
      <c r="B3456" s="1" t="s">
        <v>6839</v>
      </c>
      <c r="D3456" s="1" t="s">
        <v>11735</v>
      </c>
      <c r="F3456" s="1" t="s">
        <v>11930</v>
      </c>
      <c r="H3456" s="1" t="s">
        <v>11931</v>
      </c>
      <c r="J3456" s="1" t="s">
        <v>11948</v>
      </c>
      <c r="L3456" s="1" t="s">
        <v>1947</v>
      </c>
      <c r="N3456" s="1" t="s">
        <v>2048</v>
      </c>
      <c r="P3456" s="1" t="s">
        <v>2054</v>
      </c>
      <c r="Q3456" s="3">
        <v>0</v>
      </c>
      <c r="R3456" s="23" t="s">
        <v>11933</v>
      </c>
      <c r="S3456" s="23" t="s">
        <v>5849</v>
      </c>
      <c r="T3456" s="23" t="s">
        <v>4866</v>
      </c>
      <c r="U3456" s="3">
        <v>35</v>
      </c>
      <c r="W3456" s="45" t="str">
        <f>HYPERLINK("http://ictvonline.org/taxonomy/p/taxonomy-history?taxnode_id=201902996","ICTVonline=201902996")</f>
        <v>ICTVonline=201902996</v>
      </c>
      <c r="Y3456" s="1" t="s">
        <v>12040</v>
      </c>
      <c r="Z3456" s="1" t="s">
        <v>12041</v>
      </c>
      <c r="AA3456" s="1">
        <v>201900000</v>
      </c>
      <c r="AB3456" s="1">
        <v>35</v>
      </c>
    </row>
    <row r="3457" spans="1:28" x14ac:dyDescent="0.2">
      <c r="A3457" s="1">
        <v>8957</v>
      </c>
      <c r="B3457" s="1" t="s">
        <v>6839</v>
      </c>
      <c r="D3457" s="1" t="s">
        <v>11735</v>
      </c>
      <c r="F3457" s="1" t="s">
        <v>11930</v>
      </c>
      <c r="H3457" s="1" t="s">
        <v>11931</v>
      </c>
      <c r="J3457" s="1" t="s">
        <v>11948</v>
      </c>
      <c r="L3457" s="1" t="s">
        <v>1947</v>
      </c>
      <c r="N3457" s="1" t="s">
        <v>2048</v>
      </c>
      <c r="P3457" s="1" t="s">
        <v>2055</v>
      </c>
      <c r="Q3457" s="3">
        <v>0</v>
      </c>
      <c r="R3457" s="23" t="s">
        <v>11933</v>
      </c>
      <c r="S3457" s="23" t="s">
        <v>5849</v>
      </c>
      <c r="T3457" s="23" t="s">
        <v>4866</v>
      </c>
      <c r="U3457" s="3">
        <v>35</v>
      </c>
      <c r="W3457" s="45" t="str">
        <f>HYPERLINK("http://ictvonline.org/taxonomy/p/taxonomy-history?taxnode_id=201902997","ICTVonline=201902997")</f>
        <v>ICTVonline=201902997</v>
      </c>
      <c r="Y3457" s="1" t="s">
        <v>12042</v>
      </c>
      <c r="Z3457" s="1" t="s">
        <v>12043</v>
      </c>
      <c r="AA3457" s="1">
        <v>201900000</v>
      </c>
      <c r="AB3457" s="1">
        <v>35</v>
      </c>
    </row>
    <row r="3458" spans="1:28" x14ac:dyDescent="0.2">
      <c r="A3458" s="1">
        <v>8959</v>
      </c>
      <c r="B3458" s="1" t="s">
        <v>6839</v>
      </c>
      <c r="D3458" s="1" t="s">
        <v>11735</v>
      </c>
      <c r="F3458" s="1" t="s">
        <v>11930</v>
      </c>
      <c r="H3458" s="1" t="s">
        <v>11931</v>
      </c>
      <c r="J3458" s="1" t="s">
        <v>11948</v>
      </c>
      <c r="L3458" s="1" t="s">
        <v>1947</v>
      </c>
      <c r="N3458" s="1" t="s">
        <v>2048</v>
      </c>
      <c r="P3458" s="1" t="s">
        <v>2056</v>
      </c>
      <c r="Q3458" s="3">
        <v>0</v>
      </c>
      <c r="R3458" s="23" t="s">
        <v>11933</v>
      </c>
      <c r="S3458" s="23" t="s">
        <v>5849</v>
      </c>
      <c r="T3458" s="23" t="s">
        <v>4866</v>
      </c>
      <c r="U3458" s="3">
        <v>35</v>
      </c>
      <c r="W3458" s="45" t="str">
        <f>HYPERLINK("http://ictvonline.org/taxonomy/p/taxonomy-history?taxnode_id=201902998","ICTVonline=201902998")</f>
        <v>ICTVonline=201902998</v>
      </c>
      <c r="Y3458" s="1" t="s">
        <v>12044</v>
      </c>
      <c r="Z3458" s="1" t="s">
        <v>12045</v>
      </c>
      <c r="AA3458" s="1">
        <v>201900000</v>
      </c>
      <c r="AB3458" s="1">
        <v>35</v>
      </c>
    </row>
    <row r="3459" spans="1:28" x14ac:dyDescent="0.2">
      <c r="A3459" s="1">
        <v>8961</v>
      </c>
      <c r="B3459" s="1" t="s">
        <v>6839</v>
      </c>
      <c r="D3459" s="1" t="s">
        <v>11735</v>
      </c>
      <c r="F3459" s="1" t="s">
        <v>11930</v>
      </c>
      <c r="H3459" s="1" t="s">
        <v>11931</v>
      </c>
      <c r="J3459" s="1" t="s">
        <v>11948</v>
      </c>
      <c r="L3459" s="1" t="s">
        <v>1947</v>
      </c>
      <c r="N3459" s="1" t="s">
        <v>2048</v>
      </c>
      <c r="P3459" s="1" t="s">
        <v>92</v>
      </c>
      <c r="Q3459" s="3">
        <v>0</v>
      </c>
      <c r="R3459" s="23" t="s">
        <v>11933</v>
      </c>
      <c r="S3459" s="23" t="s">
        <v>5849</v>
      </c>
      <c r="T3459" s="23" t="s">
        <v>4866</v>
      </c>
      <c r="U3459" s="3">
        <v>35</v>
      </c>
      <c r="W3459" s="45" t="str">
        <f>HYPERLINK("http://ictvonline.org/taxonomy/p/taxonomy-history?taxnode_id=201902999","ICTVonline=201902999")</f>
        <v>ICTVonline=201902999</v>
      </c>
      <c r="Y3459" s="1" t="s">
        <v>12046</v>
      </c>
      <c r="Z3459" s="1" t="s">
        <v>12047</v>
      </c>
      <c r="AA3459" s="1">
        <v>201900000</v>
      </c>
      <c r="AB3459" s="1">
        <v>35</v>
      </c>
    </row>
    <row r="3460" spans="1:28" x14ac:dyDescent="0.2">
      <c r="A3460" s="1">
        <v>8963</v>
      </c>
      <c r="B3460" s="1" t="s">
        <v>6839</v>
      </c>
      <c r="D3460" s="1" t="s">
        <v>11735</v>
      </c>
      <c r="F3460" s="1" t="s">
        <v>11930</v>
      </c>
      <c r="H3460" s="1" t="s">
        <v>11931</v>
      </c>
      <c r="J3460" s="1" t="s">
        <v>11948</v>
      </c>
      <c r="L3460" s="1" t="s">
        <v>1947</v>
      </c>
      <c r="N3460" s="1" t="s">
        <v>2048</v>
      </c>
      <c r="P3460" s="1" t="s">
        <v>12048</v>
      </c>
      <c r="Q3460" s="3">
        <v>0</v>
      </c>
      <c r="R3460" s="23" t="s">
        <v>11933</v>
      </c>
      <c r="S3460" s="23" t="s">
        <v>5849</v>
      </c>
      <c r="T3460" s="23" t="s">
        <v>4864</v>
      </c>
      <c r="U3460" s="3">
        <v>35</v>
      </c>
      <c r="V3460" s="3" t="s">
        <v>12022</v>
      </c>
      <c r="W3460" s="45" t="str">
        <f>HYPERLINK("http://ictvonline.org/taxonomy/p/taxonomy-history?taxnode_id=201907263","ICTVonline=201907263")</f>
        <v>ICTVonline=201907263</v>
      </c>
      <c r="X3460" s="1" t="s">
        <v>12049</v>
      </c>
      <c r="Y3460" s="1" t="s">
        <v>12050</v>
      </c>
      <c r="Z3460" s="1" t="s">
        <v>12051</v>
      </c>
      <c r="AA3460" s="1">
        <v>201900000</v>
      </c>
      <c r="AB3460" s="1">
        <v>35</v>
      </c>
    </row>
    <row r="3461" spans="1:28" x14ac:dyDescent="0.2">
      <c r="A3461" s="1">
        <v>8965</v>
      </c>
      <c r="B3461" s="1" t="s">
        <v>6839</v>
      </c>
      <c r="D3461" s="1" t="s">
        <v>11735</v>
      </c>
      <c r="F3461" s="1" t="s">
        <v>11930</v>
      </c>
      <c r="H3461" s="1" t="s">
        <v>11931</v>
      </c>
      <c r="J3461" s="1" t="s">
        <v>11948</v>
      </c>
      <c r="L3461" s="1" t="s">
        <v>1947</v>
      </c>
      <c r="N3461" s="1" t="s">
        <v>2048</v>
      </c>
      <c r="P3461" s="1" t="s">
        <v>4607</v>
      </c>
      <c r="Q3461" s="3">
        <v>0</v>
      </c>
      <c r="R3461" s="23" t="s">
        <v>11933</v>
      </c>
      <c r="S3461" s="23" t="s">
        <v>5849</v>
      </c>
      <c r="T3461" s="23" t="s">
        <v>4866</v>
      </c>
      <c r="U3461" s="3">
        <v>35</v>
      </c>
      <c r="W3461" s="45" t="str">
        <f>HYPERLINK("http://ictvonline.org/taxonomy/p/taxonomy-history?taxnode_id=201903000","ICTVonline=201903000")</f>
        <v>ICTVonline=201903000</v>
      </c>
      <c r="Y3461" s="1" t="s">
        <v>12052</v>
      </c>
      <c r="Z3461" s="1" t="s">
        <v>12053</v>
      </c>
      <c r="AA3461" s="1">
        <v>201900000</v>
      </c>
      <c r="AB3461" s="1">
        <v>35</v>
      </c>
    </row>
    <row r="3462" spans="1:28" x14ac:dyDescent="0.2">
      <c r="A3462" s="1">
        <v>8967</v>
      </c>
      <c r="B3462" s="1" t="s">
        <v>6839</v>
      </c>
      <c r="D3462" s="1" t="s">
        <v>11735</v>
      </c>
      <c r="F3462" s="1" t="s">
        <v>11930</v>
      </c>
      <c r="H3462" s="1" t="s">
        <v>11931</v>
      </c>
      <c r="J3462" s="1" t="s">
        <v>11948</v>
      </c>
      <c r="L3462" s="1" t="s">
        <v>1947</v>
      </c>
      <c r="N3462" s="1" t="s">
        <v>2048</v>
      </c>
      <c r="P3462" s="1" t="s">
        <v>93</v>
      </c>
      <c r="Q3462" s="3">
        <v>0</v>
      </c>
      <c r="R3462" s="23" t="s">
        <v>11933</v>
      </c>
      <c r="S3462" s="23" t="s">
        <v>5849</v>
      </c>
      <c r="T3462" s="23" t="s">
        <v>4866</v>
      </c>
      <c r="U3462" s="3">
        <v>35</v>
      </c>
      <c r="W3462" s="45" t="str">
        <f>HYPERLINK("http://ictvonline.org/taxonomy/p/taxonomy-history?taxnode_id=201903001","ICTVonline=201903001")</f>
        <v>ICTVonline=201903001</v>
      </c>
      <c r="Y3462" s="1" t="s">
        <v>12054</v>
      </c>
      <c r="Z3462" s="1" t="s">
        <v>11977</v>
      </c>
      <c r="AA3462" s="1">
        <v>201900000</v>
      </c>
      <c r="AB3462" s="1">
        <v>35</v>
      </c>
    </row>
    <row r="3463" spans="1:28" x14ac:dyDescent="0.2">
      <c r="A3463" s="1">
        <v>8969</v>
      </c>
      <c r="B3463" s="1" t="s">
        <v>6839</v>
      </c>
      <c r="D3463" s="1" t="s">
        <v>11735</v>
      </c>
      <c r="F3463" s="1" t="s">
        <v>11930</v>
      </c>
      <c r="H3463" s="1" t="s">
        <v>11931</v>
      </c>
      <c r="J3463" s="1" t="s">
        <v>11948</v>
      </c>
      <c r="L3463" s="1" t="s">
        <v>1947</v>
      </c>
      <c r="N3463" s="1" t="s">
        <v>2048</v>
      </c>
      <c r="P3463" s="1" t="s">
        <v>4608</v>
      </c>
      <c r="Q3463" s="3">
        <v>0</v>
      </c>
      <c r="R3463" s="23" t="s">
        <v>11933</v>
      </c>
      <c r="S3463" s="23" t="s">
        <v>5849</v>
      </c>
      <c r="T3463" s="23" t="s">
        <v>4866</v>
      </c>
      <c r="U3463" s="3">
        <v>35</v>
      </c>
      <c r="W3463" s="45" t="str">
        <f>HYPERLINK("http://ictvonline.org/taxonomy/p/taxonomy-history?taxnode_id=201903002","ICTVonline=201903002")</f>
        <v>ICTVonline=201903002</v>
      </c>
      <c r="Y3463" s="1" t="s">
        <v>12055</v>
      </c>
      <c r="Z3463" s="1" t="s">
        <v>12056</v>
      </c>
      <c r="AA3463" s="1">
        <v>201900000</v>
      </c>
      <c r="AB3463" s="1">
        <v>35</v>
      </c>
    </row>
    <row r="3464" spans="1:28" x14ac:dyDescent="0.2">
      <c r="A3464" s="1">
        <v>8971</v>
      </c>
      <c r="B3464" s="1" t="s">
        <v>6839</v>
      </c>
      <c r="D3464" s="1" t="s">
        <v>11735</v>
      </c>
      <c r="F3464" s="1" t="s">
        <v>11930</v>
      </c>
      <c r="H3464" s="1" t="s">
        <v>11931</v>
      </c>
      <c r="J3464" s="1" t="s">
        <v>11948</v>
      </c>
      <c r="L3464" s="1" t="s">
        <v>1947</v>
      </c>
      <c r="N3464" s="1" t="s">
        <v>2048</v>
      </c>
      <c r="P3464" s="1" t="s">
        <v>2057</v>
      </c>
      <c r="Q3464" s="3">
        <v>0</v>
      </c>
      <c r="R3464" s="23" t="s">
        <v>11933</v>
      </c>
      <c r="S3464" s="23" t="s">
        <v>5849</v>
      </c>
      <c r="T3464" s="23" t="s">
        <v>4866</v>
      </c>
      <c r="U3464" s="3">
        <v>35</v>
      </c>
      <c r="W3464" s="45" t="str">
        <f>HYPERLINK("http://ictvonline.org/taxonomy/p/taxonomy-history?taxnode_id=201903003","ICTVonline=201903003")</f>
        <v>ICTVonline=201903003</v>
      </c>
      <c r="AA3464" s="1">
        <v>201900000</v>
      </c>
      <c r="AB3464" s="1">
        <v>35</v>
      </c>
    </row>
    <row r="3465" spans="1:28" x14ac:dyDescent="0.2">
      <c r="A3465" s="1">
        <v>8975</v>
      </c>
      <c r="B3465" s="1" t="s">
        <v>6839</v>
      </c>
      <c r="D3465" s="1" t="s">
        <v>11735</v>
      </c>
      <c r="F3465" s="1" t="s">
        <v>11930</v>
      </c>
      <c r="H3465" s="1" t="s">
        <v>11931</v>
      </c>
      <c r="J3465" s="1" t="s">
        <v>11948</v>
      </c>
      <c r="L3465" s="1" t="s">
        <v>1947</v>
      </c>
      <c r="N3465" s="1" t="s">
        <v>2058</v>
      </c>
      <c r="P3465" s="1" t="s">
        <v>2059</v>
      </c>
      <c r="Q3465" s="3">
        <v>0</v>
      </c>
      <c r="R3465" s="23" t="s">
        <v>11933</v>
      </c>
      <c r="S3465" s="23" t="s">
        <v>5849</v>
      </c>
      <c r="T3465" s="23" t="s">
        <v>4866</v>
      </c>
      <c r="U3465" s="3">
        <v>35</v>
      </c>
      <c r="W3465" s="45" t="str">
        <f>HYPERLINK("http://ictvonline.org/taxonomy/p/taxonomy-history?taxnode_id=201903005","ICTVonline=201903005")</f>
        <v>ICTVonline=201903005</v>
      </c>
      <c r="AA3465" s="1">
        <v>201900000</v>
      </c>
      <c r="AB3465" s="1">
        <v>35</v>
      </c>
    </row>
    <row r="3466" spans="1:28" x14ac:dyDescent="0.2">
      <c r="A3466" s="1">
        <v>8977</v>
      </c>
      <c r="B3466" s="1" t="s">
        <v>6839</v>
      </c>
      <c r="D3466" s="1" t="s">
        <v>11735</v>
      </c>
      <c r="F3466" s="1" t="s">
        <v>11930</v>
      </c>
      <c r="H3466" s="1" t="s">
        <v>11931</v>
      </c>
      <c r="J3466" s="1" t="s">
        <v>11948</v>
      </c>
      <c r="L3466" s="1" t="s">
        <v>1947</v>
      </c>
      <c r="N3466" s="1" t="s">
        <v>2058</v>
      </c>
      <c r="P3466" s="1" t="s">
        <v>2112</v>
      </c>
      <c r="Q3466" s="3">
        <v>0</v>
      </c>
      <c r="R3466" s="23" t="s">
        <v>11933</v>
      </c>
      <c r="S3466" s="23" t="s">
        <v>5849</v>
      </c>
      <c r="T3466" s="23" t="s">
        <v>4866</v>
      </c>
      <c r="U3466" s="3">
        <v>35</v>
      </c>
      <c r="W3466" s="45" t="str">
        <f>HYPERLINK("http://ictvonline.org/taxonomy/p/taxonomy-history?taxnode_id=201903006","ICTVonline=201903006")</f>
        <v>ICTVonline=201903006</v>
      </c>
      <c r="Y3466" s="1" t="s">
        <v>12057</v>
      </c>
      <c r="Z3466" s="1" t="s">
        <v>12058</v>
      </c>
      <c r="AA3466" s="1">
        <v>201900000</v>
      </c>
      <c r="AB3466" s="1">
        <v>35</v>
      </c>
    </row>
    <row r="3467" spans="1:28" x14ac:dyDescent="0.2">
      <c r="A3467" s="1">
        <v>8979</v>
      </c>
      <c r="B3467" s="1" t="s">
        <v>6839</v>
      </c>
      <c r="D3467" s="1" t="s">
        <v>11735</v>
      </c>
      <c r="F3467" s="1" t="s">
        <v>11930</v>
      </c>
      <c r="H3467" s="1" t="s">
        <v>11931</v>
      </c>
      <c r="J3467" s="1" t="s">
        <v>11948</v>
      </c>
      <c r="L3467" s="1" t="s">
        <v>1947</v>
      </c>
      <c r="N3467" s="1" t="s">
        <v>2058</v>
      </c>
      <c r="P3467" s="1" t="s">
        <v>485</v>
      </c>
      <c r="Q3467" s="3">
        <v>0</v>
      </c>
      <c r="R3467" s="23" t="s">
        <v>11933</v>
      </c>
      <c r="S3467" s="23" t="s">
        <v>5849</v>
      </c>
      <c r="T3467" s="23" t="s">
        <v>4866</v>
      </c>
      <c r="U3467" s="3">
        <v>35</v>
      </c>
      <c r="W3467" s="45" t="str">
        <f>HYPERLINK("http://ictvonline.org/taxonomy/p/taxonomy-history?taxnode_id=201903007","ICTVonline=201903007")</f>
        <v>ICTVonline=201903007</v>
      </c>
      <c r="Y3467" s="1" t="s">
        <v>12059</v>
      </c>
      <c r="Z3467" s="1" t="s">
        <v>12060</v>
      </c>
      <c r="AA3467" s="1">
        <v>201900000</v>
      </c>
      <c r="AB3467" s="1">
        <v>35</v>
      </c>
    </row>
    <row r="3468" spans="1:28" x14ac:dyDescent="0.2">
      <c r="A3468" s="1">
        <v>8981</v>
      </c>
      <c r="B3468" s="1" t="s">
        <v>6839</v>
      </c>
      <c r="D3468" s="1" t="s">
        <v>11735</v>
      </c>
      <c r="F3468" s="1" t="s">
        <v>11930</v>
      </c>
      <c r="H3468" s="1" t="s">
        <v>11931</v>
      </c>
      <c r="J3468" s="1" t="s">
        <v>11948</v>
      </c>
      <c r="L3468" s="1" t="s">
        <v>1947</v>
      </c>
      <c r="N3468" s="1" t="s">
        <v>2058</v>
      </c>
      <c r="P3468" s="1" t="s">
        <v>486</v>
      </c>
      <c r="Q3468" s="3">
        <v>0</v>
      </c>
      <c r="R3468" s="23" t="s">
        <v>11933</v>
      </c>
      <c r="S3468" s="23" t="s">
        <v>5849</v>
      </c>
      <c r="T3468" s="23" t="s">
        <v>4866</v>
      </c>
      <c r="U3468" s="3">
        <v>35</v>
      </c>
      <c r="W3468" s="45" t="str">
        <f>HYPERLINK("http://ictvonline.org/taxonomy/p/taxonomy-history?taxnode_id=201903008","ICTVonline=201903008")</f>
        <v>ICTVonline=201903008</v>
      </c>
      <c r="Y3468" s="1" t="s">
        <v>12061</v>
      </c>
      <c r="Z3468" s="1" t="s">
        <v>12062</v>
      </c>
      <c r="AA3468" s="1">
        <v>201900000</v>
      </c>
      <c r="AB3468" s="1">
        <v>35</v>
      </c>
    </row>
    <row r="3469" spans="1:28" x14ac:dyDescent="0.2">
      <c r="A3469" s="1">
        <v>8983</v>
      </c>
      <c r="B3469" s="1" t="s">
        <v>6839</v>
      </c>
      <c r="D3469" s="1" t="s">
        <v>11735</v>
      </c>
      <c r="F3469" s="1" t="s">
        <v>11930</v>
      </c>
      <c r="H3469" s="1" t="s">
        <v>11931</v>
      </c>
      <c r="J3469" s="1" t="s">
        <v>11948</v>
      </c>
      <c r="L3469" s="1" t="s">
        <v>1947</v>
      </c>
      <c r="N3469" s="1" t="s">
        <v>2058</v>
      </c>
      <c r="P3469" s="1" t="s">
        <v>2060</v>
      </c>
      <c r="Q3469" s="3">
        <v>0</v>
      </c>
      <c r="R3469" s="23" t="s">
        <v>11933</v>
      </c>
      <c r="S3469" s="23" t="s">
        <v>5849</v>
      </c>
      <c r="T3469" s="23" t="s">
        <v>4866</v>
      </c>
      <c r="U3469" s="3">
        <v>35</v>
      </c>
      <c r="W3469" s="45" t="str">
        <f>HYPERLINK("http://ictvonline.org/taxonomy/p/taxonomy-history?taxnode_id=201903009","ICTVonline=201903009")</f>
        <v>ICTVonline=201903009</v>
      </c>
      <c r="Y3469" s="1" t="s">
        <v>12063</v>
      </c>
      <c r="Z3469" s="1" t="s">
        <v>12064</v>
      </c>
      <c r="AA3469" s="1">
        <v>201900000</v>
      </c>
      <c r="AB3469" s="1">
        <v>35</v>
      </c>
    </row>
    <row r="3470" spans="1:28" x14ac:dyDescent="0.2">
      <c r="A3470" s="1">
        <v>8985</v>
      </c>
      <c r="B3470" s="1" t="s">
        <v>6839</v>
      </c>
      <c r="D3470" s="1" t="s">
        <v>11735</v>
      </c>
      <c r="F3470" s="1" t="s">
        <v>11930</v>
      </c>
      <c r="H3470" s="1" t="s">
        <v>11931</v>
      </c>
      <c r="J3470" s="1" t="s">
        <v>11948</v>
      </c>
      <c r="L3470" s="1" t="s">
        <v>1947</v>
      </c>
      <c r="N3470" s="1" t="s">
        <v>2058</v>
      </c>
      <c r="P3470" s="1" t="s">
        <v>2215</v>
      </c>
      <c r="Q3470" s="3">
        <v>0</v>
      </c>
      <c r="R3470" s="23" t="s">
        <v>11933</v>
      </c>
      <c r="S3470" s="23" t="s">
        <v>5849</v>
      </c>
      <c r="T3470" s="23" t="s">
        <v>4866</v>
      </c>
      <c r="U3470" s="3">
        <v>35</v>
      </c>
      <c r="W3470" s="45" t="str">
        <f>HYPERLINK("http://ictvonline.org/taxonomy/p/taxonomy-history?taxnode_id=201903010","ICTVonline=201903010")</f>
        <v>ICTVonline=201903010</v>
      </c>
      <c r="Y3470" s="1" t="s">
        <v>12065</v>
      </c>
      <c r="Z3470" s="1" t="s">
        <v>12066</v>
      </c>
      <c r="AA3470" s="1">
        <v>201900000</v>
      </c>
      <c r="AB3470" s="1">
        <v>35</v>
      </c>
    </row>
    <row r="3471" spans="1:28" x14ac:dyDescent="0.2">
      <c r="A3471" s="1">
        <v>8987</v>
      </c>
      <c r="B3471" s="1" t="s">
        <v>6839</v>
      </c>
      <c r="D3471" s="1" t="s">
        <v>11735</v>
      </c>
      <c r="F3471" s="1" t="s">
        <v>11930</v>
      </c>
      <c r="H3471" s="1" t="s">
        <v>11931</v>
      </c>
      <c r="J3471" s="1" t="s">
        <v>11948</v>
      </c>
      <c r="L3471" s="1" t="s">
        <v>1947</v>
      </c>
      <c r="N3471" s="1" t="s">
        <v>2058</v>
      </c>
      <c r="P3471" s="1" t="s">
        <v>1957</v>
      </c>
      <c r="Q3471" s="3">
        <v>0</v>
      </c>
      <c r="R3471" s="23" t="s">
        <v>11933</v>
      </c>
      <c r="S3471" s="23" t="s">
        <v>5849</v>
      </c>
      <c r="T3471" s="23" t="s">
        <v>4866</v>
      </c>
      <c r="U3471" s="3">
        <v>35</v>
      </c>
      <c r="W3471" s="45" t="str">
        <f>HYPERLINK("http://ictvonline.org/taxonomy/p/taxonomy-history?taxnode_id=201903011","ICTVonline=201903011")</f>
        <v>ICTVonline=201903011</v>
      </c>
      <c r="Y3471" s="1" t="s">
        <v>12067</v>
      </c>
      <c r="Z3471" s="1" t="s">
        <v>12068</v>
      </c>
      <c r="AA3471" s="1">
        <v>201900000</v>
      </c>
      <c r="AB3471" s="1">
        <v>35</v>
      </c>
    </row>
    <row r="3472" spans="1:28" x14ac:dyDescent="0.2">
      <c r="A3472" s="1">
        <v>8989</v>
      </c>
      <c r="B3472" s="1" t="s">
        <v>6839</v>
      </c>
      <c r="D3472" s="1" t="s">
        <v>11735</v>
      </c>
      <c r="F3472" s="1" t="s">
        <v>11930</v>
      </c>
      <c r="H3472" s="1" t="s">
        <v>11931</v>
      </c>
      <c r="J3472" s="1" t="s">
        <v>11948</v>
      </c>
      <c r="L3472" s="1" t="s">
        <v>1947</v>
      </c>
      <c r="N3472" s="1" t="s">
        <v>2058</v>
      </c>
      <c r="P3472" s="1" t="s">
        <v>1958</v>
      </c>
      <c r="Q3472" s="3">
        <v>1</v>
      </c>
      <c r="R3472" s="23" t="s">
        <v>11933</v>
      </c>
      <c r="S3472" s="23" t="s">
        <v>5849</v>
      </c>
      <c r="T3472" s="23" t="s">
        <v>4866</v>
      </c>
      <c r="U3472" s="3">
        <v>35</v>
      </c>
      <c r="W3472" s="45" t="str">
        <f>HYPERLINK("http://ictvonline.org/taxonomy/p/taxonomy-history?taxnode_id=201903012","ICTVonline=201903012")</f>
        <v>ICTVonline=201903012</v>
      </c>
      <c r="Y3472" s="1" t="s">
        <v>12069</v>
      </c>
      <c r="Z3472" s="1">
        <v>92</v>
      </c>
      <c r="AA3472" s="1">
        <v>201900000</v>
      </c>
      <c r="AB3472" s="1">
        <v>35</v>
      </c>
    </row>
    <row r="3473" spans="1:28" x14ac:dyDescent="0.2">
      <c r="A3473" s="1">
        <v>8991</v>
      </c>
      <c r="B3473" s="1" t="s">
        <v>6839</v>
      </c>
      <c r="D3473" s="1" t="s">
        <v>11735</v>
      </c>
      <c r="F3473" s="1" t="s">
        <v>11930</v>
      </c>
      <c r="H3473" s="1" t="s">
        <v>11931</v>
      </c>
      <c r="J3473" s="1" t="s">
        <v>11948</v>
      </c>
      <c r="L3473" s="1" t="s">
        <v>1947</v>
      </c>
      <c r="N3473" s="1" t="s">
        <v>2058</v>
      </c>
      <c r="P3473" s="1" t="s">
        <v>1959</v>
      </c>
      <c r="Q3473" s="3">
        <v>0</v>
      </c>
      <c r="R3473" s="23" t="s">
        <v>11933</v>
      </c>
      <c r="S3473" s="23" t="s">
        <v>5849</v>
      </c>
      <c r="T3473" s="23" t="s">
        <v>4866</v>
      </c>
      <c r="U3473" s="3">
        <v>35</v>
      </c>
      <c r="W3473" s="45" t="str">
        <f>HYPERLINK("http://ictvonline.org/taxonomy/p/taxonomy-history?taxnode_id=201903013","ICTVonline=201903013")</f>
        <v>ICTVonline=201903013</v>
      </c>
      <c r="Y3473" s="1" t="s">
        <v>12070</v>
      </c>
      <c r="Z3473" s="1" t="s">
        <v>12071</v>
      </c>
      <c r="AA3473" s="1">
        <v>201900000</v>
      </c>
      <c r="AB3473" s="1">
        <v>35</v>
      </c>
    </row>
    <row r="3474" spans="1:28" x14ac:dyDescent="0.2">
      <c r="A3474" s="1">
        <v>8993</v>
      </c>
      <c r="B3474" s="1" t="s">
        <v>6839</v>
      </c>
      <c r="D3474" s="1" t="s">
        <v>11735</v>
      </c>
      <c r="F3474" s="1" t="s">
        <v>11930</v>
      </c>
      <c r="H3474" s="1" t="s">
        <v>11931</v>
      </c>
      <c r="J3474" s="1" t="s">
        <v>11948</v>
      </c>
      <c r="L3474" s="1" t="s">
        <v>1947</v>
      </c>
      <c r="N3474" s="1" t="s">
        <v>2058</v>
      </c>
      <c r="P3474" s="1" t="s">
        <v>1960</v>
      </c>
      <c r="Q3474" s="3">
        <v>0</v>
      </c>
      <c r="R3474" s="23" t="s">
        <v>11933</v>
      </c>
      <c r="S3474" s="23" t="s">
        <v>5849</v>
      </c>
      <c r="T3474" s="23" t="s">
        <v>4866</v>
      </c>
      <c r="U3474" s="3">
        <v>35</v>
      </c>
      <c r="W3474" s="45" t="str">
        <f>HYPERLINK("http://ictvonline.org/taxonomy/p/taxonomy-history?taxnode_id=201903014","ICTVonline=201903014")</f>
        <v>ICTVonline=201903014</v>
      </c>
      <c r="Y3474" s="1" t="s">
        <v>12072</v>
      </c>
      <c r="Z3474" s="1" t="s">
        <v>12073</v>
      </c>
      <c r="AA3474" s="1">
        <v>201900000</v>
      </c>
      <c r="AB3474" s="1">
        <v>35</v>
      </c>
    </row>
    <row r="3475" spans="1:28" x14ac:dyDescent="0.2">
      <c r="A3475" s="1">
        <v>8995</v>
      </c>
      <c r="B3475" s="1" t="s">
        <v>6839</v>
      </c>
      <c r="D3475" s="1" t="s">
        <v>11735</v>
      </c>
      <c r="F3475" s="1" t="s">
        <v>11930</v>
      </c>
      <c r="H3475" s="1" t="s">
        <v>11931</v>
      </c>
      <c r="J3475" s="1" t="s">
        <v>11948</v>
      </c>
      <c r="L3475" s="1" t="s">
        <v>1947</v>
      </c>
      <c r="N3475" s="1" t="s">
        <v>2058</v>
      </c>
      <c r="P3475" s="1" t="s">
        <v>483</v>
      </c>
      <c r="Q3475" s="3">
        <v>0</v>
      </c>
      <c r="R3475" s="23" t="s">
        <v>11933</v>
      </c>
      <c r="S3475" s="23" t="s">
        <v>5849</v>
      </c>
      <c r="T3475" s="23" t="s">
        <v>4866</v>
      </c>
      <c r="U3475" s="3">
        <v>35</v>
      </c>
      <c r="W3475" s="45" t="str">
        <f>HYPERLINK("http://ictvonline.org/taxonomy/p/taxonomy-history?taxnode_id=201903015","ICTVonline=201903015")</f>
        <v>ICTVonline=201903015</v>
      </c>
      <c r="Y3475" s="1" t="s">
        <v>12074</v>
      </c>
      <c r="Z3475" s="1" t="s">
        <v>12075</v>
      </c>
      <c r="AA3475" s="1">
        <v>201900000</v>
      </c>
      <c r="AB3475" s="1">
        <v>35</v>
      </c>
    </row>
    <row r="3476" spans="1:28" x14ac:dyDescent="0.2">
      <c r="A3476" s="1">
        <v>8997</v>
      </c>
      <c r="B3476" s="1" t="s">
        <v>6839</v>
      </c>
      <c r="D3476" s="1" t="s">
        <v>11735</v>
      </c>
      <c r="F3476" s="1" t="s">
        <v>11930</v>
      </c>
      <c r="H3476" s="1" t="s">
        <v>11931</v>
      </c>
      <c r="J3476" s="1" t="s">
        <v>11948</v>
      </c>
      <c r="L3476" s="1" t="s">
        <v>1947</v>
      </c>
      <c r="N3476" s="1" t="s">
        <v>2058</v>
      </c>
      <c r="P3476" s="1" t="s">
        <v>4609</v>
      </c>
      <c r="Q3476" s="3">
        <v>0</v>
      </c>
      <c r="R3476" s="23" t="s">
        <v>11933</v>
      </c>
      <c r="S3476" s="23" t="s">
        <v>5849</v>
      </c>
      <c r="T3476" s="23" t="s">
        <v>4866</v>
      </c>
      <c r="U3476" s="3">
        <v>35</v>
      </c>
      <c r="W3476" s="45" t="str">
        <f>HYPERLINK("http://ictvonline.org/taxonomy/p/taxonomy-history?taxnode_id=201903016","ICTVonline=201903016")</f>
        <v>ICTVonline=201903016</v>
      </c>
      <c r="Y3476" s="1" t="s">
        <v>12076</v>
      </c>
      <c r="Z3476" s="1" t="s">
        <v>12077</v>
      </c>
      <c r="AA3476" s="1">
        <v>201900000</v>
      </c>
      <c r="AB3476" s="1">
        <v>35</v>
      </c>
    </row>
    <row r="3477" spans="1:28" x14ac:dyDescent="0.2">
      <c r="A3477" s="1">
        <v>8999</v>
      </c>
      <c r="B3477" s="1" t="s">
        <v>6839</v>
      </c>
      <c r="D3477" s="1" t="s">
        <v>11735</v>
      </c>
      <c r="F3477" s="1" t="s">
        <v>11930</v>
      </c>
      <c r="H3477" s="1" t="s">
        <v>11931</v>
      </c>
      <c r="J3477" s="1" t="s">
        <v>11948</v>
      </c>
      <c r="L3477" s="1" t="s">
        <v>1947</v>
      </c>
      <c r="N3477" s="1" t="s">
        <v>2058</v>
      </c>
      <c r="P3477" s="1" t="s">
        <v>484</v>
      </c>
      <c r="Q3477" s="3">
        <v>0</v>
      </c>
      <c r="R3477" s="23" t="s">
        <v>11933</v>
      </c>
      <c r="S3477" s="23" t="s">
        <v>5849</v>
      </c>
      <c r="T3477" s="23" t="s">
        <v>4866</v>
      </c>
      <c r="U3477" s="3">
        <v>35</v>
      </c>
      <c r="W3477" s="45" t="str">
        <f>HYPERLINK("http://ictvonline.org/taxonomy/p/taxonomy-history?taxnode_id=201903017","ICTVonline=201903017")</f>
        <v>ICTVonline=201903017</v>
      </c>
      <c r="Y3477" s="1" t="s">
        <v>12078</v>
      </c>
      <c r="Z3477" s="1" t="s">
        <v>12079</v>
      </c>
      <c r="AA3477" s="1">
        <v>201900000</v>
      </c>
      <c r="AB3477" s="1">
        <v>35</v>
      </c>
    </row>
    <row r="3478" spans="1:28" x14ac:dyDescent="0.2">
      <c r="A3478" s="1">
        <v>9001</v>
      </c>
      <c r="B3478" s="1" t="s">
        <v>6839</v>
      </c>
      <c r="D3478" s="1" t="s">
        <v>11735</v>
      </c>
      <c r="F3478" s="1" t="s">
        <v>11930</v>
      </c>
      <c r="H3478" s="1" t="s">
        <v>11931</v>
      </c>
      <c r="J3478" s="1" t="s">
        <v>11948</v>
      </c>
      <c r="L3478" s="1" t="s">
        <v>1947</v>
      </c>
      <c r="N3478" s="1" t="s">
        <v>2058</v>
      </c>
      <c r="P3478" s="1" t="s">
        <v>1549</v>
      </c>
      <c r="Q3478" s="3">
        <v>0</v>
      </c>
      <c r="R3478" s="23" t="s">
        <v>11933</v>
      </c>
      <c r="S3478" s="23" t="s">
        <v>5849</v>
      </c>
      <c r="T3478" s="23" t="s">
        <v>4866</v>
      </c>
      <c r="U3478" s="3">
        <v>35</v>
      </c>
      <c r="W3478" s="45" t="str">
        <f>HYPERLINK("http://ictvonline.org/taxonomy/p/taxonomy-history?taxnode_id=201903018","ICTVonline=201903018")</f>
        <v>ICTVonline=201903018</v>
      </c>
      <c r="Y3478" s="1" t="s">
        <v>12080</v>
      </c>
      <c r="Z3478" s="1" t="s">
        <v>12081</v>
      </c>
      <c r="AA3478" s="1">
        <v>201900000</v>
      </c>
      <c r="AB3478" s="1">
        <v>35</v>
      </c>
    </row>
    <row r="3479" spans="1:28" x14ac:dyDescent="0.2">
      <c r="A3479" s="1">
        <v>9005</v>
      </c>
      <c r="B3479" s="1" t="s">
        <v>6839</v>
      </c>
      <c r="D3479" s="1" t="s">
        <v>11735</v>
      </c>
      <c r="F3479" s="1" t="s">
        <v>11930</v>
      </c>
      <c r="H3479" s="1" t="s">
        <v>11931</v>
      </c>
      <c r="J3479" s="1" t="s">
        <v>11948</v>
      </c>
      <c r="L3479" s="1" t="s">
        <v>1947</v>
      </c>
      <c r="N3479" s="1" t="s">
        <v>2368</v>
      </c>
      <c r="P3479" s="1" t="s">
        <v>4611</v>
      </c>
      <c r="Q3479" s="3">
        <v>0</v>
      </c>
      <c r="R3479" s="23" t="s">
        <v>11933</v>
      </c>
      <c r="S3479" s="23" t="s">
        <v>5849</v>
      </c>
      <c r="T3479" s="23" t="s">
        <v>4866</v>
      </c>
      <c r="U3479" s="3">
        <v>35</v>
      </c>
      <c r="W3479" s="45" t="str">
        <f>HYPERLINK("http://ictvonline.org/taxonomy/p/taxonomy-history?taxnode_id=201903027","ICTVonline=201903027")</f>
        <v>ICTVonline=201903027</v>
      </c>
      <c r="Y3479" s="1" t="s">
        <v>12082</v>
      </c>
      <c r="Z3479" s="1" t="s">
        <v>12083</v>
      </c>
      <c r="AA3479" s="1">
        <v>201900000</v>
      </c>
      <c r="AB3479" s="1">
        <v>35</v>
      </c>
    </row>
    <row r="3480" spans="1:28" x14ac:dyDescent="0.2">
      <c r="A3480" s="1">
        <v>9007</v>
      </c>
      <c r="B3480" s="1" t="s">
        <v>6839</v>
      </c>
      <c r="D3480" s="1" t="s">
        <v>11735</v>
      </c>
      <c r="F3480" s="1" t="s">
        <v>11930</v>
      </c>
      <c r="H3480" s="1" t="s">
        <v>11931</v>
      </c>
      <c r="J3480" s="1" t="s">
        <v>11948</v>
      </c>
      <c r="L3480" s="1" t="s">
        <v>1947</v>
      </c>
      <c r="N3480" s="1" t="s">
        <v>2368</v>
      </c>
      <c r="P3480" s="1" t="s">
        <v>2369</v>
      </c>
      <c r="Q3480" s="3">
        <v>0</v>
      </c>
      <c r="R3480" s="23" t="s">
        <v>11933</v>
      </c>
      <c r="S3480" s="23" t="s">
        <v>5849</v>
      </c>
      <c r="T3480" s="23" t="s">
        <v>4866</v>
      </c>
      <c r="U3480" s="3">
        <v>35</v>
      </c>
      <c r="W3480" s="45" t="str">
        <f>HYPERLINK("http://ictvonline.org/taxonomy/p/taxonomy-history?taxnode_id=201903028","ICTVonline=201903028")</f>
        <v>ICTVonline=201903028</v>
      </c>
      <c r="Y3480" s="1" t="s">
        <v>12084</v>
      </c>
      <c r="Z3480" s="1" t="s">
        <v>12085</v>
      </c>
      <c r="AA3480" s="1">
        <v>201900000</v>
      </c>
      <c r="AB3480" s="1">
        <v>35</v>
      </c>
    </row>
    <row r="3481" spans="1:28" x14ac:dyDescent="0.2">
      <c r="A3481" s="1">
        <v>9009</v>
      </c>
      <c r="B3481" s="1" t="s">
        <v>6839</v>
      </c>
      <c r="D3481" s="1" t="s">
        <v>11735</v>
      </c>
      <c r="F3481" s="1" t="s">
        <v>11930</v>
      </c>
      <c r="H3481" s="1" t="s">
        <v>11931</v>
      </c>
      <c r="J3481" s="1" t="s">
        <v>11948</v>
      </c>
      <c r="L3481" s="1" t="s">
        <v>1947</v>
      </c>
      <c r="N3481" s="1" t="s">
        <v>2368</v>
      </c>
      <c r="P3481" s="1" t="s">
        <v>3707</v>
      </c>
      <c r="Q3481" s="3">
        <v>0</v>
      </c>
      <c r="R3481" s="23" t="s">
        <v>11933</v>
      </c>
      <c r="S3481" s="23" t="s">
        <v>5849</v>
      </c>
      <c r="T3481" s="23" t="s">
        <v>4866</v>
      </c>
      <c r="U3481" s="3">
        <v>35</v>
      </c>
      <c r="W3481" s="45" t="str">
        <f>HYPERLINK("http://ictvonline.org/taxonomy/p/taxonomy-history?taxnode_id=201903029","ICTVonline=201903029")</f>
        <v>ICTVonline=201903029</v>
      </c>
      <c r="Y3481" s="1" t="s">
        <v>12086</v>
      </c>
      <c r="Z3481" s="1" t="s">
        <v>12087</v>
      </c>
      <c r="AA3481" s="1">
        <v>201900000</v>
      </c>
      <c r="AB3481" s="1">
        <v>35</v>
      </c>
    </row>
    <row r="3482" spans="1:28" x14ac:dyDescent="0.2">
      <c r="A3482" s="1">
        <v>9011</v>
      </c>
      <c r="B3482" s="1" t="s">
        <v>6839</v>
      </c>
      <c r="D3482" s="1" t="s">
        <v>11735</v>
      </c>
      <c r="F3482" s="1" t="s">
        <v>11930</v>
      </c>
      <c r="H3482" s="1" t="s">
        <v>11931</v>
      </c>
      <c r="J3482" s="1" t="s">
        <v>11948</v>
      </c>
      <c r="L3482" s="1" t="s">
        <v>1947</v>
      </c>
      <c r="N3482" s="1" t="s">
        <v>2368</v>
      </c>
      <c r="P3482" s="1" t="s">
        <v>3708</v>
      </c>
      <c r="Q3482" s="3">
        <v>0</v>
      </c>
      <c r="R3482" s="23" t="s">
        <v>11933</v>
      </c>
      <c r="S3482" s="23" t="s">
        <v>5849</v>
      </c>
      <c r="T3482" s="23" t="s">
        <v>4866</v>
      </c>
      <c r="U3482" s="3">
        <v>35</v>
      </c>
      <c r="W3482" s="45" t="str">
        <f>HYPERLINK("http://ictvonline.org/taxonomy/p/taxonomy-history?taxnode_id=201903030","ICTVonline=201903030")</f>
        <v>ICTVonline=201903030</v>
      </c>
      <c r="Y3482" s="1" t="s">
        <v>12088</v>
      </c>
      <c r="Z3482" s="1" t="s">
        <v>12087</v>
      </c>
      <c r="AA3482" s="1">
        <v>201900000</v>
      </c>
      <c r="AB3482" s="1">
        <v>35</v>
      </c>
    </row>
    <row r="3483" spans="1:28" x14ac:dyDescent="0.2">
      <c r="A3483" s="1">
        <v>9013</v>
      </c>
      <c r="B3483" s="1" t="s">
        <v>6839</v>
      </c>
      <c r="D3483" s="1" t="s">
        <v>11735</v>
      </c>
      <c r="F3483" s="1" t="s">
        <v>11930</v>
      </c>
      <c r="H3483" s="1" t="s">
        <v>11931</v>
      </c>
      <c r="J3483" s="1" t="s">
        <v>11948</v>
      </c>
      <c r="L3483" s="1" t="s">
        <v>1947</v>
      </c>
      <c r="N3483" s="1" t="s">
        <v>2368</v>
      </c>
      <c r="P3483" s="1" t="s">
        <v>3709</v>
      </c>
      <c r="Q3483" s="3">
        <v>0</v>
      </c>
      <c r="R3483" s="23" t="s">
        <v>11933</v>
      </c>
      <c r="S3483" s="23" t="s">
        <v>5849</v>
      </c>
      <c r="T3483" s="23" t="s">
        <v>4866</v>
      </c>
      <c r="U3483" s="3">
        <v>35</v>
      </c>
      <c r="W3483" s="45" t="str">
        <f>HYPERLINK("http://ictvonline.org/taxonomy/p/taxonomy-history?taxnode_id=201903031","ICTVonline=201903031")</f>
        <v>ICTVonline=201903031</v>
      </c>
      <c r="Y3483" s="1" t="s">
        <v>12089</v>
      </c>
      <c r="Z3483" s="1" t="s">
        <v>12087</v>
      </c>
      <c r="AA3483" s="1">
        <v>201900000</v>
      </c>
      <c r="AB3483" s="1">
        <v>35</v>
      </c>
    </row>
    <row r="3484" spans="1:28" x14ac:dyDescent="0.2">
      <c r="A3484" s="1">
        <v>9015</v>
      </c>
      <c r="B3484" s="1" t="s">
        <v>6839</v>
      </c>
      <c r="D3484" s="1" t="s">
        <v>11735</v>
      </c>
      <c r="F3484" s="1" t="s">
        <v>11930</v>
      </c>
      <c r="H3484" s="1" t="s">
        <v>11931</v>
      </c>
      <c r="J3484" s="1" t="s">
        <v>11948</v>
      </c>
      <c r="L3484" s="1" t="s">
        <v>1947</v>
      </c>
      <c r="N3484" s="1" t="s">
        <v>2368</v>
      </c>
      <c r="P3484" s="1" t="s">
        <v>2137</v>
      </c>
      <c r="Q3484" s="3">
        <v>1</v>
      </c>
      <c r="R3484" s="23" t="s">
        <v>11933</v>
      </c>
      <c r="S3484" s="23" t="s">
        <v>5849</v>
      </c>
      <c r="T3484" s="23" t="s">
        <v>4866</v>
      </c>
      <c r="U3484" s="3">
        <v>35</v>
      </c>
      <c r="W3484" s="45" t="str">
        <f>HYPERLINK("http://ictvonline.org/taxonomy/p/taxonomy-history?taxnode_id=201903032","ICTVonline=201903032")</f>
        <v>ICTVonline=201903032</v>
      </c>
      <c r="Y3484" s="1" t="s">
        <v>12090</v>
      </c>
      <c r="Z3484" s="1" t="s">
        <v>12091</v>
      </c>
      <c r="AA3484" s="1">
        <v>201900000</v>
      </c>
      <c r="AB3484" s="1">
        <v>35</v>
      </c>
    </row>
    <row r="3485" spans="1:28" x14ac:dyDescent="0.2">
      <c r="A3485" s="1">
        <v>9017</v>
      </c>
      <c r="B3485" s="1" t="s">
        <v>6839</v>
      </c>
      <c r="D3485" s="1" t="s">
        <v>11735</v>
      </c>
      <c r="F3485" s="1" t="s">
        <v>11930</v>
      </c>
      <c r="H3485" s="1" t="s">
        <v>11931</v>
      </c>
      <c r="J3485" s="1" t="s">
        <v>11948</v>
      </c>
      <c r="L3485" s="1" t="s">
        <v>1947</v>
      </c>
      <c r="N3485" s="1" t="s">
        <v>2368</v>
      </c>
      <c r="P3485" s="1" t="s">
        <v>2138</v>
      </c>
      <c r="Q3485" s="3">
        <v>0</v>
      </c>
      <c r="R3485" s="23" t="s">
        <v>11933</v>
      </c>
      <c r="S3485" s="23" t="s">
        <v>5849</v>
      </c>
      <c r="T3485" s="23" t="s">
        <v>4866</v>
      </c>
      <c r="U3485" s="3">
        <v>35</v>
      </c>
      <c r="W3485" s="45" t="str">
        <f>HYPERLINK("http://ictvonline.org/taxonomy/p/taxonomy-history?taxnode_id=201903033","ICTVonline=201903033")</f>
        <v>ICTVonline=201903033</v>
      </c>
      <c r="Y3485" s="1" t="s">
        <v>12092</v>
      </c>
      <c r="Z3485" s="1" t="s">
        <v>12093</v>
      </c>
      <c r="AA3485" s="1">
        <v>201900000</v>
      </c>
      <c r="AB3485" s="1">
        <v>35</v>
      </c>
    </row>
    <row r="3486" spans="1:28" x14ac:dyDescent="0.2">
      <c r="A3486" s="1">
        <v>9020</v>
      </c>
      <c r="B3486" s="1" t="s">
        <v>6839</v>
      </c>
      <c r="D3486" s="1" t="s">
        <v>11735</v>
      </c>
      <c r="F3486" s="1" t="s">
        <v>11930</v>
      </c>
      <c r="H3486" s="1" t="s">
        <v>11931</v>
      </c>
      <c r="J3486" s="1" t="s">
        <v>11948</v>
      </c>
      <c r="L3486" s="1" t="s">
        <v>1947</v>
      </c>
      <c r="P3486" s="1" t="s">
        <v>6744</v>
      </c>
      <c r="Q3486" s="3">
        <v>0</v>
      </c>
      <c r="R3486" s="23" t="s">
        <v>11933</v>
      </c>
      <c r="S3486" s="23" t="s">
        <v>5849</v>
      </c>
      <c r="T3486" s="23" t="s">
        <v>4866</v>
      </c>
      <c r="U3486" s="3">
        <v>35</v>
      </c>
      <c r="W3486" s="45" t="str">
        <f>HYPERLINK("http://ictvonline.org/taxonomy/p/taxonomy-history?taxnode_id=201906657","ICTVonline=201906657")</f>
        <v>ICTVonline=201906657</v>
      </c>
      <c r="X3486" s="1" t="s">
        <v>12094</v>
      </c>
      <c r="Y3486" s="1" t="s">
        <v>12095</v>
      </c>
      <c r="Z3486" s="1" t="s">
        <v>12096</v>
      </c>
      <c r="AA3486" s="1">
        <v>201900000</v>
      </c>
      <c r="AB3486" s="1">
        <v>35</v>
      </c>
    </row>
    <row r="3487" spans="1:28" x14ac:dyDescent="0.2">
      <c r="A3487" s="1">
        <v>9022</v>
      </c>
      <c r="B3487" s="1" t="s">
        <v>6839</v>
      </c>
      <c r="D3487" s="1" t="s">
        <v>11735</v>
      </c>
      <c r="F3487" s="1" t="s">
        <v>11930</v>
      </c>
      <c r="H3487" s="1" t="s">
        <v>11931</v>
      </c>
      <c r="J3487" s="1" t="s">
        <v>11948</v>
      </c>
      <c r="L3487" s="1" t="s">
        <v>1947</v>
      </c>
      <c r="P3487" s="1" t="s">
        <v>2136</v>
      </c>
      <c r="Q3487" s="3">
        <v>0</v>
      </c>
      <c r="R3487" s="23" t="s">
        <v>11933</v>
      </c>
      <c r="S3487" s="23" t="s">
        <v>5849</v>
      </c>
      <c r="T3487" s="23" t="s">
        <v>4866</v>
      </c>
      <c r="U3487" s="3">
        <v>35</v>
      </c>
      <c r="W3487" s="45" t="str">
        <f>HYPERLINK("http://ictvonline.org/taxonomy/p/taxonomy-history?taxnode_id=201903020","ICTVonline=201903020")</f>
        <v>ICTVonline=201903020</v>
      </c>
      <c r="AA3487" s="1">
        <v>201900000</v>
      </c>
      <c r="AB3487" s="1">
        <v>35</v>
      </c>
    </row>
    <row r="3488" spans="1:28" x14ac:dyDescent="0.2">
      <c r="A3488" s="1">
        <v>9024</v>
      </c>
      <c r="B3488" s="1" t="s">
        <v>6839</v>
      </c>
      <c r="D3488" s="1" t="s">
        <v>11735</v>
      </c>
      <c r="F3488" s="1" t="s">
        <v>11930</v>
      </c>
      <c r="H3488" s="1" t="s">
        <v>11931</v>
      </c>
      <c r="J3488" s="1" t="s">
        <v>11948</v>
      </c>
      <c r="L3488" s="1" t="s">
        <v>1947</v>
      </c>
      <c r="P3488" s="1" t="s">
        <v>3706</v>
      </c>
      <c r="Q3488" s="3">
        <v>0</v>
      </c>
      <c r="R3488" s="23" t="s">
        <v>11933</v>
      </c>
      <c r="S3488" s="23" t="s">
        <v>5849</v>
      </c>
      <c r="T3488" s="23" t="s">
        <v>4866</v>
      </c>
      <c r="U3488" s="3">
        <v>35</v>
      </c>
      <c r="W3488" s="45" t="str">
        <f>HYPERLINK("http://ictvonline.org/taxonomy/p/taxonomy-history?taxnode_id=201903021","ICTVonline=201903021")</f>
        <v>ICTVonline=201903021</v>
      </c>
      <c r="Y3488" s="1" t="s">
        <v>12097</v>
      </c>
      <c r="Z3488" s="1" t="s">
        <v>12098</v>
      </c>
      <c r="AA3488" s="1">
        <v>201900000</v>
      </c>
      <c r="AB3488" s="1">
        <v>35</v>
      </c>
    </row>
    <row r="3489" spans="1:28" x14ac:dyDescent="0.2">
      <c r="A3489" s="1">
        <v>9026</v>
      </c>
      <c r="B3489" s="1" t="s">
        <v>6839</v>
      </c>
      <c r="D3489" s="1" t="s">
        <v>11735</v>
      </c>
      <c r="F3489" s="1" t="s">
        <v>11930</v>
      </c>
      <c r="H3489" s="1" t="s">
        <v>11931</v>
      </c>
      <c r="J3489" s="1" t="s">
        <v>11948</v>
      </c>
      <c r="L3489" s="1" t="s">
        <v>1947</v>
      </c>
      <c r="P3489" s="1" t="s">
        <v>2139</v>
      </c>
      <c r="Q3489" s="3">
        <v>0</v>
      </c>
      <c r="R3489" s="23" t="s">
        <v>11933</v>
      </c>
      <c r="S3489" s="23" t="s">
        <v>5849</v>
      </c>
      <c r="T3489" s="23" t="s">
        <v>4866</v>
      </c>
      <c r="U3489" s="3">
        <v>35</v>
      </c>
      <c r="W3489" s="45" t="str">
        <f>HYPERLINK("http://ictvonline.org/taxonomy/p/taxonomy-history?taxnode_id=201903022","ICTVonline=201903022")</f>
        <v>ICTVonline=201903022</v>
      </c>
      <c r="AA3489" s="1">
        <v>201900000</v>
      </c>
      <c r="AB3489" s="1">
        <v>35</v>
      </c>
    </row>
    <row r="3490" spans="1:28" x14ac:dyDescent="0.2">
      <c r="A3490" s="1">
        <v>9028</v>
      </c>
      <c r="B3490" s="1" t="s">
        <v>6839</v>
      </c>
      <c r="D3490" s="1" t="s">
        <v>11735</v>
      </c>
      <c r="F3490" s="1" t="s">
        <v>11930</v>
      </c>
      <c r="H3490" s="1" t="s">
        <v>11931</v>
      </c>
      <c r="J3490" s="1" t="s">
        <v>11948</v>
      </c>
      <c r="L3490" s="1" t="s">
        <v>1947</v>
      </c>
      <c r="P3490" s="1" t="s">
        <v>1550</v>
      </c>
      <c r="Q3490" s="3">
        <v>0</v>
      </c>
      <c r="R3490" s="23" t="s">
        <v>11933</v>
      </c>
      <c r="S3490" s="23" t="s">
        <v>5849</v>
      </c>
      <c r="T3490" s="23" t="s">
        <v>4866</v>
      </c>
      <c r="U3490" s="3">
        <v>35</v>
      </c>
      <c r="W3490" s="45" t="str">
        <f>HYPERLINK("http://ictvonline.org/taxonomy/p/taxonomy-history?taxnode_id=201903023","ICTVonline=201903023")</f>
        <v>ICTVonline=201903023</v>
      </c>
      <c r="Y3490" s="1" t="s">
        <v>12099</v>
      </c>
      <c r="Z3490" s="1" t="s">
        <v>12100</v>
      </c>
      <c r="AA3490" s="1">
        <v>201900000</v>
      </c>
      <c r="AB3490" s="1">
        <v>35</v>
      </c>
    </row>
    <row r="3491" spans="1:28" x14ac:dyDescent="0.2">
      <c r="A3491" s="1">
        <v>9030</v>
      </c>
      <c r="B3491" s="1" t="s">
        <v>6839</v>
      </c>
      <c r="D3491" s="1" t="s">
        <v>11735</v>
      </c>
      <c r="F3491" s="1" t="s">
        <v>11930</v>
      </c>
      <c r="H3491" s="1" t="s">
        <v>11931</v>
      </c>
      <c r="J3491" s="1" t="s">
        <v>11948</v>
      </c>
      <c r="L3491" s="1" t="s">
        <v>1947</v>
      </c>
      <c r="P3491" s="1" t="s">
        <v>2140</v>
      </c>
      <c r="Q3491" s="3">
        <v>0</v>
      </c>
      <c r="R3491" s="23" t="s">
        <v>11933</v>
      </c>
      <c r="S3491" s="23" t="s">
        <v>5849</v>
      </c>
      <c r="T3491" s="23" t="s">
        <v>4866</v>
      </c>
      <c r="U3491" s="3">
        <v>35</v>
      </c>
      <c r="W3491" s="45" t="str">
        <f>HYPERLINK("http://ictvonline.org/taxonomy/p/taxonomy-history?taxnode_id=201903024","ICTVonline=201903024")</f>
        <v>ICTVonline=201903024</v>
      </c>
      <c r="AA3491" s="1">
        <v>201900000</v>
      </c>
      <c r="AB3491" s="1">
        <v>35</v>
      </c>
    </row>
    <row r="3492" spans="1:28" x14ac:dyDescent="0.2">
      <c r="A3492" s="1">
        <v>9032</v>
      </c>
      <c r="B3492" s="1" t="s">
        <v>6839</v>
      </c>
      <c r="D3492" s="1" t="s">
        <v>11735</v>
      </c>
      <c r="F3492" s="1" t="s">
        <v>11930</v>
      </c>
      <c r="H3492" s="1" t="s">
        <v>11931</v>
      </c>
      <c r="J3492" s="1" t="s">
        <v>11948</v>
      </c>
      <c r="L3492" s="1" t="s">
        <v>1947</v>
      </c>
      <c r="P3492" s="1" t="s">
        <v>4610</v>
      </c>
      <c r="Q3492" s="3">
        <v>0</v>
      </c>
      <c r="R3492" s="23" t="s">
        <v>11933</v>
      </c>
      <c r="S3492" s="23" t="s">
        <v>5849</v>
      </c>
      <c r="T3492" s="23" t="s">
        <v>4866</v>
      </c>
      <c r="U3492" s="3">
        <v>35</v>
      </c>
      <c r="W3492" s="45" t="str">
        <f>HYPERLINK("http://ictvonline.org/taxonomy/p/taxonomy-history?taxnode_id=201903025","ICTVonline=201903025")</f>
        <v>ICTVonline=201903025</v>
      </c>
      <c r="Y3492" s="1" t="s">
        <v>12101</v>
      </c>
      <c r="Z3492" s="1" t="s">
        <v>12102</v>
      </c>
      <c r="AA3492" s="1">
        <v>201900000</v>
      </c>
      <c r="AB3492" s="1">
        <v>35</v>
      </c>
    </row>
    <row r="3493" spans="1:28" x14ac:dyDescent="0.2">
      <c r="A3493" s="1">
        <v>9037</v>
      </c>
      <c r="B3493" s="1" t="s">
        <v>6839</v>
      </c>
      <c r="D3493" s="1" t="s">
        <v>11735</v>
      </c>
      <c r="F3493" s="1" t="s">
        <v>11930</v>
      </c>
      <c r="H3493" s="1" t="s">
        <v>11931</v>
      </c>
      <c r="J3493" s="1" t="s">
        <v>11948</v>
      </c>
      <c r="L3493" s="1" t="s">
        <v>1628</v>
      </c>
      <c r="N3493" s="1" t="s">
        <v>4038</v>
      </c>
      <c r="P3493" s="1" t="s">
        <v>12103</v>
      </c>
      <c r="Q3493" s="3">
        <v>0</v>
      </c>
      <c r="R3493" s="23" t="s">
        <v>11933</v>
      </c>
      <c r="S3493" s="23" t="s">
        <v>5849</v>
      </c>
      <c r="T3493" s="23" t="s">
        <v>4864</v>
      </c>
      <c r="U3493" s="3">
        <v>35</v>
      </c>
      <c r="V3493" s="3" t="s">
        <v>12104</v>
      </c>
      <c r="W3493" s="45" t="str">
        <f>HYPERLINK("http://ictvonline.org/taxonomy/p/taxonomy-history?taxnode_id=201907538","ICTVonline=201907538")</f>
        <v>ICTVonline=201907538</v>
      </c>
      <c r="X3493" s="1" t="s">
        <v>12105</v>
      </c>
      <c r="Y3493" s="1" t="s">
        <v>12106</v>
      </c>
      <c r="Z3493" s="1">
        <v>2990</v>
      </c>
      <c r="AA3493" s="1">
        <v>201900000</v>
      </c>
      <c r="AB3493" s="1">
        <v>35</v>
      </c>
    </row>
    <row r="3494" spans="1:28" x14ac:dyDescent="0.2">
      <c r="A3494" s="1">
        <v>9039</v>
      </c>
      <c r="B3494" s="1" t="s">
        <v>6839</v>
      </c>
      <c r="D3494" s="1" t="s">
        <v>11735</v>
      </c>
      <c r="F3494" s="1" t="s">
        <v>11930</v>
      </c>
      <c r="H3494" s="1" t="s">
        <v>11931</v>
      </c>
      <c r="J3494" s="1" t="s">
        <v>11948</v>
      </c>
      <c r="L3494" s="1" t="s">
        <v>1628</v>
      </c>
      <c r="N3494" s="1" t="s">
        <v>4038</v>
      </c>
      <c r="P3494" s="1" t="s">
        <v>4039</v>
      </c>
      <c r="Q3494" s="3">
        <v>0</v>
      </c>
      <c r="R3494" s="23" t="s">
        <v>11933</v>
      </c>
      <c r="S3494" s="23" t="s">
        <v>5849</v>
      </c>
      <c r="T3494" s="23" t="s">
        <v>4866</v>
      </c>
      <c r="U3494" s="3">
        <v>35</v>
      </c>
      <c r="W3494" s="45" t="str">
        <f>HYPERLINK("http://ictvonline.org/taxonomy/p/taxonomy-history?taxnode_id=201903045","ICTVonline=201903045")</f>
        <v>ICTVonline=201903045</v>
      </c>
      <c r="AA3494" s="1">
        <v>201900000</v>
      </c>
      <c r="AB3494" s="1">
        <v>35</v>
      </c>
    </row>
    <row r="3495" spans="1:28" x14ac:dyDescent="0.2">
      <c r="A3495" s="1">
        <v>9041</v>
      </c>
      <c r="B3495" s="1" t="s">
        <v>6839</v>
      </c>
      <c r="D3495" s="1" t="s">
        <v>11735</v>
      </c>
      <c r="F3495" s="1" t="s">
        <v>11930</v>
      </c>
      <c r="H3495" s="1" t="s">
        <v>11931</v>
      </c>
      <c r="J3495" s="1" t="s">
        <v>11948</v>
      </c>
      <c r="L3495" s="1" t="s">
        <v>1628</v>
      </c>
      <c r="N3495" s="1" t="s">
        <v>4038</v>
      </c>
      <c r="P3495" s="1" t="s">
        <v>4040</v>
      </c>
      <c r="Q3495" s="3">
        <v>0</v>
      </c>
      <c r="R3495" s="23" t="s">
        <v>11933</v>
      </c>
      <c r="S3495" s="23" t="s">
        <v>5849</v>
      </c>
      <c r="T3495" s="23" t="s">
        <v>4866</v>
      </c>
      <c r="U3495" s="3">
        <v>35</v>
      </c>
      <c r="W3495" s="45" t="str">
        <f>HYPERLINK("http://ictvonline.org/taxonomy/p/taxonomy-history?taxnode_id=201903046","ICTVonline=201903046")</f>
        <v>ICTVonline=201903046</v>
      </c>
      <c r="AA3495" s="1">
        <v>201900000</v>
      </c>
      <c r="AB3495" s="1">
        <v>35</v>
      </c>
    </row>
    <row r="3496" spans="1:28" x14ac:dyDescent="0.2">
      <c r="A3496" s="1">
        <v>9043</v>
      </c>
      <c r="B3496" s="1" t="s">
        <v>6839</v>
      </c>
      <c r="D3496" s="1" t="s">
        <v>11735</v>
      </c>
      <c r="F3496" s="1" t="s">
        <v>11930</v>
      </c>
      <c r="H3496" s="1" t="s">
        <v>11931</v>
      </c>
      <c r="J3496" s="1" t="s">
        <v>11948</v>
      </c>
      <c r="L3496" s="1" t="s">
        <v>1628</v>
      </c>
      <c r="N3496" s="1" t="s">
        <v>4038</v>
      </c>
      <c r="P3496" s="1" t="s">
        <v>12107</v>
      </c>
      <c r="Q3496" s="3">
        <v>0</v>
      </c>
      <c r="R3496" s="23" t="s">
        <v>11933</v>
      </c>
      <c r="S3496" s="23" t="s">
        <v>5849</v>
      </c>
      <c r="T3496" s="23" t="s">
        <v>4864</v>
      </c>
      <c r="U3496" s="3">
        <v>35</v>
      </c>
      <c r="V3496" s="3" t="s">
        <v>12104</v>
      </c>
      <c r="W3496" s="45" t="str">
        <f>HYPERLINK("http://ictvonline.org/taxonomy/p/taxonomy-history?taxnode_id=201907539","ICTVonline=201907539")</f>
        <v>ICTVonline=201907539</v>
      </c>
      <c r="X3496" s="1" t="s">
        <v>12108</v>
      </c>
      <c r="Y3496" s="1" t="s">
        <v>12109</v>
      </c>
      <c r="Z3496" s="1">
        <v>593409</v>
      </c>
      <c r="AA3496" s="1">
        <v>201900000</v>
      </c>
      <c r="AB3496" s="1">
        <v>35</v>
      </c>
    </row>
    <row r="3497" spans="1:28" x14ac:dyDescent="0.2">
      <c r="A3497" s="1">
        <v>9045</v>
      </c>
      <c r="B3497" s="1" t="s">
        <v>6839</v>
      </c>
      <c r="D3497" s="1" t="s">
        <v>11735</v>
      </c>
      <c r="F3497" s="1" t="s">
        <v>11930</v>
      </c>
      <c r="H3497" s="1" t="s">
        <v>11931</v>
      </c>
      <c r="J3497" s="1" t="s">
        <v>11948</v>
      </c>
      <c r="L3497" s="1" t="s">
        <v>1628</v>
      </c>
      <c r="N3497" s="1" t="s">
        <v>4038</v>
      </c>
      <c r="P3497" s="1" t="s">
        <v>4612</v>
      </c>
      <c r="Q3497" s="3">
        <v>0</v>
      </c>
      <c r="R3497" s="23" t="s">
        <v>11933</v>
      </c>
      <c r="S3497" s="23" t="s">
        <v>5849</v>
      </c>
      <c r="T3497" s="23" t="s">
        <v>4866</v>
      </c>
      <c r="U3497" s="3">
        <v>35</v>
      </c>
      <c r="W3497" s="45" t="str">
        <f>HYPERLINK("http://ictvonline.org/taxonomy/p/taxonomy-history?taxnode_id=201903047","ICTVonline=201903047")</f>
        <v>ICTVonline=201903047</v>
      </c>
      <c r="Y3497" s="1" t="s">
        <v>12110</v>
      </c>
      <c r="Z3497" s="1" t="s">
        <v>12111</v>
      </c>
      <c r="AA3497" s="1">
        <v>201900000</v>
      </c>
      <c r="AB3497" s="1">
        <v>35</v>
      </c>
    </row>
    <row r="3498" spans="1:28" x14ac:dyDescent="0.2">
      <c r="A3498" s="1">
        <v>9047</v>
      </c>
      <c r="B3498" s="1" t="s">
        <v>6839</v>
      </c>
      <c r="D3498" s="1" t="s">
        <v>11735</v>
      </c>
      <c r="F3498" s="1" t="s">
        <v>11930</v>
      </c>
      <c r="H3498" s="1" t="s">
        <v>11931</v>
      </c>
      <c r="J3498" s="1" t="s">
        <v>11948</v>
      </c>
      <c r="L3498" s="1" t="s">
        <v>1628</v>
      </c>
      <c r="N3498" s="1" t="s">
        <v>4038</v>
      </c>
      <c r="P3498" s="1" t="s">
        <v>4613</v>
      </c>
      <c r="Q3498" s="3">
        <v>0</v>
      </c>
      <c r="R3498" s="23" t="s">
        <v>11933</v>
      </c>
      <c r="S3498" s="23" t="s">
        <v>5849</v>
      </c>
      <c r="T3498" s="23" t="s">
        <v>4866</v>
      </c>
      <c r="U3498" s="3">
        <v>35</v>
      </c>
      <c r="W3498" s="45" t="str">
        <f>HYPERLINK("http://ictvonline.org/taxonomy/p/taxonomy-history?taxnode_id=201903048","ICTVonline=201903048")</f>
        <v>ICTVonline=201903048</v>
      </c>
      <c r="Y3498" s="1" t="s">
        <v>12112</v>
      </c>
      <c r="Z3498" s="1" t="s">
        <v>12113</v>
      </c>
      <c r="AA3498" s="1">
        <v>201900000</v>
      </c>
      <c r="AB3498" s="1">
        <v>35</v>
      </c>
    </row>
    <row r="3499" spans="1:28" x14ac:dyDescent="0.2">
      <c r="A3499" s="1">
        <v>9049</v>
      </c>
      <c r="B3499" s="1" t="s">
        <v>6839</v>
      </c>
      <c r="D3499" s="1" t="s">
        <v>11735</v>
      </c>
      <c r="F3499" s="1" t="s">
        <v>11930</v>
      </c>
      <c r="H3499" s="1" t="s">
        <v>11931</v>
      </c>
      <c r="J3499" s="1" t="s">
        <v>11948</v>
      </c>
      <c r="L3499" s="1" t="s">
        <v>1628</v>
      </c>
      <c r="N3499" s="1" t="s">
        <v>4038</v>
      </c>
      <c r="P3499" s="1" t="s">
        <v>4614</v>
      </c>
      <c r="Q3499" s="3">
        <v>0</v>
      </c>
      <c r="R3499" s="23" t="s">
        <v>11933</v>
      </c>
      <c r="S3499" s="23" t="s">
        <v>5849</v>
      </c>
      <c r="T3499" s="23" t="s">
        <v>4866</v>
      </c>
      <c r="U3499" s="3">
        <v>35</v>
      </c>
      <c r="W3499" s="45" t="str">
        <f>HYPERLINK("http://ictvonline.org/taxonomy/p/taxonomy-history?taxnode_id=201903049","ICTVonline=201903049")</f>
        <v>ICTVonline=201903049</v>
      </c>
      <c r="Y3499" s="1" t="s">
        <v>12114</v>
      </c>
      <c r="Z3499" s="1" t="s">
        <v>12115</v>
      </c>
      <c r="AA3499" s="1">
        <v>201900000</v>
      </c>
      <c r="AB3499" s="1">
        <v>35</v>
      </c>
    </row>
    <row r="3500" spans="1:28" x14ac:dyDescent="0.2">
      <c r="A3500" s="1">
        <v>9051</v>
      </c>
      <c r="B3500" s="1" t="s">
        <v>6839</v>
      </c>
      <c r="D3500" s="1" t="s">
        <v>11735</v>
      </c>
      <c r="F3500" s="1" t="s">
        <v>11930</v>
      </c>
      <c r="H3500" s="1" t="s">
        <v>11931</v>
      </c>
      <c r="J3500" s="1" t="s">
        <v>11948</v>
      </c>
      <c r="L3500" s="1" t="s">
        <v>1628</v>
      </c>
      <c r="N3500" s="1" t="s">
        <v>4038</v>
      </c>
      <c r="P3500" s="1" t="s">
        <v>12116</v>
      </c>
      <c r="Q3500" s="3">
        <v>0</v>
      </c>
      <c r="R3500" s="23" t="s">
        <v>11933</v>
      </c>
      <c r="S3500" s="23" t="s">
        <v>5849</v>
      </c>
      <c r="T3500" s="23" t="s">
        <v>4864</v>
      </c>
      <c r="U3500" s="3">
        <v>35</v>
      </c>
      <c r="V3500" s="3" t="s">
        <v>12104</v>
      </c>
      <c r="W3500" s="45" t="str">
        <f>HYPERLINK("http://ictvonline.org/taxonomy/p/taxonomy-history?taxnode_id=201907540","ICTVonline=201907540")</f>
        <v>ICTVonline=201907540</v>
      </c>
      <c r="X3500" s="1" t="s">
        <v>12117</v>
      </c>
      <c r="Y3500" s="1" t="s">
        <v>12118</v>
      </c>
      <c r="Z3500" s="1" t="s">
        <v>12119</v>
      </c>
      <c r="AA3500" s="1">
        <v>201900000</v>
      </c>
      <c r="AB3500" s="1">
        <v>35</v>
      </c>
    </row>
    <row r="3501" spans="1:28" x14ac:dyDescent="0.2">
      <c r="A3501" s="1">
        <v>9053</v>
      </c>
      <c r="B3501" s="1" t="s">
        <v>6839</v>
      </c>
      <c r="D3501" s="1" t="s">
        <v>11735</v>
      </c>
      <c r="F3501" s="1" t="s">
        <v>11930</v>
      </c>
      <c r="H3501" s="1" t="s">
        <v>11931</v>
      </c>
      <c r="J3501" s="1" t="s">
        <v>11948</v>
      </c>
      <c r="L3501" s="1" t="s">
        <v>1628</v>
      </c>
      <c r="N3501" s="1" t="s">
        <v>4038</v>
      </c>
      <c r="P3501" s="1" t="s">
        <v>4041</v>
      </c>
      <c r="Q3501" s="3">
        <v>0</v>
      </c>
      <c r="R3501" s="23" t="s">
        <v>11933</v>
      </c>
      <c r="S3501" s="23" t="s">
        <v>5849</v>
      </c>
      <c r="T3501" s="23" t="s">
        <v>4866</v>
      </c>
      <c r="U3501" s="3">
        <v>35</v>
      </c>
      <c r="W3501" s="45" t="str">
        <f>HYPERLINK("http://ictvonline.org/taxonomy/p/taxonomy-history?taxnode_id=201903050","ICTVonline=201903050")</f>
        <v>ICTVonline=201903050</v>
      </c>
      <c r="AA3501" s="1">
        <v>201900000</v>
      </c>
      <c r="AB3501" s="1">
        <v>35</v>
      </c>
    </row>
    <row r="3502" spans="1:28" x14ac:dyDescent="0.2">
      <c r="A3502" s="1">
        <v>9055</v>
      </c>
      <c r="B3502" s="1" t="s">
        <v>6839</v>
      </c>
      <c r="D3502" s="1" t="s">
        <v>11735</v>
      </c>
      <c r="F3502" s="1" t="s">
        <v>11930</v>
      </c>
      <c r="H3502" s="1" t="s">
        <v>11931</v>
      </c>
      <c r="J3502" s="1" t="s">
        <v>11948</v>
      </c>
      <c r="L3502" s="1" t="s">
        <v>1628</v>
      </c>
      <c r="N3502" s="1" t="s">
        <v>4038</v>
      </c>
      <c r="P3502" s="1" t="s">
        <v>4615</v>
      </c>
      <c r="Q3502" s="3">
        <v>0</v>
      </c>
      <c r="R3502" s="23" t="s">
        <v>11933</v>
      </c>
      <c r="S3502" s="23" t="s">
        <v>5849</v>
      </c>
      <c r="T3502" s="23" t="s">
        <v>4866</v>
      </c>
      <c r="U3502" s="3">
        <v>35</v>
      </c>
      <c r="W3502" s="45" t="str">
        <f>HYPERLINK("http://ictvonline.org/taxonomy/p/taxonomy-history?taxnode_id=201903051","ICTVonline=201903051")</f>
        <v>ICTVonline=201903051</v>
      </c>
      <c r="Y3502" s="1" t="s">
        <v>12120</v>
      </c>
      <c r="Z3502" s="1" t="s">
        <v>12121</v>
      </c>
      <c r="AA3502" s="1">
        <v>201900000</v>
      </c>
      <c r="AB3502" s="1">
        <v>35</v>
      </c>
    </row>
    <row r="3503" spans="1:28" x14ac:dyDescent="0.2">
      <c r="A3503" s="1">
        <v>9057</v>
      </c>
      <c r="B3503" s="1" t="s">
        <v>6839</v>
      </c>
      <c r="D3503" s="1" t="s">
        <v>11735</v>
      </c>
      <c r="F3503" s="1" t="s">
        <v>11930</v>
      </c>
      <c r="H3503" s="1" t="s">
        <v>11931</v>
      </c>
      <c r="J3503" s="1" t="s">
        <v>11948</v>
      </c>
      <c r="L3503" s="1" t="s">
        <v>1628</v>
      </c>
      <c r="N3503" s="1" t="s">
        <v>4038</v>
      </c>
      <c r="P3503" s="1" t="s">
        <v>4616</v>
      </c>
      <c r="Q3503" s="3">
        <v>0</v>
      </c>
      <c r="R3503" s="23" t="s">
        <v>11933</v>
      </c>
      <c r="S3503" s="23" t="s">
        <v>5849</v>
      </c>
      <c r="T3503" s="23" t="s">
        <v>4866</v>
      </c>
      <c r="U3503" s="3">
        <v>35</v>
      </c>
      <c r="W3503" s="45" t="str">
        <f>HYPERLINK("http://ictvonline.org/taxonomy/p/taxonomy-history?taxnode_id=201903052","ICTVonline=201903052")</f>
        <v>ICTVonline=201903052</v>
      </c>
      <c r="Y3503" s="1" t="s">
        <v>12122</v>
      </c>
      <c r="Z3503" s="1" t="s">
        <v>12123</v>
      </c>
      <c r="AA3503" s="1">
        <v>201900000</v>
      </c>
      <c r="AB3503" s="1">
        <v>35</v>
      </c>
    </row>
    <row r="3504" spans="1:28" x14ac:dyDescent="0.2">
      <c r="A3504" s="1">
        <v>9059</v>
      </c>
      <c r="B3504" s="1" t="s">
        <v>6839</v>
      </c>
      <c r="D3504" s="1" t="s">
        <v>11735</v>
      </c>
      <c r="F3504" s="1" t="s">
        <v>11930</v>
      </c>
      <c r="H3504" s="1" t="s">
        <v>11931</v>
      </c>
      <c r="J3504" s="1" t="s">
        <v>11948</v>
      </c>
      <c r="L3504" s="1" t="s">
        <v>1628</v>
      </c>
      <c r="N3504" s="1" t="s">
        <v>4038</v>
      </c>
      <c r="P3504" s="1" t="s">
        <v>4617</v>
      </c>
      <c r="Q3504" s="3">
        <v>0</v>
      </c>
      <c r="R3504" s="23" t="s">
        <v>11933</v>
      </c>
      <c r="S3504" s="23" t="s">
        <v>5849</v>
      </c>
      <c r="T3504" s="23" t="s">
        <v>4866</v>
      </c>
      <c r="U3504" s="3">
        <v>35</v>
      </c>
      <c r="W3504" s="45" t="str">
        <f>HYPERLINK("http://ictvonline.org/taxonomy/p/taxonomy-history?taxnode_id=201903053","ICTVonline=201903053")</f>
        <v>ICTVonline=201903053</v>
      </c>
      <c r="Y3504" s="1" t="s">
        <v>12124</v>
      </c>
      <c r="Z3504" s="1" t="s">
        <v>11234</v>
      </c>
      <c r="AA3504" s="1">
        <v>201900000</v>
      </c>
      <c r="AB3504" s="1">
        <v>35</v>
      </c>
    </row>
    <row r="3505" spans="1:28" x14ac:dyDescent="0.2">
      <c r="A3505" s="1">
        <v>9061</v>
      </c>
      <c r="B3505" s="1" t="s">
        <v>6839</v>
      </c>
      <c r="D3505" s="1" t="s">
        <v>11735</v>
      </c>
      <c r="F3505" s="1" t="s">
        <v>11930</v>
      </c>
      <c r="H3505" s="1" t="s">
        <v>11931</v>
      </c>
      <c r="J3505" s="1" t="s">
        <v>11948</v>
      </c>
      <c r="L3505" s="1" t="s">
        <v>1628</v>
      </c>
      <c r="N3505" s="1" t="s">
        <v>4038</v>
      </c>
      <c r="P3505" s="1" t="s">
        <v>4042</v>
      </c>
      <c r="Q3505" s="3">
        <v>0</v>
      </c>
      <c r="R3505" s="23" t="s">
        <v>11933</v>
      </c>
      <c r="S3505" s="23" t="s">
        <v>5849</v>
      </c>
      <c r="T3505" s="23" t="s">
        <v>4866</v>
      </c>
      <c r="U3505" s="3">
        <v>35</v>
      </c>
      <c r="W3505" s="45" t="str">
        <f>HYPERLINK("http://ictvonline.org/taxonomy/p/taxonomy-history?taxnode_id=201903054","ICTVonline=201903054")</f>
        <v>ICTVonline=201903054</v>
      </c>
      <c r="AA3505" s="1">
        <v>201900000</v>
      </c>
      <c r="AB3505" s="1">
        <v>35</v>
      </c>
    </row>
    <row r="3506" spans="1:28" x14ac:dyDescent="0.2">
      <c r="A3506" s="1">
        <v>9063</v>
      </c>
      <c r="B3506" s="1" t="s">
        <v>6839</v>
      </c>
      <c r="D3506" s="1" t="s">
        <v>11735</v>
      </c>
      <c r="F3506" s="1" t="s">
        <v>11930</v>
      </c>
      <c r="H3506" s="1" t="s">
        <v>11931</v>
      </c>
      <c r="J3506" s="1" t="s">
        <v>11948</v>
      </c>
      <c r="L3506" s="1" t="s">
        <v>1628</v>
      </c>
      <c r="N3506" s="1" t="s">
        <v>4038</v>
      </c>
      <c r="P3506" s="1" t="s">
        <v>4043</v>
      </c>
      <c r="Q3506" s="3">
        <v>1</v>
      </c>
      <c r="R3506" s="23" t="s">
        <v>11933</v>
      </c>
      <c r="S3506" s="23" t="s">
        <v>5849</v>
      </c>
      <c r="T3506" s="23" t="s">
        <v>4866</v>
      </c>
      <c r="U3506" s="3">
        <v>35</v>
      </c>
      <c r="W3506" s="45" t="str">
        <f>HYPERLINK("http://ictvonline.org/taxonomy/p/taxonomy-history?taxnode_id=201903055","ICTVonline=201903055")</f>
        <v>ICTVonline=201903055</v>
      </c>
      <c r="AA3506" s="1">
        <v>201900000</v>
      </c>
      <c r="AB3506" s="1">
        <v>35</v>
      </c>
    </row>
    <row r="3507" spans="1:28" x14ac:dyDescent="0.2">
      <c r="A3507" s="1">
        <v>9065</v>
      </c>
      <c r="B3507" s="1" t="s">
        <v>6839</v>
      </c>
      <c r="D3507" s="1" t="s">
        <v>11735</v>
      </c>
      <c r="F3507" s="1" t="s">
        <v>11930</v>
      </c>
      <c r="H3507" s="1" t="s">
        <v>11931</v>
      </c>
      <c r="J3507" s="1" t="s">
        <v>11948</v>
      </c>
      <c r="L3507" s="1" t="s">
        <v>1628</v>
      </c>
      <c r="N3507" s="1" t="s">
        <v>4038</v>
      </c>
      <c r="P3507" s="1" t="s">
        <v>4044</v>
      </c>
      <c r="Q3507" s="3">
        <v>0</v>
      </c>
      <c r="R3507" s="23" t="s">
        <v>11933</v>
      </c>
      <c r="S3507" s="23" t="s">
        <v>5849</v>
      </c>
      <c r="T3507" s="23" t="s">
        <v>4866</v>
      </c>
      <c r="U3507" s="3">
        <v>35</v>
      </c>
      <c r="W3507" s="45" t="str">
        <f>HYPERLINK("http://ictvonline.org/taxonomy/p/taxonomy-history?taxnode_id=201903056","ICTVonline=201903056")</f>
        <v>ICTVonline=201903056</v>
      </c>
      <c r="AA3507" s="1">
        <v>201900000</v>
      </c>
      <c r="AB3507" s="1">
        <v>35</v>
      </c>
    </row>
    <row r="3508" spans="1:28" x14ac:dyDescent="0.2">
      <c r="A3508" s="1">
        <v>9067</v>
      </c>
      <c r="B3508" s="1" t="s">
        <v>6839</v>
      </c>
      <c r="D3508" s="1" t="s">
        <v>11735</v>
      </c>
      <c r="F3508" s="1" t="s">
        <v>11930</v>
      </c>
      <c r="H3508" s="1" t="s">
        <v>11931</v>
      </c>
      <c r="J3508" s="1" t="s">
        <v>11948</v>
      </c>
      <c r="L3508" s="1" t="s">
        <v>1628</v>
      </c>
      <c r="N3508" s="1" t="s">
        <v>4038</v>
      </c>
      <c r="P3508" s="1" t="s">
        <v>4045</v>
      </c>
      <c r="Q3508" s="3">
        <v>0</v>
      </c>
      <c r="R3508" s="23" t="s">
        <v>11933</v>
      </c>
      <c r="S3508" s="23" t="s">
        <v>5849</v>
      </c>
      <c r="T3508" s="23" t="s">
        <v>4866</v>
      </c>
      <c r="U3508" s="3">
        <v>35</v>
      </c>
      <c r="W3508" s="45" t="str">
        <f>HYPERLINK("http://ictvonline.org/taxonomy/p/taxonomy-history?taxnode_id=201903057","ICTVonline=201903057")</f>
        <v>ICTVonline=201903057</v>
      </c>
      <c r="AA3508" s="1">
        <v>201900000</v>
      </c>
      <c r="AB3508" s="1">
        <v>35</v>
      </c>
    </row>
    <row r="3509" spans="1:28" x14ac:dyDescent="0.2">
      <c r="A3509" s="1">
        <v>9069</v>
      </c>
      <c r="B3509" s="1" t="s">
        <v>6839</v>
      </c>
      <c r="D3509" s="1" t="s">
        <v>11735</v>
      </c>
      <c r="F3509" s="1" t="s">
        <v>11930</v>
      </c>
      <c r="H3509" s="1" t="s">
        <v>11931</v>
      </c>
      <c r="J3509" s="1" t="s">
        <v>11948</v>
      </c>
      <c r="L3509" s="1" t="s">
        <v>1628</v>
      </c>
      <c r="N3509" s="1" t="s">
        <v>4038</v>
      </c>
      <c r="P3509" s="1" t="s">
        <v>4046</v>
      </c>
      <c r="Q3509" s="3">
        <v>0</v>
      </c>
      <c r="R3509" s="23" t="s">
        <v>11933</v>
      </c>
      <c r="S3509" s="23" t="s">
        <v>5849</v>
      </c>
      <c r="T3509" s="23" t="s">
        <v>4866</v>
      </c>
      <c r="U3509" s="3">
        <v>35</v>
      </c>
      <c r="W3509" s="45" t="str">
        <f>HYPERLINK("http://ictvonline.org/taxonomy/p/taxonomy-history?taxnode_id=201903058","ICTVonline=201903058")</f>
        <v>ICTVonline=201903058</v>
      </c>
      <c r="AA3509" s="1">
        <v>201900000</v>
      </c>
      <c r="AB3509" s="1">
        <v>35</v>
      </c>
    </row>
    <row r="3510" spans="1:28" x14ac:dyDescent="0.2">
      <c r="A3510" s="1">
        <v>9071</v>
      </c>
      <c r="B3510" s="1" t="s">
        <v>6839</v>
      </c>
      <c r="D3510" s="1" t="s">
        <v>11735</v>
      </c>
      <c r="F3510" s="1" t="s">
        <v>11930</v>
      </c>
      <c r="H3510" s="1" t="s">
        <v>11931</v>
      </c>
      <c r="J3510" s="1" t="s">
        <v>11948</v>
      </c>
      <c r="L3510" s="1" t="s">
        <v>1628</v>
      </c>
      <c r="N3510" s="1" t="s">
        <v>4038</v>
      </c>
      <c r="P3510" s="1" t="s">
        <v>12125</v>
      </c>
      <c r="Q3510" s="3">
        <v>0</v>
      </c>
      <c r="R3510" s="23" t="s">
        <v>11933</v>
      </c>
      <c r="S3510" s="23" t="s">
        <v>5849</v>
      </c>
      <c r="T3510" s="23" t="s">
        <v>4864</v>
      </c>
      <c r="U3510" s="3">
        <v>35</v>
      </c>
      <c r="V3510" s="3" t="s">
        <v>12104</v>
      </c>
      <c r="W3510" s="45" t="str">
        <f>HYPERLINK("http://ictvonline.org/taxonomy/p/taxonomy-history?taxnode_id=201907541","ICTVonline=201907541")</f>
        <v>ICTVonline=201907541</v>
      </c>
      <c r="X3510" s="1" t="s">
        <v>12126</v>
      </c>
      <c r="Y3510" s="1" t="s">
        <v>12127</v>
      </c>
      <c r="Z3510" s="1" t="s">
        <v>12128</v>
      </c>
      <c r="AA3510" s="1">
        <v>201900000</v>
      </c>
      <c r="AB3510" s="1">
        <v>35</v>
      </c>
    </row>
    <row r="3511" spans="1:28" x14ac:dyDescent="0.2">
      <c r="A3511" s="1">
        <v>9073</v>
      </c>
      <c r="B3511" s="1" t="s">
        <v>6839</v>
      </c>
      <c r="D3511" s="1" t="s">
        <v>11735</v>
      </c>
      <c r="F3511" s="1" t="s">
        <v>11930</v>
      </c>
      <c r="H3511" s="1" t="s">
        <v>11931</v>
      </c>
      <c r="J3511" s="1" t="s">
        <v>11948</v>
      </c>
      <c r="L3511" s="1" t="s">
        <v>1628</v>
      </c>
      <c r="N3511" s="1" t="s">
        <v>4038</v>
      </c>
      <c r="P3511" s="1" t="s">
        <v>4047</v>
      </c>
      <c r="Q3511" s="3">
        <v>0</v>
      </c>
      <c r="R3511" s="23" t="s">
        <v>11933</v>
      </c>
      <c r="S3511" s="23" t="s">
        <v>5849</v>
      </c>
      <c r="T3511" s="23" t="s">
        <v>4866</v>
      </c>
      <c r="U3511" s="3">
        <v>35</v>
      </c>
      <c r="W3511" s="45" t="str">
        <f>HYPERLINK("http://ictvonline.org/taxonomy/p/taxonomy-history?taxnode_id=201903059","ICTVonline=201903059")</f>
        <v>ICTVonline=201903059</v>
      </c>
      <c r="AA3511" s="1">
        <v>201900000</v>
      </c>
      <c r="AB3511" s="1">
        <v>35</v>
      </c>
    </row>
    <row r="3512" spans="1:28" x14ac:dyDescent="0.2">
      <c r="A3512" s="1">
        <v>9075</v>
      </c>
      <c r="B3512" s="1" t="s">
        <v>6839</v>
      </c>
      <c r="D3512" s="1" t="s">
        <v>11735</v>
      </c>
      <c r="F3512" s="1" t="s">
        <v>11930</v>
      </c>
      <c r="H3512" s="1" t="s">
        <v>11931</v>
      </c>
      <c r="J3512" s="1" t="s">
        <v>11948</v>
      </c>
      <c r="L3512" s="1" t="s">
        <v>1628</v>
      </c>
      <c r="N3512" s="1" t="s">
        <v>4038</v>
      </c>
      <c r="P3512" s="1" t="s">
        <v>4618</v>
      </c>
      <c r="Q3512" s="3">
        <v>0</v>
      </c>
      <c r="R3512" s="23" t="s">
        <v>11933</v>
      </c>
      <c r="S3512" s="23" t="s">
        <v>5849</v>
      </c>
      <c r="T3512" s="23" t="s">
        <v>4866</v>
      </c>
      <c r="U3512" s="3">
        <v>35</v>
      </c>
      <c r="W3512" s="45" t="str">
        <f>HYPERLINK("http://ictvonline.org/taxonomy/p/taxonomy-history?taxnode_id=201903060","ICTVonline=201903060")</f>
        <v>ICTVonline=201903060</v>
      </c>
      <c r="Y3512" s="1" t="s">
        <v>12129</v>
      </c>
      <c r="Z3512" s="1" t="s">
        <v>12130</v>
      </c>
      <c r="AA3512" s="1">
        <v>201900000</v>
      </c>
      <c r="AB3512" s="1">
        <v>35</v>
      </c>
    </row>
    <row r="3513" spans="1:28" x14ac:dyDescent="0.2">
      <c r="A3513" s="1">
        <v>9077</v>
      </c>
      <c r="B3513" s="1" t="s">
        <v>6839</v>
      </c>
      <c r="D3513" s="1" t="s">
        <v>11735</v>
      </c>
      <c r="F3513" s="1" t="s">
        <v>11930</v>
      </c>
      <c r="H3513" s="1" t="s">
        <v>11931</v>
      </c>
      <c r="J3513" s="1" t="s">
        <v>11948</v>
      </c>
      <c r="L3513" s="1" t="s">
        <v>1628</v>
      </c>
      <c r="N3513" s="1" t="s">
        <v>4038</v>
      </c>
      <c r="P3513" s="1" t="s">
        <v>12131</v>
      </c>
      <c r="Q3513" s="3">
        <v>0</v>
      </c>
      <c r="R3513" s="23" t="s">
        <v>11933</v>
      </c>
      <c r="S3513" s="23" t="s">
        <v>5849</v>
      </c>
      <c r="T3513" s="23" t="s">
        <v>4864</v>
      </c>
      <c r="U3513" s="3">
        <v>35</v>
      </c>
      <c r="V3513" s="3" t="s">
        <v>12104</v>
      </c>
      <c r="W3513" s="45" t="str">
        <f>HYPERLINK("http://ictvonline.org/taxonomy/p/taxonomy-history?taxnode_id=201907542","ICTVonline=201907542")</f>
        <v>ICTVonline=201907542</v>
      </c>
      <c r="X3513" s="1" t="s">
        <v>12132</v>
      </c>
      <c r="Y3513" s="1" t="s">
        <v>12133</v>
      </c>
      <c r="Z3513" s="1" t="s">
        <v>12134</v>
      </c>
      <c r="AA3513" s="1">
        <v>201900000</v>
      </c>
      <c r="AB3513" s="1">
        <v>35</v>
      </c>
    </row>
    <row r="3514" spans="1:28" x14ac:dyDescent="0.2">
      <c r="A3514" s="1">
        <v>9079</v>
      </c>
      <c r="B3514" s="1" t="s">
        <v>6839</v>
      </c>
      <c r="D3514" s="1" t="s">
        <v>11735</v>
      </c>
      <c r="F3514" s="1" t="s">
        <v>11930</v>
      </c>
      <c r="H3514" s="1" t="s">
        <v>11931</v>
      </c>
      <c r="J3514" s="1" t="s">
        <v>11948</v>
      </c>
      <c r="L3514" s="1" t="s">
        <v>1628</v>
      </c>
      <c r="N3514" s="1" t="s">
        <v>4038</v>
      </c>
      <c r="P3514" s="1" t="s">
        <v>4048</v>
      </c>
      <c r="Q3514" s="3">
        <v>0</v>
      </c>
      <c r="R3514" s="23" t="s">
        <v>11933</v>
      </c>
      <c r="S3514" s="23" t="s">
        <v>5849</v>
      </c>
      <c r="T3514" s="23" t="s">
        <v>4866</v>
      </c>
      <c r="U3514" s="3">
        <v>35</v>
      </c>
      <c r="W3514" s="45" t="str">
        <f>HYPERLINK("http://ictvonline.org/taxonomy/p/taxonomy-history?taxnode_id=201903061","ICTVonline=201903061")</f>
        <v>ICTVonline=201903061</v>
      </c>
      <c r="AA3514" s="1">
        <v>201900000</v>
      </c>
      <c r="AB3514" s="1">
        <v>35</v>
      </c>
    </row>
    <row r="3515" spans="1:28" x14ac:dyDescent="0.2">
      <c r="A3515" s="1">
        <v>9081</v>
      </c>
      <c r="B3515" s="1" t="s">
        <v>6839</v>
      </c>
      <c r="D3515" s="1" t="s">
        <v>11735</v>
      </c>
      <c r="F3515" s="1" t="s">
        <v>11930</v>
      </c>
      <c r="H3515" s="1" t="s">
        <v>11931</v>
      </c>
      <c r="J3515" s="1" t="s">
        <v>11948</v>
      </c>
      <c r="L3515" s="1" t="s">
        <v>1628</v>
      </c>
      <c r="N3515" s="1" t="s">
        <v>4038</v>
      </c>
      <c r="P3515" s="1" t="s">
        <v>5284</v>
      </c>
      <c r="Q3515" s="3">
        <v>0</v>
      </c>
      <c r="R3515" s="23" t="s">
        <v>11933</v>
      </c>
      <c r="S3515" s="23" t="s">
        <v>5849</v>
      </c>
      <c r="T3515" s="23" t="s">
        <v>4866</v>
      </c>
      <c r="U3515" s="3">
        <v>35</v>
      </c>
      <c r="W3515" s="45" t="str">
        <f>HYPERLINK("http://ictvonline.org/taxonomy/p/taxonomy-history?taxnode_id=201905778","ICTVonline=201905778")</f>
        <v>ICTVonline=201905778</v>
      </c>
      <c r="AA3515" s="1">
        <v>201900000</v>
      </c>
      <c r="AB3515" s="1">
        <v>35</v>
      </c>
    </row>
    <row r="3516" spans="1:28" x14ac:dyDescent="0.2">
      <c r="A3516" s="1">
        <v>9083</v>
      </c>
      <c r="B3516" s="1" t="s">
        <v>6839</v>
      </c>
      <c r="D3516" s="1" t="s">
        <v>11735</v>
      </c>
      <c r="F3516" s="1" t="s">
        <v>11930</v>
      </c>
      <c r="H3516" s="1" t="s">
        <v>11931</v>
      </c>
      <c r="J3516" s="1" t="s">
        <v>11948</v>
      </c>
      <c r="L3516" s="1" t="s">
        <v>1628</v>
      </c>
      <c r="N3516" s="1" t="s">
        <v>4038</v>
      </c>
      <c r="P3516" s="1" t="s">
        <v>4049</v>
      </c>
      <c r="Q3516" s="3">
        <v>0</v>
      </c>
      <c r="R3516" s="23" t="s">
        <v>11933</v>
      </c>
      <c r="S3516" s="23" t="s">
        <v>5849</v>
      </c>
      <c r="T3516" s="23" t="s">
        <v>4866</v>
      </c>
      <c r="U3516" s="3">
        <v>35</v>
      </c>
      <c r="W3516" s="45" t="str">
        <f>HYPERLINK("http://ictvonline.org/taxonomy/p/taxonomy-history?taxnode_id=201903062","ICTVonline=201903062")</f>
        <v>ICTVonline=201903062</v>
      </c>
      <c r="AA3516" s="1">
        <v>201900000</v>
      </c>
      <c r="AB3516" s="1">
        <v>35</v>
      </c>
    </row>
    <row r="3517" spans="1:28" x14ac:dyDescent="0.2">
      <c r="A3517" s="1">
        <v>9087</v>
      </c>
      <c r="B3517" s="1" t="s">
        <v>6839</v>
      </c>
      <c r="D3517" s="1" t="s">
        <v>11735</v>
      </c>
      <c r="F3517" s="1" t="s">
        <v>11930</v>
      </c>
      <c r="H3517" s="1" t="s">
        <v>11931</v>
      </c>
      <c r="J3517" s="1" t="s">
        <v>11948</v>
      </c>
      <c r="L3517" s="1" t="s">
        <v>1628</v>
      </c>
      <c r="N3517" s="1" t="s">
        <v>4075</v>
      </c>
      <c r="P3517" s="1" t="s">
        <v>4619</v>
      </c>
      <c r="Q3517" s="3">
        <v>0</v>
      </c>
      <c r="R3517" s="23" t="s">
        <v>11933</v>
      </c>
      <c r="S3517" s="23" t="s">
        <v>5849</v>
      </c>
      <c r="T3517" s="23" t="s">
        <v>4866</v>
      </c>
      <c r="U3517" s="3">
        <v>35</v>
      </c>
      <c r="W3517" s="45" t="str">
        <f>HYPERLINK("http://ictvonline.org/taxonomy/p/taxonomy-history?taxnode_id=201903064","ICTVonline=201903064")</f>
        <v>ICTVonline=201903064</v>
      </c>
      <c r="Y3517" s="1" t="s">
        <v>12135</v>
      </c>
      <c r="Z3517" s="1" t="s">
        <v>12136</v>
      </c>
      <c r="AA3517" s="1">
        <v>201900000</v>
      </c>
      <c r="AB3517" s="1">
        <v>35</v>
      </c>
    </row>
    <row r="3518" spans="1:28" x14ac:dyDescent="0.2">
      <c r="A3518" s="1">
        <v>9089</v>
      </c>
      <c r="B3518" s="1" t="s">
        <v>6839</v>
      </c>
      <c r="D3518" s="1" t="s">
        <v>11735</v>
      </c>
      <c r="F3518" s="1" t="s">
        <v>11930</v>
      </c>
      <c r="H3518" s="1" t="s">
        <v>11931</v>
      </c>
      <c r="J3518" s="1" t="s">
        <v>11948</v>
      </c>
      <c r="L3518" s="1" t="s">
        <v>1628</v>
      </c>
      <c r="N3518" s="1" t="s">
        <v>4075</v>
      </c>
      <c r="P3518" s="1" t="s">
        <v>5285</v>
      </c>
      <c r="Q3518" s="3">
        <v>0</v>
      </c>
      <c r="R3518" s="23" t="s">
        <v>11933</v>
      </c>
      <c r="S3518" s="23" t="s">
        <v>5849</v>
      </c>
      <c r="T3518" s="23" t="s">
        <v>4866</v>
      </c>
      <c r="U3518" s="3">
        <v>35</v>
      </c>
      <c r="W3518" s="45" t="str">
        <f>HYPERLINK("http://ictvonline.org/taxonomy/p/taxonomy-history?taxnode_id=201905779","ICTVonline=201905779")</f>
        <v>ICTVonline=201905779</v>
      </c>
      <c r="AA3518" s="1">
        <v>201900000</v>
      </c>
      <c r="AB3518" s="1">
        <v>35</v>
      </c>
    </row>
    <row r="3519" spans="1:28" x14ac:dyDescent="0.2">
      <c r="A3519" s="1">
        <v>9091</v>
      </c>
      <c r="B3519" s="1" t="s">
        <v>6839</v>
      </c>
      <c r="D3519" s="1" t="s">
        <v>11735</v>
      </c>
      <c r="F3519" s="1" t="s">
        <v>11930</v>
      </c>
      <c r="H3519" s="1" t="s">
        <v>11931</v>
      </c>
      <c r="J3519" s="1" t="s">
        <v>11948</v>
      </c>
      <c r="L3519" s="1" t="s">
        <v>1628</v>
      </c>
      <c r="N3519" s="1" t="s">
        <v>4075</v>
      </c>
      <c r="P3519" s="1" t="s">
        <v>4620</v>
      </c>
      <c r="Q3519" s="3">
        <v>0</v>
      </c>
      <c r="R3519" s="23" t="s">
        <v>11933</v>
      </c>
      <c r="S3519" s="23" t="s">
        <v>5849</v>
      </c>
      <c r="T3519" s="23" t="s">
        <v>4866</v>
      </c>
      <c r="U3519" s="3">
        <v>35</v>
      </c>
      <c r="W3519" s="45" t="str">
        <f>HYPERLINK("http://ictvonline.org/taxonomy/p/taxonomy-history?taxnode_id=201903065","ICTVonline=201903065")</f>
        <v>ICTVonline=201903065</v>
      </c>
      <c r="Y3519" s="1" t="s">
        <v>12137</v>
      </c>
      <c r="Z3519" s="1" t="s">
        <v>12138</v>
      </c>
      <c r="AA3519" s="1">
        <v>201900000</v>
      </c>
      <c r="AB3519" s="1">
        <v>35</v>
      </c>
    </row>
    <row r="3520" spans="1:28" x14ac:dyDescent="0.2">
      <c r="A3520" s="1">
        <v>9093</v>
      </c>
      <c r="B3520" s="1" t="s">
        <v>6839</v>
      </c>
      <c r="D3520" s="1" t="s">
        <v>11735</v>
      </c>
      <c r="F3520" s="1" t="s">
        <v>11930</v>
      </c>
      <c r="H3520" s="1" t="s">
        <v>11931</v>
      </c>
      <c r="J3520" s="1" t="s">
        <v>11948</v>
      </c>
      <c r="L3520" s="1" t="s">
        <v>1628</v>
      </c>
      <c r="N3520" s="1" t="s">
        <v>4075</v>
      </c>
      <c r="P3520" s="1" t="s">
        <v>12139</v>
      </c>
      <c r="Q3520" s="3">
        <v>0</v>
      </c>
      <c r="R3520" s="23" t="s">
        <v>11933</v>
      </c>
      <c r="S3520" s="23" t="s">
        <v>5849</v>
      </c>
      <c r="T3520" s="23" t="s">
        <v>4864</v>
      </c>
      <c r="U3520" s="3">
        <v>35</v>
      </c>
      <c r="V3520" s="3" t="s">
        <v>12104</v>
      </c>
      <c r="W3520" s="45" t="str">
        <f>HYPERLINK("http://ictvonline.org/taxonomy/p/taxonomy-history?taxnode_id=201907543","ICTVonline=201907543")</f>
        <v>ICTVonline=201907543</v>
      </c>
      <c r="X3520" s="1" t="s">
        <v>12140</v>
      </c>
      <c r="Y3520" s="1" t="s">
        <v>12141</v>
      </c>
      <c r="Z3520" s="1" t="s">
        <v>12142</v>
      </c>
      <c r="AA3520" s="1">
        <v>201900000</v>
      </c>
      <c r="AB3520" s="1">
        <v>35</v>
      </c>
    </row>
    <row r="3521" spans="1:28" x14ac:dyDescent="0.2">
      <c r="A3521" s="1">
        <v>9095</v>
      </c>
      <c r="B3521" s="1" t="s">
        <v>6839</v>
      </c>
      <c r="D3521" s="1" t="s">
        <v>11735</v>
      </c>
      <c r="F3521" s="1" t="s">
        <v>11930</v>
      </c>
      <c r="H3521" s="1" t="s">
        <v>11931</v>
      </c>
      <c r="J3521" s="1" t="s">
        <v>11948</v>
      </c>
      <c r="L3521" s="1" t="s">
        <v>1628</v>
      </c>
      <c r="N3521" s="1" t="s">
        <v>4075</v>
      </c>
      <c r="P3521" s="1" t="s">
        <v>12143</v>
      </c>
      <c r="Q3521" s="3">
        <v>0</v>
      </c>
      <c r="R3521" s="23" t="s">
        <v>11933</v>
      </c>
      <c r="S3521" s="23" t="s">
        <v>5849</v>
      </c>
      <c r="T3521" s="23" t="s">
        <v>4864</v>
      </c>
      <c r="U3521" s="3">
        <v>35</v>
      </c>
      <c r="V3521" s="3" t="s">
        <v>12104</v>
      </c>
      <c r="W3521" s="45" t="str">
        <f>HYPERLINK("http://ictvonline.org/taxonomy/p/taxonomy-history?taxnode_id=201907544","ICTVonline=201907544")</f>
        <v>ICTVonline=201907544</v>
      </c>
      <c r="X3521" s="1" t="s">
        <v>12144</v>
      </c>
      <c r="Y3521" s="1" t="s">
        <v>12145</v>
      </c>
      <c r="Z3521" s="1" t="s">
        <v>12146</v>
      </c>
      <c r="AA3521" s="1">
        <v>201900000</v>
      </c>
      <c r="AB3521" s="1">
        <v>35</v>
      </c>
    </row>
    <row r="3522" spans="1:28" x14ac:dyDescent="0.2">
      <c r="A3522" s="1">
        <v>9097</v>
      </c>
      <c r="B3522" s="1" t="s">
        <v>6839</v>
      </c>
      <c r="D3522" s="1" t="s">
        <v>11735</v>
      </c>
      <c r="F3522" s="1" t="s">
        <v>11930</v>
      </c>
      <c r="H3522" s="1" t="s">
        <v>11931</v>
      </c>
      <c r="J3522" s="1" t="s">
        <v>11948</v>
      </c>
      <c r="L3522" s="1" t="s">
        <v>1628</v>
      </c>
      <c r="N3522" s="1" t="s">
        <v>4075</v>
      </c>
      <c r="P3522" s="1" t="s">
        <v>4076</v>
      </c>
      <c r="Q3522" s="3">
        <v>1</v>
      </c>
      <c r="R3522" s="23" t="s">
        <v>11933</v>
      </c>
      <c r="S3522" s="23" t="s">
        <v>5849</v>
      </c>
      <c r="T3522" s="23" t="s">
        <v>4866</v>
      </c>
      <c r="U3522" s="3">
        <v>35</v>
      </c>
      <c r="W3522" s="45" t="str">
        <f>HYPERLINK("http://ictvonline.org/taxonomy/p/taxonomy-history?taxnode_id=201903066","ICTVonline=201903066")</f>
        <v>ICTVonline=201903066</v>
      </c>
      <c r="Y3522" s="1" t="s">
        <v>12147</v>
      </c>
      <c r="Z3522" s="1" t="s">
        <v>12148</v>
      </c>
      <c r="AA3522" s="1">
        <v>201900000</v>
      </c>
      <c r="AB3522" s="1">
        <v>35</v>
      </c>
    </row>
    <row r="3523" spans="1:28" x14ac:dyDescent="0.2">
      <c r="A3523" s="1">
        <v>9099</v>
      </c>
      <c r="B3523" s="1" t="s">
        <v>6839</v>
      </c>
      <c r="D3523" s="1" t="s">
        <v>11735</v>
      </c>
      <c r="F3523" s="1" t="s">
        <v>11930</v>
      </c>
      <c r="H3523" s="1" t="s">
        <v>11931</v>
      </c>
      <c r="J3523" s="1" t="s">
        <v>11948</v>
      </c>
      <c r="L3523" s="1" t="s">
        <v>1628</v>
      </c>
      <c r="N3523" s="1" t="s">
        <v>4075</v>
      </c>
      <c r="P3523" s="1" t="s">
        <v>4621</v>
      </c>
      <c r="Q3523" s="3">
        <v>0</v>
      </c>
      <c r="R3523" s="23" t="s">
        <v>11933</v>
      </c>
      <c r="S3523" s="23" t="s">
        <v>5849</v>
      </c>
      <c r="T3523" s="23" t="s">
        <v>4866</v>
      </c>
      <c r="U3523" s="3">
        <v>35</v>
      </c>
      <c r="W3523" s="45" t="str">
        <f>HYPERLINK("http://ictvonline.org/taxonomy/p/taxonomy-history?taxnode_id=201903067","ICTVonline=201903067")</f>
        <v>ICTVonline=201903067</v>
      </c>
      <c r="Y3523" s="1" t="s">
        <v>12149</v>
      </c>
      <c r="Z3523" s="1" t="s">
        <v>12150</v>
      </c>
      <c r="AA3523" s="1">
        <v>201900000</v>
      </c>
      <c r="AB3523" s="1">
        <v>35</v>
      </c>
    </row>
    <row r="3524" spans="1:28" x14ac:dyDescent="0.2">
      <c r="A3524" s="1">
        <v>9105</v>
      </c>
      <c r="B3524" s="1" t="s">
        <v>6839</v>
      </c>
      <c r="D3524" s="1" t="s">
        <v>11735</v>
      </c>
      <c r="F3524" s="1" t="s">
        <v>11930</v>
      </c>
      <c r="H3524" s="1" t="s">
        <v>11931</v>
      </c>
      <c r="J3524" s="1" t="s">
        <v>11948</v>
      </c>
      <c r="L3524" s="1" t="s">
        <v>6791</v>
      </c>
      <c r="N3524" s="1" t="s">
        <v>4855</v>
      </c>
      <c r="P3524" s="1" t="s">
        <v>4856</v>
      </c>
      <c r="Q3524" s="3">
        <v>1</v>
      </c>
      <c r="R3524" s="23" t="s">
        <v>11933</v>
      </c>
      <c r="S3524" s="23" t="s">
        <v>5849</v>
      </c>
      <c r="T3524" s="23" t="s">
        <v>4866</v>
      </c>
      <c r="U3524" s="3">
        <v>35</v>
      </c>
      <c r="W3524" s="45" t="str">
        <f>HYPERLINK("http://ictvonline.org/taxonomy/p/taxonomy-history?taxnode_id=201905341","ICTVonline=201905341")</f>
        <v>ICTVonline=201905341</v>
      </c>
      <c r="Y3524" s="1" t="s">
        <v>12151</v>
      </c>
      <c r="Z3524" s="1" t="s">
        <v>12152</v>
      </c>
      <c r="AA3524" s="1">
        <v>201900000</v>
      </c>
      <c r="AB3524" s="1">
        <v>35</v>
      </c>
    </row>
    <row r="3525" spans="1:28" x14ac:dyDescent="0.2">
      <c r="A3525" s="1">
        <v>9107</v>
      </c>
      <c r="B3525" s="1" t="s">
        <v>6839</v>
      </c>
      <c r="D3525" s="1" t="s">
        <v>11735</v>
      </c>
      <c r="F3525" s="1" t="s">
        <v>11930</v>
      </c>
      <c r="H3525" s="1" t="s">
        <v>11931</v>
      </c>
      <c r="J3525" s="1" t="s">
        <v>11948</v>
      </c>
      <c r="L3525" s="1" t="s">
        <v>6791</v>
      </c>
      <c r="N3525" s="1" t="s">
        <v>4855</v>
      </c>
      <c r="P3525" s="1" t="s">
        <v>12153</v>
      </c>
      <c r="Q3525" s="3">
        <v>0</v>
      </c>
      <c r="R3525" s="23" t="s">
        <v>11933</v>
      </c>
      <c r="S3525" s="23" t="s">
        <v>5849</v>
      </c>
      <c r="T3525" s="23" t="s">
        <v>4864</v>
      </c>
      <c r="U3525" s="3">
        <v>35</v>
      </c>
      <c r="V3525" s="3" t="s">
        <v>12154</v>
      </c>
      <c r="W3525" s="45" t="str">
        <f>HYPERLINK("http://ictvonline.org/taxonomy/p/taxonomy-history?taxnode_id=201907186","ICTVonline=201907186")</f>
        <v>ICTVonline=201907186</v>
      </c>
      <c r="X3525" s="1" t="s">
        <v>12155</v>
      </c>
      <c r="Y3525" s="1" t="s">
        <v>12156</v>
      </c>
      <c r="AA3525" s="1">
        <v>201900000</v>
      </c>
      <c r="AB3525" s="1">
        <v>35</v>
      </c>
    </row>
    <row r="3526" spans="1:28" x14ac:dyDescent="0.2">
      <c r="A3526" s="1">
        <v>9111</v>
      </c>
      <c r="B3526" s="1" t="s">
        <v>6839</v>
      </c>
      <c r="D3526" s="1" t="s">
        <v>11735</v>
      </c>
      <c r="F3526" s="1" t="s">
        <v>11930</v>
      </c>
      <c r="H3526" s="1" t="s">
        <v>11931</v>
      </c>
      <c r="J3526" s="1" t="s">
        <v>11948</v>
      </c>
      <c r="L3526" s="1" t="s">
        <v>6791</v>
      </c>
      <c r="N3526" s="1" t="s">
        <v>1980</v>
      </c>
      <c r="P3526" s="1" t="s">
        <v>1981</v>
      </c>
      <c r="Q3526" s="3">
        <v>1</v>
      </c>
      <c r="R3526" s="23" t="s">
        <v>11933</v>
      </c>
      <c r="S3526" s="23" t="s">
        <v>5849</v>
      </c>
      <c r="T3526" s="23" t="s">
        <v>4866</v>
      </c>
      <c r="U3526" s="3">
        <v>35</v>
      </c>
      <c r="W3526" s="45" t="str">
        <f>HYPERLINK("http://ictvonline.org/taxonomy/p/taxonomy-history?taxnode_id=201905345","ICTVonline=201905345")</f>
        <v>ICTVonline=201905345</v>
      </c>
      <c r="Y3526" s="1" t="s">
        <v>12157</v>
      </c>
      <c r="Z3526" s="1" t="s">
        <v>12158</v>
      </c>
      <c r="AA3526" s="1">
        <v>201900000</v>
      </c>
      <c r="AB3526" s="1">
        <v>35</v>
      </c>
    </row>
    <row r="3527" spans="1:28" x14ac:dyDescent="0.2">
      <c r="A3527" s="1">
        <v>9113</v>
      </c>
      <c r="B3527" s="1" t="s">
        <v>6839</v>
      </c>
      <c r="D3527" s="1" t="s">
        <v>11735</v>
      </c>
      <c r="F3527" s="1" t="s">
        <v>11930</v>
      </c>
      <c r="H3527" s="1" t="s">
        <v>11931</v>
      </c>
      <c r="J3527" s="1" t="s">
        <v>11948</v>
      </c>
      <c r="L3527" s="1" t="s">
        <v>6791</v>
      </c>
      <c r="N3527" s="1" t="s">
        <v>1980</v>
      </c>
      <c r="P3527" s="1" t="s">
        <v>4857</v>
      </c>
      <c r="Q3527" s="3">
        <v>0</v>
      </c>
      <c r="R3527" s="23" t="s">
        <v>11933</v>
      </c>
      <c r="S3527" s="23" t="s">
        <v>5849</v>
      </c>
      <c r="T3527" s="23" t="s">
        <v>4866</v>
      </c>
      <c r="U3527" s="3">
        <v>35</v>
      </c>
      <c r="W3527" s="45" t="str">
        <f>HYPERLINK("http://ictvonline.org/taxonomy/p/taxonomy-history?taxnode_id=201905346","ICTVonline=201905346")</f>
        <v>ICTVonline=201905346</v>
      </c>
      <c r="Y3527" s="1" t="s">
        <v>12159</v>
      </c>
      <c r="Z3527" s="1" t="s">
        <v>12160</v>
      </c>
      <c r="AA3527" s="1">
        <v>201900000</v>
      </c>
      <c r="AB3527" s="1">
        <v>35</v>
      </c>
    </row>
    <row r="3528" spans="1:28" x14ac:dyDescent="0.2">
      <c r="A3528" s="1">
        <v>9117</v>
      </c>
      <c r="B3528" s="1" t="s">
        <v>6839</v>
      </c>
      <c r="D3528" s="1" t="s">
        <v>11735</v>
      </c>
      <c r="F3528" s="1" t="s">
        <v>11930</v>
      </c>
      <c r="H3528" s="1" t="s">
        <v>11931</v>
      </c>
      <c r="J3528" s="1" t="s">
        <v>11948</v>
      </c>
      <c r="L3528" s="1" t="s">
        <v>6791</v>
      </c>
      <c r="N3528" s="1" t="s">
        <v>2597</v>
      </c>
      <c r="P3528" s="1" t="s">
        <v>2598</v>
      </c>
      <c r="Q3528" s="3">
        <v>1</v>
      </c>
      <c r="R3528" s="23" t="s">
        <v>11933</v>
      </c>
      <c r="S3528" s="23" t="s">
        <v>5849</v>
      </c>
      <c r="T3528" s="23" t="s">
        <v>4866</v>
      </c>
      <c r="U3528" s="3">
        <v>35</v>
      </c>
      <c r="W3528" s="45" t="str">
        <f>HYPERLINK("http://ictvonline.org/taxonomy/p/taxonomy-history?taxnode_id=201905352","ICTVonline=201905352")</f>
        <v>ICTVonline=201905352</v>
      </c>
      <c r="Y3528" s="1" t="s">
        <v>12161</v>
      </c>
      <c r="Z3528" s="1" t="s">
        <v>12162</v>
      </c>
      <c r="AA3528" s="1">
        <v>201900000</v>
      </c>
      <c r="AB3528" s="1">
        <v>35</v>
      </c>
    </row>
    <row r="3529" spans="1:28" x14ac:dyDescent="0.2">
      <c r="A3529" s="1">
        <v>9123</v>
      </c>
      <c r="B3529" s="1" t="s">
        <v>6839</v>
      </c>
      <c r="D3529" s="1" t="s">
        <v>11735</v>
      </c>
      <c r="F3529" s="1" t="s">
        <v>11930</v>
      </c>
      <c r="H3529" s="1" t="s">
        <v>11931</v>
      </c>
      <c r="J3529" s="1" t="s">
        <v>11948</v>
      </c>
      <c r="L3529" s="1" t="s">
        <v>12163</v>
      </c>
      <c r="N3529" s="1" t="s">
        <v>263</v>
      </c>
      <c r="P3529" s="1" t="s">
        <v>6838</v>
      </c>
      <c r="Q3529" s="3">
        <v>0</v>
      </c>
      <c r="R3529" s="23" t="s">
        <v>11933</v>
      </c>
      <c r="S3529" s="23" t="s">
        <v>5849</v>
      </c>
      <c r="T3529" s="23" t="s">
        <v>4866</v>
      </c>
      <c r="U3529" s="3">
        <v>35</v>
      </c>
      <c r="W3529" s="45" t="str">
        <f>HYPERLINK("http://ictvonline.org/taxonomy/p/taxonomy-history?taxnode_id=201906633","ICTVonline=201906633")</f>
        <v>ICTVonline=201906633</v>
      </c>
      <c r="X3529" s="1" t="s">
        <v>12164</v>
      </c>
      <c r="Y3529" s="1" t="s">
        <v>12165</v>
      </c>
      <c r="Z3529" s="1" t="s">
        <v>12166</v>
      </c>
      <c r="AA3529" s="1">
        <v>201900000</v>
      </c>
      <c r="AB3529" s="1">
        <v>35</v>
      </c>
    </row>
    <row r="3530" spans="1:28" x14ac:dyDescent="0.2">
      <c r="A3530" s="1">
        <v>9125</v>
      </c>
      <c r="B3530" s="1" t="s">
        <v>6839</v>
      </c>
      <c r="D3530" s="1" t="s">
        <v>11735</v>
      </c>
      <c r="F3530" s="1" t="s">
        <v>11930</v>
      </c>
      <c r="H3530" s="1" t="s">
        <v>11931</v>
      </c>
      <c r="J3530" s="1" t="s">
        <v>11948</v>
      </c>
      <c r="L3530" s="1" t="s">
        <v>12163</v>
      </c>
      <c r="N3530" s="1" t="s">
        <v>263</v>
      </c>
      <c r="P3530" s="1" t="s">
        <v>264</v>
      </c>
      <c r="Q3530" s="3">
        <v>1</v>
      </c>
      <c r="R3530" s="23" t="s">
        <v>11933</v>
      </c>
      <c r="S3530" s="23" t="s">
        <v>5849</v>
      </c>
      <c r="T3530" s="23" t="s">
        <v>4866</v>
      </c>
      <c r="U3530" s="3">
        <v>35</v>
      </c>
      <c r="W3530" s="45" t="str">
        <f>HYPERLINK("http://ictvonline.org/taxonomy/p/taxonomy-history?taxnode_id=201905354","ICTVonline=201905354")</f>
        <v>ICTVonline=201905354</v>
      </c>
      <c r="Y3530" s="1" t="s">
        <v>12167</v>
      </c>
      <c r="Z3530" s="1" t="s">
        <v>12168</v>
      </c>
      <c r="AA3530" s="1">
        <v>201900000</v>
      </c>
      <c r="AB3530" s="1">
        <v>35</v>
      </c>
    </row>
    <row r="3531" spans="1:28" x14ac:dyDescent="0.2">
      <c r="A3531" s="1">
        <v>9129</v>
      </c>
      <c r="B3531" s="1" t="s">
        <v>6839</v>
      </c>
      <c r="D3531" s="1" t="s">
        <v>11735</v>
      </c>
      <c r="F3531" s="1" t="s">
        <v>11930</v>
      </c>
      <c r="H3531" s="1" t="s">
        <v>11931</v>
      </c>
      <c r="J3531" s="1" t="s">
        <v>11948</v>
      </c>
      <c r="L3531" s="1" t="s">
        <v>12163</v>
      </c>
      <c r="N3531" s="1" t="s">
        <v>12169</v>
      </c>
      <c r="P3531" s="1" t="s">
        <v>12170</v>
      </c>
      <c r="Q3531" s="3">
        <v>1</v>
      </c>
      <c r="R3531" s="23" t="s">
        <v>11933</v>
      </c>
      <c r="S3531" s="23" t="s">
        <v>6849</v>
      </c>
      <c r="T3531" s="23" t="s">
        <v>4864</v>
      </c>
      <c r="U3531" s="3">
        <v>35</v>
      </c>
      <c r="V3531" s="3" t="s">
        <v>12171</v>
      </c>
      <c r="W3531" s="45" t="str">
        <f>HYPERLINK("http://ictvonline.org/taxonomy/p/taxonomy-history?taxnode_id=201907565","ICTVonline=201907565")</f>
        <v>ICTVonline=201907565</v>
      </c>
      <c r="X3531" s="1" t="s">
        <v>12172</v>
      </c>
      <c r="Y3531" s="1" t="s">
        <v>12173</v>
      </c>
      <c r="Z3531" s="1" t="s">
        <v>12174</v>
      </c>
      <c r="AA3531" s="1">
        <v>201900000</v>
      </c>
      <c r="AB3531" s="1">
        <v>35</v>
      </c>
    </row>
    <row r="3532" spans="1:28" x14ac:dyDescent="0.2">
      <c r="A3532" s="1">
        <v>9131</v>
      </c>
      <c r="B3532" s="1" t="s">
        <v>6839</v>
      </c>
      <c r="D3532" s="1" t="s">
        <v>11735</v>
      </c>
      <c r="F3532" s="1" t="s">
        <v>11930</v>
      </c>
      <c r="H3532" s="1" t="s">
        <v>11931</v>
      </c>
      <c r="J3532" s="1" t="s">
        <v>11948</v>
      </c>
      <c r="L3532" s="1" t="s">
        <v>12163</v>
      </c>
      <c r="N3532" s="1" t="s">
        <v>12169</v>
      </c>
      <c r="P3532" s="1" t="s">
        <v>12175</v>
      </c>
      <c r="Q3532" s="3">
        <v>0</v>
      </c>
      <c r="R3532" s="23" t="s">
        <v>11933</v>
      </c>
      <c r="S3532" s="23" t="s">
        <v>6849</v>
      </c>
      <c r="T3532" s="23" t="s">
        <v>4864</v>
      </c>
      <c r="U3532" s="3">
        <v>35</v>
      </c>
      <c r="V3532" s="3" t="s">
        <v>12171</v>
      </c>
      <c r="W3532" s="45" t="str">
        <f>HYPERLINK("http://ictvonline.org/taxonomy/p/taxonomy-history?taxnode_id=201907566","ICTVonline=201907566")</f>
        <v>ICTVonline=201907566</v>
      </c>
      <c r="X3532" s="1" t="s">
        <v>12176</v>
      </c>
      <c r="Y3532" s="1" t="s">
        <v>12177</v>
      </c>
      <c r="Z3532" s="1">
        <v>160060</v>
      </c>
      <c r="AA3532" s="1">
        <v>201900000</v>
      </c>
      <c r="AB3532" s="1">
        <v>35</v>
      </c>
    </row>
    <row r="3533" spans="1:28" x14ac:dyDescent="0.2">
      <c r="A3533" s="1">
        <v>9137</v>
      </c>
      <c r="B3533" s="1" t="s">
        <v>6839</v>
      </c>
      <c r="D3533" s="1" t="s">
        <v>11735</v>
      </c>
      <c r="F3533" s="1" t="s">
        <v>11930</v>
      </c>
      <c r="H3533" s="1" t="s">
        <v>11931</v>
      </c>
      <c r="J3533" s="1" t="s">
        <v>11948</v>
      </c>
      <c r="L3533" s="1" t="s">
        <v>841</v>
      </c>
      <c r="N3533" s="1" t="s">
        <v>842</v>
      </c>
      <c r="P3533" s="1" t="s">
        <v>843</v>
      </c>
      <c r="Q3533" s="3">
        <v>0</v>
      </c>
      <c r="R3533" s="23" t="s">
        <v>11933</v>
      </c>
      <c r="S3533" s="23" t="s">
        <v>5849</v>
      </c>
      <c r="T3533" s="23" t="s">
        <v>4866</v>
      </c>
      <c r="U3533" s="3">
        <v>35</v>
      </c>
      <c r="W3533" s="45" t="str">
        <f>HYPERLINK("http://ictvonline.org/taxonomy/p/taxonomy-history?taxnode_id=201905083","ICTVonline=201905083")</f>
        <v>ICTVonline=201905083</v>
      </c>
      <c r="AA3533" s="1">
        <v>201900000</v>
      </c>
      <c r="AB3533" s="1">
        <v>35</v>
      </c>
    </row>
    <row r="3534" spans="1:28" x14ac:dyDescent="0.2">
      <c r="A3534" s="1">
        <v>9139</v>
      </c>
      <c r="B3534" s="1" t="s">
        <v>6839</v>
      </c>
      <c r="D3534" s="1" t="s">
        <v>11735</v>
      </c>
      <c r="F3534" s="1" t="s">
        <v>11930</v>
      </c>
      <c r="H3534" s="1" t="s">
        <v>11931</v>
      </c>
      <c r="J3534" s="1" t="s">
        <v>11948</v>
      </c>
      <c r="L3534" s="1" t="s">
        <v>841</v>
      </c>
      <c r="N3534" s="1" t="s">
        <v>842</v>
      </c>
      <c r="P3534" s="1" t="s">
        <v>844</v>
      </c>
      <c r="Q3534" s="3">
        <v>0</v>
      </c>
      <c r="R3534" s="23" t="s">
        <v>11933</v>
      </c>
      <c r="S3534" s="23" t="s">
        <v>5849</v>
      </c>
      <c r="T3534" s="23" t="s">
        <v>4866</v>
      </c>
      <c r="U3534" s="3">
        <v>35</v>
      </c>
      <c r="W3534" s="45" t="str">
        <f>HYPERLINK("http://ictvonline.org/taxonomy/p/taxonomy-history?taxnode_id=201905084","ICTVonline=201905084")</f>
        <v>ICTVonline=201905084</v>
      </c>
      <c r="AA3534" s="1">
        <v>201900000</v>
      </c>
      <c r="AB3534" s="1">
        <v>35</v>
      </c>
    </row>
    <row r="3535" spans="1:28" x14ac:dyDescent="0.2">
      <c r="A3535" s="1">
        <v>9141</v>
      </c>
      <c r="B3535" s="1" t="s">
        <v>6839</v>
      </c>
      <c r="D3535" s="1" t="s">
        <v>11735</v>
      </c>
      <c r="F3535" s="1" t="s">
        <v>11930</v>
      </c>
      <c r="H3535" s="1" t="s">
        <v>11931</v>
      </c>
      <c r="J3535" s="1" t="s">
        <v>11948</v>
      </c>
      <c r="L3535" s="1" t="s">
        <v>841</v>
      </c>
      <c r="N3535" s="1" t="s">
        <v>842</v>
      </c>
      <c r="P3535" s="1" t="s">
        <v>845</v>
      </c>
      <c r="Q3535" s="3">
        <v>0</v>
      </c>
      <c r="R3535" s="23" t="s">
        <v>11933</v>
      </c>
      <c r="S3535" s="23" t="s">
        <v>5849</v>
      </c>
      <c r="T3535" s="23" t="s">
        <v>4866</v>
      </c>
      <c r="U3535" s="3">
        <v>35</v>
      </c>
      <c r="W3535" s="45" t="str">
        <f>HYPERLINK("http://ictvonline.org/taxonomy/p/taxonomy-history?taxnode_id=201905085","ICTVonline=201905085")</f>
        <v>ICTVonline=201905085</v>
      </c>
      <c r="AA3535" s="1">
        <v>201900000</v>
      </c>
      <c r="AB3535" s="1">
        <v>35</v>
      </c>
    </row>
    <row r="3536" spans="1:28" x14ac:dyDescent="0.2">
      <c r="A3536" s="1">
        <v>9143</v>
      </c>
      <c r="B3536" s="1" t="s">
        <v>6839</v>
      </c>
      <c r="D3536" s="1" t="s">
        <v>11735</v>
      </c>
      <c r="F3536" s="1" t="s">
        <v>11930</v>
      </c>
      <c r="H3536" s="1" t="s">
        <v>11931</v>
      </c>
      <c r="J3536" s="1" t="s">
        <v>11948</v>
      </c>
      <c r="L3536" s="1" t="s">
        <v>841</v>
      </c>
      <c r="N3536" s="1" t="s">
        <v>842</v>
      </c>
      <c r="P3536" s="1" t="s">
        <v>846</v>
      </c>
      <c r="Q3536" s="3">
        <v>0</v>
      </c>
      <c r="R3536" s="23" t="s">
        <v>11933</v>
      </c>
      <c r="S3536" s="23" t="s">
        <v>5849</v>
      </c>
      <c r="T3536" s="23" t="s">
        <v>4866</v>
      </c>
      <c r="U3536" s="3">
        <v>35</v>
      </c>
      <c r="W3536" s="45" t="str">
        <f>HYPERLINK("http://ictvonline.org/taxonomy/p/taxonomy-history?taxnode_id=201905086","ICTVonline=201905086")</f>
        <v>ICTVonline=201905086</v>
      </c>
      <c r="AA3536" s="1">
        <v>201900000</v>
      </c>
      <c r="AB3536" s="1">
        <v>35</v>
      </c>
    </row>
    <row r="3537" spans="1:28" x14ac:dyDescent="0.2">
      <c r="A3537" s="1">
        <v>9145</v>
      </c>
      <c r="B3537" s="1" t="s">
        <v>6839</v>
      </c>
      <c r="D3537" s="1" t="s">
        <v>11735</v>
      </c>
      <c r="F3537" s="1" t="s">
        <v>11930</v>
      </c>
      <c r="H3537" s="1" t="s">
        <v>11931</v>
      </c>
      <c r="J3537" s="1" t="s">
        <v>11948</v>
      </c>
      <c r="L3537" s="1" t="s">
        <v>841</v>
      </c>
      <c r="N3537" s="1" t="s">
        <v>842</v>
      </c>
      <c r="P3537" s="1" t="s">
        <v>847</v>
      </c>
      <c r="Q3537" s="3">
        <v>0</v>
      </c>
      <c r="R3537" s="23" t="s">
        <v>11933</v>
      </c>
      <c r="S3537" s="23" t="s">
        <v>5849</v>
      </c>
      <c r="T3537" s="23" t="s">
        <v>4866</v>
      </c>
      <c r="U3537" s="3">
        <v>35</v>
      </c>
      <c r="W3537" s="45" t="str">
        <f>HYPERLINK("http://ictvonline.org/taxonomy/p/taxonomy-history?taxnode_id=201905087","ICTVonline=201905087")</f>
        <v>ICTVonline=201905087</v>
      </c>
      <c r="AA3537" s="1">
        <v>201900000</v>
      </c>
      <c r="AB3537" s="1">
        <v>35</v>
      </c>
    </row>
    <row r="3538" spans="1:28" x14ac:dyDescent="0.2">
      <c r="A3538" s="1">
        <v>9147</v>
      </c>
      <c r="B3538" s="1" t="s">
        <v>6839</v>
      </c>
      <c r="D3538" s="1" t="s">
        <v>11735</v>
      </c>
      <c r="F3538" s="1" t="s">
        <v>11930</v>
      </c>
      <c r="H3538" s="1" t="s">
        <v>11931</v>
      </c>
      <c r="J3538" s="1" t="s">
        <v>11948</v>
      </c>
      <c r="L3538" s="1" t="s">
        <v>841</v>
      </c>
      <c r="N3538" s="1" t="s">
        <v>842</v>
      </c>
      <c r="P3538" s="1" t="s">
        <v>848</v>
      </c>
      <c r="Q3538" s="3">
        <v>0</v>
      </c>
      <c r="R3538" s="23" t="s">
        <v>11933</v>
      </c>
      <c r="S3538" s="23" t="s">
        <v>5849</v>
      </c>
      <c r="T3538" s="23" t="s">
        <v>4866</v>
      </c>
      <c r="U3538" s="3">
        <v>35</v>
      </c>
      <c r="W3538" s="45" t="str">
        <f>HYPERLINK("http://ictvonline.org/taxonomy/p/taxonomy-history?taxnode_id=201905088","ICTVonline=201905088")</f>
        <v>ICTVonline=201905088</v>
      </c>
      <c r="AA3538" s="1">
        <v>201900000</v>
      </c>
      <c r="AB3538" s="1">
        <v>35</v>
      </c>
    </row>
    <row r="3539" spans="1:28" x14ac:dyDescent="0.2">
      <c r="A3539" s="1">
        <v>9149</v>
      </c>
      <c r="B3539" s="1" t="s">
        <v>6839</v>
      </c>
      <c r="D3539" s="1" t="s">
        <v>11735</v>
      </c>
      <c r="F3539" s="1" t="s">
        <v>11930</v>
      </c>
      <c r="H3539" s="1" t="s">
        <v>11931</v>
      </c>
      <c r="J3539" s="1" t="s">
        <v>11948</v>
      </c>
      <c r="L3539" s="1" t="s">
        <v>841</v>
      </c>
      <c r="N3539" s="1" t="s">
        <v>842</v>
      </c>
      <c r="P3539" s="1" t="s">
        <v>2580</v>
      </c>
      <c r="Q3539" s="3">
        <v>0</v>
      </c>
      <c r="R3539" s="23" t="s">
        <v>11933</v>
      </c>
      <c r="S3539" s="23" t="s">
        <v>5849</v>
      </c>
      <c r="T3539" s="23" t="s">
        <v>4866</v>
      </c>
      <c r="U3539" s="3">
        <v>35</v>
      </c>
      <c r="W3539" s="45" t="str">
        <f>HYPERLINK("http://ictvonline.org/taxonomy/p/taxonomy-history?taxnode_id=201905089","ICTVonline=201905089")</f>
        <v>ICTVonline=201905089</v>
      </c>
      <c r="AA3539" s="1">
        <v>201900000</v>
      </c>
      <c r="AB3539" s="1">
        <v>35</v>
      </c>
    </row>
    <row r="3540" spans="1:28" x14ac:dyDescent="0.2">
      <c r="A3540" s="1">
        <v>9151</v>
      </c>
      <c r="B3540" s="1" t="s">
        <v>6839</v>
      </c>
      <c r="D3540" s="1" t="s">
        <v>11735</v>
      </c>
      <c r="F3540" s="1" t="s">
        <v>11930</v>
      </c>
      <c r="H3540" s="1" t="s">
        <v>11931</v>
      </c>
      <c r="J3540" s="1" t="s">
        <v>11948</v>
      </c>
      <c r="L3540" s="1" t="s">
        <v>841</v>
      </c>
      <c r="N3540" s="1" t="s">
        <v>842</v>
      </c>
      <c r="P3540" s="1" t="s">
        <v>849</v>
      </c>
      <c r="Q3540" s="3">
        <v>0</v>
      </c>
      <c r="R3540" s="23" t="s">
        <v>11933</v>
      </c>
      <c r="S3540" s="23" t="s">
        <v>5849</v>
      </c>
      <c r="T3540" s="23" t="s">
        <v>4866</v>
      </c>
      <c r="U3540" s="3">
        <v>35</v>
      </c>
      <c r="W3540" s="45" t="str">
        <f>HYPERLINK("http://ictvonline.org/taxonomy/p/taxonomy-history?taxnode_id=201905090","ICTVonline=201905090")</f>
        <v>ICTVonline=201905090</v>
      </c>
      <c r="AA3540" s="1">
        <v>201900000</v>
      </c>
      <c r="AB3540" s="1">
        <v>35</v>
      </c>
    </row>
    <row r="3541" spans="1:28" x14ac:dyDescent="0.2">
      <c r="A3541" s="1">
        <v>9153</v>
      </c>
      <c r="B3541" s="1" t="s">
        <v>6839</v>
      </c>
      <c r="D3541" s="1" t="s">
        <v>11735</v>
      </c>
      <c r="F3541" s="1" t="s">
        <v>11930</v>
      </c>
      <c r="H3541" s="1" t="s">
        <v>11931</v>
      </c>
      <c r="J3541" s="1" t="s">
        <v>11948</v>
      </c>
      <c r="L3541" s="1" t="s">
        <v>841</v>
      </c>
      <c r="N3541" s="1" t="s">
        <v>842</v>
      </c>
      <c r="P3541" s="1" t="s">
        <v>850</v>
      </c>
      <c r="Q3541" s="3">
        <v>0</v>
      </c>
      <c r="R3541" s="23" t="s">
        <v>11933</v>
      </c>
      <c r="S3541" s="23" t="s">
        <v>5849</v>
      </c>
      <c r="T3541" s="23" t="s">
        <v>4866</v>
      </c>
      <c r="U3541" s="3">
        <v>35</v>
      </c>
      <c r="W3541" s="45" t="str">
        <f>HYPERLINK("http://ictvonline.org/taxonomy/p/taxonomy-history?taxnode_id=201905091","ICTVonline=201905091")</f>
        <v>ICTVonline=201905091</v>
      </c>
      <c r="AA3541" s="1">
        <v>201900000</v>
      </c>
      <c r="AB3541" s="1">
        <v>35</v>
      </c>
    </row>
    <row r="3542" spans="1:28" x14ac:dyDescent="0.2">
      <c r="A3542" s="1">
        <v>9155</v>
      </c>
      <c r="B3542" s="1" t="s">
        <v>6839</v>
      </c>
      <c r="D3542" s="1" t="s">
        <v>11735</v>
      </c>
      <c r="F3542" s="1" t="s">
        <v>11930</v>
      </c>
      <c r="H3542" s="1" t="s">
        <v>11931</v>
      </c>
      <c r="J3542" s="1" t="s">
        <v>11948</v>
      </c>
      <c r="L3542" s="1" t="s">
        <v>841</v>
      </c>
      <c r="N3542" s="1" t="s">
        <v>842</v>
      </c>
      <c r="P3542" s="1" t="s">
        <v>851</v>
      </c>
      <c r="Q3542" s="3">
        <v>0</v>
      </c>
      <c r="R3542" s="23" t="s">
        <v>11933</v>
      </c>
      <c r="S3542" s="23" t="s">
        <v>5849</v>
      </c>
      <c r="T3542" s="23" t="s">
        <v>4866</v>
      </c>
      <c r="U3542" s="3">
        <v>35</v>
      </c>
      <c r="W3542" s="45" t="str">
        <f>HYPERLINK("http://ictvonline.org/taxonomy/p/taxonomy-history?taxnode_id=201905092","ICTVonline=201905092")</f>
        <v>ICTVonline=201905092</v>
      </c>
      <c r="AA3542" s="1">
        <v>201900000</v>
      </c>
      <c r="AB3542" s="1">
        <v>35</v>
      </c>
    </row>
    <row r="3543" spans="1:28" x14ac:dyDescent="0.2">
      <c r="A3543" s="1">
        <v>9157</v>
      </c>
      <c r="B3543" s="1" t="s">
        <v>6839</v>
      </c>
      <c r="D3543" s="1" t="s">
        <v>11735</v>
      </c>
      <c r="F3543" s="1" t="s">
        <v>11930</v>
      </c>
      <c r="H3543" s="1" t="s">
        <v>11931</v>
      </c>
      <c r="J3543" s="1" t="s">
        <v>11948</v>
      </c>
      <c r="L3543" s="1" t="s">
        <v>841</v>
      </c>
      <c r="N3543" s="1" t="s">
        <v>842</v>
      </c>
      <c r="P3543" s="1" t="s">
        <v>852</v>
      </c>
      <c r="Q3543" s="3">
        <v>0</v>
      </c>
      <c r="R3543" s="23" t="s">
        <v>11933</v>
      </c>
      <c r="S3543" s="23" t="s">
        <v>5849</v>
      </c>
      <c r="T3543" s="23" t="s">
        <v>4866</v>
      </c>
      <c r="U3543" s="3">
        <v>35</v>
      </c>
      <c r="W3543" s="45" t="str">
        <f>HYPERLINK("http://ictvonline.org/taxonomy/p/taxonomy-history?taxnode_id=201905093","ICTVonline=201905093")</f>
        <v>ICTVonline=201905093</v>
      </c>
      <c r="AA3543" s="1">
        <v>201900000</v>
      </c>
      <c r="AB3543" s="1">
        <v>35</v>
      </c>
    </row>
    <row r="3544" spans="1:28" x14ac:dyDescent="0.2">
      <c r="A3544" s="1">
        <v>9159</v>
      </c>
      <c r="B3544" s="1" t="s">
        <v>6839</v>
      </c>
      <c r="D3544" s="1" t="s">
        <v>11735</v>
      </c>
      <c r="F3544" s="1" t="s">
        <v>11930</v>
      </c>
      <c r="H3544" s="1" t="s">
        <v>11931</v>
      </c>
      <c r="J3544" s="1" t="s">
        <v>11948</v>
      </c>
      <c r="L3544" s="1" t="s">
        <v>841</v>
      </c>
      <c r="N3544" s="1" t="s">
        <v>842</v>
      </c>
      <c r="P3544" s="1" t="s">
        <v>2261</v>
      </c>
      <c r="Q3544" s="3">
        <v>0</v>
      </c>
      <c r="R3544" s="23" t="s">
        <v>11933</v>
      </c>
      <c r="S3544" s="23" t="s">
        <v>5849</v>
      </c>
      <c r="T3544" s="23" t="s">
        <v>4866</v>
      </c>
      <c r="U3544" s="3">
        <v>35</v>
      </c>
      <c r="W3544" s="45" t="str">
        <f>HYPERLINK("http://ictvonline.org/taxonomy/p/taxonomy-history?taxnode_id=201905094","ICTVonline=201905094")</f>
        <v>ICTVonline=201905094</v>
      </c>
      <c r="AA3544" s="1">
        <v>201900000</v>
      </c>
      <c r="AB3544" s="1">
        <v>35</v>
      </c>
    </row>
    <row r="3545" spans="1:28" x14ac:dyDescent="0.2">
      <c r="A3545" s="1">
        <v>9161</v>
      </c>
      <c r="B3545" s="1" t="s">
        <v>6839</v>
      </c>
      <c r="D3545" s="1" t="s">
        <v>11735</v>
      </c>
      <c r="F3545" s="1" t="s">
        <v>11930</v>
      </c>
      <c r="H3545" s="1" t="s">
        <v>11931</v>
      </c>
      <c r="J3545" s="1" t="s">
        <v>11948</v>
      </c>
      <c r="L3545" s="1" t="s">
        <v>841</v>
      </c>
      <c r="N3545" s="1" t="s">
        <v>842</v>
      </c>
      <c r="P3545" s="1" t="s">
        <v>853</v>
      </c>
      <c r="Q3545" s="3">
        <v>0</v>
      </c>
      <c r="R3545" s="23" t="s">
        <v>11933</v>
      </c>
      <c r="S3545" s="23" t="s">
        <v>5849</v>
      </c>
      <c r="T3545" s="23" t="s">
        <v>4866</v>
      </c>
      <c r="U3545" s="3">
        <v>35</v>
      </c>
      <c r="W3545" s="45" t="str">
        <f>HYPERLINK("http://ictvonline.org/taxonomy/p/taxonomy-history?taxnode_id=201905095","ICTVonline=201905095")</f>
        <v>ICTVonline=201905095</v>
      </c>
      <c r="AA3545" s="1">
        <v>201900000</v>
      </c>
      <c r="AB3545" s="1">
        <v>35</v>
      </c>
    </row>
    <row r="3546" spans="1:28" x14ac:dyDescent="0.2">
      <c r="A3546" s="1">
        <v>9163</v>
      </c>
      <c r="B3546" s="1" t="s">
        <v>6839</v>
      </c>
      <c r="D3546" s="1" t="s">
        <v>11735</v>
      </c>
      <c r="F3546" s="1" t="s">
        <v>11930</v>
      </c>
      <c r="H3546" s="1" t="s">
        <v>11931</v>
      </c>
      <c r="J3546" s="1" t="s">
        <v>11948</v>
      </c>
      <c r="L3546" s="1" t="s">
        <v>841</v>
      </c>
      <c r="N3546" s="1" t="s">
        <v>842</v>
      </c>
      <c r="P3546" s="1" t="s">
        <v>854</v>
      </c>
      <c r="Q3546" s="3">
        <v>0</v>
      </c>
      <c r="R3546" s="23" t="s">
        <v>11933</v>
      </c>
      <c r="S3546" s="23" t="s">
        <v>5849</v>
      </c>
      <c r="T3546" s="23" t="s">
        <v>4866</v>
      </c>
      <c r="U3546" s="3">
        <v>35</v>
      </c>
      <c r="W3546" s="45" t="str">
        <f>HYPERLINK("http://ictvonline.org/taxonomy/p/taxonomy-history?taxnode_id=201905096","ICTVonline=201905096")</f>
        <v>ICTVonline=201905096</v>
      </c>
      <c r="AA3546" s="1">
        <v>201900000</v>
      </c>
      <c r="AB3546" s="1">
        <v>35</v>
      </c>
    </row>
    <row r="3547" spans="1:28" x14ac:dyDescent="0.2">
      <c r="A3547" s="1">
        <v>9165</v>
      </c>
      <c r="B3547" s="1" t="s">
        <v>6839</v>
      </c>
      <c r="D3547" s="1" t="s">
        <v>11735</v>
      </c>
      <c r="F3547" s="1" t="s">
        <v>11930</v>
      </c>
      <c r="H3547" s="1" t="s">
        <v>11931</v>
      </c>
      <c r="J3547" s="1" t="s">
        <v>11948</v>
      </c>
      <c r="L3547" s="1" t="s">
        <v>841</v>
      </c>
      <c r="N3547" s="1" t="s">
        <v>842</v>
      </c>
      <c r="P3547" s="1" t="s">
        <v>2721</v>
      </c>
      <c r="Q3547" s="3">
        <v>0</v>
      </c>
      <c r="R3547" s="23" t="s">
        <v>11933</v>
      </c>
      <c r="S3547" s="23" t="s">
        <v>5849</v>
      </c>
      <c r="T3547" s="23" t="s">
        <v>4866</v>
      </c>
      <c r="U3547" s="3">
        <v>35</v>
      </c>
      <c r="W3547" s="45" t="str">
        <f>HYPERLINK("http://ictvonline.org/taxonomy/p/taxonomy-history?taxnode_id=201905097","ICTVonline=201905097")</f>
        <v>ICTVonline=201905097</v>
      </c>
      <c r="AA3547" s="1">
        <v>201900000</v>
      </c>
      <c r="AB3547" s="1">
        <v>35</v>
      </c>
    </row>
    <row r="3548" spans="1:28" x14ac:dyDescent="0.2">
      <c r="A3548" s="1">
        <v>9167</v>
      </c>
      <c r="B3548" s="1" t="s">
        <v>6839</v>
      </c>
      <c r="D3548" s="1" t="s">
        <v>11735</v>
      </c>
      <c r="F3548" s="1" t="s">
        <v>11930</v>
      </c>
      <c r="H3548" s="1" t="s">
        <v>11931</v>
      </c>
      <c r="J3548" s="1" t="s">
        <v>11948</v>
      </c>
      <c r="L3548" s="1" t="s">
        <v>841</v>
      </c>
      <c r="N3548" s="1" t="s">
        <v>842</v>
      </c>
      <c r="P3548" s="1" t="s">
        <v>855</v>
      </c>
      <c r="Q3548" s="3">
        <v>0</v>
      </c>
      <c r="R3548" s="23" t="s">
        <v>11933</v>
      </c>
      <c r="S3548" s="23" t="s">
        <v>5849</v>
      </c>
      <c r="T3548" s="23" t="s">
        <v>4866</v>
      </c>
      <c r="U3548" s="3">
        <v>35</v>
      </c>
      <c r="W3548" s="45" t="str">
        <f>HYPERLINK("http://ictvonline.org/taxonomy/p/taxonomy-history?taxnode_id=201905098","ICTVonline=201905098")</f>
        <v>ICTVonline=201905098</v>
      </c>
      <c r="AA3548" s="1">
        <v>201900000</v>
      </c>
      <c r="AB3548" s="1">
        <v>35</v>
      </c>
    </row>
    <row r="3549" spans="1:28" x14ac:dyDescent="0.2">
      <c r="A3549" s="1">
        <v>9169</v>
      </c>
      <c r="B3549" s="1" t="s">
        <v>6839</v>
      </c>
      <c r="D3549" s="1" t="s">
        <v>11735</v>
      </c>
      <c r="F3549" s="1" t="s">
        <v>11930</v>
      </c>
      <c r="H3549" s="1" t="s">
        <v>11931</v>
      </c>
      <c r="J3549" s="1" t="s">
        <v>11948</v>
      </c>
      <c r="L3549" s="1" t="s">
        <v>841</v>
      </c>
      <c r="N3549" s="1" t="s">
        <v>842</v>
      </c>
      <c r="P3549" s="1" t="s">
        <v>856</v>
      </c>
      <c r="Q3549" s="3">
        <v>0</v>
      </c>
      <c r="R3549" s="23" t="s">
        <v>11933</v>
      </c>
      <c r="S3549" s="23" t="s">
        <v>5849</v>
      </c>
      <c r="T3549" s="23" t="s">
        <v>4866</v>
      </c>
      <c r="U3549" s="3">
        <v>35</v>
      </c>
      <c r="W3549" s="45" t="str">
        <f>HYPERLINK("http://ictvonline.org/taxonomy/p/taxonomy-history?taxnode_id=201905099","ICTVonline=201905099")</f>
        <v>ICTVonline=201905099</v>
      </c>
      <c r="AA3549" s="1">
        <v>201900000</v>
      </c>
      <c r="AB3549" s="1">
        <v>35</v>
      </c>
    </row>
    <row r="3550" spans="1:28" x14ac:dyDescent="0.2">
      <c r="A3550" s="1">
        <v>9171</v>
      </c>
      <c r="B3550" s="1" t="s">
        <v>6839</v>
      </c>
      <c r="D3550" s="1" t="s">
        <v>11735</v>
      </c>
      <c r="F3550" s="1" t="s">
        <v>11930</v>
      </c>
      <c r="H3550" s="1" t="s">
        <v>11931</v>
      </c>
      <c r="J3550" s="1" t="s">
        <v>11948</v>
      </c>
      <c r="L3550" s="1" t="s">
        <v>841</v>
      </c>
      <c r="N3550" s="1" t="s">
        <v>842</v>
      </c>
      <c r="P3550" s="1" t="s">
        <v>5523</v>
      </c>
      <c r="Q3550" s="3">
        <v>0</v>
      </c>
      <c r="R3550" s="23" t="s">
        <v>11933</v>
      </c>
      <c r="S3550" s="23" t="s">
        <v>5849</v>
      </c>
      <c r="T3550" s="23" t="s">
        <v>4866</v>
      </c>
      <c r="U3550" s="3">
        <v>35</v>
      </c>
      <c r="W3550" s="45" t="str">
        <f>HYPERLINK("http://ictvonline.org/taxonomy/p/taxonomy-history?taxnode_id=201905100","ICTVonline=201905100")</f>
        <v>ICTVonline=201905100</v>
      </c>
      <c r="AA3550" s="1">
        <v>201900000</v>
      </c>
      <c r="AB3550" s="1">
        <v>35</v>
      </c>
    </row>
    <row r="3551" spans="1:28" x14ac:dyDescent="0.2">
      <c r="A3551" s="1">
        <v>9173</v>
      </c>
      <c r="B3551" s="1" t="s">
        <v>6839</v>
      </c>
      <c r="D3551" s="1" t="s">
        <v>11735</v>
      </c>
      <c r="F3551" s="1" t="s">
        <v>11930</v>
      </c>
      <c r="H3551" s="1" t="s">
        <v>11931</v>
      </c>
      <c r="J3551" s="1" t="s">
        <v>11948</v>
      </c>
      <c r="L3551" s="1" t="s">
        <v>841</v>
      </c>
      <c r="N3551" s="1" t="s">
        <v>842</v>
      </c>
      <c r="P3551" s="1" t="s">
        <v>857</v>
      </c>
      <c r="Q3551" s="3">
        <v>0</v>
      </c>
      <c r="R3551" s="23" t="s">
        <v>11933</v>
      </c>
      <c r="S3551" s="23" t="s">
        <v>5849</v>
      </c>
      <c r="T3551" s="23" t="s">
        <v>4866</v>
      </c>
      <c r="U3551" s="3">
        <v>35</v>
      </c>
      <c r="W3551" s="45" t="str">
        <f>HYPERLINK("http://ictvonline.org/taxonomy/p/taxonomy-history?taxnode_id=201905101","ICTVonline=201905101")</f>
        <v>ICTVonline=201905101</v>
      </c>
      <c r="AA3551" s="1">
        <v>201900000</v>
      </c>
      <c r="AB3551" s="1">
        <v>35</v>
      </c>
    </row>
    <row r="3552" spans="1:28" x14ac:dyDescent="0.2">
      <c r="A3552" s="1">
        <v>9175</v>
      </c>
      <c r="B3552" s="1" t="s">
        <v>6839</v>
      </c>
      <c r="D3552" s="1" t="s">
        <v>11735</v>
      </c>
      <c r="F3552" s="1" t="s">
        <v>11930</v>
      </c>
      <c r="H3552" s="1" t="s">
        <v>11931</v>
      </c>
      <c r="J3552" s="1" t="s">
        <v>11948</v>
      </c>
      <c r="L3552" s="1" t="s">
        <v>841</v>
      </c>
      <c r="N3552" s="1" t="s">
        <v>842</v>
      </c>
      <c r="P3552" s="1" t="s">
        <v>1309</v>
      </c>
      <c r="Q3552" s="3">
        <v>0</v>
      </c>
      <c r="R3552" s="23" t="s">
        <v>11933</v>
      </c>
      <c r="S3552" s="23" t="s">
        <v>5849</v>
      </c>
      <c r="T3552" s="23" t="s">
        <v>4866</v>
      </c>
      <c r="U3552" s="3">
        <v>35</v>
      </c>
      <c r="W3552" s="45" t="str">
        <f>HYPERLINK("http://ictvonline.org/taxonomy/p/taxonomy-history?taxnode_id=201905102","ICTVonline=201905102")</f>
        <v>ICTVonline=201905102</v>
      </c>
      <c r="AA3552" s="1">
        <v>201900000</v>
      </c>
      <c r="AB3552" s="1">
        <v>35</v>
      </c>
    </row>
    <row r="3553" spans="1:28" x14ac:dyDescent="0.2">
      <c r="A3553" s="1">
        <v>9177</v>
      </c>
      <c r="B3553" s="1" t="s">
        <v>6839</v>
      </c>
      <c r="D3553" s="1" t="s">
        <v>11735</v>
      </c>
      <c r="F3553" s="1" t="s">
        <v>11930</v>
      </c>
      <c r="H3553" s="1" t="s">
        <v>11931</v>
      </c>
      <c r="J3553" s="1" t="s">
        <v>11948</v>
      </c>
      <c r="L3553" s="1" t="s">
        <v>841</v>
      </c>
      <c r="N3553" s="1" t="s">
        <v>842</v>
      </c>
      <c r="P3553" s="1" t="s">
        <v>1310</v>
      </c>
      <c r="Q3553" s="3">
        <v>0</v>
      </c>
      <c r="R3553" s="23" t="s">
        <v>11933</v>
      </c>
      <c r="S3553" s="23" t="s">
        <v>5849</v>
      </c>
      <c r="T3553" s="23" t="s">
        <v>4866</v>
      </c>
      <c r="U3553" s="3">
        <v>35</v>
      </c>
      <c r="W3553" s="45" t="str">
        <f>HYPERLINK("http://ictvonline.org/taxonomy/p/taxonomy-history?taxnode_id=201905103","ICTVonline=201905103")</f>
        <v>ICTVonline=201905103</v>
      </c>
      <c r="AA3553" s="1">
        <v>201900000</v>
      </c>
      <c r="AB3553" s="1">
        <v>35</v>
      </c>
    </row>
    <row r="3554" spans="1:28" x14ac:dyDescent="0.2">
      <c r="A3554" s="1">
        <v>9179</v>
      </c>
      <c r="B3554" s="1" t="s">
        <v>6839</v>
      </c>
      <c r="D3554" s="1" t="s">
        <v>11735</v>
      </c>
      <c r="F3554" s="1" t="s">
        <v>11930</v>
      </c>
      <c r="H3554" s="1" t="s">
        <v>11931</v>
      </c>
      <c r="J3554" s="1" t="s">
        <v>11948</v>
      </c>
      <c r="L3554" s="1" t="s">
        <v>841</v>
      </c>
      <c r="N3554" s="1" t="s">
        <v>842</v>
      </c>
      <c r="P3554" s="1" t="s">
        <v>1311</v>
      </c>
      <c r="Q3554" s="3">
        <v>0</v>
      </c>
      <c r="R3554" s="23" t="s">
        <v>11933</v>
      </c>
      <c r="S3554" s="23" t="s">
        <v>5849</v>
      </c>
      <c r="T3554" s="23" t="s">
        <v>4866</v>
      </c>
      <c r="U3554" s="3">
        <v>35</v>
      </c>
      <c r="W3554" s="45" t="str">
        <f>HYPERLINK("http://ictvonline.org/taxonomy/p/taxonomy-history?taxnode_id=201905104","ICTVonline=201905104")</f>
        <v>ICTVonline=201905104</v>
      </c>
      <c r="AA3554" s="1">
        <v>201900000</v>
      </c>
      <c r="AB3554" s="1">
        <v>35</v>
      </c>
    </row>
    <row r="3555" spans="1:28" x14ac:dyDescent="0.2">
      <c r="A3555" s="1">
        <v>9181</v>
      </c>
      <c r="B3555" s="1" t="s">
        <v>6839</v>
      </c>
      <c r="D3555" s="1" t="s">
        <v>11735</v>
      </c>
      <c r="F3555" s="1" t="s">
        <v>11930</v>
      </c>
      <c r="H3555" s="1" t="s">
        <v>11931</v>
      </c>
      <c r="J3555" s="1" t="s">
        <v>11948</v>
      </c>
      <c r="L3555" s="1" t="s">
        <v>841</v>
      </c>
      <c r="N3555" s="1" t="s">
        <v>842</v>
      </c>
      <c r="P3555" s="1" t="s">
        <v>1312</v>
      </c>
      <c r="Q3555" s="3">
        <v>0</v>
      </c>
      <c r="R3555" s="23" t="s">
        <v>11933</v>
      </c>
      <c r="S3555" s="23" t="s">
        <v>5849</v>
      </c>
      <c r="T3555" s="23" t="s">
        <v>4866</v>
      </c>
      <c r="U3555" s="3">
        <v>35</v>
      </c>
      <c r="W3555" s="45" t="str">
        <f>HYPERLINK("http://ictvonline.org/taxonomy/p/taxonomy-history?taxnode_id=201905105","ICTVonline=201905105")</f>
        <v>ICTVonline=201905105</v>
      </c>
      <c r="AA3555" s="1">
        <v>201900000</v>
      </c>
      <c r="AB3555" s="1">
        <v>35</v>
      </c>
    </row>
    <row r="3556" spans="1:28" x14ac:dyDescent="0.2">
      <c r="A3556" s="1">
        <v>9183</v>
      </c>
      <c r="B3556" s="1" t="s">
        <v>6839</v>
      </c>
      <c r="D3556" s="1" t="s">
        <v>11735</v>
      </c>
      <c r="F3556" s="1" t="s">
        <v>11930</v>
      </c>
      <c r="H3556" s="1" t="s">
        <v>11931</v>
      </c>
      <c r="J3556" s="1" t="s">
        <v>11948</v>
      </c>
      <c r="L3556" s="1" t="s">
        <v>841</v>
      </c>
      <c r="N3556" s="1" t="s">
        <v>842</v>
      </c>
      <c r="P3556" s="1" t="s">
        <v>1313</v>
      </c>
      <c r="Q3556" s="3">
        <v>1</v>
      </c>
      <c r="R3556" s="23" t="s">
        <v>11933</v>
      </c>
      <c r="S3556" s="23" t="s">
        <v>5849</v>
      </c>
      <c r="T3556" s="23" t="s">
        <v>4866</v>
      </c>
      <c r="U3556" s="3">
        <v>35</v>
      </c>
      <c r="W3556" s="45" t="str">
        <f>HYPERLINK("http://ictvonline.org/taxonomy/p/taxonomy-history?taxnode_id=201905106","ICTVonline=201905106")</f>
        <v>ICTVonline=201905106</v>
      </c>
      <c r="AA3556" s="1">
        <v>201900000</v>
      </c>
      <c r="AB3556" s="1">
        <v>35</v>
      </c>
    </row>
    <row r="3557" spans="1:28" x14ac:dyDescent="0.2">
      <c r="A3557" s="1">
        <v>9185</v>
      </c>
      <c r="B3557" s="1" t="s">
        <v>6839</v>
      </c>
      <c r="D3557" s="1" t="s">
        <v>11735</v>
      </c>
      <c r="F3557" s="1" t="s">
        <v>11930</v>
      </c>
      <c r="H3557" s="1" t="s">
        <v>11931</v>
      </c>
      <c r="J3557" s="1" t="s">
        <v>11948</v>
      </c>
      <c r="L3557" s="1" t="s">
        <v>841</v>
      </c>
      <c r="N3557" s="1" t="s">
        <v>842</v>
      </c>
      <c r="P3557" s="1" t="s">
        <v>1314</v>
      </c>
      <c r="Q3557" s="3">
        <v>0</v>
      </c>
      <c r="R3557" s="23" t="s">
        <v>11933</v>
      </c>
      <c r="S3557" s="23" t="s">
        <v>5849</v>
      </c>
      <c r="T3557" s="23" t="s">
        <v>4866</v>
      </c>
      <c r="U3557" s="3">
        <v>35</v>
      </c>
      <c r="W3557" s="45" t="str">
        <f>HYPERLINK("http://ictvonline.org/taxonomy/p/taxonomy-history?taxnode_id=201905107","ICTVonline=201905107")</f>
        <v>ICTVonline=201905107</v>
      </c>
      <c r="AA3557" s="1">
        <v>201900000</v>
      </c>
      <c r="AB3557" s="1">
        <v>35</v>
      </c>
    </row>
    <row r="3558" spans="1:28" x14ac:dyDescent="0.2">
      <c r="A3558" s="1">
        <v>9187</v>
      </c>
      <c r="B3558" s="1" t="s">
        <v>6839</v>
      </c>
      <c r="D3558" s="1" t="s">
        <v>11735</v>
      </c>
      <c r="F3558" s="1" t="s">
        <v>11930</v>
      </c>
      <c r="H3558" s="1" t="s">
        <v>11931</v>
      </c>
      <c r="J3558" s="1" t="s">
        <v>11948</v>
      </c>
      <c r="L3558" s="1" t="s">
        <v>841</v>
      </c>
      <c r="N3558" s="1" t="s">
        <v>842</v>
      </c>
      <c r="P3558" s="1" t="s">
        <v>769</v>
      </c>
      <c r="Q3558" s="3">
        <v>0</v>
      </c>
      <c r="R3558" s="23" t="s">
        <v>11933</v>
      </c>
      <c r="S3558" s="23" t="s">
        <v>5849</v>
      </c>
      <c r="T3558" s="23" t="s">
        <v>4866</v>
      </c>
      <c r="U3558" s="3">
        <v>35</v>
      </c>
      <c r="W3558" s="45" t="str">
        <f>HYPERLINK("http://ictvonline.org/taxonomy/p/taxonomy-history?taxnode_id=201905108","ICTVonline=201905108")</f>
        <v>ICTVonline=201905108</v>
      </c>
      <c r="AA3558" s="1">
        <v>201900000</v>
      </c>
      <c r="AB3558" s="1">
        <v>35</v>
      </c>
    </row>
    <row r="3559" spans="1:28" x14ac:dyDescent="0.2">
      <c r="A3559" s="1">
        <v>9189</v>
      </c>
      <c r="B3559" s="1" t="s">
        <v>6839</v>
      </c>
      <c r="D3559" s="1" t="s">
        <v>11735</v>
      </c>
      <c r="F3559" s="1" t="s">
        <v>11930</v>
      </c>
      <c r="H3559" s="1" t="s">
        <v>11931</v>
      </c>
      <c r="J3559" s="1" t="s">
        <v>11948</v>
      </c>
      <c r="L3559" s="1" t="s">
        <v>841</v>
      </c>
      <c r="N3559" s="1" t="s">
        <v>842</v>
      </c>
      <c r="P3559" s="1" t="s">
        <v>770</v>
      </c>
      <c r="Q3559" s="3">
        <v>0</v>
      </c>
      <c r="R3559" s="23" t="s">
        <v>11933</v>
      </c>
      <c r="S3559" s="23" t="s">
        <v>5849</v>
      </c>
      <c r="T3559" s="23" t="s">
        <v>4866</v>
      </c>
      <c r="U3559" s="3">
        <v>35</v>
      </c>
      <c r="W3559" s="45" t="str">
        <f>HYPERLINK("http://ictvonline.org/taxonomy/p/taxonomy-history?taxnode_id=201905109","ICTVonline=201905109")</f>
        <v>ICTVonline=201905109</v>
      </c>
      <c r="AA3559" s="1">
        <v>201900000</v>
      </c>
      <c r="AB3559" s="1">
        <v>35</v>
      </c>
    </row>
    <row r="3560" spans="1:28" x14ac:dyDescent="0.2">
      <c r="A3560" s="1">
        <v>9191</v>
      </c>
      <c r="B3560" s="1" t="s">
        <v>6839</v>
      </c>
      <c r="D3560" s="1" t="s">
        <v>11735</v>
      </c>
      <c r="F3560" s="1" t="s">
        <v>11930</v>
      </c>
      <c r="H3560" s="1" t="s">
        <v>11931</v>
      </c>
      <c r="J3560" s="1" t="s">
        <v>11948</v>
      </c>
      <c r="L3560" s="1" t="s">
        <v>841</v>
      </c>
      <c r="N3560" s="1" t="s">
        <v>842</v>
      </c>
      <c r="P3560" s="1" t="s">
        <v>771</v>
      </c>
      <c r="Q3560" s="3">
        <v>0</v>
      </c>
      <c r="R3560" s="23" t="s">
        <v>11933</v>
      </c>
      <c r="S3560" s="23" t="s">
        <v>5849</v>
      </c>
      <c r="T3560" s="23" t="s">
        <v>4866</v>
      </c>
      <c r="U3560" s="3">
        <v>35</v>
      </c>
      <c r="W3560" s="45" t="str">
        <f>HYPERLINK("http://ictvonline.org/taxonomy/p/taxonomy-history?taxnode_id=201905110","ICTVonline=201905110")</f>
        <v>ICTVonline=201905110</v>
      </c>
      <c r="AA3560" s="1">
        <v>201900000</v>
      </c>
      <c r="AB3560" s="1">
        <v>35</v>
      </c>
    </row>
    <row r="3561" spans="1:28" x14ac:dyDescent="0.2">
      <c r="A3561" s="1">
        <v>9193</v>
      </c>
      <c r="B3561" s="1" t="s">
        <v>6839</v>
      </c>
      <c r="D3561" s="1" t="s">
        <v>11735</v>
      </c>
      <c r="F3561" s="1" t="s">
        <v>11930</v>
      </c>
      <c r="H3561" s="1" t="s">
        <v>11931</v>
      </c>
      <c r="J3561" s="1" t="s">
        <v>11948</v>
      </c>
      <c r="L3561" s="1" t="s">
        <v>841</v>
      </c>
      <c r="N3561" s="1" t="s">
        <v>842</v>
      </c>
      <c r="P3561" s="1" t="s">
        <v>1796</v>
      </c>
      <c r="Q3561" s="3">
        <v>0</v>
      </c>
      <c r="R3561" s="23" t="s">
        <v>11933</v>
      </c>
      <c r="S3561" s="23" t="s">
        <v>5849</v>
      </c>
      <c r="T3561" s="23" t="s">
        <v>4866</v>
      </c>
      <c r="U3561" s="3">
        <v>35</v>
      </c>
      <c r="W3561" s="45" t="str">
        <f>HYPERLINK("http://ictvonline.org/taxonomy/p/taxonomy-history?taxnode_id=201905111","ICTVonline=201905111")</f>
        <v>ICTVonline=201905111</v>
      </c>
      <c r="AA3561" s="1">
        <v>201900000</v>
      </c>
      <c r="AB3561" s="1">
        <v>35</v>
      </c>
    </row>
    <row r="3562" spans="1:28" x14ac:dyDescent="0.2">
      <c r="A3562" s="1">
        <v>9195</v>
      </c>
      <c r="B3562" s="1" t="s">
        <v>6839</v>
      </c>
      <c r="D3562" s="1" t="s">
        <v>11735</v>
      </c>
      <c r="F3562" s="1" t="s">
        <v>11930</v>
      </c>
      <c r="H3562" s="1" t="s">
        <v>11931</v>
      </c>
      <c r="J3562" s="1" t="s">
        <v>11948</v>
      </c>
      <c r="L3562" s="1" t="s">
        <v>841</v>
      </c>
      <c r="N3562" s="1" t="s">
        <v>842</v>
      </c>
      <c r="P3562" s="1" t="s">
        <v>1797</v>
      </c>
      <c r="Q3562" s="3">
        <v>0</v>
      </c>
      <c r="R3562" s="23" t="s">
        <v>11933</v>
      </c>
      <c r="S3562" s="23" t="s">
        <v>5849</v>
      </c>
      <c r="T3562" s="23" t="s">
        <v>4866</v>
      </c>
      <c r="U3562" s="3">
        <v>35</v>
      </c>
      <c r="W3562" s="45" t="str">
        <f>HYPERLINK("http://ictvonline.org/taxonomy/p/taxonomy-history?taxnode_id=201905112","ICTVonline=201905112")</f>
        <v>ICTVonline=201905112</v>
      </c>
      <c r="AA3562" s="1">
        <v>201900000</v>
      </c>
      <c r="AB3562" s="1">
        <v>35</v>
      </c>
    </row>
    <row r="3563" spans="1:28" x14ac:dyDescent="0.2">
      <c r="A3563" s="1">
        <v>9197</v>
      </c>
      <c r="B3563" s="1" t="s">
        <v>6839</v>
      </c>
      <c r="D3563" s="1" t="s">
        <v>11735</v>
      </c>
      <c r="F3563" s="1" t="s">
        <v>11930</v>
      </c>
      <c r="H3563" s="1" t="s">
        <v>11931</v>
      </c>
      <c r="J3563" s="1" t="s">
        <v>11948</v>
      </c>
      <c r="L3563" s="1" t="s">
        <v>841</v>
      </c>
      <c r="N3563" s="1" t="s">
        <v>842</v>
      </c>
      <c r="P3563" s="1" t="s">
        <v>1798</v>
      </c>
      <c r="Q3563" s="3">
        <v>0</v>
      </c>
      <c r="R3563" s="23" t="s">
        <v>11933</v>
      </c>
      <c r="S3563" s="23" t="s">
        <v>5849</v>
      </c>
      <c r="T3563" s="23" t="s">
        <v>4866</v>
      </c>
      <c r="U3563" s="3">
        <v>35</v>
      </c>
      <c r="W3563" s="45" t="str">
        <f>HYPERLINK("http://ictvonline.org/taxonomy/p/taxonomy-history?taxnode_id=201905113","ICTVonline=201905113")</f>
        <v>ICTVonline=201905113</v>
      </c>
      <c r="AA3563" s="1">
        <v>201900000</v>
      </c>
      <c r="AB3563" s="1">
        <v>35</v>
      </c>
    </row>
    <row r="3564" spans="1:28" x14ac:dyDescent="0.2">
      <c r="A3564" s="1">
        <v>9203</v>
      </c>
      <c r="B3564" s="1" t="s">
        <v>6839</v>
      </c>
      <c r="D3564" s="1" t="s">
        <v>11735</v>
      </c>
      <c r="F3564" s="1" t="s">
        <v>11930</v>
      </c>
      <c r="H3564" s="1" t="s">
        <v>11931</v>
      </c>
      <c r="J3564" s="1" t="s">
        <v>11948</v>
      </c>
      <c r="L3564" s="1" t="s">
        <v>1982</v>
      </c>
      <c r="N3564" s="1" t="s">
        <v>1252</v>
      </c>
      <c r="P3564" s="1" t="s">
        <v>1253</v>
      </c>
      <c r="Q3564" s="3">
        <v>0</v>
      </c>
      <c r="R3564" s="23" t="s">
        <v>11933</v>
      </c>
      <c r="S3564" s="23" t="s">
        <v>5849</v>
      </c>
      <c r="T3564" s="23" t="s">
        <v>4866</v>
      </c>
      <c r="U3564" s="3">
        <v>35</v>
      </c>
      <c r="W3564" s="45" t="str">
        <f>HYPERLINK("http://ictvonline.org/taxonomy/p/taxonomy-history?taxnode_id=201905397","ICTVonline=201905397")</f>
        <v>ICTVonline=201905397</v>
      </c>
      <c r="Y3564" s="1" t="s">
        <v>12178</v>
      </c>
      <c r="Z3564" s="1" t="s">
        <v>12179</v>
      </c>
      <c r="AA3564" s="1">
        <v>201900000</v>
      </c>
      <c r="AB3564" s="1">
        <v>35</v>
      </c>
    </row>
    <row r="3565" spans="1:28" x14ac:dyDescent="0.2">
      <c r="A3565" s="1">
        <v>9205</v>
      </c>
      <c r="B3565" s="1" t="s">
        <v>6839</v>
      </c>
      <c r="D3565" s="1" t="s">
        <v>11735</v>
      </c>
      <c r="F3565" s="1" t="s">
        <v>11930</v>
      </c>
      <c r="H3565" s="1" t="s">
        <v>11931</v>
      </c>
      <c r="J3565" s="1" t="s">
        <v>11948</v>
      </c>
      <c r="L3565" s="1" t="s">
        <v>1982</v>
      </c>
      <c r="N3565" s="1" t="s">
        <v>1252</v>
      </c>
      <c r="P3565" s="1" t="s">
        <v>214</v>
      </c>
      <c r="Q3565" s="3">
        <v>0</v>
      </c>
      <c r="R3565" s="23" t="s">
        <v>11933</v>
      </c>
      <c r="S3565" s="23" t="s">
        <v>5849</v>
      </c>
      <c r="T3565" s="23" t="s">
        <v>4866</v>
      </c>
      <c r="U3565" s="3">
        <v>35</v>
      </c>
      <c r="W3565" s="45" t="str">
        <f>HYPERLINK("http://ictvonline.org/taxonomy/p/taxonomy-history?taxnode_id=201905398","ICTVonline=201905398")</f>
        <v>ICTVonline=201905398</v>
      </c>
      <c r="Y3565" s="1" t="s">
        <v>12180</v>
      </c>
      <c r="Z3565" s="1" t="s">
        <v>12181</v>
      </c>
      <c r="AA3565" s="1">
        <v>201900000</v>
      </c>
      <c r="AB3565" s="1">
        <v>35</v>
      </c>
    </row>
    <row r="3566" spans="1:28" x14ac:dyDescent="0.2">
      <c r="A3566" s="1">
        <v>9207</v>
      </c>
      <c r="B3566" s="1" t="s">
        <v>6839</v>
      </c>
      <c r="D3566" s="1" t="s">
        <v>11735</v>
      </c>
      <c r="F3566" s="1" t="s">
        <v>11930</v>
      </c>
      <c r="H3566" s="1" t="s">
        <v>11931</v>
      </c>
      <c r="J3566" s="1" t="s">
        <v>11948</v>
      </c>
      <c r="L3566" s="1" t="s">
        <v>1982</v>
      </c>
      <c r="N3566" s="1" t="s">
        <v>1252</v>
      </c>
      <c r="P3566" s="1" t="s">
        <v>1254</v>
      </c>
      <c r="Q3566" s="3">
        <v>0</v>
      </c>
      <c r="R3566" s="23" t="s">
        <v>11933</v>
      </c>
      <c r="S3566" s="23" t="s">
        <v>5849</v>
      </c>
      <c r="T3566" s="23" t="s">
        <v>4866</v>
      </c>
      <c r="U3566" s="3">
        <v>35</v>
      </c>
      <c r="W3566" s="45" t="str">
        <f>HYPERLINK("http://ictvonline.org/taxonomy/p/taxonomy-history?taxnode_id=201905399","ICTVonline=201905399")</f>
        <v>ICTVonline=201905399</v>
      </c>
      <c r="Y3566" s="1" t="s">
        <v>12182</v>
      </c>
      <c r="Z3566" s="1" t="s">
        <v>12183</v>
      </c>
      <c r="AA3566" s="1">
        <v>201900000</v>
      </c>
      <c r="AB3566" s="1">
        <v>35</v>
      </c>
    </row>
    <row r="3567" spans="1:28" x14ac:dyDescent="0.2">
      <c r="A3567" s="1">
        <v>9209</v>
      </c>
      <c r="B3567" s="1" t="s">
        <v>6839</v>
      </c>
      <c r="D3567" s="1" t="s">
        <v>11735</v>
      </c>
      <c r="F3567" s="1" t="s">
        <v>11930</v>
      </c>
      <c r="H3567" s="1" t="s">
        <v>11931</v>
      </c>
      <c r="J3567" s="1" t="s">
        <v>11948</v>
      </c>
      <c r="L3567" s="1" t="s">
        <v>1982</v>
      </c>
      <c r="N3567" s="1" t="s">
        <v>1252</v>
      </c>
      <c r="P3567" s="1" t="s">
        <v>1255</v>
      </c>
      <c r="Q3567" s="3">
        <v>0</v>
      </c>
      <c r="R3567" s="23" t="s">
        <v>11933</v>
      </c>
      <c r="S3567" s="23" t="s">
        <v>5849</v>
      </c>
      <c r="T3567" s="23" t="s">
        <v>4866</v>
      </c>
      <c r="U3567" s="3">
        <v>35</v>
      </c>
      <c r="W3567" s="45" t="str">
        <f>HYPERLINK("http://ictvonline.org/taxonomy/p/taxonomy-history?taxnode_id=201905400","ICTVonline=201905400")</f>
        <v>ICTVonline=201905400</v>
      </c>
      <c r="Y3567" s="1" t="s">
        <v>12184</v>
      </c>
      <c r="Z3567" s="1" t="s">
        <v>12185</v>
      </c>
      <c r="AA3567" s="1">
        <v>201900000</v>
      </c>
      <c r="AB3567" s="1">
        <v>35</v>
      </c>
    </row>
    <row r="3568" spans="1:28" x14ac:dyDescent="0.2">
      <c r="A3568" s="1">
        <v>9211</v>
      </c>
      <c r="B3568" s="1" t="s">
        <v>6839</v>
      </c>
      <c r="D3568" s="1" t="s">
        <v>11735</v>
      </c>
      <c r="F3568" s="1" t="s">
        <v>11930</v>
      </c>
      <c r="H3568" s="1" t="s">
        <v>11931</v>
      </c>
      <c r="J3568" s="1" t="s">
        <v>11948</v>
      </c>
      <c r="L3568" s="1" t="s">
        <v>1982</v>
      </c>
      <c r="N3568" s="1" t="s">
        <v>1252</v>
      </c>
      <c r="P3568" s="1" t="s">
        <v>1256</v>
      </c>
      <c r="Q3568" s="3">
        <v>1</v>
      </c>
      <c r="R3568" s="23" t="s">
        <v>11933</v>
      </c>
      <c r="S3568" s="23" t="s">
        <v>5849</v>
      </c>
      <c r="T3568" s="23" t="s">
        <v>4866</v>
      </c>
      <c r="U3568" s="3">
        <v>35</v>
      </c>
      <c r="W3568" s="45" t="str">
        <f>HYPERLINK("http://ictvonline.org/taxonomy/p/taxonomy-history?taxnode_id=201905401","ICTVonline=201905401")</f>
        <v>ICTVonline=201905401</v>
      </c>
      <c r="Y3568" s="1" t="s">
        <v>12186</v>
      </c>
      <c r="Z3568" s="1" t="s">
        <v>12187</v>
      </c>
      <c r="AA3568" s="1">
        <v>201900000</v>
      </c>
      <c r="AB3568" s="1">
        <v>35</v>
      </c>
    </row>
    <row r="3569" spans="1:28" x14ac:dyDescent="0.2">
      <c r="A3569" s="1">
        <v>9213</v>
      </c>
      <c r="B3569" s="1" t="s">
        <v>6839</v>
      </c>
      <c r="D3569" s="1" t="s">
        <v>11735</v>
      </c>
      <c r="F3569" s="1" t="s">
        <v>11930</v>
      </c>
      <c r="H3569" s="1" t="s">
        <v>11931</v>
      </c>
      <c r="J3569" s="1" t="s">
        <v>11948</v>
      </c>
      <c r="L3569" s="1" t="s">
        <v>1982</v>
      </c>
      <c r="N3569" s="1" t="s">
        <v>1252</v>
      </c>
      <c r="P3569" s="1" t="s">
        <v>272</v>
      </c>
      <c r="Q3569" s="3">
        <v>0</v>
      </c>
      <c r="R3569" s="23" t="s">
        <v>11933</v>
      </c>
      <c r="S3569" s="23" t="s">
        <v>5849</v>
      </c>
      <c r="T3569" s="23" t="s">
        <v>4866</v>
      </c>
      <c r="U3569" s="3">
        <v>35</v>
      </c>
      <c r="W3569" s="45" t="str">
        <f>HYPERLINK("http://ictvonline.org/taxonomy/p/taxonomy-history?taxnode_id=201905402","ICTVonline=201905402")</f>
        <v>ICTVonline=201905402</v>
      </c>
      <c r="Y3569" s="1" t="s">
        <v>12188</v>
      </c>
      <c r="Z3569" s="1" t="s">
        <v>12189</v>
      </c>
      <c r="AA3569" s="1">
        <v>201900000</v>
      </c>
      <c r="AB3569" s="1">
        <v>35</v>
      </c>
    </row>
    <row r="3570" spans="1:28" x14ac:dyDescent="0.2">
      <c r="A3570" s="1">
        <v>9217</v>
      </c>
      <c r="B3570" s="1" t="s">
        <v>6839</v>
      </c>
      <c r="D3570" s="1" t="s">
        <v>11735</v>
      </c>
      <c r="F3570" s="1" t="s">
        <v>11930</v>
      </c>
      <c r="H3570" s="1" t="s">
        <v>11931</v>
      </c>
      <c r="J3570" s="1" t="s">
        <v>11948</v>
      </c>
      <c r="L3570" s="1" t="s">
        <v>1982</v>
      </c>
      <c r="N3570" s="1" t="s">
        <v>3982</v>
      </c>
      <c r="P3570" s="1" t="s">
        <v>3983</v>
      </c>
      <c r="Q3570" s="3">
        <v>0</v>
      </c>
      <c r="R3570" s="23" t="s">
        <v>11933</v>
      </c>
      <c r="S3570" s="23" t="s">
        <v>5849</v>
      </c>
      <c r="T3570" s="23" t="s">
        <v>4866</v>
      </c>
      <c r="U3570" s="3">
        <v>35</v>
      </c>
      <c r="W3570" s="45" t="str">
        <f>HYPERLINK("http://ictvonline.org/taxonomy/p/taxonomy-history?taxnode_id=201905404","ICTVonline=201905404")</f>
        <v>ICTVonline=201905404</v>
      </c>
      <c r="Y3570" s="1" t="s">
        <v>12190</v>
      </c>
      <c r="Z3570" s="1" t="s">
        <v>12191</v>
      </c>
      <c r="AA3570" s="1">
        <v>201900000</v>
      </c>
      <c r="AB3570" s="1">
        <v>35</v>
      </c>
    </row>
    <row r="3571" spans="1:28" x14ac:dyDescent="0.2">
      <c r="A3571" s="1">
        <v>9219</v>
      </c>
      <c r="B3571" s="1" t="s">
        <v>6839</v>
      </c>
      <c r="D3571" s="1" t="s">
        <v>11735</v>
      </c>
      <c r="F3571" s="1" t="s">
        <v>11930</v>
      </c>
      <c r="H3571" s="1" t="s">
        <v>11931</v>
      </c>
      <c r="J3571" s="1" t="s">
        <v>11948</v>
      </c>
      <c r="L3571" s="1" t="s">
        <v>1982</v>
      </c>
      <c r="N3571" s="1" t="s">
        <v>3982</v>
      </c>
      <c r="P3571" s="1" t="s">
        <v>3984</v>
      </c>
      <c r="Q3571" s="3">
        <v>1</v>
      </c>
      <c r="R3571" s="23" t="s">
        <v>11933</v>
      </c>
      <c r="S3571" s="23" t="s">
        <v>5849</v>
      </c>
      <c r="T3571" s="23" t="s">
        <v>4866</v>
      </c>
      <c r="U3571" s="3">
        <v>35</v>
      </c>
      <c r="W3571" s="45" t="str">
        <f>HYPERLINK("http://ictvonline.org/taxonomy/p/taxonomy-history?taxnode_id=201905405","ICTVonline=201905405")</f>
        <v>ICTVonline=201905405</v>
      </c>
      <c r="Y3571" s="1" t="s">
        <v>12192</v>
      </c>
      <c r="Z3571" s="1" t="s">
        <v>11935</v>
      </c>
      <c r="AA3571" s="1">
        <v>201900000</v>
      </c>
      <c r="AB3571" s="1">
        <v>35</v>
      </c>
    </row>
    <row r="3572" spans="1:28" x14ac:dyDescent="0.2">
      <c r="A3572" s="1">
        <v>9223</v>
      </c>
      <c r="B3572" s="1" t="s">
        <v>6839</v>
      </c>
      <c r="D3572" s="1" t="s">
        <v>11735</v>
      </c>
      <c r="F3572" s="1" t="s">
        <v>11930</v>
      </c>
      <c r="H3572" s="1" t="s">
        <v>11931</v>
      </c>
      <c r="J3572" s="1" t="s">
        <v>11948</v>
      </c>
      <c r="L3572" s="1" t="s">
        <v>1982</v>
      </c>
      <c r="N3572" s="1" t="s">
        <v>258</v>
      </c>
      <c r="P3572" s="1" t="s">
        <v>259</v>
      </c>
      <c r="Q3572" s="3">
        <v>0</v>
      </c>
      <c r="R3572" s="23" t="s">
        <v>11933</v>
      </c>
      <c r="S3572" s="23" t="s">
        <v>5849</v>
      </c>
      <c r="T3572" s="23" t="s">
        <v>4866</v>
      </c>
      <c r="U3572" s="3">
        <v>35</v>
      </c>
      <c r="W3572" s="45" t="str">
        <f>HYPERLINK("http://ictvonline.org/taxonomy/p/taxonomy-history?taxnode_id=201905407","ICTVonline=201905407")</f>
        <v>ICTVonline=201905407</v>
      </c>
      <c r="AA3572" s="1">
        <v>201900000</v>
      </c>
      <c r="AB3572" s="1">
        <v>35</v>
      </c>
    </row>
    <row r="3573" spans="1:28" x14ac:dyDescent="0.2">
      <c r="A3573" s="1">
        <v>9225</v>
      </c>
      <c r="B3573" s="1" t="s">
        <v>6839</v>
      </c>
      <c r="D3573" s="1" t="s">
        <v>11735</v>
      </c>
      <c r="F3573" s="1" t="s">
        <v>11930</v>
      </c>
      <c r="H3573" s="1" t="s">
        <v>11931</v>
      </c>
      <c r="J3573" s="1" t="s">
        <v>11948</v>
      </c>
      <c r="L3573" s="1" t="s">
        <v>1982</v>
      </c>
      <c r="N3573" s="1" t="s">
        <v>258</v>
      </c>
      <c r="P3573" s="1" t="s">
        <v>260</v>
      </c>
      <c r="Q3573" s="3">
        <v>1</v>
      </c>
      <c r="R3573" s="23" t="s">
        <v>11933</v>
      </c>
      <c r="S3573" s="23" t="s">
        <v>5849</v>
      </c>
      <c r="T3573" s="23" t="s">
        <v>4866</v>
      </c>
      <c r="U3573" s="3">
        <v>35</v>
      </c>
      <c r="W3573" s="45" t="str">
        <f>HYPERLINK("http://ictvonline.org/taxonomy/p/taxonomy-history?taxnode_id=201905408","ICTVonline=201905408")</f>
        <v>ICTVonline=201905408</v>
      </c>
      <c r="Y3573" s="1" t="s">
        <v>12193</v>
      </c>
      <c r="Z3573" s="1" t="s">
        <v>12194</v>
      </c>
      <c r="AA3573" s="1">
        <v>201900000</v>
      </c>
      <c r="AB3573" s="1">
        <v>35</v>
      </c>
    </row>
    <row r="3574" spans="1:28" x14ac:dyDescent="0.2">
      <c r="A3574" s="1">
        <v>9227</v>
      </c>
      <c r="B3574" s="1" t="s">
        <v>6839</v>
      </c>
      <c r="D3574" s="1" t="s">
        <v>11735</v>
      </c>
      <c r="F3574" s="1" t="s">
        <v>11930</v>
      </c>
      <c r="H3574" s="1" t="s">
        <v>11931</v>
      </c>
      <c r="J3574" s="1" t="s">
        <v>11948</v>
      </c>
      <c r="L3574" s="1" t="s">
        <v>1982</v>
      </c>
      <c r="N3574" s="1" t="s">
        <v>258</v>
      </c>
      <c r="P3574" s="1" t="s">
        <v>261</v>
      </c>
      <c r="Q3574" s="3">
        <v>0</v>
      </c>
      <c r="R3574" s="23" t="s">
        <v>11933</v>
      </c>
      <c r="S3574" s="23" t="s">
        <v>5849</v>
      </c>
      <c r="T3574" s="23" t="s">
        <v>4866</v>
      </c>
      <c r="U3574" s="3">
        <v>35</v>
      </c>
      <c r="W3574" s="45" t="str">
        <f>HYPERLINK("http://ictvonline.org/taxonomy/p/taxonomy-history?taxnode_id=201905409","ICTVonline=201905409")</f>
        <v>ICTVonline=201905409</v>
      </c>
      <c r="Y3574" s="1" t="s">
        <v>12195</v>
      </c>
      <c r="Z3574" s="1" t="s">
        <v>12196</v>
      </c>
      <c r="AA3574" s="1">
        <v>201900000</v>
      </c>
      <c r="AB3574" s="1">
        <v>35</v>
      </c>
    </row>
    <row r="3575" spans="1:28" x14ac:dyDescent="0.2">
      <c r="A3575" s="1">
        <v>9229</v>
      </c>
      <c r="B3575" s="1" t="s">
        <v>6839</v>
      </c>
      <c r="D3575" s="1" t="s">
        <v>11735</v>
      </c>
      <c r="F3575" s="1" t="s">
        <v>11930</v>
      </c>
      <c r="H3575" s="1" t="s">
        <v>11931</v>
      </c>
      <c r="J3575" s="1" t="s">
        <v>11948</v>
      </c>
      <c r="L3575" s="1" t="s">
        <v>1982</v>
      </c>
      <c r="N3575" s="1" t="s">
        <v>258</v>
      </c>
      <c r="P3575" s="1" t="s">
        <v>262</v>
      </c>
      <c r="Q3575" s="3">
        <v>0</v>
      </c>
      <c r="R3575" s="23" t="s">
        <v>11933</v>
      </c>
      <c r="S3575" s="23" t="s">
        <v>5849</v>
      </c>
      <c r="T3575" s="23" t="s">
        <v>4866</v>
      </c>
      <c r="U3575" s="3">
        <v>35</v>
      </c>
      <c r="W3575" s="45" t="str">
        <f>HYPERLINK("http://ictvonline.org/taxonomy/p/taxonomy-history?taxnode_id=201905410","ICTVonline=201905410")</f>
        <v>ICTVonline=201905410</v>
      </c>
      <c r="Y3575" s="1" t="s">
        <v>12197</v>
      </c>
      <c r="Z3575" s="1" t="s">
        <v>12198</v>
      </c>
      <c r="AA3575" s="1">
        <v>201900000</v>
      </c>
      <c r="AB3575" s="1">
        <v>35</v>
      </c>
    </row>
    <row r="3576" spans="1:28" x14ac:dyDescent="0.2">
      <c r="A3576" s="1">
        <v>9233</v>
      </c>
      <c r="B3576" s="1" t="s">
        <v>6839</v>
      </c>
      <c r="D3576" s="1" t="s">
        <v>11735</v>
      </c>
      <c r="F3576" s="1" t="s">
        <v>11930</v>
      </c>
      <c r="H3576" s="1" t="s">
        <v>11931</v>
      </c>
      <c r="J3576" s="1" t="s">
        <v>11948</v>
      </c>
      <c r="L3576" s="1" t="s">
        <v>1982</v>
      </c>
      <c r="N3576" s="1" t="s">
        <v>269</v>
      </c>
      <c r="P3576" s="1" t="s">
        <v>270</v>
      </c>
      <c r="Q3576" s="3">
        <v>0</v>
      </c>
      <c r="R3576" s="23" t="s">
        <v>11933</v>
      </c>
      <c r="S3576" s="23" t="s">
        <v>5849</v>
      </c>
      <c r="T3576" s="23" t="s">
        <v>4866</v>
      </c>
      <c r="U3576" s="3">
        <v>35</v>
      </c>
      <c r="W3576" s="45" t="str">
        <f>HYPERLINK("http://ictvonline.org/taxonomy/p/taxonomy-history?taxnode_id=201905412","ICTVonline=201905412")</f>
        <v>ICTVonline=201905412</v>
      </c>
      <c r="Y3576" s="1" t="s">
        <v>12199</v>
      </c>
      <c r="Z3576" s="1" t="s">
        <v>12200</v>
      </c>
      <c r="AA3576" s="1">
        <v>201900000</v>
      </c>
      <c r="AB3576" s="1">
        <v>35</v>
      </c>
    </row>
    <row r="3577" spans="1:28" x14ac:dyDescent="0.2">
      <c r="A3577" s="1">
        <v>9235</v>
      </c>
      <c r="B3577" s="1" t="s">
        <v>6839</v>
      </c>
      <c r="D3577" s="1" t="s">
        <v>11735</v>
      </c>
      <c r="F3577" s="1" t="s">
        <v>11930</v>
      </c>
      <c r="H3577" s="1" t="s">
        <v>11931</v>
      </c>
      <c r="J3577" s="1" t="s">
        <v>11948</v>
      </c>
      <c r="L3577" s="1" t="s">
        <v>1982</v>
      </c>
      <c r="N3577" s="1" t="s">
        <v>269</v>
      </c>
      <c r="P3577" s="1" t="s">
        <v>271</v>
      </c>
      <c r="Q3577" s="3">
        <v>1</v>
      </c>
      <c r="R3577" s="23" t="s">
        <v>11933</v>
      </c>
      <c r="S3577" s="23" t="s">
        <v>5849</v>
      </c>
      <c r="T3577" s="23" t="s">
        <v>4866</v>
      </c>
      <c r="U3577" s="3">
        <v>35</v>
      </c>
      <c r="W3577" s="45" t="str">
        <f>HYPERLINK("http://ictvonline.org/taxonomy/p/taxonomy-history?taxnode_id=201905413","ICTVonline=201905413")</f>
        <v>ICTVonline=201905413</v>
      </c>
      <c r="Y3577" s="1" t="s">
        <v>12201</v>
      </c>
      <c r="Z3577" s="1" t="s">
        <v>12202</v>
      </c>
      <c r="AA3577" s="1">
        <v>201900000</v>
      </c>
      <c r="AB3577" s="1">
        <v>35</v>
      </c>
    </row>
    <row r="3578" spans="1:28" x14ac:dyDescent="0.2">
      <c r="A3578" s="1">
        <v>9239</v>
      </c>
      <c r="B3578" s="1" t="s">
        <v>6839</v>
      </c>
      <c r="D3578" s="1" t="s">
        <v>11735</v>
      </c>
      <c r="F3578" s="1" t="s">
        <v>11930</v>
      </c>
      <c r="H3578" s="1" t="s">
        <v>11931</v>
      </c>
      <c r="J3578" s="1" t="s">
        <v>11948</v>
      </c>
      <c r="L3578" s="1" t="s">
        <v>1982</v>
      </c>
      <c r="N3578" s="1" t="s">
        <v>397</v>
      </c>
      <c r="P3578" s="1" t="s">
        <v>398</v>
      </c>
      <c r="Q3578" s="3">
        <v>0</v>
      </c>
      <c r="R3578" s="23" t="s">
        <v>11933</v>
      </c>
      <c r="S3578" s="23" t="s">
        <v>5849</v>
      </c>
      <c r="T3578" s="23" t="s">
        <v>4866</v>
      </c>
      <c r="U3578" s="3">
        <v>35</v>
      </c>
      <c r="W3578" s="45" t="str">
        <f>HYPERLINK("http://ictvonline.org/taxonomy/p/taxonomy-history?taxnode_id=201905415","ICTVonline=201905415")</f>
        <v>ICTVonline=201905415</v>
      </c>
      <c r="Y3578" s="1" t="s">
        <v>12203</v>
      </c>
      <c r="Z3578" s="1" t="s">
        <v>12204</v>
      </c>
      <c r="AA3578" s="1">
        <v>201900000</v>
      </c>
      <c r="AB3578" s="1">
        <v>35</v>
      </c>
    </row>
    <row r="3579" spans="1:28" x14ac:dyDescent="0.2">
      <c r="A3579" s="1">
        <v>9241</v>
      </c>
      <c r="B3579" s="1" t="s">
        <v>6839</v>
      </c>
      <c r="D3579" s="1" t="s">
        <v>11735</v>
      </c>
      <c r="F3579" s="1" t="s">
        <v>11930</v>
      </c>
      <c r="H3579" s="1" t="s">
        <v>11931</v>
      </c>
      <c r="J3579" s="1" t="s">
        <v>11948</v>
      </c>
      <c r="L3579" s="1" t="s">
        <v>1982</v>
      </c>
      <c r="N3579" s="1" t="s">
        <v>397</v>
      </c>
      <c r="P3579" s="1" t="s">
        <v>399</v>
      </c>
      <c r="Q3579" s="3">
        <v>0</v>
      </c>
      <c r="R3579" s="23" t="s">
        <v>11933</v>
      </c>
      <c r="S3579" s="23" t="s">
        <v>5849</v>
      </c>
      <c r="T3579" s="23" t="s">
        <v>4866</v>
      </c>
      <c r="U3579" s="3">
        <v>35</v>
      </c>
      <c r="W3579" s="45" t="str">
        <f>HYPERLINK("http://ictvonline.org/taxonomy/p/taxonomy-history?taxnode_id=201905416","ICTVonline=201905416")</f>
        <v>ICTVonline=201905416</v>
      </c>
      <c r="Y3579" s="1" t="s">
        <v>12205</v>
      </c>
      <c r="Z3579" s="1" t="s">
        <v>12206</v>
      </c>
      <c r="AA3579" s="1">
        <v>201900000</v>
      </c>
      <c r="AB3579" s="1">
        <v>35</v>
      </c>
    </row>
    <row r="3580" spans="1:28" x14ac:dyDescent="0.2">
      <c r="A3580" s="1">
        <v>9243</v>
      </c>
      <c r="B3580" s="1" t="s">
        <v>6839</v>
      </c>
      <c r="D3580" s="1" t="s">
        <v>11735</v>
      </c>
      <c r="F3580" s="1" t="s">
        <v>11930</v>
      </c>
      <c r="H3580" s="1" t="s">
        <v>11931</v>
      </c>
      <c r="J3580" s="1" t="s">
        <v>11948</v>
      </c>
      <c r="L3580" s="1" t="s">
        <v>1982</v>
      </c>
      <c r="N3580" s="1" t="s">
        <v>397</v>
      </c>
      <c r="P3580" s="1" t="s">
        <v>400</v>
      </c>
      <c r="Q3580" s="3">
        <v>0</v>
      </c>
      <c r="R3580" s="23" t="s">
        <v>11933</v>
      </c>
      <c r="S3580" s="23" t="s">
        <v>5849</v>
      </c>
      <c r="T3580" s="23" t="s">
        <v>4866</v>
      </c>
      <c r="U3580" s="3">
        <v>35</v>
      </c>
      <c r="W3580" s="45" t="str">
        <f>HYPERLINK("http://ictvonline.org/taxonomy/p/taxonomy-history?taxnode_id=201905417","ICTVonline=201905417")</f>
        <v>ICTVonline=201905417</v>
      </c>
      <c r="Y3580" s="1" t="s">
        <v>12207</v>
      </c>
      <c r="Z3580" s="1" t="s">
        <v>11846</v>
      </c>
      <c r="AA3580" s="1">
        <v>201900000</v>
      </c>
      <c r="AB3580" s="1">
        <v>35</v>
      </c>
    </row>
    <row r="3581" spans="1:28" x14ac:dyDescent="0.2">
      <c r="A3581" s="1">
        <v>9245</v>
      </c>
      <c r="B3581" s="1" t="s">
        <v>6839</v>
      </c>
      <c r="D3581" s="1" t="s">
        <v>11735</v>
      </c>
      <c r="F3581" s="1" t="s">
        <v>11930</v>
      </c>
      <c r="H3581" s="1" t="s">
        <v>11931</v>
      </c>
      <c r="J3581" s="1" t="s">
        <v>11948</v>
      </c>
      <c r="L3581" s="1" t="s">
        <v>1982</v>
      </c>
      <c r="N3581" s="1" t="s">
        <v>397</v>
      </c>
      <c r="P3581" s="1" t="s">
        <v>4860</v>
      </c>
      <c r="Q3581" s="3">
        <v>0</v>
      </c>
      <c r="R3581" s="23" t="s">
        <v>11933</v>
      </c>
      <c r="S3581" s="23" t="s">
        <v>5849</v>
      </c>
      <c r="T3581" s="23" t="s">
        <v>4866</v>
      </c>
      <c r="U3581" s="3">
        <v>35</v>
      </c>
      <c r="W3581" s="45" t="str">
        <f>HYPERLINK("http://ictvonline.org/taxonomy/p/taxonomy-history?taxnode_id=201905418","ICTVonline=201905418")</f>
        <v>ICTVonline=201905418</v>
      </c>
      <c r="Y3581" s="1" t="s">
        <v>12208</v>
      </c>
      <c r="Z3581" s="1" t="s">
        <v>12209</v>
      </c>
      <c r="AA3581" s="1">
        <v>201900000</v>
      </c>
      <c r="AB3581" s="1">
        <v>35</v>
      </c>
    </row>
    <row r="3582" spans="1:28" x14ac:dyDescent="0.2">
      <c r="A3582" s="1">
        <v>9247</v>
      </c>
      <c r="B3582" s="1" t="s">
        <v>6839</v>
      </c>
      <c r="D3582" s="1" t="s">
        <v>11735</v>
      </c>
      <c r="F3582" s="1" t="s">
        <v>11930</v>
      </c>
      <c r="H3582" s="1" t="s">
        <v>11931</v>
      </c>
      <c r="J3582" s="1" t="s">
        <v>11948</v>
      </c>
      <c r="L3582" s="1" t="s">
        <v>1982</v>
      </c>
      <c r="N3582" s="1" t="s">
        <v>397</v>
      </c>
      <c r="P3582" s="1" t="s">
        <v>401</v>
      </c>
      <c r="Q3582" s="3">
        <v>1</v>
      </c>
      <c r="R3582" s="23" t="s">
        <v>11933</v>
      </c>
      <c r="S3582" s="23" t="s">
        <v>5849</v>
      </c>
      <c r="T3582" s="23" t="s">
        <v>4866</v>
      </c>
      <c r="U3582" s="3">
        <v>35</v>
      </c>
      <c r="W3582" s="45" t="str">
        <f>HYPERLINK("http://ictvonline.org/taxonomy/p/taxonomy-history?taxnode_id=201905419","ICTVonline=201905419")</f>
        <v>ICTVonline=201905419</v>
      </c>
      <c r="Y3582" s="1" t="s">
        <v>12210</v>
      </c>
      <c r="Z3582" s="1" t="s">
        <v>12211</v>
      </c>
      <c r="AA3582" s="1">
        <v>201900000</v>
      </c>
      <c r="AB3582" s="1">
        <v>35</v>
      </c>
    </row>
    <row r="3583" spans="1:28" x14ac:dyDescent="0.2">
      <c r="A3583" s="1">
        <v>9251</v>
      </c>
      <c r="B3583" s="1" t="s">
        <v>6839</v>
      </c>
      <c r="D3583" s="1" t="s">
        <v>11735</v>
      </c>
      <c r="F3583" s="1" t="s">
        <v>11930</v>
      </c>
      <c r="H3583" s="1" t="s">
        <v>11931</v>
      </c>
      <c r="J3583" s="1" t="s">
        <v>11948</v>
      </c>
      <c r="L3583" s="1" t="s">
        <v>1982</v>
      </c>
      <c r="N3583" s="1" t="s">
        <v>438</v>
      </c>
      <c r="P3583" s="1" t="s">
        <v>2269</v>
      </c>
      <c r="Q3583" s="3">
        <v>0</v>
      </c>
      <c r="R3583" s="23" t="s">
        <v>11933</v>
      </c>
      <c r="S3583" s="23" t="s">
        <v>5849</v>
      </c>
      <c r="T3583" s="23" t="s">
        <v>4866</v>
      </c>
      <c r="U3583" s="3">
        <v>35</v>
      </c>
      <c r="W3583" s="45" t="str">
        <f>HYPERLINK("http://ictvonline.org/taxonomy/p/taxonomy-history?taxnode_id=201905421","ICTVonline=201905421")</f>
        <v>ICTVonline=201905421</v>
      </c>
      <c r="Y3583" s="1" t="s">
        <v>12212</v>
      </c>
      <c r="Z3583" s="1" t="s">
        <v>11857</v>
      </c>
      <c r="AA3583" s="1">
        <v>201900000</v>
      </c>
      <c r="AB3583" s="1">
        <v>35</v>
      </c>
    </row>
    <row r="3584" spans="1:28" x14ac:dyDescent="0.2">
      <c r="A3584" s="1">
        <v>9253</v>
      </c>
      <c r="B3584" s="1" t="s">
        <v>6839</v>
      </c>
      <c r="D3584" s="1" t="s">
        <v>11735</v>
      </c>
      <c r="F3584" s="1" t="s">
        <v>11930</v>
      </c>
      <c r="H3584" s="1" t="s">
        <v>11931</v>
      </c>
      <c r="J3584" s="1" t="s">
        <v>11948</v>
      </c>
      <c r="L3584" s="1" t="s">
        <v>1982</v>
      </c>
      <c r="N3584" s="1" t="s">
        <v>438</v>
      </c>
      <c r="P3584" s="1" t="s">
        <v>1514</v>
      </c>
      <c r="Q3584" s="3">
        <v>0</v>
      </c>
      <c r="R3584" s="23" t="s">
        <v>11933</v>
      </c>
      <c r="S3584" s="23" t="s">
        <v>5849</v>
      </c>
      <c r="T3584" s="23" t="s">
        <v>4866</v>
      </c>
      <c r="U3584" s="3">
        <v>35</v>
      </c>
      <c r="W3584" s="45" t="str">
        <f>HYPERLINK("http://ictvonline.org/taxonomy/p/taxonomy-history?taxnode_id=201905422","ICTVonline=201905422")</f>
        <v>ICTVonline=201905422</v>
      </c>
      <c r="Y3584" s="1" t="s">
        <v>12213</v>
      </c>
      <c r="Z3584" s="1">
        <v>2373</v>
      </c>
      <c r="AA3584" s="1">
        <v>201900000</v>
      </c>
      <c r="AB3584" s="1">
        <v>35</v>
      </c>
    </row>
    <row r="3585" spans="1:28" x14ac:dyDescent="0.2">
      <c r="A3585" s="1">
        <v>9255</v>
      </c>
      <c r="B3585" s="1" t="s">
        <v>6839</v>
      </c>
      <c r="D3585" s="1" t="s">
        <v>11735</v>
      </c>
      <c r="F3585" s="1" t="s">
        <v>11930</v>
      </c>
      <c r="H3585" s="1" t="s">
        <v>11931</v>
      </c>
      <c r="J3585" s="1" t="s">
        <v>11948</v>
      </c>
      <c r="L3585" s="1" t="s">
        <v>1982</v>
      </c>
      <c r="N3585" s="1" t="s">
        <v>438</v>
      </c>
      <c r="P3585" s="1" t="s">
        <v>2270</v>
      </c>
      <c r="Q3585" s="3">
        <v>0</v>
      </c>
      <c r="R3585" s="23" t="s">
        <v>11933</v>
      </c>
      <c r="S3585" s="23" t="s">
        <v>5849</v>
      </c>
      <c r="T3585" s="23" t="s">
        <v>4866</v>
      </c>
      <c r="U3585" s="3">
        <v>35</v>
      </c>
      <c r="W3585" s="45" t="str">
        <f>HYPERLINK("http://ictvonline.org/taxonomy/p/taxonomy-history?taxnode_id=201905423","ICTVonline=201905423")</f>
        <v>ICTVonline=201905423</v>
      </c>
      <c r="Y3585" s="1" t="s">
        <v>12214</v>
      </c>
      <c r="Z3585" s="1" t="s">
        <v>12215</v>
      </c>
      <c r="AA3585" s="1">
        <v>201900000</v>
      </c>
      <c r="AB3585" s="1">
        <v>35</v>
      </c>
    </row>
    <row r="3586" spans="1:28" x14ac:dyDescent="0.2">
      <c r="A3586" s="1">
        <v>9257</v>
      </c>
      <c r="B3586" s="1" t="s">
        <v>6839</v>
      </c>
      <c r="D3586" s="1" t="s">
        <v>11735</v>
      </c>
      <c r="F3586" s="1" t="s">
        <v>11930</v>
      </c>
      <c r="H3586" s="1" t="s">
        <v>11931</v>
      </c>
      <c r="J3586" s="1" t="s">
        <v>11948</v>
      </c>
      <c r="L3586" s="1" t="s">
        <v>1982</v>
      </c>
      <c r="N3586" s="1" t="s">
        <v>438</v>
      </c>
      <c r="P3586" s="1" t="s">
        <v>2271</v>
      </c>
      <c r="Q3586" s="3">
        <v>0</v>
      </c>
      <c r="R3586" s="23" t="s">
        <v>11933</v>
      </c>
      <c r="S3586" s="23" t="s">
        <v>5849</v>
      </c>
      <c r="T3586" s="23" t="s">
        <v>4866</v>
      </c>
      <c r="U3586" s="3">
        <v>35</v>
      </c>
      <c r="W3586" s="45" t="str">
        <f>HYPERLINK("http://ictvonline.org/taxonomy/p/taxonomy-history?taxnode_id=201905424","ICTVonline=201905424")</f>
        <v>ICTVonline=201905424</v>
      </c>
      <c r="Y3586" s="1" t="s">
        <v>12216</v>
      </c>
      <c r="Z3586" s="1" t="s">
        <v>12217</v>
      </c>
      <c r="AA3586" s="1">
        <v>201900000</v>
      </c>
      <c r="AB3586" s="1">
        <v>35</v>
      </c>
    </row>
    <row r="3587" spans="1:28" x14ac:dyDescent="0.2">
      <c r="A3587" s="1">
        <v>9259</v>
      </c>
      <c r="B3587" s="1" t="s">
        <v>6839</v>
      </c>
      <c r="D3587" s="1" t="s">
        <v>11735</v>
      </c>
      <c r="F3587" s="1" t="s">
        <v>11930</v>
      </c>
      <c r="H3587" s="1" t="s">
        <v>11931</v>
      </c>
      <c r="J3587" s="1" t="s">
        <v>11948</v>
      </c>
      <c r="L3587" s="1" t="s">
        <v>1982</v>
      </c>
      <c r="N3587" s="1" t="s">
        <v>438</v>
      </c>
      <c r="P3587" s="1" t="s">
        <v>439</v>
      </c>
      <c r="Q3587" s="3">
        <v>0</v>
      </c>
      <c r="R3587" s="23" t="s">
        <v>11933</v>
      </c>
      <c r="S3587" s="23" t="s">
        <v>5849</v>
      </c>
      <c r="T3587" s="23" t="s">
        <v>4866</v>
      </c>
      <c r="U3587" s="3">
        <v>35</v>
      </c>
      <c r="W3587" s="45" t="str">
        <f>HYPERLINK("http://ictvonline.org/taxonomy/p/taxonomy-history?taxnode_id=201905425","ICTVonline=201905425")</f>
        <v>ICTVonline=201905425</v>
      </c>
      <c r="Y3587" s="1" t="s">
        <v>12218</v>
      </c>
      <c r="Z3587" s="1" t="s">
        <v>11804</v>
      </c>
      <c r="AA3587" s="1">
        <v>201900000</v>
      </c>
      <c r="AB3587" s="1">
        <v>35</v>
      </c>
    </row>
    <row r="3588" spans="1:28" x14ac:dyDescent="0.2">
      <c r="A3588" s="1">
        <v>9261</v>
      </c>
      <c r="B3588" s="1" t="s">
        <v>6839</v>
      </c>
      <c r="D3588" s="1" t="s">
        <v>11735</v>
      </c>
      <c r="F3588" s="1" t="s">
        <v>11930</v>
      </c>
      <c r="H3588" s="1" t="s">
        <v>11931</v>
      </c>
      <c r="J3588" s="1" t="s">
        <v>11948</v>
      </c>
      <c r="L3588" s="1" t="s">
        <v>1982</v>
      </c>
      <c r="N3588" s="1" t="s">
        <v>438</v>
      </c>
      <c r="P3588" s="1" t="s">
        <v>440</v>
      </c>
      <c r="Q3588" s="3">
        <v>0</v>
      </c>
      <c r="R3588" s="23" t="s">
        <v>11933</v>
      </c>
      <c r="S3588" s="23" t="s">
        <v>5849</v>
      </c>
      <c r="T3588" s="23" t="s">
        <v>4866</v>
      </c>
      <c r="U3588" s="3">
        <v>35</v>
      </c>
      <c r="W3588" s="45" t="str">
        <f>HYPERLINK("http://ictvonline.org/taxonomy/p/taxonomy-history?taxnode_id=201905426","ICTVonline=201905426")</f>
        <v>ICTVonline=201905426</v>
      </c>
      <c r="Y3588" s="1" t="s">
        <v>12219</v>
      </c>
      <c r="Z3588" s="1" t="s">
        <v>12220</v>
      </c>
      <c r="AA3588" s="1">
        <v>201900000</v>
      </c>
      <c r="AB3588" s="1">
        <v>35</v>
      </c>
    </row>
    <row r="3589" spans="1:28" x14ac:dyDescent="0.2">
      <c r="A3589" s="1">
        <v>9263</v>
      </c>
      <c r="B3589" s="1" t="s">
        <v>6839</v>
      </c>
      <c r="D3589" s="1" t="s">
        <v>11735</v>
      </c>
      <c r="F3589" s="1" t="s">
        <v>11930</v>
      </c>
      <c r="H3589" s="1" t="s">
        <v>11931</v>
      </c>
      <c r="J3589" s="1" t="s">
        <v>11948</v>
      </c>
      <c r="L3589" s="1" t="s">
        <v>1982</v>
      </c>
      <c r="N3589" s="1" t="s">
        <v>438</v>
      </c>
      <c r="P3589" s="1" t="s">
        <v>2272</v>
      </c>
      <c r="Q3589" s="3">
        <v>0</v>
      </c>
      <c r="R3589" s="23" t="s">
        <v>11933</v>
      </c>
      <c r="S3589" s="23" t="s">
        <v>5849</v>
      </c>
      <c r="T3589" s="23" t="s">
        <v>4866</v>
      </c>
      <c r="U3589" s="3">
        <v>35</v>
      </c>
      <c r="W3589" s="45" t="str">
        <f>HYPERLINK("http://ictvonline.org/taxonomy/p/taxonomy-history?taxnode_id=201905427","ICTVonline=201905427")</f>
        <v>ICTVonline=201905427</v>
      </c>
      <c r="Y3589" s="1" t="s">
        <v>12221</v>
      </c>
      <c r="Z3589" s="1" t="s">
        <v>12222</v>
      </c>
      <c r="AA3589" s="1">
        <v>201900000</v>
      </c>
      <c r="AB3589" s="1">
        <v>35</v>
      </c>
    </row>
    <row r="3590" spans="1:28" x14ac:dyDescent="0.2">
      <c r="A3590" s="1">
        <v>9265</v>
      </c>
      <c r="B3590" s="1" t="s">
        <v>6839</v>
      </c>
      <c r="D3590" s="1" t="s">
        <v>11735</v>
      </c>
      <c r="F3590" s="1" t="s">
        <v>11930</v>
      </c>
      <c r="H3590" s="1" t="s">
        <v>11931</v>
      </c>
      <c r="J3590" s="1" t="s">
        <v>11948</v>
      </c>
      <c r="L3590" s="1" t="s">
        <v>1982</v>
      </c>
      <c r="N3590" s="1" t="s">
        <v>438</v>
      </c>
      <c r="P3590" s="1" t="s">
        <v>441</v>
      </c>
      <c r="Q3590" s="3">
        <v>0</v>
      </c>
      <c r="R3590" s="23" t="s">
        <v>11933</v>
      </c>
      <c r="S3590" s="23" t="s">
        <v>5849</v>
      </c>
      <c r="T3590" s="23" t="s">
        <v>4866</v>
      </c>
      <c r="U3590" s="3">
        <v>35</v>
      </c>
      <c r="W3590" s="45" t="str">
        <f>HYPERLINK("http://ictvonline.org/taxonomy/p/taxonomy-history?taxnode_id=201905428","ICTVonline=201905428")</f>
        <v>ICTVonline=201905428</v>
      </c>
      <c r="Y3590" s="1" t="s">
        <v>12223</v>
      </c>
      <c r="Z3590" s="1" t="s">
        <v>12224</v>
      </c>
      <c r="AA3590" s="1">
        <v>201900000</v>
      </c>
      <c r="AB3590" s="1">
        <v>35</v>
      </c>
    </row>
    <row r="3591" spans="1:28" x14ac:dyDescent="0.2">
      <c r="A3591" s="1">
        <v>9267</v>
      </c>
      <c r="B3591" s="1" t="s">
        <v>6839</v>
      </c>
      <c r="D3591" s="1" t="s">
        <v>11735</v>
      </c>
      <c r="F3591" s="1" t="s">
        <v>11930</v>
      </c>
      <c r="H3591" s="1" t="s">
        <v>11931</v>
      </c>
      <c r="J3591" s="1" t="s">
        <v>11948</v>
      </c>
      <c r="L3591" s="1" t="s">
        <v>1982</v>
      </c>
      <c r="N3591" s="1" t="s">
        <v>438</v>
      </c>
      <c r="P3591" s="1" t="s">
        <v>442</v>
      </c>
      <c r="Q3591" s="3">
        <v>0</v>
      </c>
      <c r="R3591" s="23" t="s">
        <v>11933</v>
      </c>
      <c r="S3591" s="23" t="s">
        <v>5849</v>
      </c>
      <c r="T3591" s="23" t="s">
        <v>4866</v>
      </c>
      <c r="U3591" s="3">
        <v>35</v>
      </c>
      <c r="W3591" s="45" t="str">
        <f>HYPERLINK("http://ictvonline.org/taxonomy/p/taxonomy-history?taxnode_id=201905429","ICTVonline=201905429")</f>
        <v>ICTVonline=201905429</v>
      </c>
      <c r="Y3591" s="1" t="s">
        <v>12225</v>
      </c>
      <c r="Z3591" s="1" t="s">
        <v>12226</v>
      </c>
      <c r="AA3591" s="1">
        <v>201900000</v>
      </c>
      <c r="AB3591" s="1">
        <v>35</v>
      </c>
    </row>
    <row r="3592" spans="1:28" x14ac:dyDescent="0.2">
      <c r="A3592" s="1">
        <v>9269</v>
      </c>
      <c r="B3592" s="1" t="s">
        <v>6839</v>
      </c>
      <c r="D3592" s="1" t="s">
        <v>11735</v>
      </c>
      <c r="F3592" s="1" t="s">
        <v>11930</v>
      </c>
      <c r="H3592" s="1" t="s">
        <v>11931</v>
      </c>
      <c r="J3592" s="1" t="s">
        <v>11948</v>
      </c>
      <c r="L3592" s="1" t="s">
        <v>1982</v>
      </c>
      <c r="N3592" s="1" t="s">
        <v>438</v>
      </c>
      <c r="P3592" s="1" t="s">
        <v>443</v>
      </c>
      <c r="Q3592" s="3">
        <v>0</v>
      </c>
      <c r="R3592" s="23" t="s">
        <v>11933</v>
      </c>
      <c r="S3592" s="23" t="s">
        <v>5849</v>
      </c>
      <c r="T3592" s="23" t="s">
        <v>4866</v>
      </c>
      <c r="U3592" s="3">
        <v>35</v>
      </c>
      <c r="W3592" s="45" t="str">
        <f>HYPERLINK("http://ictvonline.org/taxonomy/p/taxonomy-history?taxnode_id=201905430","ICTVonline=201905430")</f>
        <v>ICTVonline=201905430</v>
      </c>
      <c r="Y3592" s="1" t="s">
        <v>12227</v>
      </c>
      <c r="Z3592" s="1" t="s">
        <v>12228</v>
      </c>
      <c r="AA3592" s="1">
        <v>201900000</v>
      </c>
      <c r="AB3592" s="1">
        <v>35</v>
      </c>
    </row>
    <row r="3593" spans="1:28" x14ac:dyDescent="0.2">
      <c r="A3593" s="1">
        <v>9271</v>
      </c>
      <c r="B3593" s="1" t="s">
        <v>6839</v>
      </c>
      <c r="D3593" s="1" t="s">
        <v>11735</v>
      </c>
      <c r="F3593" s="1" t="s">
        <v>11930</v>
      </c>
      <c r="H3593" s="1" t="s">
        <v>11931</v>
      </c>
      <c r="J3593" s="1" t="s">
        <v>11948</v>
      </c>
      <c r="L3593" s="1" t="s">
        <v>1982</v>
      </c>
      <c r="N3593" s="1" t="s">
        <v>438</v>
      </c>
      <c r="P3593" s="1" t="s">
        <v>444</v>
      </c>
      <c r="Q3593" s="3">
        <v>0</v>
      </c>
      <c r="R3593" s="23" t="s">
        <v>11933</v>
      </c>
      <c r="S3593" s="23" t="s">
        <v>5849</v>
      </c>
      <c r="T3593" s="23" t="s">
        <v>4866</v>
      </c>
      <c r="U3593" s="3">
        <v>35</v>
      </c>
      <c r="W3593" s="45" t="str">
        <f>HYPERLINK("http://ictvonline.org/taxonomy/p/taxonomy-history?taxnode_id=201905431","ICTVonline=201905431")</f>
        <v>ICTVonline=201905431</v>
      </c>
      <c r="Y3593" s="1" t="s">
        <v>12229</v>
      </c>
      <c r="Z3593" s="1" t="s">
        <v>12230</v>
      </c>
      <c r="AA3593" s="1">
        <v>201900000</v>
      </c>
      <c r="AB3593" s="1">
        <v>35</v>
      </c>
    </row>
    <row r="3594" spans="1:28" x14ac:dyDescent="0.2">
      <c r="A3594" s="1">
        <v>9273</v>
      </c>
      <c r="B3594" s="1" t="s">
        <v>6839</v>
      </c>
      <c r="D3594" s="1" t="s">
        <v>11735</v>
      </c>
      <c r="F3594" s="1" t="s">
        <v>11930</v>
      </c>
      <c r="H3594" s="1" t="s">
        <v>11931</v>
      </c>
      <c r="J3594" s="1" t="s">
        <v>11948</v>
      </c>
      <c r="L3594" s="1" t="s">
        <v>1982</v>
      </c>
      <c r="N3594" s="1" t="s">
        <v>438</v>
      </c>
      <c r="P3594" s="1" t="s">
        <v>2273</v>
      </c>
      <c r="Q3594" s="3">
        <v>0</v>
      </c>
      <c r="R3594" s="23" t="s">
        <v>11933</v>
      </c>
      <c r="S3594" s="23" t="s">
        <v>5849</v>
      </c>
      <c r="T3594" s="23" t="s">
        <v>4866</v>
      </c>
      <c r="U3594" s="3">
        <v>35</v>
      </c>
      <c r="W3594" s="45" t="str">
        <f>HYPERLINK("http://ictvonline.org/taxonomy/p/taxonomy-history?taxnode_id=201905432","ICTVonline=201905432")</f>
        <v>ICTVonline=201905432</v>
      </c>
      <c r="Y3594" s="1" t="s">
        <v>12231</v>
      </c>
      <c r="Z3594" s="1" t="s">
        <v>12232</v>
      </c>
      <c r="AA3594" s="1">
        <v>201900000</v>
      </c>
      <c r="AB3594" s="1">
        <v>35</v>
      </c>
    </row>
    <row r="3595" spans="1:28" x14ac:dyDescent="0.2">
      <c r="A3595" s="1">
        <v>9275</v>
      </c>
      <c r="B3595" s="1" t="s">
        <v>6839</v>
      </c>
      <c r="D3595" s="1" t="s">
        <v>11735</v>
      </c>
      <c r="F3595" s="1" t="s">
        <v>11930</v>
      </c>
      <c r="H3595" s="1" t="s">
        <v>11931</v>
      </c>
      <c r="J3595" s="1" t="s">
        <v>11948</v>
      </c>
      <c r="L3595" s="1" t="s">
        <v>1982</v>
      </c>
      <c r="N3595" s="1" t="s">
        <v>438</v>
      </c>
      <c r="P3595" s="1" t="s">
        <v>424</v>
      </c>
      <c r="Q3595" s="3">
        <v>0</v>
      </c>
      <c r="R3595" s="23" t="s">
        <v>11933</v>
      </c>
      <c r="S3595" s="23" t="s">
        <v>5849</v>
      </c>
      <c r="T3595" s="23" t="s">
        <v>4866</v>
      </c>
      <c r="U3595" s="3">
        <v>35</v>
      </c>
      <c r="W3595" s="45" t="str">
        <f>HYPERLINK("http://ictvonline.org/taxonomy/p/taxonomy-history?taxnode_id=201905433","ICTVonline=201905433")</f>
        <v>ICTVonline=201905433</v>
      </c>
      <c r="Y3595" s="1" t="s">
        <v>12233</v>
      </c>
      <c r="Z3595" s="1" t="s">
        <v>12234</v>
      </c>
      <c r="AA3595" s="1">
        <v>201900000</v>
      </c>
      <c r="AB3595" s="1">
        <v>35</v>
      </c>
    </row>
    <row r="3596" spans="1:28" x14ac:dyDescent="0.2">
      <c r="A3596" s="1">
        <v>9277</v>
      </c>
      <c r="B3596" s="1" t="s">
        <v>6839</v>
      </c>
      <c r="D3596" s="1" t="s">
        <v>11735</v>
      </c>
      <c r="F3596" s="1" t="s">
        <v>11930</v>
      </c>
      <c r="H3596" s="1" t="s">
        <v>11931</v>
      </c>
      <c r="J3596" s="1" t="s">
        <v>11948</v>
      </c>
      <c r="L3596" s="1" t="s">
        <v>1982</v>
      </c>
      <c r="N3596" s="1" t="s">
        <v>438</v>
      </c>
      <c r="P3596" s="1" t="s">
        <v>425</v>
      </c>
      <c r="Q3596" s="3">
        <v>0</v>
      </c>
      <c r="R3596" s="23" t="s">
        <v>11933</v>
      </c>
      <c r="S3596" s="23" t="s">
        <v>5849</v>
      </c>
      <c r="T3596" s="23" t="s">
        <v>4866</v>
      </c>
      <c r="U3596" s="3">
        <v>35</v>
      </c>
      <c r="W3596" s="45" t="str">
        <f>HYPERLINK("http://ictvonline.org/taxonomy/p/taxonomy-history?taxnode_id=201905434","ICTVonline=201905434")</f>
        <v>ICTVonline=201905434</v>
      </c>
      <c r="Y3596" s="1" t="s">
        <v>12235</v>
      </c>
      <c r="Z3596" s="1" t="s">
        <v>12236</v>
      </c>
      <c r="AA3596" s="1">
        <v>201900000</v>
      </c>
      <c r="AB3596" s="1">
        <v>35</v>
      </c>
    </row>
    <row r="3597" spans="1:28" x14ac:dyDescent="0.2">
      <c r="A3597" s="1">
        <v>9279</v>
      </c>
      <c r="B3597" s="1" t="s">
        <v>6839</v>
      </c>
      <c r="D3597" s="1" t="s">
        <v>11735</v>
      </c>
      <c r="F3597" s="1" t="s">
        <v>11930</v>
      </c>
      <c r="H3597" s="1" t="s">
        <v>11931</v>
      </c>
      <c r="J3597" s="1" t="s">
        <v>11948</v>
      </c>
      <c r="L3597" s="1" t="s">
        <v>1982</v>
      </c>
      <c r="N3597" s="1" t="s">
        <v>438</v>
      </c>
      <c r="P3597" s="1" t="s">
        <v>5526</v>
      </c>
      <c r="Q3597" s="3">
        <v>0</v>
      </c>
      <c r="R3597" s="23" t="s">
        <v>11933</v>
      </c>
      <c r="S3597" s="23" t="s">
        <v>5849</v>
      </c>
      <c r="T3597" s="23" t="s">
        <v>4866</v>
      </c>
      <c r="U3597" s="3">
        <v>35</v>
      </c>
      <c r="W3597" s="45" t="str">
        <f>HYPERLINK("http://ictvonline.org/taxonomy/p/taxonomy-history?taxnode_id=201905442","ICTVonline=201905442")</f>
        <v>ICTVonline=201905442</v>
      </c>
      <c r="AA3597" s="1">
        <v>201900000</v>
      </c>
      <c r="AB3597" s="1">
        <v>35</v>
      </c>
    </row>
    <row r="3598" spans="1:28" x14ac:dyDescent="0.2">
      <c r="A3598" s="1">
        <v>9281</v>
      </c>
      <c r="B3598" s="1" t="s">
        <v>6839</v>
      </c>
      <c r="D3598" s="1" t="s">
        <v>11735</v>
      </c>
      <c r="F3598" s="1" t="s">
        <v>11930</v>
      </c>
      <c r="H3598" s="1" t="s">
        <v>11931</v>
      </c>
      <c r="J3598" s="1" t="s">
        <v>11948</v>
      </c>
      <c r="L3598" s="1" t="s">
        <v>1982</v>
      </c>
      <c r="N3598" s="1" t="s">
        <v>438</v>
      </c>
      <c r="P3598" s="1" t="s">
        <v>426</v>
      </c>
      <c r="Q3598" s="3">
        <v>0</v>
      </c>
      <c r="R3598" s="23" t="s">
        <v>11933</v>
      </c>
      <c r="S3598" s="23" t="s">
        <v>5849</v>
      </c>
      <c r="T3598" s="23" t="s">
        <v>4866</v>
      </c>
      <c r="U3598" s="3">
        <v>35</v>
      </c>
      <c r="W3598" s="45" t="str">
        <f>HYPERLINK("http://ictvonline.org/taxonomy/p/taxonomy-history?taxnode_id=201905435","ICTVonline=201905435")</f>
        <v>ICTVonline=201905435</v>
      </c>
      <c r="Y3598" s="1" t="s">
        <v>12237</v>
      </c>
      <c r="Z3598" s="1" t="s">
        <v>12238</v>
      </c>
      <c r="AA3598" s="1">
        <v>201900000</v>
      </c>
      <c r="AB3598" s="1">
        <v>35</v>
      </c>
    </row>
    <row r="3599" spans="1:28" x14ac:dyDescent="0.2">
      <c r="A3599" s="1">
        <v>9283</v>
      </c>
      <c r="B3599" s="1" t="s">
        <v>6839</v>
      </c>
      <c r="D3599" s="1" t="s">
        <v>11735</v>
      </c>
      <c r="F3599" s="1" t="s">
        <v>11930</v>
      </c>
      <c r="H3599" s="1" t="s">
        <v>11931</v>
      </c>
      <c r="J3599" s="1" t="s">
        <v>11948</v>
      </c>
      <c r="L3599" s="1" t="s">
        <v>1982</v>
      </c>
      <c r="N3599" s="1" t="s">
        <v>438</v>
      </c>
      <c r="P3599" s="1" t="s">
        <v>2274</v>
      </c>
      <c r="Q3599" s="3">
        <v>0</v>
      </c>
      <c r="R3599" s="23" t="s">
        <v>11933</v>
      </c>
      <c r="S3599" s="23" t="s">
        <v>5849</v>
      </c>
      <c r="T3599" s="23" t="s">
        <v>4866</v>
      </c>
      <c r="U3599" s="3">
        <v>35</v>
      </c>
      <c r="W3599" s="45" t="str">
        <f>HYPERLINK("http://ictvonline.org/taxonomy/p/taxonomy-history?taxnode_id=201905436","ICTVonline=201905436")</f>
        <v>ICTVonline=201905436</v>
      </c>
      <c r="Y3599" s="1" t="s">
        <v>12239</v>
      </c>
      <c r="Z3599" s="1" t="s">
        <v>11977</v>
      </c>
      <c r="AA3599" s="1">
        <v>201900000</v>
      </c>
      <c r="AB3599" s="1">
        <v>35</v>
      </c>
    </row>
    <row r="3600" spans="1:28" x14ac:dyDescent="0.2">
      <c r="A3600" s="1">
        <v>9285</v>
      </c>
      <c r="B3600" s="1" t="s">
        <v>6839</v>
      </c>
      <c r="D3600" s="1" t="s">
        <v>11735</v>
      </c>
      <c r="F3600" s="1" t="s">
        <v>11930</v>
      </c>
      <c r="H3600" s="1" t="s">
        <v>11931</v>
      </c>
      <c r="J3600" s="1" t="s">
        <v>11948</v>
      </c>
      <c r="L3600" s="1" t="s">
        <v>1982</v>
      </c>
      <c r="N3600" s="1" t="s">
        <v>438</v>
      </c>
      <c r="P3600" s="1" t="s">
        <v>301</v>
      </c>
      <c r="Q3600" s="3">
        <v>0</v>
      </c>
      <c r="R3600" s="23" t="s">
        <v>11933</v>
      </c>
      <c r="S3600" s="23" t="s">
        <v>5849</v>
      </c>
      <c r="T3600" s="23" t="s">
        <v>4866</v>
      </c>
      <c r="U3600" s="3">
        <v>35</v>
      </c>
      <c r="W3600" s="45" t="str">
        <f>HYPERLINK("http://ictvonline.org/taxonomy/p/taxonomy-history?taxnode_id=201905437","ICTVonline=201905437")</f>
        <v>ICTVonline=201905437</v>
      </c>
      <c r="Y3600" s="1" t="s">
        <v>12240</v>
      </c>
      <c r="Z3600" s="1" t="s">
        <v>11935</v>
      </c>
      <c r="AA3600" s="1">
        <v>201900000</v>
      </c>
      <c r="AB3600" s="1">
        <v>35</v>
      </c>
    </row>
    <row r="3601" spans="1:28" x14ac:dyDescent="0.2">
      <c r="A3601" s="1">
        <v>9287</v>
      </c>
      <c r="B3601" s="1" t="s">
        <v>6839</v>
      </c>
      <c r="D3601" s="1" t="s">
        <v>11735</v>
      </c>
      <c r="F3601" s="1" t="s">
        <v>11930</v>
      </c>
      <c r="H3601" s="1" t="s">
        <v>11931</v>
      </c>
      <c r="J3601" s="1" t="s">
        <v>11948</v>
      </c>
      <c r="L3601" s="1" t="s">
        <v>1982</v>
      </c>
      <c r="N3601" s="1" t="s">
        <v>438</v>
      </c>
      <c r="P3601" s="1" t="s">
        <v>4861</v>
      </c>
      <c r="Q3601" s="3">
        <v>0</v>
      </c>
      <c r="R3601" s="23" t="s">
        <v>11933</v>
      </c>
      <c r="S3601" s="23" t="s">
        <v>5849</v>
      </c>
      <c r="T3601" s="23" t="s">
        <v>4866</v>
      </c>
      <c r="U3601" s="3">
        <v>35</v>
      </c>
      <c r="W3601" s="45" t="str">
        <f>HYPERLINK("http://ictvonline.org/taxonomy/p/taxonomy-history?taxnode_id=201905438","ICTVonline=201905438")</f>
        <v>ICTVonline=201905438</v>
      </c>
      <c r="Y3601" s="1" t="s">
        <v>12241</v>
      </c>
      <c r="Z3601" s="1" t="s">
        <v>12242</v>
      </c>
      <c r="AA3601" s="1">
        <v>201900000</v>
      </c>
      <c r="AB3601" s="1">
        <v>35</v>
      </c>
    </row>
    <row r="3602" spans="1:28" x14ac:dyDescent="0.2">
      <c r="A3602" s="1">
        <v>9289</v>
      </c>
      <c r="B3602" s="1" t="s">
        <v>6839</v>
      </c>
      <c r="D3602" s="1" t="s">
        <v>11735</v>
      </c>
      <c r="F3602" s="1" t="s">
        <v>11930</v>
      </c>
      <c r="H3602" s="1" t="s">
        <v>11931</v>
      </c>
      <c r="J3602" s="1" t="s">
        <v>11948</v>
      </c>
      <c r="L3602" s="1" t="s">
        <v>1982</v>
      </c>
      <c r="N3602" s="1" t="s">
        <v>438</v>
      </c>
      <c r="P3602" s="1" t="s">
        <v>2275</v>
      </c>
      <c r="Q3602" s="3">
        <v>0</v>
      </c>
      <c r="R3602" s="23" t="s">
        <v>11933</v>
      </c>
      <c r="S3602" s="23" t="s">
        <v>5849</v>
      </c>
      <c r="T3602" s="23" t="s">
        <v>4866</v>
      </c>
      <c r="U3602" s="3">
        <v>35</v>
      </c>
      <c r="W3602" s="45" t="str">
        <f>HYPERLINK("http://ictvonline.org/taxonomy/p/taxonomy-history?taxnode_id=201905439","ICTVonline=201905439")</f>
        <v>ICTVonline=201905439</v>
      </c>
      <c r="Y3602" s="1" t="s">
        <v>12243</v>
      </c>
      <c r="Z3602" s="1" t="s">
        <v>12244</v>
      </c>
      <c r="AA3602" s="1">
        <v>201900000</v>
      </c>
      <c r="AB3602" s="1">
        <v>35</v>
      </c>
    </row>
    <row r="3603" spans="1:28" x14ac:dyDescent="0.2">
      <c r="A3603" s="1">
        <v>9291</v>
      </c>
      <c r="B3603" s="1" t="s">
        <v>6839</v>
      </c>
      <c r="D3603" s="1" t="s">
        <v>11735</v>
      </c>
      <c r="F3603" s="1" t="s">
        <v>11930</v>
      </c>
      <c r="H3603" s="1" t="s">
        <v>11931</v>
      </c>
      <c r="J3603" s="1" t="s">
        <v>11948</v>
      </c>
      <c r="L3603" s="1" t="s">
        <v>1982</v>
      </c>
      <c r="N3603" s="1" t="s">
        <v>438</v>
      </c>
      <c r="P3603" s="1" t="s">
        <v>1513</v>
      </c>
      <c r="Q3603" s="3">
        <v>0</v>
      </c>
      <c r="R3603" s="23" t="s">
        <v>11933</v>
      </c>
      <c r="S3603" s="23" t="s">
        <v>5849</v>
      </c>
      <c r="T3603" s="23" t="s">
        <v>4866</v>
      </c>
      <c r="U3603" s="3">
        <v>35</v>
      </c>
      <c r="W3603" s="45" t="str">
        <f>HYPERLINK("http://ictvonline.org/taxonomy/p/taxonomy-history?taxnode_id=201905440","ICTVonline=201905440")</f>
        <v>ICTVonline=201905440</v>
      </c>
      <c r="Y3603" s="1" t="s">
        <v>12245</v>
      </c>
      <c r="Z3603" s="1" t="s">
        <v>12246</v>
      </c>
      <c r="AA3603" s="1">
        <v>201900000</v>
      </c>
      <c r="AB3603" s="1">
        <v>35</v>
      </c>
    </row>
    <row r="3604" spans="1:28" x14ac:dyDescent="0.2">
      <c r="A3604" s="1">
        <v>9293</v>
      </c>
      <c r="B3604" s="1" t="s">
        <v>6839</v>
      </c>
      <c r="D3604" s="1" t="s">
        <v>11735</v>
      </c>
      <c r="F3604" s="1" t="s">
        <v>11930</v>
      </c>
      <c r="H3604" s="1" t="s">
        <v>11931</v>
      </c>
      <c r="J3604" s="1" t="s">
        <v>11948</v>
      </c>
      <c r="L3604" s="1" t="s">
        <v>1982</v>
      </c>
      <c r="N3604" s="1" t="s">
        <v>438</v>
      </c>
      <c r="P3604" s="1" t="s">
        <v>302</v>
      </c>
      <c r="Q3604" s="3">
        <v>0</v>
      </c>
      <c r="R3604" s="23" t="s">
        <v>11933</v>
      </c>
      <c r="S3604" s="23" t="s">
        <v>5849</v>
      </c>
      <c r="T3604" s="23" t="s">
        <v>4866</v>
      </c>
      <c r="U3604" s="3">
        <v>35</v>
      </c>
      <c r="W3604" s="45" t="str">
        <f>HYPERLINK("http://ictvonline.org/taxonomy/p/taxonomy-history?taxnode_id=201905441","ICTVonline=201905441")</f>
        <v>ICTVonline=201905441</v>
      </c>
      <c r="Y3604" s="1" t="s">
        <v>12247</v>
      </c>
      <c r="Z3604" s="1" t="s">
        <v>12248</v>
      </c>
      <c r="AA3604" s="1">
        <v>201900000</v>
      </c>
      <c r="AB3604" s="1">
        <v>35</v>
      </c>
    </row>
    <row r="3605" spans="1:28" x14ac:dyDescent="0.2">
      <c r="A3605" s="1">
        <v>9295</v>
      </c>
      <c r="B3605" s="1" t="s">
        <v>6839</v>
      </c>
      <c r="D3605" s="1" t="s">
        <v>11735</v>
      </c>
      <c r="F3605" s="1" t="s">
        <v>11930</v>
      </c>
      <c r="H3605" s="1" t="s">
        <v>11931</v>
      </c>
      <c r="J3605" s="1" t="s">
        <v>11948</v>
      </c>
      <c r="L3605" s="1" t="s">
        <v>1982</v>
      </c>
      <c r="N3605" s="1" t="s">
        <v>438</v>
      </c>
      <c r="P3605" s="1" t="s">
        <v>1515</v>
      </c>
      <c r="Q3605" s="3">
        <v>0</v>
      </c>
      <c r="R3605" s="23" t="s">
        <v>11933</v>
      </c>
      <c r="S3605" s="23" t="s">
        <v>5849</v>
      </c>
      <c r="T3605" s="23" t="s">
        <v>4866</v>
      </c>
      <c r="U3605" s="3">
        <v>35</v>
      </c>
      <c r="W3605" s="45" t="str">
        <f>HYPERLINK("http://ictvonline.org/taxonomy/p/taxonomy-history?taxnode_id=201905443","ICTVonline=201905443")</f>
        <v>ICTVonline=201905443</v>
      </c>
      <c r="Y3605" s="1" t="s">
        <v>12249</v>
      </c>
      <c r="Z3605" s="1" t="s">
        <v>12250</v>
      </c>
      <c r="AA3605" s="1">
        <v>201900000</v>
      </c>
      <c r="AB3605" s="1">
        <v>35</v>
      </c>
    </row>
    <row r="3606" spans="1:28" x14ac:dyDescent="0.2">
      <c r="A3606" s="1">
        <v>9297</v>
      </c>
      <c r="B3606" s="1" t="s">
        <v>6839</v>
      </c>
      <c r="D3606" s="1" t="s">
        <v>11735</v>
      </c>
      <c r="F3606" s="1" t="s">
        <v>11930</v>
      </c>
      <c r="H3606" s="1" t="s">
        <v>11931</v>
      </c>
      <c r="J3606" s="1" t="s">
        <v>11948</v>
      </c>
      <c r="L3606" s="1" t="s">
        <v>1982</v>
      </c>
      <c r="N3606" s="1" t="s">
        <v>438</v>
      </c>
      <c r="P3606" s="1" t="s">
        <v>303</v>
      </c>
      <c r="Q3606" s="3">
        <v>0</v>
      </c>
      <c r="R3606" s="23" t="s">
        <v>11933</v>
      </c>
      <c r="S3606" s="23" t="s">
        <v>5849</v>
      </c>
      <c r="T3606" s="23" t="s">
        <v>4866</v>
      </c>
      <c r="U3606" s="3">
        <v>35</v>
      </c>
      <c r="W3606" s="45" t="str">
        <f>HYPERLINK("http://ictvonline.org/taxonomy/p/taxonomy-history?taxnode_id=201905444","ICTVonline=201905444")</f>
        <v>ICTVonline=201905444</v>
      </c>
      <c r="AA3606" s="1">
        <v>201900000</v>
      </c>
      <c r="AB3606" s="1">
        <v>35</v>
      </c>
    </row>
    <row r="3607" spans="1:28" x14ac:dyDescent="0.2">
      <c r="A3607" s="1">
        <v>9299</v>
      </c>
      <c r="B3607" s="1" t="s">
        <v>6839</v>
      </c>
      <c r="D3607" s="1" t="s">
        <v>11735</v>
      </c>
      <c r="F3607" s="1" t="s">
        <v>11930</v>
      </c>
      <c r="H3607" s="1" t="s">
        <v>11931</v>
      </c>
      <c r="J3607" s="1" t="s">
        <v>11948</v>
      </c>
      <c r="L3607" s="1" t="s">
        <v>1982</v>
      </c>
      <c r="N3607" s="1" t="s">
        <v>438</v>
      </c>
      <c r="P3607" s="1" t="s">
        <v>1170</v>
      </c>
      <c r="Q3607" s="3">
        <v>0</v>
      </c>
      <c r="R3607" s="23" t="s">
        <v>11933</v>
      </c>
      <c r="S3607" s="23" t="s">
        <v>5849</v>
      </c>
      <c r="T3607" s="23" t="s">
        <v>4866</v>
      </c>
      <c r="U3607" s="3">
        <v>35</v>
      </c>
      <c r="W3607" s="45" t="str">
        <f>HYPERLINK("http://ictvonline.org/taxonomy/p/taxonomy-history?taxnode_id=201905445","ICTVonline=201905445")</f>
        <v>ICTVonline=201905445</v>
      </c>
      <c r="AA3607" s="1">
        <v>201900000</v>
      </c>
      <c r="AB3607" s="1">
        <v>35</v>
      </c>
    </row>
    <row r="3608" spans="1:28" x14ac:dyDescent="0.2">
      <c r="A3608" s="1">
        <v>9301</v>
      </c>
      <c r="B3608" s="1" t="s">
        <v>6839</v>
      </c>
      <c r="D3608" s="1" t="s">
        <v>11735</v>
      </c>
      <c r="F3608" s="1" t="s">
        <v>11930</v>
      </c>
      <c r="H3608" s="1" t="s">
        <v>11931</v>
      </c>
      <c r="J3608" s="1" t="s">
        <v>11948</v>
      </c>
      <c r="L3608" s="1" t="s">
        <v>1982</v>
      </c>
      <c r="N3608" s="1" t="s">
        <v>438</v>
      </c>
      <c r="P3608" s="1" t="s">
        <v>1688</v>
      </c>
      <c r="Q3608" s="3">
        <v>0</v>
      </c>
      <c r="R3608" s="23" t="s">
        <v>11933</v>
      </c>
      <c r="S3608" s="23" t="s">
        <v>5849</v>
      </c>
      <c r="T3608" s="23" t="s">
        <v>4866</v>
      </c>
      <c r="U3608" s="3">
        <v>35</v>
      </c>
      <c r="W3608" s="45" t="str">
        <f>HYPERLINK("http://ictvonline.org/taxonomy/p/taxonomy-history?taxnode_id=201905446","ICTVonline=201905446")</f>
        <v>ICTVonline=201905446</v>
      </c>
      <c r="Y3608" s="1" t="s">
        <v>12251</v>
      </c>
      <c r="Z3608" s="1" t="s">
        <v>12252</v>
      </c>
      <c r="AA3608" s="1">
        <v>201900000</v>
      </c>
      <c r="AB3608" s="1">
        <v>35</v>
      </c>
    </row>
    <row r="3609" spans="1:28" x14ac:dyDescent="0.2">
      <c r="A3609" s="1">
        <v>9303</v>
      </c>
      <c r="B3609" s="1" t="s">
        <v>6839</v>
      </c>
      <c r="D3609" s="1" t="s">
        <v>11735</v>
      </c>
      <c r="F3609" s="1" t="s">
        <v>11930</v>
      </c>
      <c r="H3609" s="1" t="s">
        <v>11931</v>
      </c>
      <c r="J3609" s="1" t="s">
        <v>11948</v>
      </c>
      <c r="L3609" s="1" t="s">
        <v>1982</v>
      </c>
      <c r="N3609" s="1" t="s">
        <v>438</v>
      </c>
      <c r="P3609" s="1" t="s">
        <v>1689</v>
      </c>
      <c r="Q3609" s="3">
        <v>1</v>
      </c>
      <c r="R3609" s="23" t="s">
        <v>11933</v>
      </c>
      <c r="S3609" s="23" t="s">
        <v>5849</v>
      </c>
      <c r="T3609" s="23" t="s">
        <v>4866</v>
      </c>
      <c r="U3609" s="3">
        <v>35</v>
      </c>
      <c r="W3609" s="45" t="str">
        <f>HYPERLINK("http://ictvonline.org/taxonomy/p/taxonomy-history?taxnode_id=201905447","ICTVonline=201905447")</f>
        <v>ICTVonline=201905447</v>
      </c>
      <c r="Y3609" s="1" t="s">
        <v>12253</v>
      </c>
      <c r="Z3609" s="1" t="s">
        <v>12254</v>
      </c>
      <c r="AA3609" s="1">
        <v>201900000</v>
      </c>
      <c r="AB3609" s="1">
        <v>35</v>
      </c>
    </row>
    <row r="3610" spans="1:28" x14ac:dyDescent="0.2">
      <c r="A3610" s="1">
        <v>9305</v>
      </c>
      <c r="B3610" s="1" t="s">
        <v>6839</v>
      </c>
      <c r="D3610" s="1" t="s">
        <v>11735</v>
      </c>
      <c r="F3610" s="1" t="s">
        <v>11930</v>
      </c>
      <c r="H3610" s="1" t="s">
        <v>11931</v>
      </c>
      <c r="J3610" s="1" t="s">
        <v>11948</v>
      </c>
      <c r="L3610" s="1" t="s">
        <v>1982</v>
      </c>
      <c r="N3610" s="1" t="s">
        <v>438</v>
      </c>
      <c r="P3610" s="1" t="s">
        <v>4862</v>
      </c>
      <c r="Q3610" s="3">
        <v>0</v>
      </c>
      <c r="R3610" s="23" t="s">
        <v>11933</v>
      </c>
      <c r="S3610" s="23" t="s">
        <v>5849</v>
      </c>
      <c r="T3610" s="23" t="s">
        <v>4866</v>
      </c>
      <c r="U3610" s="3">
        <v>35</v>
      </c>
      <c r="W3610" s="45" t="str">
        <f>HYPERLINK("http://ictvonline.org/taxonomy/p/taxonomy-history?taxnode_id=201905448","ICTVonline=201905448")</f>
        <v>ICTVonline=201905448</v>
      </c>
      <c r="Y3610" s="1" t="s">
        <v>12255</v>
      </c>
      <c r="Z3610" s="1" t="s">
        <v>12256</v>
      </c>
      <c r="AA3610" s="1">
        <v>201900000</v>
      </c>
      <c r="AB3610" s="1">
        <v>35</v>
      </c>
    </row>
    <row r="3611" spans="1:28" x14ac:dyDescent="0.2">
      <c r="A3611" s="1">
        <v>9307</v>
      </c>
      <c r="B3611" s="1" t="s">
        <v>6839</v>
      </c>
      <c r="D3611" s="1" t="s">
        <v>11735</v>
      </c>
      <c r="F3611" s="1" t="s">
        <v>11930</v>
      </c>
      <c r="H3611" s="1" t="s">
        <v>11931</v>
      </c>
      <c r="J3611" s="1" t="s">
        <v>11948</v>
      </c>
      <c r="L3611" s="1" t="s">
        <v>1982</v>
      </c>
      <c r="N3611" s="1" t="s">
        <v>438</v>
      </c>
      <c r="P3611" s="1" t="s">
        <v>1690</v>
      </c>
      <c r="Q3611" s="3">
        <v>0</v>
      </c>
      <c r="R3611" s="23" t="s">
        <v>11933</v>
      </c>
      <c r="S3611" s="23" t="s">
        <v>5849</v>
      </c>
      <c r="T3611" s="23" t="s">
        <v>4866</v>
      </c>
      <c r="U3611" s="3">
        <v>35</v>
      </c>
      <c r="W3611" s="45" t="str">
        <f>HYPERLINK("http://ictvonline.org/taxonomy/p/taxonomy-history?taxnode_id=201905449","ICTVonline=201905449")</f>
        <v>ICTVonline=201905449</v>
      </c>
      <c r="Y3611" s="1" t="s">
        <v>12257</v>
      </c>
      <c r="Z3611" s="1" t="s">
        <v>12258</v>
      </c>
      <c r="AA3611" s="1">
        <v>201900000</v>
      </c>
      <c r="AB3611" s="1">
        <v>35</v>
      </c>
    </row>
    <row r="3612" spans="1:28" x14ac:dyDescent="0.2">
      <c r="A3612" s="1">
        <v>9309</v>
      </c>
      <c r="B3612" s="1" t="s">
        <v>6839</v>
      </c>
      <c r="D3612" s="1" t="s">
        <v>11735</v>
      </c>
      <c r="F3612" s="1" t="s">
        <v>11930</v>
      </c>
      <c r="H3612" s="1" t="s">
        <v>11931</v>
      </c>
      <c r="J3612" s="1" t="s">
        <v>11948</v>
      </c>
      <c r="L3612" s="1" t="s">
        <v>1982</v>
      </c>
      <c r="N3612" s="1" t="s">
        <v>438</v>
      </c>
      <c r="P3612" s="1" t="s">
        <v>2716</v>
      </c>
      <c r="Q3612" s="3">
        <v>0</v>
      </c>
      <c r="R3612" s="23" t="s">
        <v>11933</v>
      </c>
      <c r="S3612" s="23" t="s">
        <v>5849</v>
      </c>
      <c r="T3612" s="23" t="s">
        <v>4866</v>
      </c>
      <c r="U3612" s="3">
        <v>35</v>
      </c>
      <c r="W3612" s="45" t="str">
        <f>HYPERLINK("http://ictvonline.org/taxonomy/p/taxonomy-history?taxnode_id=201905450","ICTVonline=201905450")</f>
        <v>ICTVonline=201905450</v>
      </c>
      <c r="X3612" s="1" t="s">
        <v>12259</v>
      </c>
      <c r="Y3612" s="1" t="s">
        <v>12260</v>
      </c>
      <c r="Z3612" s="1" t="s">
        <v>12261</v>
      </c>
      <c r="AA3612" s="1">
        <v>201900000</v>
      </c>
      <c r="AB3612" s="1">
        <v>35</v>
      </c>
    </row>
    <row r="3613" spans="1:28" x14ac:dyDescent="0.2">
      <c r="A3613" s="1">
        <v>9311</v>
      </c>
      <c r="B3613" s="1" t="s">
        <v>6839</v>
      </c>
      <c r="D3613" s="1" t="s">
        <v>11735</v>
      </c>
      <c r="F3613" s="1" t="s">
        <v>11930</v>
      </c>
      <c r="H3613" s="1" t="s">
        <v>11931</v>
      </c>
      <c r="J3613" s="1" t="s">
        <v>11948</v>
      </c>
      <c r="L3613" s="1" t="s">
        <v>1982</v>
      </c>
      <c r="N3613" s="1" t="s">
        <v>438</v>
      </c>
      <c r="P3613" s="1" t="s">
        <v>2276</v>
      </c>
      <c r="Q3613" s="3">
        <v>0</v>
      </c>
      <c r="R3613" s="23" t="s">
        <v>11933</v>
      </c>
      <c r="S3613" s="23" t="s">
        <v>5849</v>
      </c>
      <c r="T3613" s="23" t="s">
        <v>4866</v>
      </c>
      <c r="U3613" s="3">
        <v>35</v>
      </c>
      <c r="W3613" s="45" t="str">
        <f>HYPERLINK("http://ictvonline.org/taxonomy/p/taxonomy-history?taxnode_id=201905451","ICTVonline=201905451")</f>
        <v>ICTVonline=201905451</v>
      </c>
      <c r="AA3613" s="1">
        <v>201900000</v>
      </c>
      <c r="AB3613" s="1">
        <v>35</v>
      </c>
    </row>
    <row r="3614" spans="1:28" x14ac:dyDescent="0.2">
      <c r="A3614" s="1">
        <v>9313</v>
      </c>
      <c r="B3614" s="1" t="s">
        <v>6839</v>
      </c>
      <c r="D3614" s="1" t="s">
        <v>11735</v>
      </c>
      <c r="F3614" s="1" t="s">
        <v>11930</v>
      </c>
      <c r="H3614" s="1" t="s">
        <v>11931</v>
      </c>
      <c r="J3614" s="1" t="s">
        <v>11948</v>
      </c>
      <c r="L3614" s="1" t="s">
        <v>1982</v>
      </c>
      <c r="N3614" s="1" t="s">
        <v>438</v>
      </c>
      <c r="P3614" s="1" t="s">
        <v>1691</v>
      </c>
      <c r="Q3614" s="3">
        <v>0</v>
      </c>
      <c r="R3614" s="23" t="s">
        <v>11933</v>
      </c>
      <c r="S3614" s="23" t="s">
        <v>5849</v>
      </c>
      <c r="T3614" s="23" t="s">
        <v>4866</v>
      </c>
      <c r="U3614" s="3">
        <v>35</v>
      </c>
      <c r="W3614" s="45" t="str">
        <f>HYPERLINK("http://ictvonline.org/taxonomy/p/taxonomy-history?taxnode_id=201905452","ICTVonline=201905452")</f>
        <v>ICTVonline=201905452</v>
      </c>
      <c r="Y3614" s="1" t="s">
        <v>12262</v>
      </c>
      <c r="Z3614" s="1" t="s">
        <v>12263</v>
      </c>
      <c r="AA3614" s="1">
        <v>201900000</v>
      </c>
      <c r="AB3614" s="1">
        <v>35</v>
      </c>
    </row>
    <row r="3615" spans="1:28" x14ac:dyDescent="0.2">
      <c r="A3615" s="1">
        <v>9315</v>
      </c>
      <c r="B3615" s="1" t="s">
        <v>6839</v>
      </c>
      <c r="D3615" s="1" t="s">
        <v>11735</v>
      </c>
      <c r="F3615" s="1" t="s">
        <v>11930</v>
      </c>
      <c r="H3615" s="1" t="s">
        <v>11931</v>
      </c>
      <c r="J3615" s="1" t="s">
        <v>11948</v>
      </c>
      <c r="L3615" s="1" t="s">
        <v>1982</v>
      </c>
      <c r="N3615" s="1" t="s">
        <v>438</v>
      </c>
      <c r="P3615" s="1" t="s">
        <v>1692</v>
      </c>
      <c r="Q3615" s="3">
        <v>0</v>
      </c>
      <c r="R3615" s="23" t="s">
        <v>11933</v>
      </c>
      <c r="S3615" s="23" t="s">
        <v>5849</v>
      </c>
      <c r="T3615" s="23" t="s">
        <v>4866</v>
      </c>
      <c r="U3615" s="3">
        <v>35</v>
      </c>
      <c r="W3615" s="45" t="str">
        <f>HYPERLINK("http://ictvonline.org/taxonomy/p/taxonomy-history?taxnode_id=201905453","ICTVonline=201905453")</f>
        <v>ICTVonline=201905453</v>
      </c>
      <c r="AA3615" s="1">
        <v>201900000</v>
      </c>
      <c r="AB3615" s="1">
        <v>35</v>
      </c>
    </row>
    <row r="3616" spans="1:28" x14ac:dyDescent="0.2">
      <c r="A3616" s="1">
        <v>9317</v>
      </c>
      <c r="B3616" s="1" t="s">
        <v>6839</v>
      </c>
      <c r="D3616" s="1" t="s">
        <v>11735</v>
      </c>
      <c r="F3616" s="1" t="s">
        <v>11930</v>
      </c>
      <c r="H3616" s="1" t="s">
        <v>11931</v>
      </c>
      <c r="J3616" s="1" t="s">
        <v>11948</v>
      </c>
      <c r="L3616" s="1" t="s">
        <v>1982</v>
      </c>
      <c r="N3616" s="1" t="s">
        <v>438</v>
      </c>
      <c r="P3616" s="1" t="s">
        <v>1693</v>
      </c>
      <c r="Q3616" s="3">
        <v>0</v>
      </c>
      <c r="R3616" s="23" t="s">
        <v>11933</v>
      </c>
      <c r="S3616" s="23" t="s">
        <v>5849</v>
      </c>
      <c r="T3616" s="23" t="s">
        <v>4866</v>
      </c>
      <c r="U3616" s="3">
        <v>35</v>
      </c>
      <c r="W3616" s="45" t="str">
        <f>HYPERLINK("http://ictvonline.org/taxonomy/p/taxonomy-history?taxnode_id=201905454","ICTVonline=201905454")</f>
        <v>ICTVonline=201905454</v>
      </c>
      <c r="Y3616" s="1" t="s">
        <v>12264</v>
      </c>
      <c r="Z3616" s="1" t="s">
        <v>12265</v>
      </c>
      <c r="AA3616" s="1">
        <v>201900000</v>
      </c>
      <c r="AB3616" s="1">
        <v>35</v>
      </c>
    </row>
    <row r="3617" spans="1:28" x14ac:dyDescent="0.2">
      <c r="A3617" s="1">
        <v>9319</v>
      </c>
      <c r="B3617" s="1" t="s">
        <v>6839</v>
      </c>
      <c r="D3617" s="1" t="s">
        <v>11735</v>
      </c>
      <c r="F3617" s="1" t="s">
        <v>11930</v>
      </c>
      <c r="H3617" s="1" t="s">
        <v>11931</v>
      </c>
      <c r="J3617" s="1" t="s">
        <v>11948</v>
      </c>
      <c r="L3617" s="1" t="s">
        <v>1982</v>
      </c>
      <c r="N3617" s="1" t="s">
        <v>438</v>
      </c>
      <c r="P3617" s="1" t="s">
        <v>2717</v>
      </c>
      <c r="Q3617" s="3">
        <v>0</v>
      </c>
      <c r="R3617" s="23" t="s">
        <v>11933</v>
      </c>
      <c r="S3617" s="23" t="s">
        <v>5849</v>
      </c>
      <c r="T3617" s="23" t="s">
        <v>4866</v>
      </c>
      <c r="U3617" s="3">
        <v>35</v>
      </c>
      <c r="W3617" s="45" t="str">
        <f>HYPERLINK("http://ictvonline.org/taxonomy/p/taxonomy-history?taxnode_id=201905455","ICTVonline=201905455")</f>
        <v>ICTVonline=201905455</v>
      </c>
      <c r="X3617" s="1" t="s">
        <v>12266</v>
      </c>
      <c r="Y3617" s="1" t="s">
        <v>12267</v>
      </c>
      <c r="Z3617" s="1" t="s">
        <v>12268</v>
      </c>
      <c r="AA3617" s="1">
        <v>201900000</v>
      </c>
      <c r="AB3617" s="1">
        <v>35</v>
      </c>
    </row>
    <row r="3618" spans="1:28" x14ac:dyDescent="0.2">
      <c r="A3618" s="1">
        <v>9321</v>
      </c>
      <c r="B3618" s="1" t="s">
        <v>6839</v>
      </c>
      <c r="D3618" s="1" t="s">
        <v>11735</v>
      </c>
      <c r="F3618" s="1" t="s">
        <v>11930</v>
      </c>
      <c r="H3618" s="1" t="s">
        <v>11931</v>
      </c>
      <c r="J3618" s="1" t="s">
        <v>11948</v>
      </c>
      <c r="L3618" s="1" t="s">
        <v>1982</v>
      </c>
      <c r="N3618" s="1" t="s">
        <v>438</v>
      </c>
      <c r="P3618" s="1" t="s">
        <v>1694</v>
      </c>
      <c r="Q3618" s="3">
        <v>0</v>
      </c>
      <c r="R3618" s="23" t="s">
        <v>11933</v>
      </c>
      <c r="S3618" s="23" t="s">
        <v>5849</v>
      </c>
      <c r="T3618" s="23" t="s">
        <v>4866</v>
      </c>
      <c r="U3618" s="3">
        <v>35</v>
      </c>
      <c r="W3618" s="45" t="str">
        <f>HYPERLINK("http://ictvonline.org/taxonomy/p/taxonomy-history?taxnode_id=201905456","ICTVonline=201905456")</f>
        <v>ICTVonline=201905456</v>
      </c>
      <c r="Y3618" s="1" t="s">
        <v>12269</v>
      </c>
      <c r="Z3618" s="1" t="s">
        <v>12270</v>
      </c>
      <c r="AA3618" s="1">
        <v>201900000</v>
      </c>
      <c r="AB3618" s="1">
        <v>35</v>
      </c>
    </row>
    <row r="3619" spans="1:28" x14ac:dyDescent="0.2">
      <c r="A3619" s="1">
        <v>9323</v>
      </c>
      <c r="B3619" s="1" t="s">
        <v>6839</v>
      </c>
      <c r="D3619" s="1" t="s">
        <v>11735</v>
      </c>
      <c r="F3619" s="1" t="s">
        <v>11930</v>
      </c>
      <c r="H3619" s="1" t="s">
        <v>11931</v>
      </c>
      <c r="J3619" s="1" t="s">
        <v>11948</v>
      </c>
      <c r="L3619" s="1" t="s">
        <v>1982</v>
      </c>
      <c r="N3619" s="1" t="s">
        <v>438</v>
      </c>
      <c r="P3619" s="1" t="s">
        <v>1695</v>
      </c>
      <c r="Q3619" s="3">
        <v>0</v>
      </c>
      <c r="R3619" s="23" t="s">
        <v>11933</v>
      </c>
      <c r="S3619" s="23" t="s">
        <v>5849</v>
      </c>
      <c r="T3619" s="23" t="s">
        <v>4866</v>
      </c>
      <c r="U3619" s="3">
        <v>35</v>
      </c>
      <c r="W3619" s="45" t="str">
        <f>HYPERLINK("http://ictvonline.org/taxonomy/p/taxonomy-history?taxnode_id=201905457","ICTVonline=201905457")</f>
        <v>ICTVonline=201905457</v>
      </c>
      <c r="Y3619" s="1" t="s">
        <v>12271</v>
      </c>
      <c r="Z3619" s="1" t="s">
        <v>12272</v>
      </c>
      <c r="AA3619" s="1">
        <v>201900000</v>
      </c>
      <c r="AB3619" s="1">
        <v>35</v>
      </c>
    </row>
    <row r="3620" spans="1:28" x14ac:dyDescent="0.2">
      <c r="A3620" s="1">
        <v>9327</v>
      </c>
      <c r="B3620" s="1" t="s">
        <v>6839</v>
      </c>
      <c r="D3620" s="1" t="s">
        <v>11735</v>
      </c>
      <c r="F3620" s="1" t="s">
        <v>11930</v>
      </c>
      <c r="H3620" s="1" t="s">
        <v>11931</v>
      </c>
      <c r="J3620" s="1" t="s">
        <v>11948</v>
      </c>
      <c r="L3620" s="1" t="s">
        <v>1982</v>
      </c>
      <c r="N3620" s="1" t="s">
        <v>1696</v>
      </c>
      <c r="P3620" s="1" t="s">
        <v>1697</v>
      </c>
      <c r="Q3620" s="3">
        <v>0</v>
      </c>
      <c r="R3620" s="23" t="s">
        <v>11933</v>
      </c>
      <c r="S3620" s="23" t="s">
        <v>5849</v>
      </c>
      <c r="T3620" s="23" t="s">
        <v>4866</v>
      </c>
      <c r="U3620" s="3">
        <v>35</v>
      </c>
      <c r="W3620" s="45" t="str">
        <f>HYPERLINK("http://ictvonline.org/taxonomy/p/taxonomy-history?taxnode_id=201905459","ICTVonline=201905459")</f>
        <v>ICTVonline=201905459</v>
      </c>
      <c r="Y3620" s="1" t="s">
        <v>12273</v>
      </c>
      <c r="Z3620" s="1" t="s">
        <v>12274</v>
      </c>
      <c r="AA3620" s="1">
        <v>201900000</v>
      </c>
      <c r="AB3620" s="1">
        <v>35</v>
      </c>
    </row>
    <row r="3621" spans="1:28" x14ac:dyDescent="0.2">
      <c r="A3621" s="1">
        <v>9329</v>
      </c>
      <c r="B3621" s="1" t="s">
        <v>6839</v>
      </c>
      <c r="D3621" s="1" t="s">
        <v>11735</v>
      </c>
      <c r="F3621" s="1" t="s">
        <v>11930</v>
      </c>
      <c r="H3621" s="1" t="s">
        <v>11931</v>
      </c>
      <c r="J3621" s="1" t="s">
        <v>11948</v>
      </c>
      <c r="L3621" s="1" t="s">
        <v>1982</v>
      </c>
      <c r="N3621" s="1" t="s">
        <v>1696</v>
      </c>
      <c r="P3621" s="1" t="s">
        <v>1698</v>
      </c>
      <c r="Q3621" s="3">
        <v>0</v>
      </c>
      <c r="R3621" s="23" t="s">
        <v>11933</v>
      </c>
      <c r="S3621" s="23" t="s">
        <v>5849</v>
      </c>
      <c r="T3621" s="23" t="s">
        <v>4866</v>
      </c>
      <c r="U3621" s="3">
        <v>35</v>
      </c>
      <c r="W3621" s="45" t="str">
        <f>HYPERLINK("http://ictvonline.org/taxonomy/p/taxonomy-history?taxnode_id=201905460","ICTVonline=201905460")</f>
        <v>ICTVonline=201905460</v>
      </c>
      <c r="Y3621" s="1" t="s">
        <v>12275</v>
      </c>
      <c r="Z3621" s="1" t="s">
        <v>12276</v>
      </c>
      <c r="AA3621" s="1">
        <v>201900000</v>
      </c>
      <c r="AB3621" s="1">
        <v>35</v>
      </c>
    </row>
    <row r="3622" spans="1:28" x14ac:dyDescent="0.2">
      <c r="A3622" s="1">
        <v>9331</v>
      </c>
      <c r="B3622" s="1" t="s">
        <v>6839</v>
      </c>
      <c r="D3622" s="1" t="s">
        <v>11735</v>
      </c>
      <c r="F3622" s="1" t="s">
        <v>11930</v>
      </c>
      <c r="H3622" s="1" t="s">
        <v>11931</v>
      </c>
      <c r="J3622" s="1" t="s">
        <v>11948</v>
      </c>
      <c r="L3622" s="1" t="s">
        <v>1982</v>
      </c>
      <c r="N3622" s="1" t="s">
        <v>1696</v>
      </c>
      <c r="P3622" s="1" t="s">
        <v>1699</v>
      </c>
      <c r="Q3622" s="3">
        <v>1</v>
      </c>
      <c r="R3622" s="23" t="s">
        <v>11933</v>
      </c>
      <c r="S3622" s="23" t="s">
        <v>5849</v>
      </c>
      <c r="T3622" s="23" t="s">
        <v>4866</v>
      </c>
      <c r="U3622" s="3">
        <v>35</v>
      </c>
      <c r="W3622" s="45" t="str">
        <f>HYPERLINK("http://ictvonline.org/taxonomy/p/taxonomy-history?taxnode_id=201905461","ICTVonline=201905461")</f>
        <v>ICTVonline=201905461</v>
      </c>
      <c r="Y3622" s="1" t="s">
        <v>12277</v>
      </c>
      <c r="Z3622" s="1" t="s">
        <v>12278</v>
      </c>
      <c r="AA3622" s="1">
        <v>201900000</v>
      </c>
      <c r="AB3622" s="1">
        <v>35</v>
      </c>
    </row>
    <row r="3623" spans="1:28" x14ac:dyDescent="0.2">
      <c r="A3623" s="1">
        <v>9339</v>
      </c>
      <c r="B3623" s="1" t="s">
        <v>6839</v>
      </c>
      <c r="D3623" s="1" t="s">
        <v>11735</v>
      </c>
      <c r="F3623" s="1" t="s">
        <v>11930</v>
      </c>
      <c r="H3623" s="1" t="s">
        <v>11931</v>
      </c>
      <c r="J3623" s="1" t="s">
        <v>1161</v>
      </c>
      <c r="L3623" s="1" t="s">
        <v>296</v>
      </c>
      <c r="N3623" s="1" t="s">
        <v>408</v>
      </c>
      <c r="P3623" s="1" t="s">
        <v>5128</v>
      </c>
      <c r="Q3623" s="3">
        <v>0</v>
      </c>
      <c r="R3623" s="23" t="s">
        <v>11933</v>
      </c>
      <c r="S3623" s="23" t="s">
        <v>5849</v>
      </c>
      <c r="T3623" s="23" t="s">
        <v>4866</v>
      </c>
      <c r="U3623" s="3">
        <v>35</v>
      </c>
      <c r="W3623" s="45" t="str">
        <f>HYPERLINK("http://ictvonline.org/taxonomy/p/taxonomy-history?taxnode_id=201905631","ICTVonline=201905631")</f>
        <v>ICTVonline=201905631</v>
      </c>
      <c r="AA3623" s="1">
        <v>201900000</v>
      </c>
      <c r="AB3623" s="1">
        <v>35</v>
      </c>
    </row>
    <row r="3624" spans="1:28" x14ac:dyDescent="0.2">
      <c r="A3624" s="1">
        <v>9341</v>
      </c>
      <c r="B3624" s="1" t="s">
        <v>6839</v>
      </c>
      <c r="D3624" s="1" t="s">
        <v>11735</v>
      </c>
      <c r="F3624" s="1" t="s">
        <v>11930</v>
      </c>
      <c r="H3624" s="1" t="s">
        <v>11931</v>
      </c>
      <c r="J3624" s="1" t="s">
        <v>1161</v>
      </c>
      <c r="L3624" s="1" t="s">
        <v>296</v>
      </c>
      <c r="N3624" s="1" t="s">
        <v>408</v>
      </c>
      <c r="P3624" s="1" t="s">
        <v>5129</v>
      </c>
      <c r="Q3624" s="3">
        <v>0</v>
      </c>
      <c r="R3624" s="23" t="s">
        <v>11933</v>
      </c>
      <c r="S3624" s="23" t="s">
        <v>5849</v>
      </c>
      <c r="T3624" s="23" t="s">
        <v>4866</v>
      </c>
      <c r="U3624" s="3">
        <v>35</v>
      </c>
      <c r="W3624" s="45" t="str">
        <f>HYPERLINK("http://ictvonline.org/taxonomy/p/taxonomy-history?taxnode_id=201905632","ICTVonline=201905632")</f>
        <v>ICTVonline=201905632</v>
      </c>
      <c r="AA3624" s="1">
        <v>201900000</v>
      </c>
      <c r="AB3624" s="1">
        <v>35</v>
      </c>
    </row>
    <row r="3625" spans="1:28" x14ac:dyDescent="0.2">
      <c r="A3625" s="1">
        <v>9343</v>
      </c>
      <c r="B3625" s="1" t="s">
        <v>6839</v>
      </c>
      <c r="D3625" s="1" t="s">
        <v>11735</v>
      </c>
      <c r="F3625" s="1" t="s">
        <v>11930</v>
      </c>
      <c r="H3625" s="1" t="s">
        <v>11931</v>
      </c>
      <c r="J3625" s="1" t="s">
        <v>1161</v>
      </c>
      <c r="L3625" s="1" t="s">
        <v>296</v>
      </c>
      <c r="N3625" s="1" t="s">
        <v>408</v>
      </c>
      <c r="P3625" s="1" t="s">
        <v>2185</v>
      </c>
      <c r="Q3625" s="3">
        <v>0</v>
      </c>
      <c r="R3625" s="23" t="s">
        <v>11933</v>
      </c>
      <c r="S3625" s="23" t="s">
        <v>5849</v>
      </c>
      <c r="T3625" s="23" t="s">
        <v>4866</v>
      </c>
      <c r="U3625" s="3">
        <v>35</v>
      </c>
      <c r="W3625" s="45" t="str">
        <f>HYPERLINK("http://ictvonline.org/taxonomy/p/taxonomy-history?taxnode_id=201902231","ICTVonline=201902231")</f>
        <v>ICTVonline=201902231</v>
      </c>
      <c r="Y3625" s="1" t="s">
        <v>12279</v>
      </c>
      <c r="Z3625" s="1" t="s">
        <v>12280</v>
      </c>
      <c r="AA3625" s="1">
        <v>201900000</v>
      </c>
      <c r="AB3625" s="1">
        <v>35</v>
      </c>
    </row>
    <row r="3626" spans="1:28" x14ac:dyDescent="0.2">
      <c r="A3626" s="1">
        <v>9345</v>
      </c>
      <c r="B3626" s="1" t="s">
        <v>6839</v>
      </c>
      <c r="D3626" s="1" t="s">
        <v>11735</v>
      </c>
      <c r="F3626" s="1" t="s">
        <v>11930</v>
      </c>
      <c r="H3626" s="1" t="s">
        <v>11931</v>
      </c>
      <c r="J3626" s="1" t="s">
        <v>1161</v>
      </c>
      <c r="L3626" s="1" t="s">
        <v>296</v>
      </c>
      <c r="N3626" s="1" t="s">
        <v>408</v>
      </c>
      <c r="P3626" s="1" t="s">
        <v>409</v>
      </c>
      <c r="Q3626" s="3">
        <v>0</v>
      </c>
      <c r="R3626" s="23" t="s">
        <v>11933</v>
      </c>
      <c r="S3626" s="23" t="s">
        <v>5849</v>
      </c>
      <c r="T3626" s="23" t="s">
        <v>4866</v>
      </c>
      <c r="U3626" s="3">
        <v>35</v>
      </c>
      <c r="W3626" s="45" t="str">
        <f>HYPERLINK("http://ictvonline.org/taxonomy/p/taxonomy-history?taxnode_id=201902175","ICTVonline=201902175")</f>
        <v>ICTVonline=201902175</v>
      </c>
      <c r="AA3626" s="1">
        <v>201900000</v>
      </c>
      <c r="AB3626" s="1">
        <v>35</v>
      </c>
    </row>
    <row r="3627" spans="1:28" x14ac:dyDescent="0.2">
      <c r="A3627" s="1">
        <v>9347</v>
      </c>
      <c r="B3627" s="1" t="s">
        <v>6839</v>
      </c>
      <c r="D3627" s="1" t="s">
        <v>11735</v>
      </c>
      <c r="F3627" s="1" t="s">
        <v>11930</v>
      </c>
      <c r="H3627" s="1" t="s">
        <v>11931</v>
      </c>
      <c r="J3627" s="1" t="s">
        <v>1161</v>
      </c>
      <c r="L3627" s="1" t="s">
        <v>296</v>
      </c>
      <c r="N3627" s="1" t="s">
        <v>408</v>
      </c>
      <c r="P3627" s="1" t="s">
        <v>1495</v>
      </c>
      <c r="Q3627" s="3">
        <v>0</v>
      </c>
      <c r="R3627" s="23" t="s">
        <v>11933</v>
      </c>
      <c r="S3627" s="23" t="s">
        <v>5849</v>
      </c>
      <c r="T3627" s="23" t="s">
        <v>4866</v>
      </c>
      <c r="U3627" s="3">
        <v>35</v>
      </c>
      <c r="W3627" s="45" t="str">
        <f>HYPERLINK("http://ictvonline.org/taxonomy/p/taxonomy-history?taxnode_id=201902176","ICTVonline=201902176")</f>
        <v>ICTVonline=201902176</v>
      </c>
      <c r="Y3627" s="1" t="s">
        <v>12281</v>
      </c>
      <c r="Z3627" s="1" t="s">
        <v>12282</v>
      </c>
      <c r="AA3627" s="1">
        <v>201900000</v>
      </c>
      <c r="AB3627" s="1">
        <v>35</v>
      </c>
    </row>
    <row r="3628" spans="1:28" x14ac:dyDescent="0.2">
      <c r="A3628" s="1">
        <v>9349</v>
      </c>
      <c r="B3628" s="1" t="s">
        <v>6839</v>
      </c>
      <c r="D3628" s="1" t="s">
        <v>11735</v>
      </c>
      <c r="F3628" s="1" t="s">
        <v>11930</v>
      </c>
      <c r="H3628" s="1" t="s">
        <v>11931</v>
      </c>
      <c r="J3628" s="1" t="s">
        <v>1161</v>
      </c>
      <c r="L3628" s="1" t="s">
        <v>296</v>
      </c>
      <c r="N3628" s="1" t="s">
        <v>408</v>
      </c>
      <c r="P3628" s="1" t="s">
        <v>1496</v>
      </c>
      <c r="Q3628" s="3">
        <v>0</v>
      </c>
      <c r="R3628" s="23" t="s">
        <v>11933</v>
      </c>
      <c r="S3628" s="23" t="s">
        <v>5849</v>
      </c>
      <c r="T3628" s="23" t="s">
        <v>4866</v>
      </c>
      <c r="U3628" s="3">
        <v>35</v>
      </c>
      <c r="W3628" s="45" t="str">
        <f>HYPERLINK("http://ictvonline.org/taxonomy/p/taxonomy-history?taxnode_id=201902177","ICTVonline=201902177")</f>
        <v>ICTVonline=201902177</v>
      </c>
      <c r="Y3628" s="1" t="s">
        <v>12283</v>
      </c>
      <c r="Z3628" s="1" t="s">
        <v>12284</v>
      </c>
      <c r="AA3628" s="1">
        <v>201900000</v>
      </c>
      <c r="AB3628" s="1">
        <v>35</v>
      </c>
    </row>
    <row r="3629" spans="1:28" x14ac:dyDescent="0.2">
      <c r="A3629" s="1">
        <v>9351</v>
      </c>
      <c r="B3629" s="1" t="s">
        <v>6839</v>
      </c>
      <c r="D3629" s="1" t="s">
        <v>11735</v>
      </c>
      <c r="F3629" s="1" t="s">
        <v>11930</v>
      </c>
      <c r="H3629" s="1" t="s">
        <v>11931</v>
      </c>
      <c r="J3629" s="1" t="s">
        <v>1161</v>
      </c>
      <c r="L3629" s="1" t="s">
        <v>296</v>
      </c>
      <c r="N3629" s="1" t="s">
        <v>408</v>
      </c>
      <c r="P3629" s="1" t="s">
        <v>1497</v>
      </c>
      <c r="Q3629" s="3">
        <v>0</v>
      </c>
      <c r="R3629" s="23" t="s">
        <v>11933</v>
      </c>
      <c r="S3629" s="23" t="s">
        <v>5849</v>
      </c>
      <c r="T3629" s="23" t="s">
        <v>4866</v>
      </c>
      <c r="U3629" s="3">
        <v>35</v>
      </c>
      <c r="W3629" s="45" t="str">
        <f>HYPERLINK("http://ictvonline.org/taxonomy/p/taxonomy-history?taxnode_id=201902178","ICTVonline=201902178")</f>
        <v>ICTVonline=201902178</v>
      </c>
      <c r="Y3629" s="1" t="s">
        <v>12285</v>
      </c>
      <c r="Z3629" s="1" t="s">
        <v>12282</v>
      </c>
      <c r="AA3629" s="1">
        <v>201900000</v>
      </c>
      <c r="AB3629" s="1">
        <v>35</v>
      </c>
    </row>
    <row r="3630" spans="1:28" x14ac:dyDescent="0.2">
      <c r="A3630" s="1">
        <v>9353</v>
      </c>
      <c r="B3630" s="1" t="s">
        <v>6839</v>
      </c>
      <c r="D3630" s="1" t="s">
        <v>11735</v>
      </c>
      <c r="F3630" s="1" t="s">
        <v>11930</v>
      </c>
      <c r="H3630" s="1" t="s">
        <v>11931</v>
      </c>
      <c r="J3630" s="1" t="s">
        <v>1161</v>
      </c>
      <c r="L3630" s="1" t="s">
        <v>296</v>
      </c>
      <c r="N3630" s="1" t="s">
        <v>408</v>
      </c>
      <c r="P3630" s="1" t="s">
        <v>411</v>
      </c>
      <c r="Q3630" s="3">
        <v>0</v>
      </c>
      <c r="R3630" s="23" t="s">
        <v>11933</v>
      </c>
      <c r="S3630" s="23" t="s">
        <v>5849</v>
      </c>
      <c r="T3630" s="23" t="s">
        <v>4866</v>
      </c>
      <c r="U3630" s="3">
        <v>35</v>
      </c>
      <c r="W3630" s="45" t="str">
        <f>HYPERLINK("http://ictvonline.org/taxonomy/p/taxonomy-history?taxnode_id=201902179","ICTVonline=201902179")</f>
        <v>ICTVonline=201902179</v>
      </c>
      <c r="Y3630" s="1" t="s">
        <v>12286</v>
      </c>
      <c r="Z3630" s="1" t="s">
        <v>12287</v>
      </c>
      <c r="AA3630" s="1">
        <v>201900000</v>
      </c>
      <c r="AB3630" s="1">
        <v>35</v>
      </c>
    </row>
    <row r="3631" spans="1:28" x14ac:dyDescent="0.2">
      <c r="A3631" s="1">
        <v>9355</v>
      </c>
      <c r="B3631" s="1" t="s">
        <v>6839</v>
      </c>
      <c r="D3631" s="1" t="s">
        <v>11735</v>
      </c>
      <c r="F3631" s="1" t="s">
        <v>11930</v>
      </c>
      <c r="H3631" s="1" t="s">
        <v>11931</v>
      </c>
      <c r="J3631" s="1" t="s">
        <v>1161</v>
      </c>
      <c r="L3631" s="1" t="s">
        <v>296</v>
      </c>
      <c r="N3631" s="1" t="s">
        <v>408</v>
      </c>
      <c r="P3631" s="1" t="s">
        <v>412</v>
      </c>
      <c r="Q3631" s="3">
        <v>0</v>
      </c>
      <c r="R3631" s="23" t="s">
        <v>11933</v>
      </c>
      <c r="S3631" s="23" t="s">
        <v>5849</v>
      </c>
      <c r="T3631" s="23" t="s">
        <v>4866</v>
      </c>
      <c r="U3631" s="3">
        <v>35</v>
      </c>
      <c r="W3631" s="45" t="str">
        <f>HYPERLINK("http://ictvonline.org/taxonomy/p/taxonomy-history?taxnode_id=201902180","ICTVonline=201902180")</f>
        <v>ICTVonline=201902180</v>
      </c>
      <c r="Y3631" s="1" t="s">
        <v>12288</v>
      </c>
      <c r="Z3631" s="1" t="s">
        <v>12289</v>
      </c>
      <c r="AA3631" s="1">
        <v>201900000</v>
      </c>
      <c r="AB3631" s="1">
        <v>35</v>
      </c>
    </row>
    <row r="3632" spans="1:28" x14ac:dyDescent="0.2">
      <c r="A3632" s="1">
        <v>9357</v>
      </c>
      <c r="B3632" s="1" t="s">
        <v>6839</v>
      </c>
      <c r="D3632" s="1" t="s">
        <v>11735</v>
      </c>
      <c r="F3632" s="1" t="s">
        <v>11930</v>
      </c>
      <c r="H3632" s="1" t="s">
        <v>11931</v>
      </c>
      <c r="J3632" s="1" t="s">
        <v>1161</v>
      </c>
      <c r="L3632" s="1" t="s">
        <v>296</v>
      </c>
      <c r="N3632" s="1" t="s">
        <v>408</v>
      </c>
      <c r="P3632" s="1" t="s">
        <v>413</v>
      </c>
      <c r="Q3632" s="3">
        <v>0</v>
      </c>
      <c r="R3632" s="23" t="s">
        <v>11933</v>
      </c>
      <c r="S3632" s="23" t="s">
        <v>5849</v>
      </c>
      <c r="T3632" s="23" t="s">
        <v>4866</v>
      </c>
      <c r="U3632" s="3">
        <v>35</v>
      </c>
      <c r="W3632" s="45" t="str">
        <f>HYPERLINK("http://ictvonline.org/taxonomy/p/taxonomy-history?taxnode_id=201902181","ICTVonline=201902181")</f>
        <v>ICTVonline=201902181</v>
      </c>
      <c r="Y3632" s="1" t="s">
        <v>12290</v>
      </c>
      <c r="Z3632" s="1" t="s">
        <v>12291</v>
      </c>
      <c r="AA3632" s="1">
        <v>201900000</v>
      </c>
      <c r="AB3632" s="1">
        <v>35</v>
      </c>
    </row>
    <row r="3633" spans="1:28" x14ac:dyDescent="0.2">
      <c r="A3633" s="1">
        <v>9359</v>
      </c>
      <c r="B3633" s="1" t="s">
        <v>6839</v>
      </c>
      <c r="D3633" s="1" t="s">
        <v>11735</v>
      </c>
      <c r="F3633" s="1" t="s">
        <v>11930</v>
      </c>
      <c r="H3633" s="1" t="s">
        <v>11931</v>
      </c>
      <c r="J3633" s="1" t="s">
        <v>1161</v>
      </c>
      <c r="L3633" s="1" t="s">
        <v>296</v>
      </c>
      <c r="N3633" s="1" t="s">
        <v>408</v>
      </c>
      <c r="P3633" s="1" t="s">
        <v>414</v>
      </c>
      <c r="Q3633" s="3">
        <v>1</v>
      </c>
      <c r="R3633" s="23" t="s">
        <v>11933</v>
      </c>
      <c r="S3633" s="23" t="s">
        <v>5849</v>
      </c>
      <c r="T3633" s="23" t="s">
        <v>4866</v>
      </c>
      <c r="U3633" s="3">
        <v>35</v>
      </c>
      <c r="W3633" s="45" t="str">
        <f>HYPERLINK("http://ictvonline.org/taxonomy/p/taxonomy-history?taxnode_id=201902182","ICTVonline=201902182")</f>
        <v>ICTVonline=201902182</v>
      </c>
      <c r="Y3633" s="1" t="s">
        <v>12292</v>
      </c>
      <c r="Z3633" s="1" t="s">
        <v>12293</v>
      </c>
      <c r="AA3633" s="1">
        <v>201900000</v>
      </c>
      <c r="AB3633" s="1">
        <v>35</v>
      </c>
    </row>
    <row r="3634" spans="1:28" x14ac:dyDescent="0.2">
      <c r="A3634" s="1">
        <v>9361</v>
      </c>
      <c r="B3634" s="1" t="s">
        <v>6839</v>
      </c>
      <c r="D3634" s="1" t="s">
        <v>11735</v>
      </c>
      <c r="F3634" s="1" t="s">
        <v>11930</v>
      </c>
      <c r="H3634" s="1" t="s">
        <v>11931</v>
      </c>
      <c r="J3634" s="1" t="s">
        <v>1161</v>
      </c>
      <c r="L3634" s="1" t="s">
        <v>296</v>
      </c>
      <c r="N3634" s="1" t="s">
        <v>408</v>
      </c>
      <c r="P3634" s="1" t="s">
        <v>5130</v>
      </c>
      <c r="Q3634" s="3">
        <v>0</v>
      </c>
      <c r="R3634" s="23" t="s">
        <v>11933</v>
      </c>
      <c r="S3634" s="23" t="s">
        <v>5849</v>
      </c>
      <c r="T3634" s="23" t="s">
        <v>4866</v>
      </c>
      <c r="U3634" s="3">
        <v>35</v>
      </c>
      <c r="W3634" s="45" t="str">
        <f>HYPERLINK("http://ictvonline.org/taxonomy/p/taxonomy-history?taxnode_id=201905633","ICTVonline=201905633")</f>
        <v>ICTVonline=201905633</v>
      </c>
      <c r="AA3634" s="1">
        <v>201900000</v>
      </c>
      <c r="AB3634" s="1">
        <v>35</v>
      </c>
    </row>
    <row r="3635" spans="1:28" x14ac:dyDescent="0.2">
      <c r="A3635" s="1">
        <v>9365</v>
      </c>
      <c r="B3635" s="1" t="s">
        <v>6839</v>
      </c>
      <c r="D3635" s="1" t="s">
        <v>11735</v>
      </c>
      <c r="F3635" s="1" t="s">
        <v>11930</v>
      </c>
      <c r="H3635" s="1" t="s">
        <v>11931</v>
      </c>
      <c r="J3635" s="1" t="s">
        <v>1161</v>
      </c>
      <c r="L3635" s="1" t="s">
        <v>296</v>
      </c>
      <c r="N3635" s="1" t="s">
        <v>711</v>
      </c>
      <c r="P3635" s="1" t="s">
        <v>1160</v>
      </c>
      <c r="Q3635" s="3">
        <v>1</v>
      </c>
      <c r="R3635" s="23" t="s">
        <v>11933</v>
      </c>
      <c r="S3635" s="23" t="s">
        <v>5849</v>
      </c>
      <c r="T3635" s="23" t="s">
        <v>4866</v>
      </c>
      <c r="U3635" s="3">
        <v>35</v>
      </c>
      <c r="W3635" s="45" t="str">
        <f>HYPERLINK("http://ictvonline.org/taxonomy/p/taxonomy-history?taxnode_id=201902184","ICTVonline=201902184")</f>
        <v>ICTVonline=201902184</v>
      </c>
      <c r="Y3635" s="1" t="s">
        <v>12294</v>
      </c>
      <c r="Z3635" s="1" t="s">
        <v>12295</v>
      </c>
      <c r="AA3635" s="1">
        <v>201900000</v>
      </c>
      <c r="AB3635" s="1">
        <v>35</v>
      </c>
    </row>
    <row r="3636" spans="1:28" x14ac:dyDescent="0.2">
      <c r="A3636" s="1">
        <v>9369</v>
      </c>
      <c r="B3636" s="1" t="s">
        <v>6839</v>
      </c>
      <c r="D3636" s="1" t="s">
        <v>11735</v>
      </c>
      <c r="F3636" s="1" t="s">
        <v>11930</v>
      </c>
      <c r="H3636" s="1" t="s">
        <v>11931</v>
      </c>
      <c r="J3636" s="1" t="s">
        <v>1161</v>
      </c>
      <c r="L3636" s="1" t="s">
        <v>296</v>
      </c>
      <c r="N3636" s="1" t="s">
        <v>2109</v>
      </c>
      <c r="P3636" s="1" t="s">
        <v>2110</v>
      </c>
      <c r="Q3636" s="3">
        <v>1</v>
      </c>
      <c r="R3636" s="23" t="s">
        <v>11933</v>
      </c>
      <c r="S3636" s="23" t="s">
        <v>5849</v>
      </c>
      <c r="T3636" s="23" t="s">
        <v>4866</v>
      </c>
      <c r="U3636" s="3">
        <v>35</v>
      </c>
      <c r="W3636" s="45" t="str">
        <f>HYPERLINK("http://ictvonline.org/taxonomy/p/taxonomy-history?taxnode_id=201902186","ICTVonline=201902186")</f>
        <v>ICTVonline=201902186</v>
      </c>
      <c r="Y3636" s="1" t="s">
        <v>12296</v>
      </c>
      <c r="Z3636" s="1" t="s">
        <v>12297</v>
      </c>
      <c r="AA3636" s="1">
        <v>201900000</v>
      </c>
      <c r="AB3636" s="1">
        <v>35</v>
      </c>
    </row>
    <row r="3637" spans="1:28" x14ac:dyDescent="0.2">
      <c r="A3637" s="1">
        <v>9373</v>
      </c>
      <c r="B3637" s="1" t="s">
        <v>6839</v>
      </c>
      <c r="D3637" s="1" t="s">
        <v>11735</v>
      </c>
      <c r="F3637" s="1" t="s">
        <v>11930</v>
      </c>
      <c r="H3637" s="1" t="s">
        <v>11931</v>
      </c>
      <c r="J3637" s="1" t="s">
        <v>1161</v>
      </c>
      <c r="L3637" s="1" t="s">
        <v>296</v>
      </c>
      <c r="N3637" s="1" t="s">
        <v>344</v>
      </c>
      <c r="P3637" s="1" t="s">
        <v>2309</v>
      </c>
      <c r="Q3637" s="3">
        <v>0</v>
      </c>
      <c r="R3637" s="23" t="s">
        <v>11933</v>
      </c>
      <c r="S3637" s="23" t="s">
        <v>5849</v>
      </c>
      <c r="T3637" s="23" t="s">
        <v>4866</v>
      </c>
      <c r="U3637" s="3">
        <v>35</v>
      </c>
      <c r="W3637" s="45" t="str">
        <f>HYPERLINK("http://ictvonline.org/taxonomy/p/taxonomy-history?taxnode_id=201902188","ICTVonline=201902188")</f>
        <v>ICTVonline=201902188</v>
      </c>
      <c r="Y3637" s="1" t="s">
        <v>12298</v>
      </c>
      <c r="Z3637" s="1" t="s">
        <v>12299</v>
      </c>
      <c r="AA3637" s="1">
        <v>201900000</v>
      </c>
      <c r="AB3637" s="1">
        <v>35</v>
      </c>
    </row>
    <row r="3638" spans="1:28" x14ac:dyDescent="0.2">
      <c r="A3638" s="1">
        <v>9375</v>
      </c>
      <c r="B3638" s="1" t="s">
        <v>6839</v>
      </c>
      <c r="D3638" s="1" t="s">
        <v>11735</v>
      </c>
      <c r="F3638" s="1" t="s">
        <v>11930</v>
      </c>
      <c r="H3638" s="1" t="s">
        <v>11931</v>
      </c>
      <c r="J3638" s="1" t="s">
        <v>1161</v>
      </c>
      <c r="L3638" s="1" t="s">
        <v>296</v>
      </c>
      <c r="N3638" s="1" t="s">
        <v>344</v>
      </c>
      <c r="P3638" s="1" t="s">
        <v>1210</v>
      </c>
      <c r="Q3638" s="3">
        <v>1</v>
      </c>
      <c r="R3638" s="23" t="s">
        <v>11933</v>
      </c>
      <c r="S3638" s="23" t="s">
        <v>5849</v>
      </c>
      <c r="T3638" s="23" t="s">
        <v>4866</v>
      </c>
      <c r="U3638" s="3">
        <v>35</v>
      </c>
      <c r="W3638" s="45" t="str">
        <f>HYPERLINK("http://ictvonline.org/taxonomy/p/taxonomy-history?taxnode_id=201902189","ICTVonline=201902189")</f>
        <v>ICTVonline=201902189</v>
      </c>
      <c r="Y3638" s="1" t="s">
        <v>12300</v>
      </c>
      <c r="Z3638" s="1" t="s">
        <v>12301</v>
      </c>
      <c r="AA3638" s="1">
        <v>201900000</v>
      </c>
      <c r="AB3638" s="1">
        <v>35</v>
      </c>
    </row>
    <row r="3639" spans="1:28" x14ac:dyDescent="0.2">
      <c r="A3639" s="1">
        <v>9379</v>
      </c>
      <c r="B3639" s="1" t="s">
        <v>6839</v>
      </c>
      <c r="D3639" s="1" t="s">
        <v>11735</v>
      </c>
      <c r="F3639" s="1" t="s">
        <v>11930</v>
      </c>
      <c r="H3639" s="1" t="s">
        <v>11931</v>
      </c>
      <c r="J3639" s="1" t="s">
        <v>1161</v>
      </c>
      <c r="L3639" s="1" t="s">
        <v>296</v>
      </c>
      <c r="N3639" s="1" t="s">
        <v>3602</v>
      </c>
      <c r="P3639" s="1" t="s">
        <v>3603</v>
      </c>
      <c r="Q3639" s="3">
        <v>1</v>
      </c>
      <c r="R3639" s="23" t="s">
        <v>11933</v>
      </c>
      <c r="S3639" s="23" t="s">
        <v>5849</v>
      </c>
      <c r="T3639" s="23" t="s">
        <v>4866</v>
      </c>
      <c r="U3639" s="3">
        <v>35</v>
      </c>
      <c r="W3639" s="45" t="str">
        <f>HYPERLINK("http://ictvonline.org/taxonomy/p/taxonomy-history?taxnode_id=201902191","ICTVonline=201902191")</f>
        <v>ICTVonline=201902191</v>
      </c>
      <c r="Y3639" s="1" t="s">
        <v>12302</v>
      </c>
      <c r="Z3639" s="1" t="s">
        <v>12303</v>
      </c>
      <c r="AA3639" s="1">
        <v>201900000</v>
      </c>
      <c r="AB3639" s="1">
        <v>35</v>
      </c>
    </row>
    <row r="3640" spans="1:28" x14ac:dyDescent="0.2">
      <c r="A3640" s="1">
        <v>9383</v>
      </c>
      <c r="B3640" s="1" t="s">
        <v>6839</v>
      </c>
      <c r="D3640" s="1" t="s">
        <v>11735</v>
      </c>
      <c r="F3640" s="1" t="s">
        <v>11930</v>
      </c>
      <c r="H3640" s="1" t="s">
        <v>11931</v>
      </c>
      <c r="J3640" s="1" t="s">
        <v>1161</v>
      </c>
      <c r="L3640" s="1" t="s">
        <v>296</v>
      </c>
      <c r="N3640" s="1" t="s">
        <v>1211</v>
      </c>
      <c r="P3640" s="1" t="s">
        <v>5131</v>
      </c>
      <c r="Q3640" s="3">
        <v>0</v>
      </c>
      <c r="R3640" s="23" t="s">
        <v>11933</v>
      </c>
      <c r="S3640" s="23" t="s">
        <v>5849</v>
      </c>
      <c r="T3640" s="23" t="s">
        <v>4866</v>
      </c>
      <c r="U3640" s="3">
        <v>35</v>
      </c>
      <c r="W3640" s="45" t="str">
        <f>HYPERLINK("http://ictvonline.org/taxonomy/p/taxonomy-history?taxnode_id=201905634","ICTVonline=201905634")</f>
        <v>ICTVonline=201905634</v>
      </c>
      <c r="AA3640" s="1">
        <v>201900000</v>
      </c>
      <c r="AB3640" s="1">
        <v>35</v>
      </c>
    </row>
    <row r="3641" spans="1:28" x14ac:dyDescent="0.2">
      <c r="A3641" s="1">
        <v>9385</v>
      </c>
      <c r="B3641" s="1" t="s">
        <v>6839</v>
      </c>
      <c r="D3641" s="1" t="s">
        <v>11735</v>
      </c>
      <c r="F3641" s="1" t="s">
        <v>11930</v>
      </c>
      <c r="H3641" s="1" t="s">
        <v>11931</v>
      </c>
      <c r="J3641" s="1" t="s">
        <v>1161</v>
      </c>
      <c r="L3641" s="1" t="s">
        <v>296</v>
      </c>
      <c r="N3641" s="1" t="s">
        <v>1211</v>
      </c>
      <c r="P3641" s="1" t="s">
        <v>2183</v>
      </c>
      <c r="Q3641" s="3">
        <v>0</v>
      </c>
      <c r="R3641" s="23" t="s">
        <v>11933</v>
      </c>
      <c r="S3641" s="23" t="s">
        <v>5849</v>
      </c>
      <c r="T3641" s="23" t="s">
        <v>4866</v>
      </c>
      <c r="U3641" s="3">
        <v>35</v>
      </c>
      <c r="W3641" s="45" t="str">
        <f>HYPERLINK("http://ictvonline.org/taxonomy/p/taxonomy-history?taxnode_id=201902193","ICTVonline=201902193")</f>
        <v>ICTVonline=201902193</v>
      </c>
      <c r="Y3641" s="1" t="s">
        <v>12304</v>
      </c>
      <c r="Z3641" s="1" t="s">
        <v>11992</v>
      </c>
      <c r="AA3641" s="1">
        <v>201900000</v>
      </c>
      <c r="AB3641" s="1">
        <v>35</v>
      </c>
    </row>
    <row r="3642" spans="1:28" x14ac:dyDescent="0.2">
      <c r="A3642" s="1">
        <v>9387</v>
      </c>
      <c r="B3642" s="1" t="s">
        <v>6839</v>
      </c>
      <c r="D3642" s="1" t="s">
        <v>11735</v>
      </c>
      <c r="F3642" s="1" t="s">
        <v>11930</v>
      </c>
      <c r="H3642" s="1" t="s">
        <v>11931</v>
      </c>
      <c r="J3642" s="1" t="s">
        <v>1161</v>
      </c>
      <c r="L3642" s="1" t="s">
        <v>296</v>
      </c>
      <c r="N3642" s="1" t="s">
        <v>1211</v>
      </c>
      <c r="P3642" s="1" t="s">
        <v>227</v>
      </c>
      <c r="Q3642" s="3">
        <v>0</v>
      </c>
      <c r="R3642" s="23" t="s">
        <v>11933</v>
      </c>
      <c r="S3642" s="23" t="s">
        <v>5849</v>
      </c>
      <c r="T3642" s="23" t="s">
        <v>4866</v>
      </c>
      <c r="U3642" s="3">
        <v>35</v>
      </c>
      <c r="W3642" s="45" t="str">
        <f>HYPERLINK("http://ictvonline.org/taxonomy/p/taxonomy-history?taxnode_id=201902194","ICTVonline=201902194")</f>
        <v>ICTVonline=201902194</v>
      </c>
      <c r="Y3642" s="1" t="s">
        <v>12305</v>
      </c>
      <c r="Z3642" s="1" t="s">
        <v>11951</v>
      </c>
      <c r="AA3642" s="1">
        <v>201900000</v>
      </c>
      <c r="AB3642" s="1">
        <v>35</v>
      </c>
    </row>
    <row r="3643" spans="1:28" x14ac:dyDescent="0.2">
      <c r="A3643" s="1">
        <v>9389</v>
      </c>
      <c r="B3643" s="1" t="s">
        <v>6839</v>
      </c>
      <c r="D3643" s="1" t="s">
        <v>11735</v>
      </c>
      <c r="F3643" s="1" t="s">
        <v>11930</v>
      </c>
      <c r="H3643" s="1" t="s">
        <v>11931</v>
      </c>
      <c r="J3643" s="1" t="s">
        <v>1161</v>
      </c>
      <c r="L3643" s="1" t="s">
        <v>296</v>
      </c>
      <c r="N3643" s="1" t="s">
        <v>1211</v>
      </c>
      <c r="P3643" s="1" t="s">
        <v>228</v>
      </c>
      <c r="Q3643" s="3">
        <v>0</v>
      </c>
      <c r="R3643" s="23" t="s">
        <v>11933</v>
      </c>
      <c r="S3643" s="23" t="s">
        <v>5849</v>
      </c>
      <c r="T3643" s="23" t="s">
        <v>4866</v>
      </c>
      <c r="U3643" s="3">
        <v>35</v>
      </c>
      <c r="W3643" s="45" t="str">
        <f>HYPERLINK("http://ictvonline.org/taxonomy/p/taxonomy-history?taxnode_id=201902195","ICTVonline=201902195")</f>
        <v>ICTVonline=201902195</v>
      </c>
      <c r="Y3643" s="1" t="s">
        <v>12306</v>
      </c>
      <c r="Z3643" s="1" t="s">
        <v>12307</v>
      </c>
      <c r="AA3643" s="1">
        <v>201900000</v>
      </c>
      <c r="AB3643" s="1">
        <v>35</v>
      </c>
    </row>
    <row r="3644" spans="1:28" x14ac:dyDescent="0.2">
      <c r="A3644" s="1">
        <v>9391</v>
      </c>
      <c r="B3644" s="1" t="s">
        <v>6839</v>
      </c>
      <c r="D3644" s="1" t="s">
        <v>11735</v>
      </c>
      <c r="F3644" s="1" t="s">
        <v>11930</v>
      </c>
      <c r="H3644" s="1" t="s">
        <v>11931</v>
      </c>
      <c r="J3644" s="1" t="s">
        <v>1161</v>
      </c>
      <c r="L3644" s="1" t="s">
        <v>296</v>
      </c>
      <c r="N3644" s="1" t="s">
        <v>1211</v>
      </c>
      <c r="P3644" s="1" t="s">
        <v>229</v>
      </c>
      <c r="Q3644" s="3">
        <v>0</v>
      </c>
      <c r="R3644" s="23" t="s">
        <v>11933</v>
      </c>
      <c r="S3644" s="23" t="s">
        <v>5849</v>
      </c>
      <c r="T3644" s="23" t="s">
        <v>4866</v>
      </c>
      <c r="U3644" s="3">
        <v>35</v>
      </c>
      <c r="W3644" s="45" t="str">
        <f>HYPERLINK("http://ictvonline.org/taxonomy/p/taxonomy-history?taxnode_id=201902196","ICTVonline=201902196")</f>
        <v>ICTVonline=201902196</v>
      </c>
      <c r="Y3644" s="1" t="s">
        <v>12308</v>
      </c>
      <c r="Z3644" s="1" t="s">
        <v>12226</v>
      </c>
      <c r="AA3644" s="1">
        <v>201900000</v>
      </c>
      <c r="AB3644" s="1">
        <v>35</v>
      </c>
    </row>
    <row r="3645" spans="1:28" x14ac:dyDescent="0.2">
      <c r="A3645" s="1">
        <v>9393</v>
      </c>
      <c r="B3645" s="1" t="s">
        <v>6839</v>
      </c>
      <c r="D3645" s="1" t="s">
        <v>11735</v>
      </c>
      <c r="F3645" s="1" t="s">
        <v>11930</v>
      </c>
      <c r="H3645" s="1" t="s">
        <v>11931</v>
      </c>
      <c r="J3645" s="1" t="s">
        <v>1161</v>
      </c>
      <c r="L3645" s="1" t="s">
        <v>296</v>
      </c>
      <c r="N3645" s="1" t="s">
        <v>1211</v>
      </c>
      <c r="P3645" s="1" t="s">
        <v>230</v>
      </c>
      <c r="Q3645" s="3">
        <v>0</v>
      </c>
      <c r="R3645" s="23" t="s">
        <v>11933</v>
      </c>
      <c r="S3645" s="23" t="s">
        <v>5849</v>
      </c>
      <c r="T3645" s="23" t="s">
        <v>4866</v>
      </c>
      <c r="U3645" s="3">
        <v>35</v>
      </c>
      <c r="W3645" s="45" t="str">
        <f>HYPERLINK("http://ictvonline.org/taxonomy/p/taxonomy-history?taxnode_id=201902197","ICTVonline=201902197")</f>
        <v>ICTVonline=201902197</v>
      </c>
      <c r="Y3645" s="1" t="s">
        <v>12309</v>
      </c>
      <c r="Z3645" s="1" t="s">
        <v>12310</v>
      </c>
      <c r="AA3645" s="1">
        <v>201900000</v>
      </c>
      <c r="AB3645" s="1">
        <v>35</v>
      </c>
    </row>
    <row r="3646" spans="1:28" x14ac:dyDescent="0.2">
      <c r="A3646" s="1">
        <v>9395</v>
      </c>
      <c r="B3646" s="1" t="s">
        <v>6839</v>
      </c>
      <c r="D3646" s="1" t="s">
        <v>11735</v>
      </c>
      <c r="F3646" s="1" t="s">
        <v>11930</v>
      </c>
      <c r="H3646" s="1" t="s">
        <v>11931</v>
      </c>
      <c r="J3646" s="1" t="s">
        <v>1161</v>
      </c>
      <c r="L3646" s="1" t="s">
        <v>296</v>
      </c>
      <c r="N3646" s="1" t="s">
        <v>1211</v>
      </c>
      <c r="P3646" s="1" t="s">
        <v>231</v>
      </c>
      <c r="Q3646" s="3">
        <v>0</v>
      </c>
      <c r="R3646" s="23" t="s">
        <v>11933</v>
      </c>
      <c r="S3646" s="23" t="s">
        <v>5849</v>
      </c>
      <c r="T3646" s="23" t="s">
        <v>4866</v>
      </c>
      <c r="U3646" s="3">
        <v>35</v>
      </c>
      <c r="W3646" s="45" t="str">
        <f>HYPERLINK("http://ictvonline.org/taxonomy/p/taxonomy-history?taxnode_id=201902198","ICTVonline=201902198")</f>
        <v>ICTVonline=201902198</v>
      </c>
      <c r="Y3646" s="1" t="s">
        <v>12311</v>
      </c>
      <c r="Z3646" s="1" t="s">
        <v>12312</v>
      </c>
      <c r="AA3646" s="1">
        <v>201900000</v>
      </c>
      <c r="AB3646" s="1">
        <v>35</v>
      </c>
    </row>
    <row r="3647" spans="1:28" x14ac:dyDescent="0.2">
      <c r="A3647" s="1">
        <v>9397</v>
      </c>
      <c r="B3647" s="1" t="s">
        <v>6839</v>
      </c>
      <c r="D3647" s="1" t="s">
        <v>11735</v>
      </c>
      <c r="F3647" s="1" t="s">
        <v>11930</v>
      </c>
      <c r="H3647" s="1" t="s">
        <v>11931</v>
      </c>
      <c r="J3647" s="1" t="s">
        <v>1161</v>
      </c>
      <c r="L3647" s="1" t="s">
        <v>296</v>
      </c>
      <c r="N3647" s="1" t="s">
        <v>1211</v>
      </c>
      <c r="P3647" s="1" t="s">
        <v>232</v>
      </c>
      <c r="Q3647" s="3">
        <v>0</v>
      </c>
      <c r="R3647" s="23" t="s">
        <v>11933</v>
      </c>
      <c r="S3647" s="23" t="s">
        <v>5849</v>
      </c>
      <c r="T3647" s="23" t="s">
        <v>4866</v>
      </c>
      <c r="U3647" s="3">
        <v>35</v>
      </c>
      <c r="W3647" s="45" t="str">
        <f>HYPERLINK("http://ictvonline.org/taxonomy/p/taxonomy-history?taxnode_id=201902199","ICTVonline=201902199")</f>
        <v>ICTVonline=201902199</v>
      </c>
      <c r="Y3647" s="1" t="s">
        <v>12313</v>
      </c>
      <c r="Z3647" s="1" t="s">
        <v>12314</v>
      </c>
      <c r="AA3647" s="1">
        <v>201900000</v>
      </c>
      <c r="AB3647" s="1">
        <v>35</v>
      </c>
    </row>
    <row r="3648" spans="1:28" x14ac:dyDescent="0.2">
      <c r="A3648" s="1">
        <v>9399</v>
      </c>
      <c r="B3648" s="1" t="s">
        <v>6839</v>
      </c>
      <c r="D3648" s="1" t="s">
        <v>11735</v>
      </c>
      <c r="F3648" s="1" t="s">
        <v>11930</v>
      </c>
      <c r="H3648" s="1" t="s">
        <v>11931</v>
      </c>
      <c r="J3648" s="1" t="s">
        <v>1161</v>
      </c>
      <c r="L3648" s="1" t="s">
        <v>296</v>
      </c>
      <c r="N3648" s="1" t="s">
        <v>1211</v>
      </c>
      <c r="P3648" s="1" t="s">
        <v>233</v>
      </c>
      <c r="Q3648" s="3">
        <v>0</v>
      </c>
      <c r="R3648" s="23" t="s">
        <v>11933</v>
      </c>
      <c r="S3648" s="23" t="s">
        <v>5849</v>
      </c>
      <c r="T3648" s="23" t="s">
        <v>4866</v>
      </c>
      <c r="U3648" s="3">
        <v>35</v>
      </c>
      <c r="W3648" s="45" t="str">
        <f>HYPERLINK("http://ictvonline.org/taxonomy/p/taxonomy-history?taxnode_id=201902200","ICTVonline=201902200")</f>
        <v>ICTVonline=201902200</v>
      </c>
      <c r="AA3648" s="1">
        <v>201900000</v>
      </c>
      <c r="AB3648" s="1">
        <v>35</v>
      </c>
    </row>
    <row r="3649" spans="1:28" x14ac:dyDescent="0.2">
      <c r="A3649" s="1">
        <v>9401</v>
      </c>
      <c r="B3649" s="1" t="s">
        <v>6839</v>
      </c>
      <c r="D3649" s="1" t="s">
        <v>11735</v>
      </c>
      <c r="F3649" s="1" t="s">
        <v>11930</v>
      </c>
      <c r="H3649" s="1" t="s">
        <v>11931</v>
      </c>
      <c r="J3649" s="1" t="s">
        <v>1161</v>
      </c>
      <c r="L3649" s="1" t="s">
        <v>296</v>
      </c>
      <c r="N3649" s="1" t="s">
        <v>1211</v>
      </c>
      <c r="P3649" s="1" t="s">
        <v>234</v>
      </c>
      <c r="Q3649" s="3">
        <v>0</v>
      </c>
      <c r="R3649" s="23" t="s">
        <v>11933</v>
      </c>
      <c r="S3649" s="23" t="s">
        <v>5849</v>
      </c>
      <c r="T3649" s="23" t="s">
        <v>4866</v>
      </c>
      <c r="U3649" s="3">
        <v>35</v>
      </c>
      <c r="W3649" s="45" t="str">
        <f>HYPERLINK("http://ictvonline.org/taxonomy/p/taxonomy-history?taxnode_id=201902201","ICTVonline=201902201")</f>
        <v>ICTVonline=201902201</v>
      </c>
      <c r="Y3649" s="1" t="s">
        <v>12315</v>
      </c>
      <c r="Z3649" s="1" t="s">
        <v>12316</v>
      </c>
      <c r="AA3649" s="1">
        <v>201900000</v>
      </c>
      <c r="AB3649" s="1">
        <v>35</v>
      </c>
    </row>
    <row r="3650" spans="1:28" x14ac:dyDescent="0.2">
      <c r="A3650" s="1">
        <v>9403</v>
      </c>
      <c r="B3650" s="1" t="s">
        <v>6839</v>
      </c>
      <c r="D3650" s="1" t="s">
        <v>11735</v>
      </c>
      <c r="F3650" s="1" t="s">
        <v>11930</v>
      </c>
      <c r="H3650" s="1" t="s">
        <v>11931</v>
      </c>
      <c r="J3650" s="1" t="s">
        <v>1161</v>
      </c>
      <c r="L3650" s="1" t="s">
        <v>296</v>
      </c>
      <c r="N3650" s="1" t="s">
        <v>1211</v>
      </c>
      <c r="P3650" s="1" t="s">
        <v>235</v>
      </c>
      <c r="Q3650" s="3">
        <v>0</v>
      </c>
      <c r="R3650" s="23" t="s">
        <v>11933</v>
      </c>
      <c r="S3650" s="23" t="s">
        <v>5849</v>
      </c>
      <c r="T3650" s="23" t="s">
        <v>4866</v>
      </c>
      <c r="U3650" s="3">
        <v>35</v>
      </c>
      <c r="W3650" s="45" t="str">
        <f>HYPERLINK("http://ictvonline.org/taxonomy/p/taxonomy-history?taxnode_id=201902202","ICTVonline=201902202")</f>
        <v>ICTVonline=201902202</v>
      </c>
      <c r="Y3650" s="1" t="s">
        <v>12317</v>
      </c>
      <c r="Z3650" s="1" t="s">
        <v>12318</v>
      </c>
      <c r="AA3650" s="1">
        <v>201900000</v>
      </c>
      <c r="AB3650" s="1">
        <v>35</v>
      </c>
    </row>
    <row r="3651" spans="1:28" x14ac:dyDescent="0.2">
      <c r="A3651" s="1">
        <v>9405</v>
      </c>
      <c r="B3651" s="1" t="s">
        <v>6839</v>
      </c>
      <c r="D3651" s="1" t="s">
        <v>11735</v>
      </c>
      <c r="F3651" s="1" t="s">
        <v>11930</v>
      </c>
      <c r="H3651" s="1" t="s">
        <v>11931</v>
      </c>
      <c r="J3651" s="1" t="s">
        <v>1161</v>
      </c>
      <c r="L3651" s="1" t="s">
        <v>296</v>
      </c>
      <c r="N3651" s="1" t="s">
        <v>1211</v>
      </c>
      <c r="P3651" s="1" t="s">
        <v>236</v>
      </c>
      <c r="Q3651" s="3">
        <v>0</v>
      </c>
      <c r="R3651" s="23" t="s">
        <v>11933</v>
      </c>
      <c r="S3651" s="23" t="s">
        <v>5849</v>
      </c>
      <c r="T3651" s="23" t="s">
        <v>4866</v>
      </c>
      <c r="U3651" s="3">
        <v>35</v>
      </c>
      <c r="W3651" s="45" t="str">
        <f>HYPERLINK("http://ictvonline.org/taxonomy/p/taxonomy-history?taxnode_id=201902203","ICTVonline=201902203")</f>
        <v>ICTVonline=201902203</v>
      </c>
      <c r="Y3651" s="1" t="s">
        <v>12319</v>
      </c>
      <c r="Z3651" s="1" t="s">
        <v>12320</v>
      </c>
      <c r="AA3651" s="1">
        <v>201900000</v>
      </c>
      <c r="AB3651" s="1">
        <v>35</v>
      </c>
    </row>
    <row r="3652" spans="1:28" x14ac:dyDescent="0.2">
      <c r="A3652" s="1">
        <v>9407</v>
      </c>
      <c r="B3652" s="1" t="s">
        <v>6839</v>
      </c>
      <c r="D3652" s="1" t="s">
        <v>11735</v>
      </c>
      <c r="F3652" s="1" t="s">
        <v>11930</v>
      </c>
      <c r="H3652" s="1" t="s">
        <v>11931</v>
      </c>
      <c r="J3652" s="1" t="s">
        <v>1161</v>
      </c>
      <c r="L3652" s="1" t="s">
        <v>296</v>
      </c>
      <c r="N3652" s="1" t="s">
        <v>1211</v>
      </c>
      <c r="P3652" s="1" t="s">
        <v>1438</v>
      </c>
      <c r="Q3652" s="3">
        <v>0</v>
      </c>
      <c r="R3652" s="23" t="s">
        <v>11933</v>
      </c>
      <c r="S3652" s="23" t="s">
        <v>5849</v>
      </c>
      <c r="T3652" s="23" t="s">
        <v>4866</v>
      </c>
      <c r="U3652" s="3">
        <v>35</v>
      </c>
      <c r="W3652" s="45" t="str">
        <f>HYPERLINK("http://ictvonline.org/taxonomy/p/taxonomy-history?taxnode_id=201902204","ICTVonline=201902204")</f>
        <v>ICTVonline=201902204</v>
      </c>
      <c r="Y3652" s="1" t="s">
        <v>12321</v>
      </c>
      <c r="Z3652" s="1" t="s">
        <v>12322</v>
      </c>
      <c r="AA3652" s="1">
        <v>201900000</v>
      </c>
      <c r="AB3652" s="1">
        <v>35</v>
      </c>
    </row>
    <row r="3653" spans="1:28" x14ac:dyDescent="0.2">
      <c r="A3653" s="1">
        <v>9409</v>
      </c>
      <c r="B3653" s="1" t="s">
        <v>6839</v>
      </c>
      <c r="D3653" s="1" t="s">
        <v>11735</v>
      </c>
      <c r="F3653" s="1" t="s">
        <v>11930</v>
      </c>
      <c r="H3653" s="1" t="s">
        <v>11931</v>
      </c>
      <c r="J3653" s="1" t="s">
        <v>1161</v>
      </c>
      <c r="L3653" s="1" t="s">
        <v>296</v>
      </c>
      <c r="N3653" s="1" t="s">
        <v>1211</v>
      </c>
      <c r="P3653" s="1" t="s">
        <v>1439</v>
      </c>
      <c r="Q3653" s="3">
        <v>0</v>
      </c>
      <c r="R3653" s="23" t="s">
        <v>11933</v>
      </c>
      <c r="S3653" s="23" t="s">
        <v>5849</v>
      </c>
      <c r="T3653" s="23" t="s">
        <v>4866</v>
      </c>
      <c r="U3653" s="3">
        <v>35</v>
      </c>
      <c r="W3653" s="45" t="str">
        <f>HYPERLINK("http://ictvonline.org/taxonomy/p/taxonomy-history?taxnode_id=201902205","ICTVonline=201902205")</f>
        <v>ICTVonline=201902205</v>
      </c>
      <c r="Y3653" s="1" t="s">
        <v>12323</v>
      </c>
      <c r="Z3653" s="1" t="s">
        <v>12324</v>
      </c>
      <c r="AA3653" s="1">
        <v>201900000</v>
      </c>
      <c r="AB3653" s="1">
        <v>35</v>
      </c>
    </row>
    <row r="3654" spans="1:28" x14ac:dyDescent="0.2">
      <c r="A3654" s="1">
        <v>9411</v>
      </c>
      <c r="B3654" s="1" t="s">
        <v>6839</v>
      </c>
      <c r="D3654" s="1" t="s">
        <v>11735</v>
      </c>
      <c r="F3654" s="1" t="s">
        <v>11930</v>
      </c>
      <c r="H3654" s="1" t="s">
        <v>11931</v>
      </c>
      <c r="J3654" s="1" t="s">
        <v>1161</v>
      </c>
      <c r="L3654" s="1" t="s">
        <v>296</v>
      </c>
      <c r="N3654" s="1" t="s">
        <v>1211</v>
      </c>
      <c r="P3654" s="1" t="s">
        <v>2184</v>
      </c>
      <c r="Q3654" s="3">
        <v>0</v>
      </c>
      <c r="R3654" s="23" t="s">
        <v>11933</v>
      </c>
      <c r="S3654" s="23" t="s">
        <v>5849</v>
      </c>
      <c r="T3654" s="23" t="s">
        <v>4866</v>
      </c>
      <c r="U3654" s="3">
        <v>35</v>
      </c>
      <c r="W3654" s="45" t="str">
        <f>HYPERLINK("http://ictvonline.org/taxonomy/p/taxonomy-history?taxnode_id=201902206","ICTVonline=201902206")</f>
        <v>ICTVonline=201902206</v>
      </c>
      <c r="AA3654" s="1">
        <v>201900000</v>
      </c>
      <c r="AB3654" s="1">
        <v>35</v>
      </c>
    </row>
    <row r="3655" spans="1:28" x14ac:dyDescent="0.2">
      <c r="A3655" s="1">
        <v>9413</v>
      </c>
      <c r="B3655" s="1" t="s">
        <v>6839</v>
      </c>
      <c r="D3655" s="1" t="s">
        <v>11735</v>
      </c>
      <c r="F3655" s="1" t="s">
        <v>11930</v>
      </c>
      <c r="H3655" s="1" t="s">
        <v>11931</v>
      </c>
      <c r="J3655" s="1" t="s">
        <v>1161</v>
      </c>
      <c r="L3655" s="1" t="s">
        <v>296</v>
      </c>
      <c r="N3655" s="1" t="s">
        <v>1211</v>
      </c>
      <c r="P3655" s="1" t="s">
        <v>2011</v>
      </c>
      <c r="Q3655" s="3">
        <v>0</v>
      </c>
      <c r="R3655" s="23" t="s">
        <v>11933</v>
      </c>
      <c r="S3655" s="23" t="s">
        <v>5849</v>
      </c>
      <c r="T3655" s="23" t="s">
        <v>4866</v>
      </c>
      <c r="U3655" s="3">
        <v>35</v>
      </c>
      <c r="W3655" s="45" t="str">
        <f>HYPERLINK("http://ictvonline.org/taxonomy/p/taxonomy-history?taxnode_id=201902207","ICTVonline=201902207")</f>
        <v>ICTVonline=201902207</v>
      </c>
      <c r="Y3655" s="1" t="s">
        <v>12325</v>
      </c>
      <c r="Z3655" s="1" t="s">
        <v>12326</v>
      </c>
      <c r="AA3655" s="1">
        <v>201900000</v>
      </c>
      <c r="AB3655" s="1">
        <v>35</v>
      </c>
    </row>
    <row r="3656" spans="1:28" x14ac:dyDescent="0.2">
      <c r="A3656" s="1">
        <v>9415</v>
      </c>
      <c r="B3656" s="1" t="s">
        <v>6839</v>
      </c>
      <c r="D3656" s="1" t="s">
        <v>11735</v>
      </c>
      <c r="F3656" s="1" t="s">
        <v>11930</v>
      </c>
      <c r="H3656" s="1" t="s">
        <v>11931</v>
      </c>
      <c r="J3656" s="1" t="s">
        <v>1161</v>
      </c>
      <c r="L3656" s="1" t="s">
        <v>296</v>
      </c>
      <c r="N3656" s="1" t="s">
        <v>1211</v>
      </c>
      <c r="P3656" s="1" t="s">
        <v>452</v>
      </c>
      <c r="Q3656" s="3">
        <v>0</v>
      </c>
      <c r="R3656" s="23" t="s">
        <v>11933</v>
      </c>
      <c r="S3656" s="23" t="s">
        <v>5849</v>
      </c>
      <c r="T3656" s="23" t="s">
        <v>4866</v>
      </c>
      <c r="U3656" s="3">
        <v>35</v>
      </c>
      <c r="W3656" s="45" t="str">
        <f>HYPERLINK("http://ictvonline.org/taxonomy/p/taxonomy-history?taxnode_id=201902208","ICTVonline=201902208")</f>
        <v>ICTVonline=201902208</v>
      </c>
      <c r="Y3656" s="1" t="s">
        <v>12327</v>
      </c>
      <c r="Z3656" s="1" t="s">
        <v>11992</v>
      </c>
      <c r="AA3656" s="1">
        <v>201900000</v>
      </c>
      <c r="AB3656" s="1">
        <v>35</v>
      </c>
    </row>
    <row r="3657" spans="1:28" x14ac:dyDescent="0.2">
      <c r="A3657" s="1">
        <v>9417</v>
      </c>
      <c r="B3657" s="1" t="s">
        <v>6839</v>
      </c>
      <c r="D3657" s="1" t="s">
        <v>11735</v>
      </c>
      <c r="F3657" s="1" t="s">
        <v>11930</v>
      </c>
      <c r="H3657" s="1" t="s">
        <v>11931</v>
      </c>
      <c r="J3657" s="1" t="s">
        <v>1161</v>
      </c>
      <c r="L3657" s="1" t="s">
        <v>296</v>
      </c>
      <c r="N3657" s="1" t="s">
        <v>1211</v>
      </c>
      <c r="P3657" s="1" t="s">
        <v>2106</v>
      </c>
      <c r="Q3657" s="3">
        <v>0</v>
      </c>
      <c r="R3657" s="23" t="s">
        <v>11933</v>
      </c>
      <c r="S3657" s="23" t="s">
        <v>5849</v>
      </c>
      <c r="T3657" s="23" t="s">
        <v>4866</v>
      </c>
      <c r="U3657" s="3">
        <v>35</v>
      </c>
      <c r="W3657" s="45" t="str">
        <f>HYPERLINK("http://ictvonline.org/taxonomy/p/taxonomy-history?taxnode_id=201902209","ICTVonline=201902209")</f>
        <v>ICTVonline=201902209</v>
      </c>
      <c r="Y3657" s="1" t="s">
        <v>12328</v>
      </c>
      <c r="Z3657" s="1" t="s">
        <v>12329</v>
      </c>
      <c r="AA3657" s="1">
        <v>201900000</v>
      </c>
      <c r="AB3657" s="1">
        <v>35</v>
      </c>
    </row>
    <row r="3658" spans="1:28" x14ac:dyDescent="0.2">
      <c r="A3658" s="1">
        <v>9419</v>
      </c>
      <c r="B3658" s="1" t="s">
        <v>6839</v>
      </c>
      <c r="D3658" s="1" t="s">
        <v>11735</v>
      </c>
      <c r="F3658" s="1" t="s">
        <v>11930</v>
      </c>
      <c r="H3658" s="1" t="s">
        <v>11931</v>
      </c>
      <c r="J3658" s="1" t="s">
        <v>1161</v>
      </c>
      <c r="L3658" s="1" t="s">
        <v>296</v>
      </c>
      <c r="N3658" s="1" t="s">
        <v>1211</v>
      </c>
      <c r="P3658" s="1" t="s">
        <v>453</v>
      </c>
      <c r="Q3658" s="3">
        <v>0</v>
      </c>
      <c r="R3658" s="23" t="s">
        <v>11933</v>
      </c>
      <c r="S3658" s="23" t="s">
        <v>5849</v>
      </c>
      <c r="T3658" s="23" t="s">
        <v>4866</v>
      </c>
      <c r="U3658" s="3">
        <v>35</v>
      </c>
      <c r="W3658" s="45" t="str">
        <f>HYPERLINK("http://ictvonline.org/taxonomy/p/taxonomy-history?taxnode_id=201902210","ICTVonline=201902210")</f>
        <v>ICTVonline=201902210</v>
      </c>
      <c r="Y3658" s="1" t="s">
        <v>12330</v>
      </c>
      <c r="Z3658" s="1" t="s">
        <v>12331</v>
      </c>
      <c r="AA3658" s="1">
        <v>201900000</v>
      </c>
      <c r="AB3658" s="1">
        <v>35</v>
      </c>
    </row>
    <row r="3659" spans="1:28" x14ac:dyDescent="0.2">
      <c r="A3659" s="1">
        <v>9421</v>
      </c>
      <c r="B3659" s="1" t="s">
        <v>6839</v>
      </c>
      <c r="D3659" s="1" t="s">
        <v>11735</v>
      </c>
      <c r="F3659" s="1" t="s">
        <v>11930</v>
      </c>
      <c r="H3659" s="1" t="s">
        <v>11931</v>
      </c>
      <c r="J3659" s="1" t="s">
        <v>1161</v>
      </c>
      <c r="L3659" s="1" t="s">
        <v>296</v>
      </c>
      <c r="N3659" s="1" t="s">
        <v>1211</v>
      </c>
      <c r="P3659" s="1" t="s">
        <v>454</v>
      </c>
      <c r="Q3659" s="3">
        <v>0</v>
      </c>
      <c r="R3659" s="23" t="s">
        <v>11933</v>
      </c>
      <c r="S3659" s="23" t="s">
        <v>5849</v>
      </c>
      <c r="T3659" s="23" t="s">
        <v>4866</v>
      </c>
      <c r="U3659" s="3">
        <v>35</v>
      </c>
      <c r="W3659" s="45" t="str">
        <f>HYPERLINK("http://ictvonline.org/taxonomy/p/taxonomy-history?taxnode_id=201902211","ICTVonline=201902211")</f>
        <v>ICTVonline=201902211</v>
      </c>
      <c r="Y3659" s="1" t="s">
        <v>12332</v>
      </c>
      <c r="Z3659" s="1" t="s">
        <v>12333</v>
      </c>
      <c r="AA3659" s="1">
        <v>201900000</v>
      </c>
      <c r="AB3659" s="1">
        <v>35</v>
      </c>
    </row>
    <row r="3660" spans="1:28" x14ac:dyDescent="0.2">
      <c r="A3660" s="1">
        <v>9423</v>
      </c>
      <c r="B3660" s="1" t="s">
        <v>6839</v>
      </c>
      <c r="D3660" s="1" t="s">
        <v>11735</v>
      </c>
      <c r="F3660" s="1" t="s">
        <v>11930</v>
      </c>
      <c r="H3660" s="1" t="s">
        <v>11931</v>
      </c>
      <c r="J3660" s="1" t="s">
        <v>1161</v>
      </c>
      <c r="L3660" s="1" t="s">
        <v>296</v>
      </c>
      <c r="N3660" s="1" t="s">
        <v>1211</v>
      </c>
      <c r="P3660" s="1" t="s">
        <v>455</v>
      </c>
      <c r="Q3660" s="3">
        <v>0</v>
      </c>
      <c r="R3660" s="23" t="s">
        <v>11933</v>
      </c>
      <c r="S3660" s="23" t="s">
        <v>5849</v>
      </c>
      <c r="T3660" s="23" t="s">
        <v>4866</v>
      </c>
      <c r="U3660" s="3">
        <v>35</v>
      </c>
      <c r="W3660" s="45" t="str">
        <f>HYPERLINK("http://ictvonline.org/taxonomy/p/taxonomy-history?taxnode_id=201902212","ICTVonline=201902212")</f>
        <v>ICTVonline=201902212</v>
      </c>
      <c r="Y3660" s="1" t="s">
        <v>12334</v>
      </c>
      <c r="Z3660" s="1" t="s">
        <v>12335</v>
      </c>
      <c r="AA3660" s="1">
        <v>201900000</v>
      </c>
      <c r="AB3660" s="1">
        <v>35</v>
      </c>
    </row>
    <row r="3661" spans="1:28" x14ac:dyDescent="0.2">
      <c r="A3661" s="1">
        <v>9425</v>
      </c>
      <c r="B3661" s="1" t="s">
        <v>6839</v>
      </c>
      <c r="D3661" s="1" t="s">
        <v>11735</v>
      </c>
      <c r="F3661" s="1" t="s">
        <v>11930</v>
      </c>
      <c r="H3661" s="1" t="s">
        <v>11931</v>
      </c>
      <c r="J3661" s="1" t="s">
        <v>1161</v>
      </c>
      <c r="L3661" s="1" t="s">
        <v>296</v>
      </c>
      <c r="N3661" s="1" t="s">
        <v>1211</v>
      </c>
      <c r="P3661" s="1" t="s">
        <v>456</v>
      </c>
      <c r="Q3661" s="3">
        <v>0</v>
      </c>
      <c r="R3661" s="23" t="s">
        <v>11933</v>
      </c>
      <c r="S3661" s="23" t="s">
        <v>5849</v>
      </c>
      <c r="T3661" s="23" t="s">
        <v>4866</v>
      </c>
      <c r="U3661" s="3">
        <v>35</v>
      </c>
      <c r="W3661" s="45" t="str">
        <f>HYPERLINK("http://ictvonline.org/taxonomy/p/taxonomy-history?taxnode_id=201902213","ICTVonline=201902213")</f>
        <v>ICTVonline=201902213</v>
      </c>
      <c r="Y3661" s="1" t="s">
        <v>12336</v>
      </c>
      <c r="Z3661" s="1" t="s">
        <v>12337</v>
      </c>
      <c r="AA3661" s="1">
        <v>201900000</v>
      </c>
      <c r="AB3661" s="1">
        <v>35</v>
      </c>
    </row>
    <row r="3662" spans="1:28" x14ac:dyDescent="0.2">
      <c r="A3662" s="1">
        <v>9427</v>
      </c>
      <c r="B3662" s="1" t="s">
        <v>6839</v>
      </c>
      <c r="D3662" s="1" t="s">
        <v>11735</v>
      </c>
      <c r="F3662" s="1" t="s">
        <v>11930</v>
      </c>
      <c r="H3662" s="1" t="s">
        <v>11931</v>
      </c>
      <c r="J3662" s="1" t="s">
        <v>1161</v>
      </c>
      <c r="L3662" s="1" t="s">
        <v>296</v>
      </c>
      <c r="N3662" s="1" t="s">
        <v>1211</v>
      </c>
      <c r="P3662" s="1" t="s">
        <v>457</v>
      </c>
      <c r="Q3662" s="3">
        <v>0</v>
      </c>
      <c r="R3662" s="23" t="s">
        <v>11933</v>
      </c>
      <c r="S3662" s="23" t="s">
        <v>5849</v>
      </c>
      <c r="T3662" s="23" t="s">
        <v>4866</v>
      </c>
      <c r="U3662" s="3">
        <v>35</v>
      </c>
      <c r="W3662" s="45" t="str">
        <f>HYPERLINK("http://ictvonline.org/taxonomy/p/taxonomy-history?taxnode_id=201902214","ICTVonline=201902214")</f>
        <v>ICTVonline=201902214</v>
      </c>
      <c r="Y3662" s="1" t="s">
        <v>12338</v>
      </c>
      <c r="Z3662" s="1" t="s">
        <v>12316</v>
      </c>
      <c r="AA3662" s="1">
        <v>201900000</v>
      </c>
      <c r="AB3662" s="1">
        <v>35</v>
      </c>
    </row>
    <row r="3663" spans="1:28" x14ac:dyDescent="0.2">
      <c r="A3663" s="1">
        <v>9429</v>
      </c>
      <c r="B3663" s="1" t="s">
        <v>6839</v>
      </c>
      <c r="D3663" s="1" t="s">
        <v>11735</v>
      </c>
      <c r="F3663" s="1" t="s">
        <v>11930</v>
      </c>
      <c r="H3663" s="1" t="s">
        <v>11931</v>
      </c>
      <c r="J3663" s="1" t="s">
        <v>1161</v>
      </c>
      <c r="L3663" s="1" t="s">
        <v>296</v>
      </c>
      <c r="N3663" s="1" t="s">
        <v>1211</v>
      </c>
      <c r="P3663" s="1" t="s">
        <v>1431</v>
      </c>
      <c r="Q3663" s="3">
        <v>0</v>
      </c>
      <c r="R3663" s="23" t="s">
        <v>11933</v>
      </c>
      <c r="S3663" s="23" t="s">
        <v>5849</v>
      </c>
      <c r="T3663" s="23" t="s">
        <v>4866</v>
      </c>
      <c r="U3663" s="3">
        <v>35</v>
      </c>
      <c r="W3663" s="45" t="str">
        <f>HYPERLINK("http://ictvonline.org/taxonomy/p/taxonomy-history?taxnode_id=201902215","ICTVonline=201902215")</f>
        <v>ICTVonline=201902215</v>
      </c>
      <c r="Y3663" s="1" t="s">
        <v>12339</v>
      </c>
      <c r="Z3663" s="1" t="s">
        <v>12340</v>
      </c>
      <c r="AA3663" s="1">
        <v>201900000</v>
      </c>
      <c r="AB3663" s="1">
        <v>35</v>
      </c>
    </row>
    <row r="3664" spans="1:28" x14ac:dyDescent="0.2">
      <c r="A3664" s="1">
        <v>9431</v>
      </c>
      <c r="B3664" s="1" t="s">
        <v>6839</v>
      </c>
      <c r="D3664" s="1" t="s">
        <v>11735</v>
      </c>
      <c r="F3664" s="1" t="s">
        <v>11930</v>
      </c>
      <c r="H3664" s="1" t="s">
        <v>11931</v>
      </c>
      <c r="J3664" s="1" t="s">
        <v>1161</v>
      </c>
      <c r="L3664" s="1" t="s">
        <v>296</v>
      </c>
      <c r="N3664" s="1" t="s">
        <v>1211</v>
      </c>
      <c r="P3664" s="1" t="s">
        <v>2107</v>
      </c>
      <c r="Q3664" s="3">
        <v>0</v>
      </c>
      <c r="R3664" s="23" t="s">
        <v>11933</v>
      </c>
      <c r="S3664" s="23" t="s">
        <v>5849</v>
      </c>
      <c r="T3664" s="23" t="s">
        <v>4866</v>
      </c>
      <c r="U3664" s="3">
        <v>35</v>
      </c>
      <c r="W3664" s="45" t="str">
        <f>HYPERLINK("http://ictvonline.org/taxonomy/p/taxonomy-history?taxnode_id=201902216","ICTVonline=201902216")</f>
        <v>ICTVonline=201902216</v>
      </c>
      <c r="Y3664" s="1" t="s">
        <v>12341</v>
      </c>
      <c r="Z3664" s="1" t="s">
        <v>11951</v>
      </c>
      <c r="AA3664" s="1">
        <v>201900000</v>
      </c>
      <c r="AB3664" s="1">
        <v>35</v>
      </c>
    </row>
    <row r="3665" spans="1:28" x14ac:dyDescent="0.2">
      <c r="A3665" s="1">
        <v>9433</v>
      </c>
      <c r="B3665" s="1" t="s">
        <v>6839</v>
      </c>
      <c r="D3665" s="1" t="s">
        <v>11735</v>
      </c>
      <c r="F3665" s="1" t="s">
        <v>11930</v>
      </c>
      <c r="H3665" s="1" t="s">
        <v>11931</v>
      </c>
      <c r="J3665" s="1" t="s">
        <v>1161</v>
      </c>
      <c r="L3665" s="1" t="s">
        <v>296</v>
      </c>
      <c r="N3665" s="1" t="s">
        <v>1211</v>
      </c>
      <c r="P3665" s="1" t="s">
        <v>5132</v>
      </c>
      <c r="Q3665" s="3">
        <v>0</v>
      </c>
      <c r="R3665" s="23" t="s">
        <v>11933</v>
      </c>
      <c r="S3665" s="23" t="s">
        <v>5849</v>
      </c>
      <c r="T3665" s="23" t="s">
        <v>4866</v>
      </c>
      <c r="U3665" s="3">
        <v>35</v>
      </c>
      <c r="W3665" s="45" t="str">
        <f>HYPERLINK("http://ictvonline.org/taxonomy/p/taxonomy-history?taxnode_id=201905635","ICTVonline=201905635")</f>
        <v>ICTVonline=201905635</v>
      </c>
      <c r="AA3665" s="1">
        <v>201900000</v>
      </c>
      <c r="AB3665" s="1">
        <v>35</v>
      </c>
    </row>
    <row r="3666" spans="1:28" x14ac:dyDescent="0.2">
      <c r="A3666" s="1">
        <v>9435</v>
      </c>
      <c r="B3666" s="1" t="s">
        <v>6839</v>
      </c>
      <c r="D3666" s="1" t="s">
        <v>11735</v>
      </c>
      <c r="F3666" s="1" t="s">
        <v>11930</v>
      </c>
      <c r="H3666" s="1" t="s">
        <v>11931</v>
      </c>
      <c r="J3666" s="1" t="s">
        <v>1161</v>
      </c>
      <c r="L3666" s="1" t="s">
        <v>296</v>
      </c>
      <c r="N3666" s="1" t="s">
        <v>1211</v>
      </c>
      <c r="P3666" s="1" t="s">
        <v>1432</v>
      </c>
      <c r="Q3666" s="3">
        <v>0</v>
      </c>
      <c r="R3666" s="23" t="s">
        <v>11933</v>
      </c>
      <c r="S3666" s="23" t="s">
        <v>5849</v>
      </c>
      <c r="T3666" s="23" t="s">
        <v>4866</v>
      </c>
      <c r="U3666" s="3">
        <v>35</v>
      </c>
      <c r="W3666" s="45" t="str">
        <f>HYPERLINK("http://ictvonline.org/taxonomy/p/taxonomy-history?taxnode_id=201902217","ICTVonline=201902217")</f>
        <v>ICTVonline=201902217</v>
      </c>
      <c r="Y3666" s="1" t="s">
        <v>12342</v>
      </c>
      <c r="Z3666" s="1" t="s">
        <v>12196</v>
      </c>
      <c r="AA3666" s="1">
        <v>201900000</v>
      </c>
      <c r="AB3666" s="1">
        <v>35</v>
      </c>
    </row>
    <row r="3667" spans="1:28" x14ac:dyDescent="0.2">
      <c r="A3667" s="1">
        <v>9437</v>
      </c>
      <c r="B3667" s="1" t="s">
        <v>6839</v>
      </c>
      <c r="D3667" s="1" t="s">
        <v>11735</v>
      </c>
      <c r="F3667" s="1" t="s">
        <v>11930</v>
      </c>
      <c r="H3667" s="1" t="s">
        <v>11931</v>
      </c>
      <c r="J3667" s="1" t="s">
        <v>1161</v>
      </c>
      <c r="L3667" s="1" t="s">
        <v>296</v>
      </c>
      <c r="N3667" s="1" t="s">
        <v>1211</v>
      </c>
      <c r="P3667" s="1" t="s">
        <v>1433</v>
      </c>
      <c r="Q3667" s="3">
        <v>0</v>
      </c>
      <c r="R3667" s="23" t="s">
        <v>11933</v>
      </c>
      <c r="S3667" s="23" t="s">
        <v>5849</v>
      </c>
      <c r="T3667" s="23" t="s">
        <v>4866</v>
      </c>
      <c r="U3667" s="3">
        <v>35</v>
      </c>
      <c r="W3667" s="45" t="str">
        <f>HYPERLINK("http://ictvonline.org/taxonomy/p/taxonomy-history?taxnode_id=201902218","ICTVonline=201902218")</f>
        <v>ICTVonline=201902218</v>
      </c>
      <c r="AA3667" s="1">
        <v>201900000</v>
      </c>
      <c r="AB3667" s="1">
        <v>35</v>
      </c>
    </row>
    <row r="3668" spans="1:28" x14ac:dyDescent="0.2">
      <c r="A3668" s="1">
        <v>9439</v>
      </c>
      <c r="B3668" s="1" t="s">
        <v>6839</v>
      </c>
      <c r="D3668" s="1" t="s">
        <v>11735</v>
      </c>
      <c r="F3668" s="1" t="s">
        <v>11930</v>
      </c>
      <c r="H3668" s="1" t="s">
        <v>11931</v>
      </c>
      <c r="J3668" s="1" t="s">
        <v>1161</v>
      </c>
      <c r="L3668" s="1" t="s">
        <v>296</v>
      </c>
      <c r="N3668" s="1" t="s">
        <v>1211</v>
      </c>
      <c r="P3668" s="1" t="s">
        <v>1434</v>
      </c>
      <c r="Q3668" s="3">
        <v>0</v>
      </c>
      <c r="R3668" s="23" t="s">
        <v>11933</v>
      </c>
      <c r="S3668" s="23" t="s">
        <v>5849</v>
      </c>
      <c r="T3668" s="23" t="s">
        <v>4866</v>
      </c>
      <c r="U3668" s="3">
        <v>35</v>
      </c>
      <c r="W3668" s="45" t="str">
        <f>HYPERLINK("http://ictvonline.org/taxonomy/p/taxonomy-history?taxnode_id=201902219","ICTVonline=201902219")</f>
        <v>ICTVonline=201902219</v>
      </c>
      <c r="Y3668" s="1" t="s">
        <v>12343</v>
      </c>
      <c r="Z3668" s="1" t="s">
        <v>12344</v>
      </c>
      <c r="AA3668" s="1">
        <v>201900000</v>
      </c>
      <c r="AB3668" s="1">
        <v>35</v>
      </c>
    </row>
    <row r="3669" spans="1:28" x14ac:dyDescent="0.2">
      <c r="A3669" s="1">
        <v>9441</v>
      </c>
      <c r="B3669" s="1" t="s">
        <v>6839</v>
      </c>
      <c r="D3669" s="1" t="s">
        <v>11735</v>
      </c>
      <c r="F3669" s="1" t="s">
        <v>11930</v>
      </c>
      <c r="H3669" s="1" t="s">
        <v>11931</v>
      </c>
      <c r="J3669" s="1" t="s">
        <v>1161</v>
      </c>
      <c r="L3669" s="1" t="s">
        <v>296</v>
      </c>
      <c r="N3669" s="1" t="s">
        <v>1211</v>
      </c>
      <c r="P3669" s="1" t="s">
        <v>1435</v>
      </c>
      <c r="Q3669" s="3">
        <v>1</v>
      </c>
      <c r="R3669" s="23" t="s">
        <v>11933</v>
      </c>
      <c r="S3669" s="23" t="s">
        <v>5849</v>
      </c>
      <c r="T3669" s="23" t="s">
        <v>4866</v>
      </c>
      <c r="U3669" s="3">
        <v>35</v>
      </c>
      <c r="W3669" s="45" t="str">
        <f>HYPERLINK("http://ictvonline.org/taxonomy/p/taxonomy-history?taxnode_id=201902220","ICTVonline=201902220")</f>
        <v>ICTVonline=201902220</v>
      </c>
      <c r="Y3669" s="1" t="s">
        <v>12345</v>
      </c>
      <c r="Z3669" s="1" t="s">
        <v>12346</v>
      </c>
      <c r="AA3669" s="1">
        <v>201900000</v>
      </c>
      <c r="AB3669" s="1">
        <v>35</v>
      </c>
    </row>
    <row r="3670" spans="1:28" x14ac:dyDescent="0.2">
      <c r="A3670" s="1">
        <v>9443</v>
      </c>
      <c r="B3670" s="1" t="s">
        <v>6839</v>
      </c>
      <c r="D3670" s="1" t="s">
        <v>11735</v>
      </c>
      <c r="F3670" s="1" t="s">
        <v>11930</v>
      </c>
      <c r="H3670" s="1" t="s">
        <v>11931</v>
      </c>
      <c r="J3670" s="1" t="s">
        <v>1161</v>
      </c>
      <c r="L3670" s="1" t="s">
        <v>296</v>
      </c>
      <c r="N3670" s="1" t="s">
        <v>1211</v>
      </c>
      <c r="P3670" s="1" t="s">
        <v>1436</v>
      </c>
      <c r="Q3670" s="3">
        <v>0</v>
      </c>
      <c r="R3670" s="23" t="s">
        <v>11933</v>
      </c>
      <c r="S3670" s="23" t="s">
        <v>5849</v>
      </c>
      <c r="T3670" s="23" t="s">
        <v>4866</v>
      </c>
      <c r="U3670" s="3">
        <v>35</v>
      </c>
      <c r="W3670" s="45" t="str">
        <f>HYPERLINK("http://ictvonline.org/taxonomy/p/taxonomy-history?taxnode_id=201902221","ICTVonline=201902221")</f>
        <v>ICTVonline=201902221</v>
      </c>
      <c r="Y3670" s="1" t="s">
        <v>12347</v>
      </c>
      <c r="Z3670" s="1" t="s">
        <v>12348</v>
      </c>
      <c r="AA3670" s="1">
        <v>201900000</v>
      </c>
      <c r="AB3670" s="1">
        <v>35</v>
      </c>
    </row>
    <row r="3671" spans="1:28" x14ac:dyDescent="0.2">
      <c r="A3671" s="1">
        <v>9445</v>
      </c>
      <c r="B3671" s="1" t="s">
        <v>6839</v>
      </c>
      <c r="D3671" s="1" t="s">
        <v>11735</v>
      </c>
      <c r="F3671" s="1" t="s">
        <v>11930</v>
      </c>
      <c r="H3671" s="1" t="s">
        <v>11931</v>
      </c>
      <c r="J3671" s="1" t="s">
        <v>1161</v>
      </c>
      <c r="L3671" s="1" t="s">
        <v>296</v>
      </c>
      <c r="N3671" s="1" t="s">
        <v>1211</v>
      </c>
      <c r="P3671" s="1" t="s">
        <v>1443</v>
      </c>
      <c r="Q3671" s="3">
        <v>0</v>
      </c>
      <c r="R3671" s="23" t="s">
        <v>11933</v>
      </c>
      <c r="S3671" s="23" t="s">
        <v>5849</v>
      </c>
      <c r="T3671" s="23" t="s">
        <v>4866</v>
      </c>
      <c r="U3671" s="3">
        <v>35</v>
      </c>
      <c r="W3671" s="45" t="str">
        <f>HYPERLINK("http://ictvonline.org/taxonomy/p/taxonomy-history?taxnode_id=201902222","ICTVonline=201902222")</f>
        <v>ICTVonline=201902222</v>
      </c>
      <c r="Y3671" s="1" t="s">
        <v>12349</v>
      </c>
      <c r="Z3671" s="1" t="s">
        <v>12350</v>
      </c>
      <c r="AA3671" s="1">
        <v>201900000</v>
      </c>
      <c r="AB3671" s="1">
        <v>35</v>
      </c>
    </row>
    <row r="3672" spans="1:28" x14ac:dyDescent="0.2">
      <c r="A3672" s="1">
        <v>9447</v>
      </c>
      <c r="B3672" s="1" t="s">
        <v>6839</v>
      </c>
      <c r="D3672" s="1" t="s">
        <v>11735</v>
      </c>
      <c r="F3672" s="1" t="s">
        <v>11930</v>
      </c>
      <c r="H3672" s="1" t="s">
        <v>11931</v>
      </c>
      <c r="J3672" s="1" t="s">
        <v>1161</v>
      </c>
      <c r="L3672" s="1" t="s">
        <v>296</v>
      </c>
      <c r="N3672" s="1" t="s">
        <v>1211</v>
      </c>
      <c r="P3672" s="1" t="s">
        <v>1444</v>
      </c>
      <c r="Q3672" s="3">
        <v>0</v>
      </c>
      <c r="R3672" s="23" t="s">
        <v>11933</v>
      </c>
      <c r="S3672" s="23" t="s">
        <v>5849</v>
      </c>
      <c r="T3672" s="23" t="s">
        <v>4866</v>
      </c>
      <c r="U3672" s="3">
        <v>35</v>
      </c>
      <c r="W3672" s="45" t="str">
        <f>HYPERLINK("http://ictvonline.org/taxonomy/p/taxonomy-history?taxnode_id=201902223","ICTVonline=201902223")</f>
        <v>ICTVonline=201902223</v>
      </c>
      <c r="Y3672" s="1" t="s">
        <v>12351</v>
      </c>
      <c r="Z3672" s="1" t="s">
        <v>12352</v>
      </c>
      <c r="AA3672" s="1">
        <v>201900000</v>
      </c>
      <c r="AB3672" s="1">
        <v>35</v>
      </c>
    </row>
    <row r="3673" spans="1:28" x14ac:dyDescent="0.2">
      <c r="A3673" s="1">
        <v>9449</v>
      </c>
      <c r="B3673" s="1" t="s">
        <v>6839</v>
      </c>
      <c r="D3673" s="1" t="s">
        <v>11735</v>
      </c>
      <c r="F3673" s="1" t="s">
        <v>11930</v>
      </c>
      <c r="H3673" s="1" t="s">
        <v>11931</v>
      </c>
      <c r="J3673" s="1" t="s">
        <v>1161</v>
      </c>
      <c r="L3673" s="1" t="s">
        <v>296</v>
      </c>
      <c r="N3673" s="1" t="s">
        <v>1211</v>
      </c>
      <c r="P3673" s="1" t="s">
        <v>1440</v>
      </c>
      <c r="Q3673" s="3">
        <v>0</v>
      </c>
      <c r="R3673" s="23" t="s">
        <v>11933</v>
      </c>
      <c r="S3673" s="23" t="s">
        <v>5849</v>
      </c>
      <c r="T3673" s="23" t="s">
        <v>4866</v>
      </c>
      <c r="U3673" s="3">
        <v>35</v>
      </c>
      <c r="W3673" s="45" t="str">
        <f>HYPERLINK("http://ictvonline.org/taxonomy/p/taxonomy-history?taxnode_id=201902224","ICTVonline=201902224")</f>
        <v>ICTVonline=201902224</v>
      </c>
      <c r="Y3673" s="1" t="s">
        <v>12353</v>
      </c>
      <c r="Z3673" s="1" t="s">
        <v>12335</v>
      </c>
      <c r="AA3673" s="1">
        <v>201900000</v>
      </c>
      <c r="AB3673" s="1">
        <v>35</v>
      </c>
    </row>
    <row r="3674" spans="1:28" x14ac:dyDescent="0.2">
      <c r="A3674" s="1">
        <v>9451</v>
      </c>
      <c r="B3674" s="1" t="s">
        <v>6839</v>
      </c>
      <c r="D3674" s="1" t="s">
        <v>11735</v>
      </c>
      <c r="F3674" s="1" t="s">
        <v>11930</v>
      </c>
      <c r="H3674" s="1" t="s">
        <v>11931</v>
      </c>
      <c r="J3674" s="1" t="s">
        <v>1161</v>
      </c>
      <c r="L3674" s="1" t="s">
        <v>296</v>
      </c>
      <c r="N3674" s="1" t="s">
        <v>1211</v>
      </c>
      <c r="P3674" s="1" t="s">
        <v>5133</v>
      </c>
      <c r="Q3674" s="3">
        <v>0</v>
      </c>
      <c r="R3674" s="23" t="s">
        <v>11933</v>
      </c>
      <c r="S3674" s="23" t="s">
        <v>5849</v>
      </c>
      <c r="T3674" s="23" t="s">
        <v>4866</v>
      </c>
      <c r="U3674" s="3">
        <v>35</v>
      </c>
      <c r="W3674" s="45" t="str">
        <f>HYPERLINK("http://ictvonline.org/taxonomy/p/taxonomy-history?taxnode_id=201905636","ICTVonline=201905636")</f>
        <v>ICTVonline=201905636</v>
      </c>
      <c r="AA3674" s="1">
        <v>201900000</v>
      </c>
      <c r="AB3674" s="1">
        <v>35</v>
      </c>
    </row>
    <row r="3675" spans="1:28" x14ac:dyDescent="0.2">
      <c r="A3675" s="1">
        <v>9453</v>
      </c>
      <c r="B3675" s="1" t="s">
        <v>6839</v>
      </c>
      <c r="D3675" s="1" t="s">
        <v>11735</v>
      </c>
      <c r="F3675" s="1" t="s">
        <v>11930</v>
      </c>
      <c r="H3675" s="1" t="s">
        <v>11931</v>
      </c>
      <c r="J3675" s="1" t="s">
        <v>1161</v>
      </c>
      <c r="L3675" s="1" t="s">
        <v>296</v>
      </c>
      <c r="N3675" s="1" t="s">
        <v>1211</v>
      </c>
      <c r="P3675" s="1" t="s">
        <v>1441</v>
      </c>
      <c r="Q3675" s="3">
        <v>0</v>
      </c>
      <c r="R3675" s="23" t="s">
        <v>11933</v>
      </c>
      <c r="S3675" s="23" t="s">
        <v>5849</v>
      </c>
      <c r="T3675" s="23" t="s">
        <v>4866</v>
      </c>
      <c r="U3675" s="3">
        <v>35</v>
      </c>
      <c r="W3675" s="45" t="str">
        <f>HYPERLINK("http://ictvonline.org/taxonomy/p/taxonomy-history?taxnode_id=201902225","ICTVonline=201902225")</f>
        <v>ICTVonline=201902225</v>
      </c>
      <c r="Y3675" s="1" t="s">
        <v>12354</v>
      </c>
      <c r="Z3675" s="1" t="s">
        <v>12355</v>
      </c>
      <c r="AA3675" s="1">
        <v>201900000</v>
      </c>
      <c r="AB3675" s="1">
        <v>35</v>
      </c>
    </row>
    <row r="3676" spans="1:28" x14ac:dyDescent="0.2">
      <c r="A3676" s="1">
        <v>9455</v>
      </c>
      <c r="B3676" s="1" t="s">
        <v>6839</v>
      </c>
      <c r="D3676" s="1" t="s">
        <v>11735</v>
      </c>
      <c r="F3676" s="1" t="s">
        <v>11930</v>
      </c>
      <c r="H3676" s="1" t="s">
        <v>11931</v>
      </c>
      <c r="J3676" s="1" t="s">
        <v>1161</v>
      </c>
      <c r="L3676" s="1" t="s">
        <v>296</v>
      </c>
      <c r="N3676" s="1" t="s">
        <v>1211</v>
      </c>
      <c r="P3676" s="1" t="s">
        <v>3604</v>
      </c>
      <c r="Q3676" s="3">
        <v>0</v>
      </c>
      <c r="R3676" s="23" t="s">
        <v>11933</v>
      </c>
      <c r="S3676" s="23" t="s">
        <v>5849</v>
      </c>
      <c r="T3676" s="23" t="s">
        <v>4866</v>
      </c>
      <c r="U3676" s="3">
        <v>35</v>
      </c>
      <c r="W3676" s="45" t="str">
        <f>HYPERLINK("http://ictvonline.org/taxonomy/p/taxonomy-history?taxnode_id=201902226","ICTVonline=201902226")</f>
        <v>ICTVonline=201902226</v>
      </c>
      <c r="Y3676" s="1" t="s">
        <v>12356</v>
      </c>
      <c r="Z3676" s="1" t="s">
        <v>12357</v>
      </c>
      <c r="AA3676" s="1">
        <v>201900000</v>
      </c>
      <c r="AB3676" s="1">
        <v>35</v>
      </c>
    </row>
    <row r="3677" spans="1:28" x14ac:dyDescent="0.2">
      <c r="A3677" s="1">
        <v>9457</v>
      </c>
      <c r="B3677" s="1" t="s">
        <v>6839</v>
      </c>
      <c r="D3677" s="1" t="s">
        <v>11735</v>
      </c>
      <c r="F3677" s="1" t="s">
        <v>11930</v>
      </c>
      <c r="H3677" s="1" t="s">
        <v>11931</v>
      </c>
      <c r="J3677" s="1" t="s">
        <v>1161</v>
      </c>
      <c r="L3677" s="1" t="s">
        <v>296</v>
      </c>
      <c r="N3677" s="1" t="s">
        <v>1211</v>
      </c>
      <c r="P3677" s="1" t="s">
        <v>1442</v>
      </c>
      <c r="Q3677" s="3">
        <v>0</v>
      </c>
      <c r="R3677" s="23" t="s">
        <v>11933</v>
      </c>
      <c r="S3677" s="23" t="s">
        <v>5849</v>
      </c>
      <c r="T3677" s="23" t="s">
        <v>4866</v>
      </c>
      <c r="U3677" s="3">
        <v>35</v>
      </c>
      <c r="W3677" s="45" t="str">
        <f>HYPERLINK("http://ictvonline.org/taxonomy/p/taxonomy-history?taxnode_id=201902227","ICTVonline=201902227")</f>
        <v>ICTVonline=201902227</v>
      </c>
      <c r="Y3677" s="1" t="s">
        <v>12358</v>
      </c>
      <c r="Z3677" s="1" t="s">
        <v>12359</v>
      </c>
      <c r="AA3677" s="1">
        <v>201900000</v>
      </c>
      <c r="AB3677" s="1">
        <v>35</v>
      </c>
    </row>
    <row r="3678" spans="1:28" x14ac:dyDescent="0.2">
      <c r="A3678" s="1">
        <v>9461</v>
      </c>
      <c r="B3678" s="1" t="s">
        <v>6839</v>
      </c>
      <c r="D3678" s="1" t="s">
        <v>11735</v>
      </c>
      <c r="F3678" s="1" t="s">
        <v>11930</v>
      </c>
      <c r="H3678" s="1" t="s">
        <v>11931</v>
      </c>
      <c r="J3678" s="1" t="s">
        <v>1161</v>
      </c>
      <c r="L3678" s="1" t="s">
        <v>296</v>
      </c>
      <c r="N3678" s="1" t="s">
        <v>1678</v>
      </c>
      <c r="P3678" s="1" t="s">
        <v>1501</v>
      </c>
      <c r="Q3678" s="3">
        <v>1</v>
      </c>
      <c r="R3678" s="23" t="s">
        <v>11933</v>
      </c>
      <c r="S3678" s="23" t="s">
        <v>5849</v>
      </c>
      <c r="T3678" s="23" t="s">
        <v>4866</v>
      </c>
      <c r="U3678" s="3">
        <v>35</v>
      </c>
      <c r="W3678" s="45" t="str">
        <f>HYPERLINK("http://ictvonline.org/taxonomy/p/taxonomy-history?taxnode_id=201902229","ICTVonline=201902229")</f>
        <v>ICTVonline=201902229</v>
      </c>
      <c r="Y3678" s="1" t="s">
        <v>12360</v>
      </c>
      <c r="Z3678" s="1" t="s">
        <v>11859</v>
      </c>
      <c r="AA3678" s="1">
        <v>201900000</v>
      </c>
      <c r="AB3678" s="1">
        <v>35</v>
      </c>
    </row>
    <row r="3679" spans="1:28" x14ac:dyDescent="0.2">
      <c r="A3679" s="1">
        <v>9468</v>
      </c>
      <c r="B3679" s="1" t="s">
        <v>6839</v>
      </c>
      <c r="D3679" s="1" t="s">
        <v>11735</v>
      </c>
      <c r="F3679" s="1" t="s">
        <v>11930</v>
      </c>
      <c r="H3679" s="1" t="s">
        <v>11931</v>
      </c>
      <c r="J3679" s="1" t="s">
        <v>1161</v>
      </c>
      <c r="L3679" s="1" t="s">
        <v>1162</v>
      </c>
      <c r="M3679" s="1" t="s">
        <v>3605</v>
      </c>
      <c r="N3679" s="1" t="s">
        <v>418</v>
      </c>
      <c r="P3679" s="1" t="s">
        <v>419</v>
      </c>
      <c r="Q3679" s="3">
        <v>0</v>
      </c>
      <c r="R3679" s="23" t="s">
        <v>11933</v>
      </c>
      <c r="S3679" s="23" t="s">
        <v>5849</v>
      </c>
      <c r="T3679" s="23" t="s">
        <v>4866</v>
      </c>
      <c r="U3679" s="3">
        <v>35</v>
      </c>
      <c r="W3679" s="45" t="str">
        <f>HYPERLINK("http://ictvonline.org/taxonomy/p/taxonomy-history?taxnode_id=201902235","ICTVonline=201902235")</f>
        <v>ICTVonline=201902235</v>
      </c>
      <c r="Y3679" s="1" t="s">
        <v>12361</v>
      </c>
      <c r="Z3679" s="1" t="s">
        <v>12362</v>
      </c>
      <c r="AA3679" s="1">
        <v>201900000</v>
      </c>
      <c r="AB3679" s="1">
        <v>35</v>
      </c>
    </row>
    <row r="3680" spans="1:28" x14ac:dyDescent="0.2">
      <c r="A3680" s="1">
        <v>9470</v>
      </c>
      <c r="B3680" s="1" t="s">
        <v>6839</v>
      </c>
      <c r="D3680" s="1" t="s">
        <v>11735</v>
      </c>
      <c r="F3680" s="1" t="s">
        <v>11930</v>
      </c>
      <c r="H3680" s="1" t="s">
        <v>11931</v>
      </c>
      <c r="J3680" s="1" t="s">
        <v>1161</v>
      </c>
      <c r="L3680" s="1" t="s">
        <v>1162</v>
      </c>
      <c r="M3680" s="1" t="s">
        <v>3605</v>
      </c>
      <c r="N3680" s="1" t="s">
        <v>418</v>
      </c>
      <c r="P3680" s="1" t="s">
        <v>420</v>
      </c>
      <c r="Q3680" s="3">
        <v>0</v>
      </c>
      <c r="R3680" s="23" t="s">
        <v>11933</v>
      </c>
      <c r="S3680" s="23" t="s">
        <v>5849</v>
      </c>
      <c r="T3680" s="23" t="s">
        <v>4866</v>
      </c>
      <c r="U3680" s="3">
        <v>35</v>
      </c>
      <c r="W3680" s="45" t="str">
        <f>HYPERLINK("http://ictvonline.org/taxonomy/p/taxonomy-history?taxnode_id=201902236","ICTVonline=201902236")</f>
        <v>ICTVonline=201902236</v>
      </c>
      <c r="Y3680" s="1" t="s">
        <v>12363</v>
      </c>
      <c r="Z3680" s="1" t="s">
        <v>12364</v>
      </c>
      <c r="AA3680" s="1">
        <v>201900000</v>
      </c>
      <c r="AB3680" s="1">
        <v>35</v>
      </c>
    </row>
    <row r="3681" spans="1:28" x14ac:dyDescent="0.2">
      <c r="A3681" s="1">
        <v>9472</v>
      </c>
      <c r="B3681" s="1" t="s">
        <v>6839</v>
      </c>
      <c r="D3681" s="1" t="s">
        <v>11735</v>
      </c>
      <c r="F3681" s="1" t="s">
        <v>11930</v>
      </c>
      <c r="H3681" s="1" t="s">
        <v>11931</v>
      </c>
      <c r="J3681" s="1" t="s">
        <v>1161</v>
      </c>
      <c r="L3681" s="1" t="s">
        <v>1162</v>
      </c>
      <c r="M3681" s="1" t="s">
        <v>3605</v>
      </c>
      <c r="N3681" s="1" t="s">
        <v>418</v>
      </c>
      <c r="P3681" s="1" t="s">
        <v>5134</v>
      </c>
      <c r="Q3681" s="3">
        <v>0</v>
      </c>
      <c r="R3681" s="23" t="s">
        <v>11933</v>
      </c>
      <c r="S3681" s="23" t="s">
        <v>5849</v>
      </c>
      <c r="T3681" s="23" t="s">
        <v>4866</v>
      </c>
      <c r="U3681" s="3">
        <v>35</v>
      </c>
      <c r="W3681" s="45" t="str">
        <f>HYPERLINK("http://ictvonline.org/taxonomy/p/taxonomy-history?taxnode_id=201905637","ICTVonline=201905637")</f>
        <v>ICTVonline=201905637</v>
      </c>
      <c r="AA3681" s="1">
        <v>201900000</v>
      </c>
      <c r="AB3681" s="1">
        <v>35</v>
      </c>
    </row>
    <row r="3682" spans="1:28" x14ac:dyDescent="0.2">
      <c r="A3682" s="1">
        <v>9474</v>
      </c>
      <c r="B3682" s="1" t="s">
        <v>6839</v>
      </c>
      <c r="D3682" s="1" t="s">
        <v>11735</v>
      </c>
      <c r="F3682" s="1" t="s">
        <v>11930</v>
      </c>
      <c r="H3682" s="1" t="s">
        <v>11931</v>
      </c>
      <c r="J3682" s="1" t="s">
        <v>1161</v>
      </c>
      <c r="L3682" s="1" t="s">
        <v>1162</v>
      </c>
      <c r="M3682" s="1" t="s">
        <v>3605</v>
      </c>
      <c r="N3682" s="1" t="s">
        <v>418</v>
      </c>
      <c r="P3682" s="1" t="s">
        <v>421</v>
      </c>
      <c r="Q3682" s="3">
        <v>0</v>
      </c>
      <c r="R3682" s="23" t="s">
        <v>11933</v>
      </c>
      <c r="S3682" s="23" t="s">
        <v>5849</v>
      </c>
      <c r="T3682" s="23" t="s">
        <v>4866</v>
      </c>
      <c r="U3682" s="3">
        <v>35</v>
      </c>
      <c r="W3682" s="45" t="str">
        <f>HYPERLINK("http://ictvonline.org/taxonomy/p/taxonomy-history?taxnode_id=201902237","ICTVonline=201902237")</f>
        <v>ICTVonline=201902237</v>
      </c>
      <c r="Y3682" s="1" t="s">
        <v>12365</v>
      </c>
      <c r="Z3682" s="1" t="s">
        <v>12366</v>
      </c>
      <c r="AA3682" s="1">
        <v>201900000</v>
      </c>
      <c r="AB3682" s="1">
        <v>35</v>
      </c>
    </row>
    <row r="3683" spans="1:28" x14ac:dyDescent="0.2">
      <c r="A3683" s="1">
        <v>9476</v>
      </c>
      <c r="B3683" s="1" t="s">
        <v>6839</v>
      </c>
      <c r="D3683" s="1" t="s">
        <v>11735</v>
      </c>
      <c r="F3683" s="1" t="s">
        <v>11930</v>
      </c>
      <c r="H3683" s="1" t="s">
        <v>11931</v>
      </c>
      <c r="J3683" s="1" t="s">
        <v>1161</v>
      </c>
      <c r="L3683" s="1" t="s">
        <v>1162</v>
      </c>
      <c r="M3683" s="1" t="s">
        <v>3605</v>
      </c>
      <c r="N3683" s="1" t="s">
        <v>418</v>
      </c>
      <c r="P3683" s="1" t="s">
        <v>2186</v>
      </c>
      <c r="Q3683" s="3">
        <v>0</v>
      </c>
      <c r="R3683" s="23" t="s">
        <v>11933</v>
      </c>
      <c r="S3683" s="23" t="s">
        <v>5849</v>
      </c>
      <c r="T3683" s="23" t="s">
        <v>4866</v>
      </c>
      <c r="U3683" s="3">
        <v>35</v>
      </c>
      <c r="W3683" s="45" t="str">
        <f>HYPERLINK("http://ictvonline.org/taxonomy/p/taxonomy-history?taxnode_id=201902238","ICTVonline=201902238")</f>
        <v>ICTVonline=201902238</v>
      </c>
      <c r="AA3683" s="1">
        <v>201900000</v>
      </c>
      <c r="AB3683" s="1">
        <v>35</v>
      </c>
    </row>
    <row r="3684" spans="1:28" x14ac:dyDescent="0.2">
      <c r="A3684" s="1">
        <v>9478</v>
      </c>
      <c r="B3684" s="1" t="s">
        <v>6839</v>
      </c>
      <c r="D3684" s="1" t="s">
        <v>11735</v>
      </c>
      <c r="F3684" s="1" t="s">
        <v>11930</v>
      </c>
      <c r="H3684" s="1" t="s">
        <v>11931</v>
      </c>
      <c r="J3684" s="1" t="s">
        <v>1161</v>
      </c>
      <c r="L3684" s="1" t="s">
        <v>1162</v>
      </c>
      <c r="M3684" s="1" t="s">
        <v>3605</v>
      </c>
      <c r="N3684" s="1" t="s">
        <v>418</v>
      </c>
      <c r="P3684" s="1" t="s">
        <v>422</v>
      </c>
      <c r="Q3684" s="3">
        <v>0</v>
      </c>
      <c r="R3684" s="23" t="s">
        <v>11933</v>
      </c>
      <c r="S3684" s="23" t="s">
        <v>5849</v>
      </c>
      <c r="T3684" s="23" t="s">
        <v>4866</v>
      </c>
      <c r="U3684" s="3">
        <v>35</v>
      </c>
      <c r="W3684" s="45" t="str">
        <f>HYPERLINK("http://ictvonline.org/taxonomy/p/taxonomy-history?taxnode_id=201902239","ICTVonline=201902239")</f>
        <v>ICTVonline=201902239</v>
      </c>
      <c r="AA3684" s="1">
        <v>201900000</v>
      </c>
      <c r="AB3684" s="1">
        <v>35</v>
      </c>
    </row>
    <row r="3685" spans="1:28" x14ac:dyDescent="0.2">
      <c r="A3685" s="1">
        <v>9480</v>
      </c>
      <c r="B3685" s="1" t="s">
        <v>6839</v>
      </c>
      <c r="D3685" s="1" t="s">
        <v>11735</v>
      </c>
      <c r="F3685" s="1" t="s">
        <v>11930</v>
      </c>
      <c r="H3685" s="1" t="s">
        <v>11931</v>
      </c>
      <c r="J3685" s="1" t="s">
        <v>1161</v>
      </c>
      <c r="L3685" s="1" t="s">
        <v>1162</v>
      </c>
      <c r="M3685" s="1" t="s">
        <v>3605</v>
      </c>
      <c r="N3685" s="1" t="s">
        <v>418</v>
      </c>
      <c r="P3685" s="1" t="s">
        <v>423</v>
      </c>
      <c r="Q3685" s="3">
        <v>0</v>
      </c>
      <c r="R3685" s="23" t="s">
        <v>11933</v>
      </c>
      <c r="S3685" s="23" t="s">
        <v>5849</v>
      </c>
      <c r="T3685" s="23" t="s">
        <v>4866</v>
      </c>
      <c r="U3685" s="3">
        <v>35</v>
      </c>
      <c r="W3685" s="45" t="str">
        <f>HYPERLINK("http://ictvonline.org/taxonomy/p/taxonomy-history?taxnode_id=201902240","ICTVonline=201902240")</f>
        <v>ICTVonline=201902240</v>
      </c>
      <c r="AA3685" s="1">
        <v>201900000</v>
      </c>
      <c r="AB3685" s="1">
        <v>35</v>
      </c>
    </row>
    <row r="3686" spans="1:28" x14ac:dyDescent="0.2">
      <c r="A3686" s="1">
        <v>9482</v>
      </c>
      <c r="B3686" s="1" t="s">
        <v>6839</v>
      </c>
      <c r="D3686" s="1" t="s">
        <v>11735</v>
      </c>
      <c r="F3686" s="1" t="s">
        <v>11930</v>
      </c>
      <c r="H3686" s="1" t="s">
        <v>11931</v>
      </c>
      <c r="J3686" s="1" t="s">
        <v>1161</v>
      </c>
      <c r="L3686" s="1" t="s">
        <v>1162</v>
      </c>
      <c r="M3686" s="1" t="s">
        <v>3605</v>
      </c>
      <c r="N3686" s="1" t="s">
        <v>418</v>
      </c>
      <c r="P3686" s="1" t="s">
        <v>293</v>
      </c>
      <c r="Q3686" s="3">
        <v>1</v>
      </c>
      <c r="R3686" s="23" t="s">
        <v>11933</v>
      </c>
      <c r="S3686" s="23" t="s">
        <v>5849</v>
      </c>
      <c r="T3686" s="23" t="s">
        <v>4866</v>
      </c>
      <c r="U3686" s="3">
        <v>35</v>
      </c>
      <c r="W3686" s="45" t="str">
        <f>HYPERLINK("http://ictvonline.org/taxonomy/p/taxonomy-history?taxnode_id=201902241","ICTVonline=201902241")</f>
        <v>ICTVonline=201902241</v>
      </c>
      <c r="AA3686" s="1">
        <v>201900000</v>
      </c>
      <c r="AB3686" s="1">
        <v>35</v>
      </c>
    </row>
    <row r="3687" spans="1:28" x14ac:dyDescent="0.2">
      <c r="A3687" s="1">
        <v>9484</v>
      </c>
      <c r="B3687" s="1" t="s">
        <v>6839</v>
      </c>
      <c r="D3687" s="1" t="s">
        <v>11735</v>
      </c>
      <c r="F3687" s="1" t="s">
        <v>11930</v>
      </c>
      <c r="H3687" s="1" t="s">
        <v>11931</v>
      </c>
      <c r="J3687" s="1" t="s">
        <v>1161</v>
      </c>
      <c r="L3687" s="1" t="s">
        <v>1162</v>
      </c>
      <c r="M3687" s="1" t="s">
        <v>3605</v>
      </c>
      <c r="N3687" s="1" t="s">
        <v>418</v>
      </c>
      <c r="P3687" s="1" t="s">
        <v>2024</v>
      </c>
      <c r="Q3687" s="3">
        <v>0</v>
      </c>
      <c r="R3687" s="23" t="s">
        <v>11933</v>
      </c>
      <c r="S3687" s="23" t="s">
        <v>5849</v>
      </c>
      <c r="T3687" s="23" t="s">
        <v>4866</v>
      </c>
      <c r="U3687" s="3">
        <v>35</v>
      </c>
      <c r="W3687" s="45" t="str">
        <f>HYPERLINK("http://ictvonline.org/taxonomy/p/taxonomy-history?taxnode_id=201902242","ICTVonline=201902242")</f>
        <v>ICTVonline=201902242</v>
      </c>
      <c r="Y3687" s="1" t="s">
        <v>12367</v>
      </c>
      <c r="Z3687" s="1" t="s">
        <v>12368</v>
      </c>
      <c r="AA3687" s="1">
        <v>201900000</v>
      </c>
      <c r="AB3687" s="1">
        <v>35</v>
      </c>
    </row>
    <row r="3688" spans="1:28" x14ac:dyDescent="0.2">
      <c r="A3688" s="1">
        <v>9486</v>
      </c>
      <c r="B3688" s="1" t="s">
        <v>6839</v>
      </c>
      <c r="D3688" s="1" t="s">
        <v>11735</v>
      </c>
      <c r="F3688" s="1" t="s">
        <v>11930</v>
      </c>
      <c r="H3688" s="1" t="s">
        <v>11931</v>
      </c>
      <c r="J3688" s="1" t="s">
        <v>1161</v>
      </c>
      <c r="L3688" s="1" t="s">
        <v>1162</v>
      </c>
      <c r="M3688" s="1" t="s">
        <v>3605</v>
      </c>
      <c r="N3688" s="1" t="s">
        <v>418</v>
      </c>
      <c r="P3688" s="1" t="s">
        <v>2025</v>
      </c>
      <c r="Q3688" s="3">
        <v>0</v>
      </c>
      <c r="R3688" s="23" t="s">
        <v>11933</v>
      </c>
      <c r="S3688" s="23" t="s">
        <v>5849</v>
      </c>
      <c r="T3688" s="23" t="s">
        <v>4866</v>
      </c>
      <c r="U3688" s="3">
        <v>35</v>
      </c>
      <c r="W3688" s="45" t="str">
        <f>HYPERLINK("http://ictvonline.org/taxonomy/p/taxonomy-history?taxnode_id=201902243","ICTVonline=201902243")</f>
        <v>ICTVonline=201902243</v>
      </c>
      <c r="AA3688" s="1">
        <v>201900000</v>
      </c>
      <c r="AB3688" s="1">
        <v>35</v>
      </c>
    </row>
    <row r="3689" spans="1:28" x14ac:dyDescent="0.2">
      <c r="A3689" s="1">
        <v>9488</v>
      </c>
      <c r="B3689" s="1" t="s">
        <v>6839</v>
      </c>
      <c r="D3689" s="1" t="s">
        <v>11735</v>
      </c>
      <c r="F3689" s="1" t="s">
        <v>11930</v>
      </c>
      <c r="H3689" s="1" t="s">
        <v>11931</v>
      </c>
      <c r="J3689" s="1" t="s">
        <v>1161</v>
      </c>
      <c r="L3689" s="1" t="s">
        <v>1162</v>
      </c>
      <c r="M3689" s="1" t="s">
        <v>3605</v>
      </c>
      <c r="N3689" s="1" t="s">
        <v>418</v>
      </c>
      <c r="P3689" s="1" t="s">
        <v>2104</v>
      </c>
      <c r="Q3689" s="3">
        <v>0</v>
      </c>
      <c r="R3689" s="23" t="s">
        <v>11933</v>
      </c>
      <c r="S3689" s="23" t="s">
        <v>5849</v>
      </c>
      <c r="T3689" s="23" t="s">
        <v>4866</v>
      </c>
      <c r="U3689" s="3">
        <v>35</v>
      </c>
      <c r="W3689" s="45" t="str">
        <f>HYPERLINK("http://ictvonline.org/taxonomy/p/taxonomy-history?taxnode_id=201902244","ICTVonline=201902244")</f>
        <v>ICTVonline=201902244</v>
      </c>
      <c r="Y3689" s="1" t="s">
        <v>12369</v>
      </c>
      <c r="Z3689" s="1" t="s">
        <v>11977</v>
      </c>
      <c r="AA3689" s="1">
        <v>201900000</v>
      </c>
      <c r="AB3689" s="1">
        <v>35</v>
      </c>
    </row>
    <row r="3690" spans="1:28" x14ac:dyDescent="0.2">
      <c r="A3690" s="1">
        <v>9490</v>
      </c>
      <c r="B3690" s="1" t="s">
        <v>6839</v>
      </c>
      <c r="D3690" s="1" t="s">
        <v>11735</v>
      </c>
      <c r="F3690" s="1" t="s">
        <v>11930</v>
      </c>
      <c r="H3690" s="1" t="s">
        <v>11931</v>
      </c>
      <c r="J3690" s="1" t="s">
        <v>1161</v>
      </c>
      <c r="L3690" s="1" t="s">
        <v>1162</v>
      </c>
      <c r="M3690" s="1" t="s">
        <v>3605</v>
      </c>
      <c r="N3690" s="1" t="s">
        <v>418</v>
      </c>
      <c r="P3690" s="1" t="s">
        <v>1931</v>
      </c>
      <c r="Q3690" s="3">
        <v>0</v>
      </c>
      <c r="R3690" s="23" t="s">
        <v>11933</v>
      </c>
      <c r="S3690" s="23" t="s">
        <v>5849</v>
      </c>
      <c r="T3690" s="23" t="s">
        <v>4866</v>
      </c>
      <c r="U3690" s="3">
        <v>35</v>
      </c>
      <c r="W3690" s="45" t="str">
        <f>HYPERLINK("http://ictvonline.org/taxonomy/p/taxonomy-history?taxnode_id=201902245","ICTVonline=201902245")</f>
        <v>ICTVonline=201902245</v>
      </c>
      <c r="Y3690" s="1" t="s">
        <v>12370</v>
      </c>
      <c r="Z3690" s="1" t="s">
        <v>12371</v>
      </c>
      <c r="AA3690" s="1">
        <v>201900000</v>
      </c>
      <c r="AB3690" s="1">
        <v>35</v>
      </c>
    </row>
    <row r="3691" spans="1:28" x14ac:dyDescent="0.2">
      <c r="A3691" s="1">
        <v>9492</v>
      </c>
      <c r="B3691" s="1" t="s">
        <v>6839</v>
      </c>
      <c r="D3691" s="1" t="s">
        <v>11735</v>
      </c>
      <c r="F3691" s="1" t="s">
        <v>11930</v>
      </c>
      <c r="H3691" s="1" t="s">
        <v>11931</v>
      </c>
      <c r="J3691" s="1" t="s">
        <v>1161</v>
      </c>
      <c r="L3691" s="1" t="s">
        <v>1162</v>
      </c>
      <c r="M3691" s="1" t="s">
        <v>3605</v>
      </c>
      <c r="N3691" s="1" t="s">
        <v>418</v>
      </c>
      <c r="P3691" s="1" t="s">
        <v>2187</v>
      </c>
      <c r="Q3691" s="3">
        <v>0</v>
      </c>
      <c r="R3691" s="23" t="s">
        <v>11933</v>
      </c>
      <c r="S3691" s="23" t="s">
        <v>5849</v>
      </c>
      <c r="T3691" s="23" t="s">
        <v>4866</v>
      </c>
      <c r="U3691" s="3">
        <v>35</v>
      </c>
      <c r="W3691" s="45" t="str">
        <f>HYPERLINK("http://ictvonline.org/taxonomy/p/taxonomy-history?taxnode_id=201902246","ICTVonline=201902246")</f>
        <v>ICTVonline=201902246</v>
      </c>
      <c r="AA3691" s="1">
        <v>201900000</v>
      </c>
      <c r="AB3691" s="1">
        <v>35</v>
      </c>
    </row>
    <row r="3692" spans="1:28" x14ac:dyDescent="0.2">
      <c r="A3692" s="1">
        <v>9494</v>
      </c>
      <c r="B3692" s="1" t="s">
        <v>6839</v>
      </c>
      <c r="D3692" s="1" t="s">
        <v>11735</v>
      </c>
      <c r="F3692" s="1" t="s">
        <v>11930</v>
      </c>
      <c r="H3692" s="1" t="s">
        <v>11931</v>
      </c>
      <c r="J3692" s="1" t="s">
        <v>1161</v>
      </c>
      <c r="L3692" s="1" t="s">
        <v>1162</v>
      </c>
      <c r="M3692" s="1" t="s">
        <v>3605</v>
      </c>
      <c r="N3692" s="1" t="s">
        <v>418</v>
      </c>
      <c r="P3692" s="1" t="s">
        <v>1932</v>
      </c>
      <c r="Q3692" s="3">
        <v>0</v>
      </c>
      <c r="R3692" s="23" t="s">
        <v>11933</v>
      </c>
      <c r="S3692" s="23" t="s">
        <v>5849</v>
      </c>
      <c r="T3692" s="23" t="s">
        <v>4866</v>
      </c>
      <c r="U3692" s="3">
        <v>35</v>
      </c>
      <c r="W3692" s="45" t="str">
        <f>HYPERLINK("http://ictvonline.org/taxonomy/p/taxonomy-history?taxnode_id=201902247","ICTVonline=201902247")</f>
        <v>ICTVonline=201902247</v>
      </c>
      <c r="Y3692" s="1" t="s">
        <v>12372</v>
      </c>
      <c r="Z3692" s="1" t="s">
        <v>12373</v>
      </c>
      <c r="AA3692" s="1">
        <v>201900000</v>
      </c>
      <c r="AB3692" s="1">
        <v>35</v>
      </c>
    </row>
    <row r="3693" spans="1:28" x14ac:dyDescent="0.2">
      <c r="A3693" s="1">
        <v>9496</v>
      </c>
      <c r="B3693" s="1" t="s">
        <v>6839</v>
      </c>
      <c r="D3693" s="1" t="s">
        <v>11735</v>
      </c>
      <c r="F3693" s="1" t="s">
        <v>11930</v>
      </c>
      <c r="H3693" s="1" t="s">
        <v>11931</v>
      </c>
      <c r="J3693" s="1" t="s">
        <v>1161</v>
      </c>
      <c r="L3693" s="1" t="s">
        <v>1162</v>
      </c>
      <c r="M3693" s="1" t="s">
        <v>3605</v>
      </c>
      <c r="N3693" s="1" t="s">
        <v>418</v>
      </c>
      <c r="P3693" s="1" t="s">
        <v>3606</v>
      </c>
      <c r="Q3693" s="3">
        <v>0</v>
      </c>
      <c r="R3693" s="23" t="s">
        <v>11933</v>
      </c>
      <c r="S3693" s="23" t="s">
        <v>5849</v>
      </c>
      <c r="T3693" s="23" t="s">
        <v>4866</v>
      </c>
      <c r="U3693" s="3">
        <v>35</v>
      </c>
      <c r="W3693" s="45" t="str">
        <f>HYPERLINK("http://ictvonline.org/taxonomy/p/taxonomy-history?taxnode_id=201902248","ICTVonline=201902248")</f>
        <v>ICTVonline=201902248</v>
      </c>
      <c r="Y3693" s="1" t="s">
        <v>12374</v>
      </c>
      <c r="Z3693" s="1" t="s">
        <v>12375</v>
      </c>
      <c r="AA3693" s="1">
        <v>201900000</v>
      </c>
      <c r="AB3693" s="1">
        <v>35</v>
      </c>
    </row>
    <row r="3694" spans="1:28" x14ac:dyDescent="0.2">
      <c r="A3694" s="1">
        <v>9498</v>
      </c>
      <c r="B3694" s="1" t="s">
        <v>6839</v>
      </c>
      <c r="D3694" s="1" t="s">
        <v>11735</v>
      </c>
      <c r="F3694" s="1" t="s">
        <v>11930</v>
      </c>
      <c r="H3694" s="1" t="s">
        <v>11931</v>
      </c>
      <c r="J3694" s="1" t="s">
        <v>1161</v>
      </c>
      <c r="L3694" s="1" t="s">
        <v>1162</v>
      </c>
      <c r="M3694" s="1" t="s">
        <v>3605</v>
      </c>
      <c r="N3694" s="1" t="s">
        <v>418</v>
      </c>
      <c r="P3694" s="1" t="s">
        <v>1603</v>
      </c>
      <c r="Q3694" s="3">
        <v>0</v>
      </c>
      <c r="R3694" s="23" t="s">
        <v>11933</v>
      </c>
      <c r="S3694" s="23" t="s">
        <v>5849</v>
      </c>
      <c r="T3694" s="23" t="s">
        <v>4866</v>
      </c>
      <c r="U3694" s="3">
        <v>35</v>
      </c>
      <c r="W3694" s="45" t="str">
        <f>HYPERLINK("http://ictvonline.org/taxonomy/p/taxonomy-history?taxnode_id=201902249","ICTVonline=201902249")</f>
        <v>ICTVonline=201902249</v>
      </c>
      <c r="Y3694" s="1" t="s">
        <v>12376</v>
      </c>
      <c r="Z3694" s="1" t="s">
        <v>12377</v>
      </c>
      <c r="AA3694" s="1">
        <v>201900000</v>
      </c>
      <c r="AB3694" s="1">
        <v>35</v>
      </c>
    </row>
    <row r="3695" spans="1:28" x14ac:dyDescent="0.2">
      <c r="A3695" s="1">
        <v>9500</v>
      </c>
      <c r="B3695" s="1" t="s">
        <v>6839</v>
      </c>
      <c r="D3695" s="1" t="s">
        <v>11735</v>
      </c>
      <c r="F3695" s="1" t="s">
        <v>11930</v>
      </c>
      <c r="H3695" s="1" t="s">
        <v>11931</v>
      </c>
      <c r="J3695" s="1" t="s">
        <v>1161</v>
      </c>
      <c r="L3695" s="1" t="s">
        <v>1162</v>
      </c>
      <c r="M3695" s="1" t="s">
        <v>3605</v>
      </c>
      <c r="N3695" s="1" t="s">
        <v>418</v>
      </c>
      <c r="P3695" s="1" t="s">
        <v>1604</v>
      </c>
      <c r="Q3695" s="3">
        <v>0</v>
      </c>
      <c r="R3695" s="23" t="s">
        <v>11933</v>
      </c>
      <c r="S3695" s="23" t="s">
        <v>5849</v>
      </c>
      <c r="T3695" s="23" t="s">
        <v>4866</v>
      </c>
      <c r="U3695" s="3">
        <v>35</v>
      </c>
      <c r="W3695" s="45" t="str">
        <f>HYPERLINK("http://ictvonline.org/taxonomy/p/taxonomy-history?taxnode_id=201902250","ICTVonline=201902250")</f>
        <v>ICTVonline=201902250</v>
      </c>
      <c r="AA3695" s="1">
        <v>201900000</v>
      </c>
      <c r="AB3695" s="1">
        <v>35</v>
      </c>
    </row>
    <row r="3696" spans="1:28" x14ac:dyDescent="0.2">
      <c r="A3696" s="1">
        <v>9502</v>
      </c>
      <c r="B3696" s="1" t="s">
        <v>6839</v>
      </c>
      <c r="D3696" s="1" t="s">
        <v>11735</v>
      </c>
      <c r="F3696" s="1" t="s">
        <v>11930</v>
      </c>
      <c r="H3696" s="1" t="s">
        <v>11931</v>
      </c>
      <c r="J3696" s="1" t="s">
        <v>1161</v>
      </c>
      <c r="L3696" s="1" t="s">
        <v>1162</v>
      </c>
      <c r="M3696" s="1" t="s">
        <v>3605</v>
      </c>
      <c r="N3696" s="1" t="s">
        <v>418</v>
      </c>
      <c r="P3696" s="1" t="s">
        <v>2188</v>
      </c>
      <c r="Q3696" s="3">
        <v>0</v>
      </c>
      <c r="R3696" s="23" t="s">
        <v>11933</v>
      </c>
      <c r="S3696" s="23" t="s">
        <v>5849</v>
      </c>
      <c r="T3696" s="23" t="s">
        <v>4866</v>
      </c>
      <c r="U3696" s="3">
        <v>35</v>
      </c>
      <c r="W3696" s="45" t="str">
        <f>HYPERLINK("http://ictvonline.org/taxonomy/p/taxonomy-history?taxnode_id=201902251","ICTVonline=201902251")</f>
        <v>ICTVonline=201902251</v>
      </c>
      <c r="AA3696" s="1">
        <v>201900000</v>
      </c>
      <c r="AB3696" s="1">
        <v>35</v>
      </c>
    </row>
    <row r="3697" spans="1:28" x14ac:dyDescent="0.2">
      <c r="A3697" s="1">
        <v>9504</v>
      </c>
      <c r="B3697" s="1" t="s">
        <v>6839</v>
      </c>
      <c r="D3697" s="1" t="s">
        <v>11735</v>
      </c>
      <c r="F3697" s="1" t="s">
        <v>11930</v>
      </c>
      <c r="H3697" s="1" t="s">
        <v>11931</v>
      </c>
      <c r="J3697" s="1" t="s">
        <v>1161</v>
      </c>
      <c r="L3697" s="1" t="s">
        <v>1162</v>
      </c>
      <c r="M3697" s="1" t="s">
        <v>3605</v>
      </c>
      <c r="N3697" s="1" t="s">
        <v>418</v>
      </c>
      <c r="P3697" s="1" t="s">
        <v>1870</v>
      </c>
      <c r="Q3697" s="3">
        <v>0</v>
      </c>
      <c r="R3697" s="23" t="s">
        <v>11933</v>
      </c>
      <c r="S3697" s="23" t="s">
        <v>5849</v>
      </c>
      <c r="T3697" s="23" t="s">
        <v>4866</v>
      </c>
      <c r="U3697" s="3">
        <v>35</v>
      </c>
      <c r="W3697" s="45" t="str">
        <f>HYPERLINK("http://ictvonline.org/taxonomy/p/taxonomy-history?taxnode_id=201902252","ICTVonline=201902252")</f>
        <v>ICTVonline=201902252</v>
      </c>
      <c r="Y3697" s="1" t="s">
        <v>12378</v>
      </c>
      <c r="Z3697" s="1" t="s">
        <v>12379</v>
      </c>
      <c r="AA3697" s="1">
        <v>201900000</v>
      </c>
      <c r="AB3697" s="1">
        <v>35</v>
      </c>
    </row>
    <row r="3698" spans="1:28" x14ac:dyDescent="0.2">
      <c r="A3698" s="1">
        <v>9506</v>
      </c>
      <c r="B3698" s="1" t="s">
        <v>6839</v>
      </c>
      <c r="D3698" s="1" t="s">
        <v>11735</v>
      </c>
      <c r="F3698" s="1" t="s">
        <v>11930</v>
      </c>
      <c r="H3698" s="1" t="s">
        <v>11931</v>
      </c>
      <c r="J3698" s="1" t="s">
        <v>1161</v>
      </c>
      <c r="L3698" s="1" t="s">
        <v>1162</v>
      </c>
      <c r="M3698" s="1" t="s">
        <v>3605</v>
      </c>
      <c r="N3698" s="1" t="s">
        <v>418</v>
      </c>
      <c r="P3698" s="1" t="s">
        <v>2189</v>
      </c>
      <c r="Q3698" s="3">
        <v>0</v>
      </c>
      <c r="R3698" s="23" t="s">
        <v>11933</v>
      </c>
      <c r="S3698" s="23" t="s">
        <v>5849</v>
      </c>
      <c r="T3698" s="23" t="s">
        <v>4866</v>
      </c>
      <c r="U3698" s="3">
        <v>35</v>
      </c>
      <c r="W3698" s="45" t="str">
        <f>HYPERLINK("http://ictvonline.org/taxonomy/p/taxonomy-history?taxnode_id=201902253","ICTVonline=201902253")</f>
        <v>ICTVonline=201902253</v>
      </c>
      <c r="Y3698" s="1" t="s">
        <v>12380</v>
      </c>
      <c r="Z3698" s="1" t="s">
        <v>12312</v>
      </c>
      <c r="AA3698" s="1">
        <v>201900000</v>
      </c>
      <c r="AB3698" s="1">
        <v>35</v>
      </c>
    </row>
    <row r="3699" spans="1:28" x14ac:dyDescent="0.2">
      <c r="A3699" s="1">
        <v>9508</v>
      </c>
      <c r="B3699" s="1" t="s">
        <v>6839</v>
      </c>
      <c r="D3699" s="1" t="s">
        <v>11735</v>
      </c>
      <c r="F3699" s="1" t="s">
        <v>11930</v>
      </c>
      <c r="H3699" s="1" t="s">
        <v>11931</v>
      </c>
      <c r="J3699" s="1" t="s">
        <v>1161</v>
      </c>
      <c r="L3699" s="1" t="s">
        <v>1162</v>
      </c>
      <c r="M3699" s="1" t="s">
        <v>3605</v>
      </c>
      <c r="N3699" s="1" t="s">
        <v>418</v>
      </c>
      <c r="P3699" s="1" t="s">
        <v>1605</v>
      </c>
      <c r="Q3699" s="3">
        <v>0</v>
      </c>
      <c r="R3699" s="23" t="s">
        <v>11933</v>
      </c>
      <c r="S3699" s="23" t="s">
        <v>5849</v>
      </c>
      <c r="T3699" s="23" t="s">
        <v>4866</v>
      </c>
      <c r="U3699" s="3">
        <v>35</v>
      </c>
      <c r="W3699" s="45" t="str">
        <f>HYPERLINK("http://ictvonline.org/taxonomy/p/taxonomy-history?taxnode_id=201902254","ICTVonline=201902254")</f>
        <v>ICTVonline=201902254</v>
      </c>
      <c r="Y3699" s="1" t="s">
        <v>12381</v>
      </c>
      <c r="Z3699" s="1" t="s">
        <v>11951</v>
      </c>
      <c r="AA3699" s="1">
        <v>201900000</v>
      </c>
      <c r="AB3699" s="1">
        <v>35</v>
      </c>
    </row>
    <row r="3700" spans="1:28" x14ac:dyDescent="0.2">
      <c r="A3700" s="1">
        <v>9510</v>
      </c>
      <c r="B3700" s="1" t="s">
        <v>6839</v>
      </c>
      <c r="D3700" s="1" t="s">
        <v>11735</v>
      </c>
      <c r="F3700" s="1" t="s">
        <v>11930</v>
      </c>
      <c r="H3700" s="1" t="s">
        <v>11931</v>
      </c>
      <c r="J3700" s="1" t="s">
        <v>1161</v>
      </c>
      <c r="L3700" s="1" t="s">
        <v>1162</v>
      </c>
      <c r="M3700" s="1" t="s">
        <v>3605</v>
      </c>
      <c r="N3700" s="1" t="s">
        <v>418</v>
      </c>
      <c r="P3700" s="1" t="s">
        <v>1606</v>
      </c>
      <c r="Q3700" s="3">
        <v>0</v>
      </c>
      <c r="R3700" s="23" t="s">
        <v>11933</v>
      </c>
      <c r="S3700" s="23" t="s">
        <v>5849</v>
      </c>
      <c r="T3700" s="23" t="s">
        <v>4866</v>
      </c>
      <c r="U3700" s="3">
        <v>35</v>
      </c>
      <c r="W3700" s="45" t="str">
        <f>HYPERLINK("http://ictvonline.org/taxonomy/p/taxonomy-history?taxnode_id=201902255","ICTVonline=201902255")</f>
        <v>ICTVonline=201902255</v>
      </c>
      <c r="Y3700" s="1" t="s">
        <v>12382</v>
      </c>
      <c r="Z3700" s="1" t="s">
        <v>11206</v>
      </c>
      <c r="AA3700" s="1">
        <v>201900000</v>
      </c>
      <c r="AB3700" s="1">
        <v>35</v>
      </c>
    </row>
    <row r="3701" spans="1:28" x14ac:dyDescent="0.2">
      <c r="A3701" s="1">
        <v>9512</v>
      </c>
      <c r="B3701" s="1" t="s">
        <v>6839</v>
      </c>
      <c r="D3701" s="1" t="s">
        <v>11735</v>
      </c>
      <c r="F3701" s="1" t="s">
        <v>11930</v>
      </c>
      <c r="H3701" s="1" t="s">
        <v>11931</v>
      </c>
      <c r="J3701" s="1" t="s">
        <v>1161</v>
      </c>
      <c r="L3701" s="1" t="s">
        <v>1162</v>
      </c>
      <c r="M3701" s="1" t="s">
        <v>3605</v>
      </c>
      <c r="N3701" s="1" t="s">
        <v>418</v>
      </c>
      <c r="P3701" s="1" t="s">
        <v>2190</v>
      </c>
      <c r="Q3701" s="3">
        <v>0</v>
      </c>
      <c r="R3701" s="23" t="s">
        <v>11933</v>
      </c>
      <c r="S3701" s="23" t="s">
        <v>5849</v>
      </c>
      <c r="T3701" s="23" t="s">
        <v>4866</v>
      </c>
      <c r="U3701" s="3">
        <v>35</v>
      </c>
      <c r="W3701" s="45" t="str">
        <f>HYPERLINK("http://ictvonline.org/taxonomy/p/taxonomy-history?taxnode_id=201902256","ICTVonline=201902256")</f>
        <v>ICTVonline=201902256</v>
      </c>
      <c r="Y3701" s="1" t="s">
        <v>12383</v>
      </c>
      <c r="Z3701" s="1" t="s">
        <v>12384</v>
      </c>
      <c r="AA3701" s="1">
        <v>201900000</v>
      </c>
      <c r="AB3701" s="1">
        <v>35</v>
      </c>
    </row>
    <row r="3702" spans="1:28" x14ac:dyDescent="0.2">
      <c r="A3702" s="1">
        <v>9514</v>
      </c>
      <c r="B3702" s="1" t="s">
        <v>6839</v>
      </c>
      <c r="D3702" s="1" t="s">
        <v>11735</v>
      </c>
      <c r="F3702" s="1" t="s">
        <v>11930</v>
      </c>
      <c r="H3702" s="1" t="s">
        <v>11931</v>
      </c>
      <c r="J3702" s="1" t="s">
        <v>1161</v>
      </c>
      <c r="L3702" s="1" t="s">
        <v>1162</v>
      </c>
      <c r="M3702" s="1" t="s">
        <v>3605</v>
      </c>
      <c r="N3702" s="1" t="s">
        <v>418</v>
      </c>
      <c r="P3702" s="1" t="s">
        <v>5135</v>
      </c>
      <c r="Q3702" s="3">
        <v>0</v>
      </c>
      <c r="R3702" s="23" t="s">
        <v>11933</v>
      </c>
      <c r="S3702" s="23" t="s">
        <v>5849</v>
      </c>
      <c r="T3702" s="23" t="s">
        <v>4866</v>
      </c>
      <c r="U3702" s="3">
        <v>35</v>
      </c>
      <c r="W3702" s="45" t="str">
        <f>HYPERLINK("http://ictvonline.org/taxonomy/p/taxonomy-history?taxnode_id=201902257","ICTVonline=201902257")</f>
        <v>ICTVonline=201902257</v>
      </c>
      <c r="AA3702" s="1">
        <v>201900000</v>
      </c>
      <c r="AB3702" s="1">
        <v>35</v>
      </c>
    </row>
    <row r="3703" spans="1:28" x14ac:dyDescent="0.2">
      <c r="A3703" s="1">
        <v>9516</v>
      </c>
      <c r="B3703" s="1" t="s">
        <v>6839</v>
      </c>
      <c r="D3703" s="1" t="s">
        <v>11735</v>
      </c>
      <c r="F3703" s="1" t="s">
        <v>11930</v>
      </c>
      <c r="H3703" s="1" t="s">
        <v>11931</v>
      </c>
      <c r="J3703" s="1" t="s">
        <v>1161</v>
      </c>
      <c r="L3703" s="1" t="s">
        <v>1162</v>
      </c>
      <c r="M3703" s="1" t="s">
        <v>3605</v>
      </c>
      <c r="N3703" s="1" t="s">
        <v>418</v>
      </c>
      <c r="P3703" s="1" t="s">
        <v>2105</v>
      </c>
      <c r="Q3703" s="3">
        <v>0</v>
      </c>
      <c r="R3703" s="23" t="s">
        <v>11933</v>
      </c>
      <c r="S3703" s="23" t="s">
        <v>5849</v>
      </c>
      <c r="T3703" s="23" t="s">
        <v>4866</v>
      </c>
      <c r="U3703" s="3">
        <v>35</v>
      </c>
      <c r="W3703" s="45" t="str">
        <f>HYPERLINK("http://ictvonline.org/taxonomy/p/taxonomy-history?taxnode_id=201902258","ICTVonline=201902258")</f>
        <v>ICTVonline=201902258</v>
      </c>
      <c r="Y3703" s="1" t="s">
        <v>12385</v>
      </c>
      <c r="Z3703" s="1" t="s">
        <v>11977</v>
      </c>
      <c r="AA3703" s="1">
        <v>201900000</v>
      </c>
      <c r="AB3703" s="1">
        <v>35</v>
      </c>
    </row>
    <row r="3704" spans="1:28" x14ac:dyDescent="0.2">
      <c r="A3704" s="1">
        <v>9518</v>
      </c>
      <c r="B3704" s="1" t="s">
        <v>6839</v>
      </c>
      <c r="D3704" s="1" t="s">
        <v>11735</v>
      </c>
      <c r="F3704" s="1" t="s">
        <v>11930</v>
      </c>
      <c r="H3704" s="1" t="s">
        <v>11931</v>
      </c>
      <c r="J3704" s="1" t="s">
        <v>1161</v>
      </c>
      <c r="L3704" s="1" t="s">
        <v>1162</v>
      </c>
      <c r="M3704" s="1" t="s">
        <v>3605</v>
      </c>
      <c r="N3704" s="1" t="s">
        <v>418</v>
      </c>
      <c r="P3704" s="1" t="s">
        <v>5136</v>
      </c>
      <c r="Q3704" s="3">
        <v>0</v>
      </c>
      <c r="R3704" s="23" t="s">
        <v>11933</v>
      </c>
      <c r="S3704" s="23" t="s">
        <v>5849</v>
      </c>
      <c r="T3704" s="23" t="s">
        <v>4866</v>
      </c>
      <c r="U3704" s="3">
        <v>35</v>
      </c>
      <c r="W3704" s="45" t="str">
        <f>HYPERLINK("http://ictvonline.org/taxonomy/p/taxonomy-history?taxnode_id=201905638","ICTVonline=201905638")</f>
        <v>ICTVonline=201905638</v>
      </c>
      <c r="AA3704" s="1">
        <v>201900000</v>
      </c>
      <c r="AB3704" s="1">
        <v>35</v>
      </c>
    </row>
    <row r="3705" spans="1:28" x14ac:dyDescent="0.2">
      <c r="A3705" s="1">
        <v>9520</v>
      </c>
      <c r="B3705" s="1" t="s">
        <v>6839</v>
      </c>
      <c r="D3705" s="1" t="s">
        <v>11735</v>
      </c>
      <c r="F3705" s="1" t="s">
        <v>11930</v>
      </c>
      <c r="H3705" s="1" t="s">
        <v>11931</v>
      </c>
      <c r="J3705" s="1" t="s">
        <v>1161</v>
      </c>
      <c r="L3705" s="1" t="s">
        <v>1162</v>
      </c>
      <c r="M3705" s="1" t="s">
        <v>3605</v>
      </c>
      <c r="N3705" s="1" t="s">
        <v>418</v>
      </c>
      <c r="P3705" s="1" t="s">
        <v>2026</v>
      </c>
      <c r="Q3705" s="3">
        <v>0</v>
      </c>
      <c r="R3705" s="23" t="s">
        <v>11933</v>
      </c>
      <c r="S3705" s="23" t="s">
        <v>5849</v>
      </c>
      <c r="T3705" s="23" t="s">
        <v>4866</v>
      </c>
      <c r="U3705" s="3">
        <v>35</v>
      </c>
      <c r="W3705" s="45" t="str">
        <f>HYPERLINK("http://ictvonline.org/taxonomy/p/taxonomy-history?taxnode_id=201902259","ICTVonline=201902259")</f>
        <v>ICTVonline=201902259</v>
      </c>
      <c r="Y3705" s="1" t="s">
        <v>12386</v>
      </c>
      <c r="Z3705" s="1" t="s">
        <v>12387</v>
      </c>
      <c r="AA3705" s="1">
        <v>201900000</v>
      </c>
      <c r="AB3705" s="1">
        <v>35</v>
      </c>
    </row>
    <row r="3706" spans="1:28" x14ac:dyDescent="0.2">
      <c r="A3706" s="1">
        <v>9522</v>
      </c>
      <c r="B3706" s="1" t="s">
        <v>6839</v>
      </c>
      <c r="D3706" s="1" t="s">
        <v>11735</v>
      </c>
      <c r="F3706" s="1" t="s">
        <v>11930</v>
      </c>
      <c r="H3706" s="1" t="s">
        <v>11931</v>
      </c>
      <c r="J3706" s="1" t="s">
        <v>1161</v>
      </c>
      <c r="L3706" s="1" t="s">
        <v>1162</v>
      </c>
      <c r="M3706" s="1" t="s">
        <v>3605</v>
      </c>
      <c r="N3706" s="1" t="s">
        <v>418</v>
      </c>
      <c r="P3706" s="1" t="s">
        <v>2027</v>
      </c>
      <c r="Q3706" s="3">
        <v>0</v>
      </c>
      <c r="R3706" s="23" t="s">
        <v>11933</v>
      </c>
      <c r="S3706" s="23" t="s">
        <v>5849</v>
      </c>
      <c r="T3706" s="23" t="s">
        <v>4866</v>
      </c>
      <c r="U3706" s="3">
        <v>35</v>
      </c>
      <c r="W3706" s="45" t="str">
        <f>HYPERLINK("http://ictvonline.org/taxonomy/p/taxonomy-history?taxnode_id=201902260","ICTVonline=201902260")</f>
        <v>ICTVonline=201902260</v>
      </c>
      <c r="AA3706" s="1">
        <v>201900000</v>
      </c>
      <c r="AB3706" s="1">
        <v>35</v>
      </c>
    </row>
    <row r="3707" spans="1:28" x14ac:dyDescent="0.2">
      <c r="A3707" s="1">
        <v>9524</v>
      </c>
      <c r="B3707" s="1" t="s">
        <v>6839</v>
      </c>
      <c r="D3707" s="1" t="s">
        <v>11735</v>
      </c>
      <c r="F3707" s="1" t="s">
        <v>11930</v>
      </c>
      <c r="H3707" s="1" t="s">
        <v>11931</v>
      </c>
      <c r="J3707" s="1" t="s">
        <v>1161</v>
      </c>
      <c r="L3707" s="1" t="s">
        <v>1162</v>
      </c>
      <c r="M3707" s="1" t="s">
        <v>3605</v>
      </c>
      <c r="N3707" s="1" t="s">
        <v>418</v>
      </c>
      <c r="P3707" s="1" t="s">
        <v>2191</v>
      </c>
      <c r="Q3707" s="3">
        <v>0</v>
      </c>
      <c r="R3707" s="23" t="s">
        <v>11933</v>
      </c>
      <c r="S3707" s="23" t="s">
        <v>5849</v>
      </c>
      <c r="T3707" s="23" t="s">
        <v>4866</v>
      </c>
      <c r="U3707" s="3">
        <v>35</v>
      </c>
      <c r="W3707" s="45" t="str">
        <f>HYPERLINK("http://ictvonline.org/taxonomy/p/taxonomy-history?taxnode_id=201902261","ICTVonline=201902261")</f>
        <v>ICTVonline=201902261</v>
      </c>
      <c r="Y3707" s="1" t="s">
        <v>12388</v>
      </c>
      <c r="Z3707" s="1" t="s">
        <v>11977</v>
      </c>
      <c r="AA3707" s="1">
        <v>201900000</v>
      </c>
      <c r="AB3707" s="1">
        <v>35</v>
      </c>
    </row>
    <row r="3708" spans="1:28" x14ac:dyDescent="0.2">
      <c r="A3708" s="1">
        <v>9526</v>
      </c>
      <c r="B3708" s="1" t="s">
        <v>6839</v>
      </c>
      <c r="D3708" s="1" t="s">
        <v>11735</v>
      </c>
      <c r="F3708" s="1" t="s">
        <v>11930</v>
      </c>
      <c r="H3708" s="1" t="s">
        <v>11931</v>
      </c>
      <c r="J3708" s="1" t="s">
        <v>1161</v>
      </c>
      <c r="L3708" s="1" t="s">
        <v>1162</v>
      </c>
      <c r="M3708" s="1" t="s">
        <v>3605</v>
      </c>
      <c r="N3708" s="1" t="s">
        <v>418</v>
      </c>
      <c r="P3708" s="1" t="s">
        <v>1933</v>
      </c>
      <c r="Q3708" s="3">
        <v>0</v>
      </c>
      <c r="R3708" s="23" t="s">
        <v>11933</v>
      </c>
      <c r="S3708" s="23" t="s">
        <v>5849</v>
      </c>
      <c r="T3708" s="23" t="s">
        <v>4866</v>
      </c>
      <c r="U3708" s="3">
        <v>35</v>
      </c>
      <c r="W3708" s="45" t="str">
        <f>HYPERLINK("http://ictvonline.org/taxonomy/p/taxonomy-history?taxnode_id=201902262","ICTVonline=201902262")</f>
        <v>ICTVonline=201902262</v>
      </c>
      <c r="Y3708" s="1" t="s">
        <v>12389</v>
      </c>
      <c r="Z3708" s="1" t="s">
        <v>12390</v>
      </c>
      <c r="AA3708" s="1">
        <v>201900000</v>
      </c>
      <c r="AB3708" s="1">
        <v>35</v>
      </c>
    </row>
    <row r="3709" spans="1:28" x14ac:dyDescent="0.2">
      <c r="A3709" s="1">
        <v>9528</v>
      </c>
      <c r="B3709" s="1" t="s">
        <v>6839</v>
      </c>
      <c r="D3709" s="1" t="s">
        <v>11735</v>
      </c>
      <c r="F3709" s="1" t="s">
        <v>11930</v>
      </c>
      <c r="H3709" s="1" t="s">
        <v>11931</v>
      </c>
      <c r="J3709" s="1" t="s">
        <v>1161</v>
      </c>
      <c r="L3709" s="1" t="s">
        <v>1162</v>
      </c>
      <c r="M3709" s="1" t="s">
        <v>3605</v>
      </c>
      <c r="N3709" s="1" t="s">
        <v>418</v>
      </c>
      <c r="P3709" s="1" t="s">
        <v>1934</v>
      </c>
      <c r="Q3709" s="3">
        <v>0</v>
      </c>
      <c r="R3709" s="23" t="s">
        <v>11933</v>
      </c>
      <c r="S3709" s="23" t="s">
        <v>5849</v>
      </c>
      <c r="T3709" s="23" t="s">
        <v>4866</v>
      </c>
      <c r="U3709" s="3">
        <v>35</v>
      </c>
      <c r="W3709" s="45" t="str">
        <f>HYPERLINK("http://ictvonline.org/taxonomy/p/taxonomy-history?taxnode_id=201902263","ICTVonline=201902263")</f>
        <v>ICTVonline=201902263</v>
      </c>
      <c r="Y3709" s="1" t="s">
        <v>12391</v>
      </c>
      <c r="Z3709" s="1" t="s">
        <v>12392</v>
      </c>
      <c r="AA3709" s="1">
        <v>201900000</v>
      </c>
      <c r="AB3709" s="1">
        <v>35</v>
      </c>
    </row>
    <row r="3710" spans="1:28" x14ac:dyDescent="0.2">
      <c r="A3710" s="1">
        <v>9530</v>
      </c>
      <c r="B3710" s="1" t="s">
        <v>6839</v>
      </c>
      <c r="D3710" s="1" t="s">
        <v>11735</v>
      </c>
      <c r="F3710" s="1" t="s">
        <v>11930</v>
      </c>
      <c r="H3710" s="1" t="s">
        <v>11931</v>
      </c>
      <c r="J3710" s="1" t="s">
        <v>1161</v>
      </c>
      <c r="L3710" s="1" t="s">
        <v>1162</v>
      </c>
      <c r="M3710" s="1" t="s">
        <v>3605</v>
      </c>
      <c r="N3710" s="1" t="s">
        <v>418</v>
      </c>
      <c r="P3710" s="1" t="s">
        <v>1935</v>
      </c>
      <c r="Q3710" s="3">
        <v>0</v>
      </c>
      <c r="R3710" s="23" t="s">
        <v>11933</v>
      </c>
      <c r="S3710" s="23" t="s">
        <v>5849</v>
      </c>
      <c r="T3710" s="23" t="s">
        <v>4866</v>
      </c>
      <c r="U3710" s="3">
        <v>35</v>
      </c>
      <c r="W3710" s="45" t="str">
        <f>HYPERLINK("http://ictvonline.org/taxonomy/p/taxonomy-history?taxnode_id=201902264","ICTVonline=201902264")</f>
        <v>ICTVonline=201902264</v>
      </c>
      <c r="Y3710" s="1" t="s">
        <v>12393</v>
      </c>
      <c r="Z3710" s="1" t="s">
        <v>12394</v>
      </c>
      <c r="AA3710" s="1">
        <v>201900000</v>
      </c>
      <c r="AB3710" s="1">
        <v>35</v>
      </c>
    </row>
    <row r="3711" spans="1:28" x14ac:dyDescent="0.2">
      <c r="A3711" s="1">
        <v>9532</v>
      </c>
      <c r="B3711" s="1" t="s">
        <v>6839</v>
      </c>
      <c r="D3711" s="1" t="s">
        <v>11735</v>
      </c>
      <c r="F3711" s="1" t="s">
        <v>11930</v>
      </c>
      <c r="H3711" s="1" t="s">
        <v>11931</v>
      </c>
      <c r="J3711" s="1" t="s">
        <v>1161</v>
      </c>
      <c r="L3711" s="1" t="s">
        <v>1162</v>
      </c>
      <c r="M3711" s="1" t="s">
        <v>3605</v>
      </c>
      <c r="N3711" s="1" t="s">
        <v>418</v>
      </c>
      <c r="P3711" s="1" t="s">
        <v>1936</v>
      </c>
      <c r="Q3711" s="3">
        <v>0</v>
      </c>
      <c r="R3711" s="23" t="s">
        <v>11933</v>
      </c>
      <c r="S3711" s="23" t="s">
        <v>5849</v>
      </c>
      <c r="T3711" s="23" t="s">
        <v>4866</v>
      </c>
      <c r="U3711" s="3">
        <v>35</v>
      </c>
      <c r="W3711" s="45" t="str">
        <f>HYPERLINK("http://ictvonline.org/taxonomy/p/taxonomy-history?taxnode_id=201902265","ICTVonline=201902265")</f>
        <v>ICTVonline=201902265</v>
      </c>
      <c r="Y3711" s="1" t="s">
        <v>12395</v>
      </c>
      <c r="Z3711" s="1" t="s">
        <v>12396</v>
      </c>
      <c r="AA3711" s="1">
        <v>201900000</v>
      </c>
      <c r="AB3711" s="1">
        <v>35</v>
      </c>
    </row>
    <row r="3712" spans="1:28" x14ac:dyDescent="0.2">
      <c r="A3712" s="1">
        <v>9534</v>
      </c>
      <c r="B3712" s="1" t="s">
        <v>6839</v>
      </c>
      <c r="D3712" s="1" t="s">
        <v>11735</v>
      </c>
      <c r="F3712" s="1" t="s">
        <v>11930</v>
      </c>
      <c r="H3712" s="1" t="s">
        <v>11931</v>
      </c>
      <c r="J3712" s="1" t="s">
        <v>1161</v>
      </c>
      <c r="L3712" s="1" t="s">
        <v>1162</v>
      </c>
      <c r="M3712" s="1" t="s">
        <v>3605</v>
      </c>
      <c r="N3712" s="1" t="s">
        <v>418</v>
      </c>
      <c r="P3712" s="1" t="s">
        <v>2192</v>
      </c>
      <c r="Q3712" s="3">
        <v>0</v>
      </c>
      <c r="R3712" s="23" t="s">
        <v>11933</v>
      </c>
      <c r="S3712" s="23" t="s">
        <v>5849</v>
      </c>
      <c r="T3712" s="23" t="s">
        <v>4866</v>
      </c>
      <c r="U3712" s="3">
        <v>35</v>
      </c>
      <c r="W3712" s="45" t="str">
        <f>HYPERLINK("http://ictvonline.org/taxonomy/p/taxonomy-history?taxnode_id=201902266","ICTVonline=201902266")</f>
        <v>ICTVonline=201902266</v>
      </c>
      <c r="Y3712" s="1" t="s">
        <v>12397</v>
      </c>
      <c r="Z3712" s="1" t="s">
        <v>12398</v>
      </c>
      <c r="AA3712" s="1">
        <v>201900000</v>
      </c>
      <c r="AB3712" s="1">
        <v>35</v>
      </c>
    </row>
    <row r="3713" spans="1:28" x14ac:dyDescent="0.2">
      <c r="A3713" s="1">
        <v>9536</v>
      </c>
      <c r="B3713" s="1" t="s">
        <v>6839</v>
      </c>
      <c r="D3713" s="1" t="s">
        <v>11735</v>
      </c>
      <c r="F3713" s="1" t="s">
        <v>11930</v>
      </c>
      <c r="H3713" s="1" t="s">
        <v>11931</v>
      </c>
      <c r="J3713" s="1" t="s">
        <v>1161</v>
      </c>
      <c r="L3713" s="1" t="s">
        <v>1162</v>
      </c>
      <c r="M3713" s="1" t="s">
        <v>3605</v>
      </c>
      <c r="N3713" s="1" t="s">
        <v>418</v>
      </c>
      <c r="P3713" s="1" t="s">
        <v>2193</v>
      </c>
      <c r="Q3713" s="3">
        <v>0</v>
      </c>
      <c r="R3713" s="23" t="s">
        <v>11933</v>
      </c>
      <c r="S3713" s="23" t="s">
        <v>5849</v>
      </c>
      <c r="T3713" s="23" t="s">
        <v>4866</v>
      </c>
      <c r="U3713" s="3">
        <v>35</v>
      </c>
      <c r="W3713" s="45" t="str">
        <f>HYPERLINK("http://ictvonline.org/taxonomy/p/taxonomy-history?taxnode_id=201902267","ICTVonline=201902267")</f>
        <v>ICTVonline=201902267</v>
      </c>
      <c r="AA3713" s="1">
        <v>201900000</v>
      </c>
      <c r="AB3713" s="1">
        <v>35</v>
      </c>
    </row>
    <row r="3714" spans="1:28" x14ac:dyDescent="0.2">
      <c r="A3714" s="1">
        <v>9538</v>
      </c>
      <c r="B3714" s="1" t="s">
        <v>6839</v>
      </c>
      <c r="D3714" s="1" t="s">
        <v>11735</v>
      </c>
      <c r="F3714" s="1" t="s">
        <v>11930</v>
      </c>
      <c r="H3714" s="1" t="s">
        <v>11931</v>
      </c>
      <c r="J3714" s="1" t="s">
        <v>1161</v>
      </c>
      <c r="L3714" s="1" t="s">
        <v>1162</v>
      </c>
      <c r="M3714" s="1" t="s">
        <v>3605</v>
      </c>
      <c r="N3714" s="1" t="s">
        <v>418</v>
      </c>
      <c r="P3714" s="1" t="s">
        <v>2194</v>
      </c>
      <c r="Q3714" s="3">
        <v>0</v>
      </c>
      <c r="R3714" s="23" t="s">
        <v>11933</v>
      </c>
      <c r="S3714" s="23" t="s">
        <v>5849</v>
      </c>
      <c r="T3714" s="23" t="s">
        <v>4866</v>
      </c>
      <c r="U3714" s="3">
        <v>35</v>
      </c>
      <c r="W3714" s="45" t="str">
        <f>HYPERLINK("http://ictvonline.org/taxonomy/p/taxonomy-history?taxnode_id=201902268","ICTVonline=201902268")</f>
        <v>ICTVonline=201902268</v>
      </c>
      <c r="Y3714" s="1" t="s">
        <v>12399</v>
      </c>
      <c r="Z3714" s="1" t="s">
        <v>12400</v>
      </c>
      <c r="AA3714" s="1">
        <v>201900000</v>
      </c>
      <c r="AB3714" s="1">
        <v>35</v>
      </c>
    </row>
    <row r="3715" spans="1:28" x14ac:dyDescent="0.2">
      <c r="A3715" s="1">
        <v>9540</v>
      </c>
      <c r="B3715" s="1" t="s">
        <v>6839</v>
      </c>
      <c r="D3715" s="1" t="s">
        <v>11735</v>
      </c>
      <c r="F3715" s="1" t="s">
        <v>11930</v>
      </c>
      <c r="H3715" s="1" t="s">
        <v>11931</v>
      </c>
      <c r="J3715" s="1" t="s">
        <v>1161</v>
      </c>
      <c r="L3715" s="1" t="s">
        <v>1162</v>
      </c>
      <c r="M3715" s="1" t="s">
        <v>3605</v>
      </c>
      <c r="N3715" s="1" t="s">
        <v>418</v>
      </c>
      <c r="P3715" s="1" t="s">
        <v>1937</v>
      </c>
      <c r="Q3715" s="3">
        <v>0</v>
      </c>
      <c r="R3715" s="23" t="s">
        <v>11933</v>
      </c>
      <c r="S3715" s="23" t="s">
        <v>5849</v>
      </c>
      <c r="T3715" s="23" t="s">
        <v>4866</v>
      </c>
      <c r="U3715" s="3">
        <v>35</v>
      </c>
      <c r="W3715" s="45" t="str">
        <f>HYPERLINK("http://ictvonline.org/taxonomy/p/taxonomy-history?taxnode_id=201902269","ICTVonline=201902269")</f>
        <v>ICTVonline=201902269</v>
      </c>
      <c r="Y3715" s="1" t="s">
        <v>12401</v>
      </c>
      <c r="Z3715" s="1" t="s">
        <v>12402</v>
      </c>
      <c r="AA3715" s="1">
        <v>201900000</v>
      </c>
      <c r="AB3715" s="1">
        <v>35</v>
      </c>
    </row>
    <row r="3716" spans="1:28" x14ac:dyDescent="0.2">
      <c r="A3716" s="1">
        <v>9542</v>
      </c>
      <c r="B3716" s="1" t="s">
        <v>6839</v>
      </c>
      <c r="D3716" s="1" t="s">
        <v>11735</v>
      </c>
      <c r="F3716" s="1" t="s">
        <v>11930</v>
      </c>
      <c r="H3716" s="1" t="s">
        <v>11931</v>
      </c>
      <c r="J3716" s="1" t="s">
        <v>1161</v>
      </c>
      <c r="L3716" s="1" t="s">
        <v>1162</v>
      </c>
      <c r="M3716" s="1" t="s">
        <v>3605</v>
      </c>
      <c r="N3716" s="1" t="s">
        <v>418</v>
      </c>
      <c r="P3716" s="1" t="s">
        <v>1938</v>
      </c>
      <c r="Q3716" s="3">
        <v>0</v>
      </c>
      <c r="R3716" s="23" t="s">
        <v>11933</v>
      </c>
      <c r="S3716" s="23" t="s">
        <v>5849</v>
      </c>
      <c r="T3716" s="23" t="s">
        <v>4866</v>
      </c>
      <c r="U3716" s="3">
        <v>35</v>
      </c>
      <c r="W3716" s="45" t="str">
        <f>HYPERLINK("http://ictvonline.org/taxonomy/p/taxonomy-history?taxnode_id=201902270","ICTVonline=201902270")</f>
        <v>ICTVonline=201902270</v>
      </c>
      <c r="Y3716" s="1" t="s">
        <v>12403</v>
      </c>
      <c r="Z3716" s="1" t="s">
        <v>12404</v>
      </c>
      <c r="AA3716" s="1">
        <v>201900000</v>
      </c>
      <c r="AB3716" s="1">
        <v>35</v>
      </c>
    </row>
    <row r="3717" spans="1:28" x14ac:dyDescent="0.2">
      <c r="A3717" s="1">
        <v>9544</v>
      </c>
      <c r="B3717" s="1" t="s">
        <v>6839</v>
      </c>
      <c r="D3717" s="1" t="s">
        <v>11735</v>
      </c>
      <c r="F3717" s="1" t="s">
        <v>11930</v>
      </c>
      <c r="H3717" s="1" t="s">
        <v>11931</v>
      </c>
      <c r="J3717" s="1" t="s">
        <v>1161</v>
      </c>
      <c r="L3717" s="1" t="s">
        <v>1162</v>
      </c>
      <c r="M3717" s="1" t="s">
        <v>3605</v>
      </c>
      <c r="N3717" s="1" t="s">
        <v>418</v>
      </c>
      <c r="P3717" s="1" t="s">
        <v>3607</v>
      </c>
      <c r="Q3717" s="3">
        <v>0</v>
      </c>
      <c r="R3717" s="23" t="s">
        <v>11933</v>
      </c>
      <c r="S3717" s="23" t="s">
        <v>5849</v>
      </c>
      <c r="T3717" s="23" t="s">
        <v>4866</v>
      </c>
      <c r="U3717" s="3">
        <v>35</v>
      </c>
      <c r="W3717" s="45" t="str">
        <f>HYPERLINK("http://ictvonline.org/taxonomy/p/taxonomy-history?taxnode_id=201902271","ICTVonline=201902271")</f>
        <v>ICTVonline=201902271</v>
      </c>
      <c r="Y3717" s="1" t="s">
        <v>12405</v>
      </c>
      <c r="Z3717" s="1" t="s">
        <v>12406</v>
      </c>
      <c r="AA3717" s="1">
        <v>201900000</v>
      </c>
      <c r="AB3717" s="1">
        <v>35</v>
      </c>
    </row>
    <row r="3718" spans="1:28" x14ac:dyDescent="0.2">
      <c r="A3718" s="1">
        <v>9546</v>
      </c>
      <c r="B3718" s="1" t="s">
        <v>6839</v>
      </c>
      <c r="D3718" s="1" t="s">
        <v>11735</v>
      </c>
      <c r="F3718" s="1" t="s">
        <v>11930</v>
      </c>
      <c r="H3718" s="1" t="s">
        <v>11931</v>
      </c>
      <c r="J3718" s="1" t="s">
        <v>1161</v>
      </c>
      <c r="L3718" s="1" t="s">
        <v>1162</v>
      </c>
      <c r="M3718" s="1" t="s">
        <v>3605</v>
      </c>
      <c r="N3718" s="1" t="s">
        <v>418</v>
      </c>
      <c r="P3718" s="1" t="s">
        <v>1939</v>
      </c>
      <c r="Q3718" s="3">
        <v>0</v>
      </c>
      <c r="R3718" s="23" t="s">
        <v>11933</v>
      </c>
      <c r="S3718" s="23" t="s">
        <v>5849</v>
      </c>
      <c r="T3718" s="23" t="s">
        <v>4866</v>
      </c>
      <c r="U3718" s="3">
        <v>35</v>
      </c>
      <c r="W3718" s="45" t="str">
        <f>HYPERLINK("http://ictvonline.org/taxonomy/p/taxonomy-history?taxnode_id=201902272","ICTVonline=201902272")</f>
        <v>ICTVonline=201902272</v>
      </c>
      <c r="Y3718" s="1" t="s">
        <v>12407</v>
      </c>
      <c r="Z3718" s="1" t="s">
        <v>12408</v>
      </c>
      <c r="AA3718" s="1">
        <v>201900000</v>
      </c>
      <c r="AB3718" s="1">
        <v>35</v>
      </c>
    </row>
    <row r="3719" spans="1:28" x14ac:dyDescent="0.2">
      <c r="A3719" s="1">
        <v>9548</v>
      </c>
      <c r="B3719" s="1" t="s">
        <v>6839</v>
      </c>
      <c r="D3719" s="1" t="s">
        <v>11735</v>
      </c>
      <c r="F3719" s="1" t="s">
        <v>11930</v>
      </c>
      <c r="H3719" s="1" t="s">
        <v>11931</v>
      </c>
      <c r="J3719" s="1" t="s">
        <v>1161</v>
      </c>
      <c r="L3719" s="1" t="s">
        <v>1162</v>
      </c>
      <c r="M3719" s="1" t="s">
        <v>3605</v>
      </c>
      <c r="N3719" s="1" t="s">
        <v>418</v>
      </c>
      <c r="P3719" s="1" t="s">
        <v>1940</v>
      </c>
      <c r="Q3719" s="3">
        <v>0</v>
      </c>
      <c r="R3719" s="23" t="s">
        <v>11933</v>
      </c>
      <c r="S3719" s="23" t="s">
        <v>5849</v>
      </c>
      <c r="T3719" s="23" t="s">
        <v>4866</v>
      </c>
      <c r="U3719" s="3">
        <v>35</v>
      </c>
      <c r="W3719" s="45" t="str">
        <f>HYPERLINK("http://ictvonline.org/taxonomy/p/taxonomy-history?taxnode_id=201902273","ICTVonline=201902273")</f>
        <v>ICTVonline=201902273</v>
      </c>
      <c r="Y3719" s="1" t="s">
        <v>12409</v>
      </c>
      <c r="Z3719" s="1" t="s">
        <v>12410</v>
      </c>
      <c r="AA3719" s="1">
        <v>201900000</v>
      </c>
      <c r="AB3719" s="1">
        <v>35</v>
      </c>
    </row>
    <row r="3720" spans="1:28" x14ac:dyDescent="0.2">
      <c r="A3720" s="1">
        <v>9550</v>
      </c>
      <c r="B3720" s="1" t="s">
        <v>6839</v>
      </c>
      <c r="D3720" s="1" t="s">
        <v>11735</v>
      </c>
      <c r="F3720" s="1" t="s">
        <v>11930</v>
      </c>
      <c r="H3720" s="1" t="s">
        <v>11931</v>
      </c>
      <c r="J3720" s="1" t="s">
        <v>1161</v>
      </c>
      <c r="L3720" s="1" t="s">
        <v>1162</v>
      </c>
      <c r="M3720" s="1" t="s">
        <v>3605</v>
      </c>
      <c r="N3720" s="1" t="s">
        <v>418</v>
      </c>
      <c r="P3720" s="1" t="s">
        <v>1941</v>
      </c>
      <c r="Q3720" s="3">
        <v>0</v>
      </c>
      <c r="R3720" s="23" t="s">
        <v>11933</v>
      </c>
      <c r="S3720" s="23" t="s">
        <v>5849</v>
      </c>
      <c r="T3720" s="23" t="s">
        <v>4866</v>
      </c>
      <c r="U3720" s="3">
        <v>35</v>
      </c>
      <c r="W3720" s="45" t="str">
        <f>HYPERLINK("http://ictvonline.org/taxonomy/p/taxonomy-history?taxnode_id=201902274","ICTVonline=201902274")</f>
        <v>ICTVonline=201902274</v>
      </c>
      <c r="Y3720" s="1" t="s">
        <v>12411</v>
      </c>
      <c r="Z3720" s="1" t="s">
        <v>12412</v>
      </c>
      <c r="AA3720" s="1">
        <v>201900000</v>
      </c>
      <c r="AB3720" s="1">
        <v>35</v>
      </c>
    </row>
    <row r="3721" spans="1:28" x14ac:dyDescent="0.2">
      <c r="A3721" s="1">
        <v>9552</v>
      </c>
      <c r="B3721" s="1" t="s">
        <v>6839</v>
      </c>
      <c r="D3721" s="1" t="s">
        <v>11735</v>
      </c>
      <c r="F3721" s="1" t="s">
        <v>11930</v>
      </c>
      <c r="H3721" s="1" t="s">
        <v>11931</v>
      </c>
      <c r="J3721" s="1" t="s">
        <v>1161</v>
      </c>
      <c r="L3721" s="1" t="s">
        <v>1162</v>
      </c>
      <c r="M3721" s="1" t="s">
        <v>3605</v>
      </c>
      <c r="N3721" s="1" t="s">
        <v>418</v>
      </c>
      <c r="P3721" s="1" t="s">
        <v>1942</v>
      </c>
      <c r="Q3721" s="3">
        <v>0</v>
      </c>
      <c r="R3721" s="23" t="s">
        <v>11933</v>
      </c>
      <c r="S3721" s="23" t="s">
        <v>5849</v>
      </c>
      <c r="T3721" s="23" t="s">
        <v>4866</v>
      </c>
      <c r="U3721" s="3">
        <v>35</v>
      </c>
      <c r="W3721" s="45" t="str">
        <f>HYPERLINK("http://ictvonline.org/taxonomy/p/taxonomy-history?taxnode_id=201902275","ICTVonline=201902275")</f>
        <v>ICTVonline=201902275</v>
      </c>
      <c r="Y3721" s="1" t="s">
        <v>12413</v>
      </c>
      <c r="Z3721" s="1" t="s">
        <v>12414</v>
      </c>
      <c r="AA3721" s="1">
        <v>201900000</v>
      </c>
      <c r="AB3721" s="1">
        <v>35</v>
      </c>
    </row>
    <row r="3722" spans="1:28" x14ac:dyDescent="0.2">
      <c r="A3722" s="1">
        <v>9554</v>
      </c>
      <c r="B3722" s="1" t="s">
        <v>6839</v>
      </c>
      <c r="D3722" s="1" t="s">
        <v>11735</v>
      </c>
      <c r="F3722" s="1" t="s">
        <v>11930</v>
      </c>
      <c r="H3722" s="1" t="s">
        <v>11931</v>
      </c>
      <c r="J3722" s="1" t="s">
        <v>1161</v>
      </c>
      <c r="L3722" s="1" t="s">
        <v>1162</v>
      </c>
      <c r="M3722" s="1" t="s">
        <v>3605</v>
      </c>
      <c r="N3722" s="1" t="s">
        <v>418</v>
      </c>
      <c r="P3722" s="1" t="s">
        <v>5137</v>
      </c>
      <c r="Q3722" s="3">
        <v>0</v>
      </c>
      <c r="R3722" s="23" t="s">
        <v>11933</v>
      </c>
      <c r="S3722" s="23" t="s">
        <v>5849</v>
      </c>
      <c r="T3722" s="23" t="s">
        <v>4866</v>
      </c>
      <c r="U3722" s="3">
        <v>35</v>
      </c>
      <c r="W3722" s="45" t="str">
        <f>HYPERLINK("http://ictvonline.org/taxonomy/p/taxonomy-history?taxnode_id=201905639","ICTVonline=201905639")</f>
        <v>ICTVonline=201905639</v>
      </c>
      <c r="AA3722" s="1">
        <v>201900000</v>
      </c>
      <c r="AB3722" s="1">
        <v>35</v>
      </c>
    </row>
    <row r="3723" spans="1:28" x14ac:dyDescent="0.2">
      <c r="A3723" s="1">
        <v>9556</v>
      </c>
      <c r="B3723" s="1" t="s">
        <v>6839</v>
      </c>
      <c r="D3723" s="1" t="s">
        <v>11735</v>
      </c>
      <c r="F3723" s="1" t="s">
        <v>11930</v>
      </c>
      <c r="H3723" s="1" t="s">
        <v>11931</v>
      </c>
      <c r="J3723" s="1" t="s">
        <v>1161</v>
      </c>
      <c r="L3723" s="1" t="s">
        <v>1162</v>
      </c>
      <c r="M3723" s="1" t="s">
        <v>3605</v>
      </c>
      <c r="N3723" s="1" t="s">
        <v>418</v>
      </c>
      <c r="P3723" s="1" t="s">
        <v>5138</v>
      </c>
      <c r="Q3723" s="3">
        <v>0</v>
      </c>
      <c r="R3723" s="23" t="s">
        <v>11933</v>
      </c>
      <c r="S3723" s="23" t="s">
        <v>5849</v>
      </c>
      <c r="T3723" s="23" t="s">
        <v>4866</v>
      </c>
      <c r="U3723" s="3">
        <v>35</v>
      </c>
      <c r="W3723" s="45" t="str">
        <f>HYPERLINK("http://ictvonline.org/taxonomy/p/taxonomy-history?taxnode_id=201905640","ICTVonline=201905640")</f>
        <v>ICTVonline=201905640</v>
      </c>
      <c r="AA3723" s="1">
        <v>201900000</v>
      </c>
      <c r="AB3723" s="1">
        <v>35</v>
      </c>
    </row>
    <row r="3724" spans="1:28" x14ac:dyDescent="0.2">
      <c r="A3724" s="1">
        <v>9558</v>
      </c>
      <c r="B3724" s="1" t="s">
        <v>6839</v>
      </c>
      <c r="D3724" s="1" t="s">
        <v>11735</v>
      </c>
      <c r="F3724" s="1" t="s">
        <v>11930</v>
      </c>
      <c r="H3724" s="1" t="s">
        <v>11931</v>
      </c>
      <c r="J3724" s="1" t="s">
        <v>1161</v>
      </c>
      <c r="L3724" s="1" t="s">
        <v>1162</v>
      </c>
      <c r="M3724" s="1" t="s">
        <v>3605</v>
      </c>
      <c r="N3724" s="1" t="s">
        <v>418</v>
      </c>
      <c r="P3724" s="1" t="s">
        <v>5139</v>
      </c>
      <c r="Q3724" s="3">
        <v>0</v>
      </c>
      <c r="R3724" s="23" t="s">
        <v>11933</v>
      </c>
      <c r="S3724" s="23" t="s">
        <v>5849</v>
      </c>
      <c r="T3724" s="23" t="s">
        <v>4866</v>
      </c>
      <c r="U3724" s="3">
        <v>35</v>
      </c>
      <c r="W3724" s="45" t="str">
        <f>HYPERLINK("http://ictvonline.org/taxonomy/p/taxonomy-history?taxnode_id=201905641","ICTVonline=201905641")</f>
        <v>ICTVonline=201905641</v>
      </c>
      <c r="AA3724" s="1">
        <v>201900000</v>
      </c>
      <c r="AB3724" s="1">
        <v>35</v>
      </c>
    </row>
    <row r="3725" spans="1:28" x14ac:dyDescent="0.2">
      <c r="A3725" s="1">
        <v>9560</v>
      </c>
      <c r="B3725" s="1" t="s">
        <v>6839</v>
      </c>
      <c r="D3725" s="1" t="s">
        <v>11735</v>
      </c>
      <c r="F3725" s="1" t="s">
        <v>11930</v>
      </c>
      <c r="H3725" s="1" t="s">
        <v>11931</v>
      </c>
      <c r="J3725" s="1" t="s">
        <v>1161</v>
      </c>
      <c r="L3725" s="1" t="s">
        <v>1162</v>
      </c>
      <c r="M3725" s="1" t="s">
        <v>3605</v>
      </c>
      <c r="N3725" s="1" t="s">
        <v>418</v>
      </c>
      <c r="P3725" s="1" t="s">
        <v>1943</v>
      </c>
      <c r="Q3725" s="3">
        <v>0</v>
      </c>
      <c r="R3725" s="23" t="s">
        <v>11933</v>
      </c>
      <c r="S3725" s="23" t="s">
        <v>5849</v>
      </c>
      <c r="T3725" s="23" t="s">
        <v>4866</v>
      </c>
      <c r="U3725" s="3">
        <v>35</v>
      </c>
      <c r="W3725" s="45" t="str">
        <f>HYPERLINK("http://ictvonline.org/taxonomy/p/taxonomy-history?taxnode_id=201902276","ICTVonline=201902276")</f>
        <v>ICTVonline=201902276</v>
      </c>
      <c r="Y3725" s="1" t="s">
        <v>12415</v>
      </c>
      <c r="Z3725" s="1" t="s">
        <v>12416</v>
      </c>
      <c r="AA3725" s="1">
        <v>201900000</v>
      </c>
      <c r="AB3725" s="1">
        <v>35</v>
      </c>
    </row>
    <row r="3726" spans="1:28" x14ac:dyDescent="0.2">
      <c r="A3726" s="1">
        <v>9562</v>
      </c>
      <c r="B3726" s="1" t="s">
        <v>6839</v>
      </c>
      <c r="D3726" s="1" t="s">
        <v>11735</v>
      </c>
      <c r="F3726" s="1" t="s">
        <v>11930</v>
      </c>
      <c r="H3726" s="1" t="s">
        <v>11931</v>
      </c>
      <c r="J3726" s="1" t="s">
        <v>1161</v>
      </c>
      <c r="L3726" s="1" t="s">
        <v>1162</v>
      </c>
      <c r="M3726" s="1" t="s">
        <v>3605</v>
      </c>
      <c r="N3726" s="1" t="s">
        <v>418</v>
      </c>
      <c r="P3726" s="1" t="s">
        <v>5140</v>
      </c>
      <c r="Q3726" s="3">
        <v>0</v>
      </c>
      <c r="R3726" s="23" t="s">
        <v>11933</v>
      </c>
      <c r="S3726" s="23" t="s">
        <v>5849</v>
      </c>
      <c r="T3726" s="23" t="s">
        <v>4866</v>
      </c>
      <c r="U3726" s="3">
        <v>35</v>
      </c>
      <c r="W3726" s="45" t="str">
        <f>HYPERLINK("http://ictvonline.org/taxonomy/p/taxonomy-history?taxnode_id=201902277","ICTVonline=201902277")</f>
        <v>ICTVonline=201902277</v>
      </c>
      <c r="AA3726" s="1">
        <v>201900000</v>
      </c>
      <c r="AB3726" s="1">
        <v>35</v>
      </c>
    </row>
    <row r="3727" spans="1:28" x14ac:dyDescent="0.2">
      <c r="A3727" s="1">
        <v>9564</v>
      </c>
      <c r="B3727" s="1" t="s">
        <v>6839</v>
      </c>
      <c r="D3727" s="1" t="s">
        <v>11735</v>
      </c>
      <c r="F3727" s="1" t="s">
        <v>11930</v>
      </c>
      <c r="H3727" s="1" t="s">
        <v>11931</v>
      </c>
      <c r="J3727" s="1" t="s">
        <v>1161</v>
      </c>
      <c r="L3727" s="1" t="s">
        <v>1162</v>
      </c>
      <c r="M3727" s="1" t="s">
        <v>3605</v>
      </c>
      <c r="N3727" s="1" t="s">
        <v>418</v>
      </c>
      <c r="P3727" s="1" t="s">
        <v>215</v>
      </c>
      <c r="Q3727" s="3">
        <v>0</v>
      </c>
      <c r="R3727" s="23" t="s">
        <v>11933</v>
      </c>
      <c r="S3727" s="23" t="s">
        <v>5849</v>
      </c>
      <c r="T3727" s="23" t="s">
        <v>4866</v>
      </c>
      <c r="U3727" s="3">
        <v>35</v>
      </c>
      <c r="W3727" s="45" t="str">
        <f>HYPERLINK("http://ictvonline.org/taxonomy/p/taxonomy-history?taxnode_id=201902278","ICTVonline=201902278")</f>
        <v>ICTVonline=201902278</v>
      </c>
      <c r="AA3727" s="1">
        <v>201900000</v>
      </c>
      <c r="AB3727" s="1">
        <v>35</v>
      </c>
    </row>
    <row r="3728" spans="1:28" x14ac:dyDescent="0.2">
      <c r="A3728" s="1">
        <v>9566</v>
      </c>
      <c r="B3728" s="1" t="s">
        <v>6839</v>
      </c>
      <c r="D3728" s="1" t="s">
        <v>11735</v>
      </c>
      <c r="F3728" s="1" t="s">
        <v>11930</v>
      </c>
      <c r="H3728" s="1" t="s">
        <v>11931</v>
      </c>
      <c r="J3728" s="1" t="s">
        <v>1161</v>
      </c>
      <c r="L3728" s="1" t="s">
        <v>1162</v>
      </c>
      <c r="M3728" s="1" t="s">
        <v>3605</v>
      </c>
      <c r="N3728" s="1" t="s">
        <v>418</v>
      </c>
      <c r="P3728" s="1" t="s">
        <v>2195</v>
      </c>
      <c r="Q3728" s="3">
        <v>0</v>
      </c>
      <c r="R3728" s="23" t="s">
        <v>11933</v>
      </c>
      <c r="S3728" s="23" t="s">
        <v>5849</v>
      </c>
      <c r="T3728" s="23" t="s">
        <v>4866</v>
      </c>
      <c r="U3728" s="3">
        <v>35</v>
      </c>
      <c r="W3728" s="45" t="str">
        <f>HYPERLINK("http://ictvonline.org/taxonomy/p/taxonomy-history?taxnode_id=201902279","ICTVonline=201902279")</f>
        <v>ICTVonline=201902279</v>
      </c>
      <c r="Y3728" s="1" t="s">
        <v>12417</v>
      </c>
      <c r="Z3728" s="1" t="s">
        <v>12418</v>
      </c>
      <c r="AA3728" s="1">
        <v>201900000</v>
      </c>
      <c r="AB3728" s="1">
        <v>35</v>
      </c>
    </row>
    <row r="3729" spans="1:28" x14ac:dyDescent="0.2">
      <c r="A3729" s="1">
        <v>9568</v>
      </c>
      <c r="B3729" s="1" t="s">
        <v>6839</v>
      </c>
      <c r="D3729" s="1" t="s">
        <v>11735</v>
      </c>
      <c r="F3729" s="1" t="s">
        <v>11930</v>
      </c>
      <c r="H3729" s="1" t="s">
        <v>11931</v>
      </c>
      <c r="J3729" s="1" t="s">
        <v>1161</v>
      </c>
      <c r="L3729" s="1" t="s">
        <v>1162</v>
      </c>
      <c r="M3729" s="1" t="s">
        <v>3605</v>
      </c>
      <c r="N3729" s="1" t="s">
        <v>418</v>
      </c>
      <c r="P3729" s="1" t="s">
        <v>216</v>
      </c>
      <c r="Q3729" s="3">
        <v>0</v>
      </c>
      <c r="R3729" s="23" t="s">
        <v>11933</v>
      </c>
      <c r="S3729" s="23" t="s">
        <v>5849</v>
      </c>
      <c r="T3729" s="23" t="s">
        <v>4866</v>
      </c>
      <c r="U3729" s="3">
        <v>35</v>
      </c>
      <c r="W3729" s="45" t="str">
        <f>HYPERLINK("http://ictvonline.org/taxonomy/p/taxonomy-history?taxnode_id=201902280","ICTVonline=201902280")</f>
        <v>ICTVonline=201902280</v>
      </c>
      <c r="Y3729" s="1" t="s">
        <v>12419</v>
      </c>
      <c r="Z3729" s="1" t="s">
        <v>12420</v>
      </c>
      <c r="AA3729" s="1">
        <v>201900000</v>
      </c>
      <c r="AB3729" s="1">
        <v>35</v>
      </c>
    </row>
    <row r="3730" spans="1:28" x14ac:dyDescent="0.2">
      <c r="A3730" s="1">
        <v>9570</v>
      </c>
      <c r="B3730" s="1" t="s">
        <v>6839</v>
      </c>
      <c r="D3730" s="1" t="s">
        <v>11735</v>
      </c>
      <c r="F3730" s="1" t="s">
        <v>11930</v>
      </c>
      <c r="H3730" s="1" t="s">
        <v>11931</v>
      </c>
      <c r="J3730" s="1" t="s">
        <v>1161</v>
      </c>
      <c r="L3730" s="1" t="s">
        <v>1162</v>
      </c>
      <c r="M3730" s="1" t="s">
        <v>3605</v>
      </c>
      <c r="N3730" s="1" t="s">
        <v>418</v>
      </c>
      <c r="P3730" s="1" t="s">
        <v>217</v>
      </c>
      <c r="Q3730" s="3">
        <v>0</v>
      </c>
      <c r="R3730" s="23" t="s">
        <v>11933</v>
      </c>
      <c r="S3730" s="23" t="s">
        <v>5849</v>
      </c>
      <c r="T3730" s="23" t="s">
        <v>4866</v>
      </c>
      <c r="U3730" s="3">
        <v>35</v>
      </c>
      <c r="W3730" s="45" t="str">
        <f>HYPERLINK("http://ictvonline.org/taxonomy/p/taxonomy-history?taxnode_id=201902281","ICTVonline=201902281")</f>
        <v>ICTVonline=201902281</v>
      </c>
      <c r="AA3730" s="1">
        <v>201900000</v>
      </c>
      <c r="AB3730" s="1">
        <v>35</v>
      </c>
    </row>
    <row r="3731" spans="1:28" x14ac:dyDescent="0.2">
      <c r="A3731" s="1">
        <v>9572</v>
      </c>
      <c r="B3731" s="1" t="s">
        <v>6839</v>
      </c>
      <c r="D3731" s="1" t="s">
        <v>11735</v>
      </c>
      <c r="F3731" s="1" t="s">
        <v>11930</v>
      </c>
      <c r="H3731" s="1" t="s">
        <v>11931</v>
      </c>
      <c r="J3731" s="1" t="s">
        <v>1161</v>
      </c>
      <c r="L3731" s="1" t="s">
        <v>1162</v>
      </c>
      <c r="M3731" s="1" t="s">
        <v>3605</v>
      </c>
      <c r="N3731" s="1" t="s">
        <v>418</v>
      </c>
      <c r="P3731" s="1" t="s">
        <v>5141</v>
      </c>
      <c r="Q3731" s="3">
        <v>0</v>
      </c>
      <c r="R3731" s="23" t="s">
        <v>11933</v>
      </c>
      <c r="S3731" s="23" t="s">
        <v>5849</v>
      </c>
      <c r="T3731" s="23" t="s">
        <v>4866</v>
      </c>
      <c r="U3731" s="3">
        <v>35</v>
      </c>
      <c r="W3731" s="45" t="str">
        <f>HYPERLINK("http://ictvonline.org/taxonomy/p/taxonomy-history?taxnode_id=201905642","ICTVonline=201905642")</f>
        <v>ICTVonline=201905642</v>
      </c>
      <c r="AA3731" s="1">
        <v>201900000</v>
      </c>
      <c r="AB3731" s="1">
        <v>35</v>
      </c>
    </row>
    <row r="3732" spans="1:28" x14ac:dyDescent="0.2">
      <c r="A3732" s="1">
        <v>9576</v>
      </c>
      <c r="B3732" s="1" t="s">
        <v>6839</v>
      </c>
      <c r="D3732" s="1" t="s">
        <v>11735</v>
      </c>
      <c r="F3732" s="1" t="s">
        <v>11930</v>
      </c>
      <c r="H3732" s="1" t="s">
        <v>11931</v>
      </c>
      <c r="J3732" s="1" t="s">
        <v>1161</v>
      </c>
      <c r="L3732" s="1" t="s">
        <v>1162</v>
      </c>
      <c r="M3732" s="1" t="s">
        <v>3605</v>
      </c>
      <c r="N3732" s="1" t="s">
        <v>220</v>
      </c>
      <c r="P3732" s="1" t="s">
        <v>221</v>
      </c>
      <c r="Q3732" s="3">
        <v>1</v>
      </c>
      <c r="R3732" s="23" t="s">
        <v>11933</v>
      </c>
      <c r="S3732" s="23" t="s">
        <v>5849</v>
      </c>
      <c r="T3732" s="23" t="s">
        <v>4866</v>
      </c>
      <c r="U3732" s="3">
        <v>35</v>
      </c>
      <c r="W3732" s="45" t="str">
        <f>HYPERLINK("http://ictvonline.org/taxonomy/p/taxonomy-history?taxnode_id=201902283","ICTVonline=201902283")</f>
        <v>ICTVonline=201902283</v>
      </c>
      <c r="Y3732" s="1" t="s">
        <v>12421</v>
      </c>
      <c r="Z3732" s="1" t="s">
        <v>12422</v>
      </c>
      <c r="AA3732" s="1">
        <v>201900000</v>
      </c>
      <c r="AB3732" s="1">
        <v>35</v>
      </c>
    </row>
    <row r="3733" spans="1:28" x14ac:dyDescent="0.2">
      <c r="A3733" s="1">
        <v>9578</v>
      </c>
      <c r="B3733" s="1" t="s">
        <v>6839</v>
      </c>
      <c r="D3733" s="1" t="s">
        <v>11735</v>
      </c>
      <c r="F3733" s="1" t="s">
        <v>11930</v>
      </c>
      <c r="H3733" s="1" t="s">
        <v>11931</v>
      </c>
      <c r="J3733" s="1" t="s">
        <v>1161</v>
      </c>
      <c r="L3733" s="1" t="s">
        <v>1162</v>
      </c>
      <c r="M3733" s="1" t="s">
        <v>3605</v>
      </c>
      <c r="N3733" s="1" t="s">
        <v>220</v>
      </c>
      <c r="P3733" s="1" t="s">
        <v>222</v>
      </c>
      <c r="Q3733" s="3">
        <v>0</v>
      </c>
      <c r="R3733" s="23" t="s">
        <v>11933</v>
      </c>
      <c r="S3733" s="23" t="s">
        <v>5849</v>
      </c>
      <c r="T3733" s="23" t="s">
        <v>4866</v>
      </c>
      <c r="U3733" s="3">
        <v>35</v>
      </c>
      <c r="W3733" s="45" t="str">
        <f>HYPERLINK("http://ictvonline.org/taxonomy/p/taxonomy-history?taxnode_id=201902284","ICTVonline=201902284")</f>
        <v>ICTVonline=201902284</v>
      </c>
      <c r="Y3733" s="1" t="s">
        <v>12423</v>
      </c>
      <c r="Z3733" s="1" t="s">
        <v>12424</v>
      </c>
      <c r="AA3733" s="1">
        <v>201900000</v>
      </c>
      <c r="AB3733" s="1">
        <v>35</v>
      </c>
    </row>
    <row r="3734" spans="1:28" x14ac:dyDescent="0.2">
      <c r="A3734" s="1">
        <v>9580</v>
      </c>
      <c r="B3734" s="1" t="s">
        <v>6839</v>
      </c>
      <c r="D3734" s="1" t="s">
        <v>11735</v>
      </c>
      <c r="F3734" s="1" t="s">
        <v>11930</v>
      </c>
      <c r="H3734" s="1" t="s">
        <v>11931</v>
      </c>
      <c r="J3734" s="1" t="s">
        <v>1161</v>
      </c>
      <c r="L3734" s="1" t="s">
        <v>1162</v>
      </c>
      <c r="M3734" s="1" t="s">
        <v>3605</v>
      </c>
      <c r="N3734" s="1" t="s">
        <v>220</v>
      </c>
      <c r="P3734" s="1" t="s">
        <v>2196</v>
      </c>
      <c r="Q3734" s="3">
        <v>0</v>
      </c>
      <c r="R3734" s="23" t="s">
        <v>11933</v>
      </c>
      <c r="S3734" s="23" t="s">
        <v>5849</v>
      </c>
      <c r="T3734" s="23" t="s">
        <v>4866</v>
      </c>
      <c r="U3734" s="3">
        <v>35</v>
      </c>
      <c r="W3734" s="45" t="str">
        <f>HYPERLINK("http://ictvonline.org/taxonomy/p/taxonomy-history?taxnode_id=201902285","ICTVonline=201902285")</f>
        <v>ICTVonline=201902285</v>
      </c>
      <c r="Y3734" s="1" t="s">
        <v>12425</v>
      </c>
      <c r="Z3734" s="1" t="s">
        <v>12426</v>
      </c>
      <c r="AA3734" s="1">
        <v>201900000</v>
      </c>
      <c r="AB3734" s="1">
        <v>35</v>
      </c>
    </row>
    <row r="3735" spans="1:28" x14ac:dyDescent="0.2">
      <c r="A3735" s="1">
        <v>9582</v>
      </c>
      <c r="B3735" s="1" t="s">
        <v>6839</v>
      </c>
      <c r="D3735" s="1" t="s">
        <v>11735</v>
      </c>
      <c r="F3735" s="1" t="s">
        <v>11930</v>
      </c>
      <c r="H3735" s="1" t="s">
        <v>11931</v>
      </c>
      <c r="J3735" s="1" t="s">
        <v>1161</v>
      </c>
      <c r="L3735" s="1" t="s">
        <v>1162</v>
      </c>
      <c r="M3735" s="1" t="s">
        <v>3605</v>
      </c>
      <c r="N3735" s="1" t="s">
        <v>220</v>
      </c>
      <c r="P3735" s="1" t="s">
        <v>5142</v>
      </c>
      <c r="Q3735" s="3">
        <v>0</v>
      </c>
      <c r="R3735" s="23" t="s">
        <v>11933</v>
      </c>
      <c r="S3735" s="23" t="s">
        <v>5849</v>
      </c>
      <c r="T3735" s="23" t="s">
        <v>4866</v>
      </c>
      <c r="U3735" s="3">
        <v>35</v>
      </c>
      <c r="W3735" s="45" t="str">
        <f>HYPERLINK("http://ictvonline.org/taxonomy/p/taxonomy-history?taxnode_id=201905643","ICTVonline=201905643")</f>
        <v>ICTVonline=201905643</v>
      </c>
      <c r="AA3735" s="1">
        <v>201900000</v>
      </c>
      <c r="AB3735" s="1">
        <v>35</v>
      </c>
    </row>
    <row r="3736" spans="1:28" x14ac:dyDescent="0.2">
      <c r="A3736" s="1">
        <v>9584</v>
      </c>
      <c r="B3736" s="1" t="s">
        <v>6839</v>
      </c>
      <c r="D3736" s="1" t="s">
        <v>11735</v>
      </c>
      <c r="F3736" s="1" t="s">
        <v>11930</v>
      </c>
      <c r="H3736" s="1" t="s">
        <v>11931</v>
      </c>
      <c r="J3736" s="1" t="s">
        <v>1161</v>
      </c>
      <c r="L3736" s="1" t="s">
        <v>1162</v>
      </c>
      <c r="M3736" s="1" t="s">
        <v>3605</v>
      </c>
      <c r="N3736" s="1" t="s">
        <v>220</v>
      </c>
      <c r="P3736" s="1" t="s">
        <v>343</v>
      </c>
      <c r="Q3736" s="3">
        <v>0</v>
      </c>
      <c r="R3736" s="23" t="s">
        <v>11933</v>
      </c>
      <c r="S3736" s="23" t="s">
        <v>5849</v>
      </c>
      <c r="T3736" s="23" t="s">
        <v>4866</v>
      </c>
      <c r="U3736" s="3">
        <v>35</v>
      </c>
      <c r="W3736" s="45" t="str">
        <f>HYPERLINK("http://ictvonline.org/taxonomy/p/taxonomy-history?taxnode_id=201902286","ICTVonline=201902286")</f>
        <v>ICTVonline=201902286</v>
      </c>
      <c r="Y3736" s="1" t="s">
        <v>12427</v>
      </c>
      <c r="Z3736" s="1" t="s">
        <v>12428</v>
      </c>
      <c r="AA3736" s="1">
        <v>201900000</v>
      </c>
      <c r="AB3736" s="1">
        <v>35</v>
      </c>
    </row>
    <row r="3737" spans="1:28" x14ac:dyDescent="0.2">
      <c r="A3737" s="1">
        <v>9586</v>
      </c>
      <c r="B3737" s="1" t="s">
        <v>6839</v>
      </c>
      <c r="D3737" s="1" t="s">
        <v>11735</v>
      </c>
      <c r="F3737" s="1" t="s">
        <v>11930</v>
      </c>
      <c r="H3737" s="1" t="s">
        <v>11931</v>
      </c>
      <c r="J3737" s="1" t="s">
        <v>1161</v>
      </c>
      <c r="L3737" s="1" t="s">
        <v>1162</v>
      </c>
      <c r="M3737" s="1" t="s">
        <v>3605</v>
      </c>
      <c r="N3737" s="1" t="s">
        <v>220</v>
      </c>
      <c r="P3737" s="1" t="s">
        <v>6651</v>
      </c>
      <c r="Q3737" s="3">
        <v>0</v>
      </c>
      <c r="R3737" s="23" t="s">
        <v>11933</v>
      </c>
      <c r="S3737" s="23" t="s">
        <v>5849</v>
      </c>
      <c r="T3737" s="23" t="s">
        <v>4866</v>
      </c>
      <c r="U3737" s="3">
        <v>35</v>
      </c>
      <c r="W3737" s="45" t="str">
        <f>HYPERLINK("http://ictvonline.org/taxonomy/p/taxonomy-history?taxnode_id=201906339","ICTVonline=201906339")</f>
        <v>ICTVonline=201906339</v>
      </c>
      <c r="X3737" s="1" t="s">
        <v>12429</v>
      </c>
      <c r="Y3737" s="1" t="s">
        <v>12430</v>
      </c>
      <c r="Z3737" s="1" t="s">
        <v>12431</v>
      </c>
      <c r="AA3737" s="1">
        <v>201900000</v>
      </c>
      <c r="AB3737" s="1">
        <v>35</v>
      </c>
    </row>
    <row r="3738" spans="1:28" x14ac:dyDescent="0.2">
      <c r="A3738" s="1">
        <v>9588</v>
      </c>
      <c r="B3738" s="1" t="s">
        <v>6839</v>
      </c>
      <c r="D3738" s="1" t="s">
        <v>11735</v>
      </c>
      <c r="F3738" s="1" t="s">
        <v>11930</v>
      </c>
      <c r="H3738" s="1" t="s">
        <v>11931</v>
      </c>
      <c r="J3738" s="1" t="s">
        <v>1161</v>
      </c>
      <c r="L3738" s="1" t="s">
        <v>1162</v>
      </c>
      <c r="M3738" s="1" t="s">
        <v>3605</v>
      </c>
      <c r="N3738" s="1" t="s">
        <v>220</v>
      </c>
      <c r="P3738" s="1" t="s">
        <v>2102</v>
      </c>
      <c r="Q3738" s="3">
        <v>0</v>
      </c>
      <c r="R3738" s="23" t="s">
        <v>11933</v>
      </c>
      <c r="S3738" s="23" t="s">
        <v>5849</v>
      </c>
      <c r="T3738" s="23" t="s">
        <v>4866</v>
      </c>
      <c r="U3738" s="3">
        <v>35</v>
      </c>
      <c r="W3738" s="45" t="str">
        <f>HYPERLINK("http://ictvonline.org/taxonomy/p/taxonomy-history?taxnode_id=201902287","ICTVonline=201902287")</f>
        <v>ICTVonline=201902287</v>
      </c>
      <c r="Y3738" s="1" t="s">
        <v>12432</v>
      </c>
      <c r="Z3738" s="1" t="s">
        <v>12433</v>
      </c>
      <c r="AA3738" s="1">
        <v>201900000</v>
      </c>
      <c r="AB3738" s="1">
        <v>35</v>
      </c>
    </row>
    <row r="3739" spans="1:28" x14ac:dyDescent="0.2">
      <c r="A3739" s="1">
        <v>9590</v>
      </c>
      <c r="B3739" s="1" t="s">
        <v>6839</v>
      </c>
      <c r="D3739" s="1" t="s">
        <v>11735</v>
      </c>
      <c r="F3739" s="1" t="s">
        <v>11930</v>
      </c>
      <c r="H3739" s="1" t="s">
        <v>11931</v>
      </c>
      <c r="J3739" s="1" t="s">
        <v>1161</v>
      </c>
      <c r="L3739" s="1" t="s">
        <v>1162</v>
      </c>
      <c r="M3739" s="1" t="s">
        <v>3605</v>
      </c>
      <c r="N3739" s="1" t="s">
        <v>220</v>
      </c>
      <c r="P3739" s="1" t="s">
        <v>2310</v>
      </c>
      <c r="Q3739" s="3">
        <v>0</v>
      </c>
      <c r="R3739" s="23" t="s">
        <v>11933</v>
      </c>
      <c r="S3739" s="23" t="s">
        <v>5849</v>
      </c>
      <c r="T3739" s="23" t="s">
        <v>4866</v>
      </c>
      <c r="U3739" s="3">
        <v>35</v>
      </c>
      <c r="W3739" s="45" t="str">
        <f>HYPERLINK("http://ictvonline.org/taxonomy/p/taxonomy-history?taxnode_id=201902288","ICTVonline=201902288")</f>
        <v>ICTVonline=201902288</v>
      </c>
      <c r="Y3739" s="1" t="s">
        <v>12434</v>
      </c>
      <c r="Z3739" s="1" t="s">
        <v>12435</v>
      </c>
      <c r="AA3739" s="1">
        <v>201900000</v>
      </c>
      <c r="AB3739" s="1">
        <v>35</v>
      </c>
    </row>
    <row r="3740" spans="1:28" x14ac:dyDescent="0.2">
      <c r="A3740" s="1">
        <v>9594</v>
      </c>
      <c r="B3740" s="1" t="s">
        <v>6839</v>
      </c>
      <c r="D3740" s="1" t="s">
        <v>11735</v>
      </c>
      <c r="F3740" s="1" t="s">
        <v>11930</v>
      </c>
      <c r="H3740" s="1" t="s">
        <v>11931</v>
      </c>
      <c r="J3740" s="1" t="s">
        <v>1161</v>
      </c>
      <c r="L3740" s="1" t="s">
        <v>1162</v>
      </c>
      <c r="M3740" s="1" t="s">
        <v>3605</v>
      </c>
      <c r="N3740" s="1" t="s">
        <v>3608</v>
      </c>
      <c r="P3740" s="1" t="s">
        <v>1502</v>
      </c>
      <c r="Q3740" s="3">
        <v>0</v>
      </c>
      <c r="R3740" s="23" t="s">
        <v>11933</v>
      </c>
      <c r="S3740" s="23" t="s">
        <v>5849</v>
      </c>
      <c r="T3740" s="23" t="s">
        <v>4866</v>
      </c>
      <c r="U3740" s="3">
        <v>35</v>
      </c>
      <c r="W3740" s="45" t="str">
        <f>HYPERLINK("http://ictvonline.org/taxonomy/p/taxonomy-history?taxnode_id=201902290","ICTVonline=201902290")</f>
        <v>ICTVonline=201902290</v>
      </c>
      <c r="Y3740" s="1" t="s">
        <v>12436</v>
      </c>
      <c r="Z3740" s="1" t="s">
        <v>12437</v>
      </c>
      <c r="AA3740" s="1">
        <v>201900000</v>
      </c>
      <c r="AB3740" s="1">
        <v>35</v>
      </c>
    </row>
    <row r="3741" spans="1:28" x14ac:dyDescent="0.2">
      <c r="A3741" s="1">
        <v>9596</v>
      </c>
      <c r="B3741" s="1" t="s">
        <v>6839</v>
      </c>
      <c r="D3741" s="1" t="s">
        <v>11735</v>
      </c>
      <c r="F3741" s="1" t="s">
        <v>11930</v>
      </c>
      <c r="H3741" s="1" t="s">
        <v>11931</v>
      </c>
      <c r="J3741" s="1" t="s">
        <v>1161</v>
      </c>
      <c r="L3741" s="1" t="s">
        <v>1162</v>
      </c>
      <c r="M3741" s="1" t="s">
        <v>3605</v>
      </c>
      <c r="N3741" s="1" t="s">
        <v>3608</v>
      </c>
      <c r="P3741" s="1" t="s">
        <v>1967</v>
      </c>
      <c r="Q3741" s="3">
        <v>0</v>
      </c>
      <c r="R3741" s="23" t="s">
        <v>11933</v>
      </c>
      <c r="S3741" s="23" t="s">
        <v>5849</v>
      </c>
      <c r="T3741" s="23" t="s">
        <v>4866</v>
      </c>
      <c r="U3741" s="3">
        <v>35</v>
      </c>
      <c r="W3741" s="45" t="str">
        <f>HYPERLINK("http://ictvonline.org/taxonomy/p/taxonomy-history?taxnode_id=201902291","ICTVonline=201902291")</f>
        <v>ICTVonline=201902291</v>
      </c>
      <c r="Y3741" s="1" t="s">
        <v>12438</v>
      </c>
      <c r="Z3741" s="1" t="s">
        <v>12439</v>
      </c>
      <c r="AA3741" s="1">
        <v>201900000</v>
      </c>
      <c r="AB3741" s="1">
        <v>35</v>
      </c>
    </row>
    <row r="3742" spans="1:28" x14ac:dyDescent="0.2">
      <c r="A3742" s="1">
        <v>9598</v>
      </c>
      <c r="B3742" s="1" t="s">
        <v>6839</v>
      </c>
      <c r="D3742" s="1" t="s">
        <v>11735</v>
      </c>
      <c r="F3742" s="1" t="s">
        <v>11930</v>
      </c>
      <c r="H3742" s="1" t="s">
        <v>11931</v>
      </c>
      <c r="J3742" s="1" t="s">
        <v>1161</v>
      </c>
      <c r="L3742" s="1" t="s">
        <v>1162</v>
      </c>
      <c r="M3742" s="1" t="s">
        <v>3605</v>
      </c>
      <c r="N3742" s="1" t="s">
        <v>3608</v>
      </c>
      <c r="P3742" s="1" t="s">
        <v>1968</v>
      </c>
      <c r="Q3742" s="3">
        <v>1</v>
      </c>
      <c r="R3742" s="23" t="s">
        <v>11933</v>
      </c>
      <c r="S3742" s="23" t="s">
        <v>5849</v>
      </c>
      <c r="T3742" s="23" t="s">
        <v>4866</v>
      </c>
      <c r="U3742" s="3">
        <v>35</v>
      </c>
      <c r="W3742" s="45" t="str">
        <f>HYPERLINK("http://ictvonline.org/taxonomy/p/taxonomy-history?taxnode_id=201902292","ICTVonline=201902292")</f>
        <v>ICTVonline=201902292</v>
      </c>
      <c r="Y3742" s="1" t="s">
        <v>12440</v>
      </c>
      <c r="Z3742" s="1" t="s">
        <v>12441</v>
      </c>
      <c r="AA3742" s="1">
        <v>201900000</v>
      </c>
      <c r="AB3742" s="1">
        <v>35</v>
      </c>
    </row>
    <row r="3743" spans="1:28" x14ac:dyDescent="0.2">
      <c r="A3743" s="1">
        <v>9600</v>
      </c>
      <c r="B3743" s="1" t="s">
        <v>6839</v>
      </c>
      <c r="D3743" s="1" t="s">
        <v>11735</v>
      </c>
      <c r="F3743" s="1" t="s">
        <v>11930</v>
      </c>
      <c r="H3743" s="1" t="s">
        <v>11931</v>
      </c>
      <c r="J3743" s="1" t="s">
        <v>1161</v>
      </c>
      <c r="L3743" s="1" t="s">
        <v>1162</v>
      </c>
      <c r="M3743" s="1" t="s">
        <v>3605</v>
      </c>
      <c r="N3743" s="1" t="s">
        <v>3608</v>
      </c>
      <c r="P3743" s="1" t="s">
        <v>3609</v>
      </c>
      <c r="Q3743" s="3">
        <v>0</v>
      </c>
      <c r="R3743" s="23" t="s">
        <v>11933</v>
      </c>
      <c r="S3743" s="23" t="s">
        <v>5849</v>
      </c>
      <c r="T3743" s="23" t="s">
        <v>4866</v>
      </c>
      <c r="U3743" s="3">
        <v>35</v>
      </c>
      <c r="W3743" s="45" t="str">
        <f>HYPERLINK("http://ictvonline.org/taxonomy/p/taxonomy-history?taxnode_id=201902293","ICTVonline=201902293")</f>
        <v>ICTVonline=201902293</v>
      </c>
      <c r="Y3743" s="1" t="s">
        <v>12442</v>
      </c>
      <c r="Z3743" s="1" t="s">
        <v>12443</v>
      </c>
      <c r="AA3743" s="1">
        <v>201900000</v>
      </c>
      <c r="AB3743" s="1">
        <v>35</v>
      </c>
    </row>
    <row r="3744" spans="1:28" x14ac:dyDescent="0.2">
      <c r="A3744" s="1">
        <v>9602</v>
      </c>
      <c r="B3744" s="1" t="s">
        <v>6839</v>
      </c>
      <c r="D3744" s="1" t="s">
        <v>11735</v>
      </c>
      <c r="F3744" s="1" t="s">
        <v>11930</v>
      </c>
      <c r="H3744" s="1" t="s">
        <v>11931</v>
      </c>
      <c r="J3744" s="1" t="s">
        <v>1161</v>
      </c>
      <c r="L3744" s="1" t="s">
        <v>1162</v>
      </c>
      <c r="M3744" s="1" t="s">
        <v>3605</v>
      </c>
      <c r="N3744" s="1" t="s">
        <v>3608</v>
      </c>
      <c r="P3744" s="1" t="s">
        <v>3610</v>
      </c>
      <c r="Q3744" s="3">
        <v>0</v>
      </c>
      <c r="R3744" s="23" t="s">
        <v>11933</v>
      </c>
      <c r="S3744" s="23" t="s">
        <v>5849</v>
      </c>
      <c r="T3744" s="23" t="s">
        <v>4866</v>
      </c>
      <c r="U3744" s="3">
        <v>35</v>
      </c>
      <c r="W3744" s="45" t="str">
        <f>HYPERLINK("http://ictvonline.org/taxonomy/p/taxonomy-history?taxnode_id=201902294","ICTVonline=201902294")</f>
        <v>ICTVonline=201902294</v>
      </c>
      <c r="Y3744" s="1" t="s">
        <v>12444</v>
      </c>
      <c r="Z3744" s="1" t="s">
        <v>12445</v>
      </c>
      <c r="AA3744" s="1">
        <v>201900000</v>
      </c>
      <c r="AB3744" s="1">
        <v>35</v>
      </c>
    </row>
    <row r="3745" spans="1:28" x14ac:dyDescent="0.2">
      <c r="A3745" s="1">
        <v>9605</v>
      </c>
      <c r="B3745" s="1" t="s">
        <v>6839</v>
      </c>
      <c r="D3745" s="1" t="s">
        <v>11735</v>
      </c>
      <c r="F3745" s="1" t="s">
        <v>11930</v>
      </c>
      <c r="H3745" s="1" t="s">
        <v>11931</v>
      </c>
      <c r="J3745" s="1" t="s">
        <v>1161</v>
      </c>
      <c r="L3745" s="1" t="s">
        <v>1162</v>
      </c>
      <c r="M3745" s="1" t="s">
        <v>3605</v>
      </c>
      <c r="P3745" s="1" t="s">
        <v>2074</v>
      </c>
      <c r="Q3745" s="3">
        <v>0</v>
      </c>
      <c r="R3745" s="23" t="s">
        <v>11933</v>
      </c>
      <c r="S3745" s="23" t="s">
        <v>5849</v>
      </c>
      <c r="T3745" s="23" t="s">
        <v>4866</v>
      </c>
      <c r="U3745" s="3">
        <v>35</v>
      </c>
      <c r="W3745" s="45" t="str">
        <f>HYPERLINK("http://ictvonline.org/taxonomy/p/taxonomy-history?taxnode_id=201902296","ICTVonline=201902296")</f>
        <v>ICTVonline=201902296</v>
      </c>
      <c r="Y3745" s="1" t="s">
        <v>12446</v>
      </c>
      <c r="Z3745" s="1" t="s">
        <v>12447</v>
      </c>
      <c r="AA3745" s="1">
        <v>201900000</v>
      </c>
      <c r="AB3745" s="1">
        <v>35</v>
      </c>
    </row>
    <row r="3746" spans="1:28" x14ac:dyDescent="0.2">
      <c r="A3746" s="1">
        <v>9607</v>
      </c>
      <c r="B3746" s="1" t="s">
        <v>6839</v>
      </c>
      <c r="D3746" s="1" t="s">
        <v>11735</v>
      </c>
      <c r="F3746" s="1" t="s">
        <v>11930</v>
      </c>
      <c r="H3746" s="1" t="s">
        <v>11931</v>
      </c>
      <c r="J3746" s="1" t="s">
        <v>1161</v>
      </c>
      <c r="L3746" s="1" t="s">
        <v>1162</v>
      </c>
      <c r="M3746" s="1" t="s">
        <v>3605</v>
      </c>
      <c r="P3746" s="1" t="s">
        <v>2199</v>
      </c>
      <c r="Q3746" s="3">
        <v>0</v>
      </c>
      <c r="R3746" s="23" t="s">
        <v>11933</v>
      </c>
      <c r="S3746" s="23" t="s">
        <v>5849</v>
      </c>
      <c r="T3746" s="23" t="s">
        <v>4866</v>
      </c>
      <c r="U3746" s="3">
        <v>35</v>
      </c>
      <c r="W3746" s="45" t="str">
        <f>HYPERLINK("http://ictvonline.org/taxonomy/p/taxonomy-history?taxnode_id=201902297","ICTVonline=201902297")</f>
        <v>ICTVonline=201902297</v>
      </c>
      <c r="AA3746" s="1">
        <v>201900000</v>
      </c>
      <c r="AB3746" s="1">
        <v>35</v>
      </c>
    </row>
    <row r="3747" spans="1:28" x14ac:dyDescent="0.2">
      <c r="A3747" s="1">
        <v>9609</v>
      </c>
      <c r="B3747" s="1" t="s">
        <v>6839</v>
      </c>
      <c r="D3747" s="1" t="s">
        <v>11735</v>
      </c>
      <c r="F3747" s="1" t="s">
        <v>11930</v>
      </c>
      <c r="H3747" s="1" t="s">
        <v>11931</v>
      </c>
      <c r="J3747" s="1" t="s">
        <v>1161</v>
      </c>
      <c r="L3747" s="1" t="s">
        <v>1162</v>
      </c>
      <c r="M3747" s="1" t="s">
        <v>3605</v>
      </c>
      <c r="P3747" s="1" t="s">
        <v>1503</v>
      </c>
      <c r="Q3747" s="3">
        <v>0</v>
      </c>
      <c r="R3747" s="23" t="s">
        <v>11933</v>
      </c>
      <c r="S3747" s="23" t="s">
        <v>5849</v>
      </c>
      <c r="T3747" s="23" t="s">
        <v>4866</v>
      </c>
      <c r="U3747" s="3">
        <v>35</v>
      </c>
      <c r="W3747" s="45" t="str">
        <f>HYPERLINK("http://ictvonline.org/taxonomy/p/taxonomy-history?taxnode_id=201902298","ICTVonline=201902298")</f>
        <v>ICTVonline=201902298</v>
      </c>
      <c r="Y3747" s="1" t="s">
        <v>12448</v>
      </c>
      <c r="Z3747" s="1" t="s">
        <v>12449</v>
      </c>
      <c r="AA3747" s="1">
        <v>201900000</v>
      </c>
      <c r="AB3747" s="1">
        <v>35</v>
      </c>
    </row>
    <row r="3748" spans="1:28" x14ac:dyDescent="0.2">
      <c r="A3748" s="1">
        <v>9614</v>
      </c>
      <c r="B3748" s="1" t="s">
        <v>6839</v>
      </c>
      <c r="D3748" s="1" t="s">
        <v>11735</v>
      </c>
      <c r="F3748" s="1" t="s">
        <v>11930</v>
      </c>
      <c r="H3748" s="1" t="s">
        <v>11931</v>
      </c>
      <c r="J3748" s="1" t="s">
        <v>1161</v>
      </c>
      <c r="L3748" s="1" t="s">
        <v>1162</v>
      </c>
      <c r="M3748" s="1" t="s">
        <v>3611</v>
      </c>
      <c r="N3748" s="1" t="s">
        <v>288</v>
      </c>
      <c r="P3748" s="1" t="s">
        <v>416</v>
      </c>
      <c r="Q3748" s="3">
        <v>1</v>
      </c>
      <c r="R3748" s="23" t="s">
        <v>11933</v>
      </c>
      <c r="S3748" s="23" t="s">
        <v>5849</v>
      </c>
      <c r="T3748" s="23" t="s">
        <v>4866</v>
      </c>
      <c r="U3748" s="3">
        <v>35</v>
      </c>
      <c r="W3748" s="45" t="str">
        <f>HYPERLINK("http://ictvonline.org/taxonomy/p/taxonomy-history?taxnode_id=201902301","ICTVonline=201902301")</f>
        <v>ICTVonline=201902301</v>
      </c>
      <c r="Y3748" s="1" t="s">
        <v>12450</v>
      </c>
      <c r="Z3748" s="1" t="s">
        <v>12451</v>
      </c>
      <c r="AA3748" s="1">
        <v>201900000</v>
      </c>
      <c r="AB3748" s="1">
        <v>35</v>
      </c>
    </row>
    <row r="3749" spans="1:28" x14ac:dyDescent="0.2">
      <c r="A3749" s="1">
        <v>9616</v>
      </c>
      <c r="B3749" s="1" t="s">
        <v>6839</v>
      </c>
      <c r="D3749" s="1" t="s">
        <v>11735</v>
      </c>
      <c r="F3749" s="1" t="s">
        <v>11930</v>
      </c>
      <c r="H3749" s="1" t="s">
        <v>11931</v>
      </c>
      <c r="J3749" s="1" t="s">
        <v>1161</v>
      </c>
      <c r="L3749" s="1" t="s">
        <v>1162</v>
      </c>
      <c r="M3749" s="1" t="s">
        <v>3611</v>
      </c>
      <c r="N3749" s="1" t="s">
        <v>288</v>
      </c>
      <c r="P3749" s="1" t="s">
        <v>417</v>
      </c>
      <c r="Q3749" s="3">
        <v>0</v>
      </c>
      <c r="R3749" s="23" t="s">
        <v>11933</v>
      </c>
      <c r="S3749" s="23" t="s">
        <v>5849</v>
      </c>
      <c r="T3749" s="23" t="s">
        <v>4866</v>
      </c>
      <c r="U3749" s="3">
        <v>35</v>
      </c>
      <c r="W3749" s="45" t="str">
        <f>HYPERLINK("http://ictvonline.org/taxonomy/p/taxonomy-history?taxnode_id=201902302","ICTVonline=201902302")</f>
        <v>ICTVonline=201902302</v>
      </c>
      <c r="Y3749" s="1" t="s">
        <v>12452</v>
      </c>
      <c r="Z3749" s="1" t="s">
        <v>12453</v>
      </c>
      <c r="AA3749" s="1">
        <v>201900000</v>
      </c>
      <c r="AB3749" s="1">
        <v>35</v>
      </c>
    </row>
    <row r="3750" spans="1:28" x14ac:dyDescent="0.2">
      <c r="A3750" s="1">
        <v>9618</v>
      </c>
      <c r="B3750" s="1" t="s">
        <v>6839</v>
      </c>
      <c r="D3750" s="1" t="s">
        <v>11735</v>
      </c>
      <c r="F3750" s="1" t="s">
        <v>11930</v>
      </c>
      <c r="H3750" s="1" t="s">
        <v>11931</v>
      </c>
      <c r="J3750" s="1" t="s">
        <v>1161</v>
      </c>
      <c r="L3750" s="1" t="s">
        <v>1162</v>
      </c>
      <c r="M3750" s="1" t="s">
        <v>3611</v>
      </c>
      <c r="N3750" s="1" t="s">
        <v>288</v>
      </c>
      <c r="P3750" s="1" t="s">
        <v>6652</v>
      </c>
      <c r="Q3750" s="3">
        <v>0</v>
      </c>
      <c r="R3750" s="23" t="s">
        <v>11933</v>
      </c>
      <c r="S3750" s="23" t="s">
        <v>5849</v>
      </c>
      <c r="T3750" s="23" t="s">
        <v>4866</v>
      </c>
      <c r="U3750" s="3">
        <v>35</v>
      </c>
      <c r="W3750" s="45" t="str">
        <f>HYPERLINK("http://ictvonline.org/taxonomy/p/taxonomy-history?taxnode_id=201906329","ICTVonline=201906329")</f>
        <v>ICTVonline=201906329</v>
      </c>
      <c r="X3750" s="1" t="s">
        <v>12454</v>
      </c>
      <c r="Y3750" s="1" t="s">
        <v>12455</v>
      </c>
      <c r="Z3750" s="1" t="s">
        <v>12456</v>
      </c>
      <c r="AA3750" s="1">
        <v>201900000</v>
      </c>
      <c r="AB3750" s="1">
        <v>35</v>
      </c>
    </row>
    <row r="3751" spans="1:28" x14ac:dyDescent="0.2">
      <c r="A3751" s="1">
        <v>9620</v>
      </c>
      <c r="B3751" s="1" t="s">
        <v>6839</v>
      </c>
      <c r="D3751" s="1" t="s">
        <v>11735</v>
      </c>
      <c r="F3751" s="1" t="s">
        <v>11930</v>
      </c>
      <c r="H3751" s="1" t="s">
        <v>11931</v>
      </c>
      <c r="J3751" s="1" t="s">
        <v>1161</v>
      </c>
      <c r="L3751" s="1" t="s">
        <v>1162</v>
      </c>
      <c r="M3751" s="1" t="s">
        <v>3611</v>
      </c>
      <c r="N3751" s="1" t="s">
        <v>288</v>
      </c>
      <c r="P3751" s="1" t="s">
        <v>6653</v>
      </c>
      <c r="Q3751" s="3">
        <v>0</v>
      </c>
      <c r="R3751" s="23" t="s">
        <v>11933</v>
      </c>
      <c r="S3751" s="23" t="s">
        <v>5849</v>
      </c>
      <c r="T3751" s="23" t="s">
        <v>4866</v>
      </c>
      <c r="U3751" s="3">
        <v>35</v>
      </c>
      <c r="W3751" s="45" t="str">
        <f>HYPERLINK("http://ictvonline.org/taxonomy/p/taxonomy-history?taxnode_id=201906322","ICTVonline=201906322")</f>
        <v>ICTVonline=201906322</v>
      </c>
      <c r="X3751" s="1" t="s">
        <v>12457</v>
      </c>
      <c r="Y3751" s="1" t="s">
        <v>12458</v>
      </c>
      <c r="Z3751" s="1" t="s">
        <v>12459</v>
      </c>
      <c r="AA3751" s="1">
        <v>201900000</v>
      </c>
      <c r="AB3751" s="1">
        <v>35</v>
      </c>
    </row>
    <row r="3752" spans="1:28" x14ac:dyDescent="0.2">
      <c r="A3752" s="1">
        <v>9624</v>
      </c>
      <c r="B3752" s="1" t="s">
        <v>6839</v>
      </c>
      <c r="D3752" s="1" t="s">
        <v>11735</v>
      </c>
      <c r="F3752" s="1" t="s">
        <v>11930</v>
      </c>
      <c r="H3752" s="1" t="s">
        <v>11931</v>
      </c>
      <c r="J3752" s="1" t="s">
        <v>1161</v>
      </c>
      <c r="L3752" s="1" t="s">
        <v>1162</v>
      </c>
      <c r="M3752" s="1" t="s">
        <v>3611</v>
      </c>
      <c r="N3752" s="1" t="s">
        <v>3612</v>
      </c>
      <c r="P3752" s="1" t="s">
        <v>3613</v>
      </c>
      <c r="Q3752" s="3">
        <v>1</v>
      </c>
      <c r="R3752" s="23" t="s">
        <v>11933</v>
      </c>
      <c r="S3752" s="23" t="s">
        <v>5849</v>
      </c>
      <c r="T3752" s="23" t="s">
        <v>4866</v>
      </c>
      <c r="U3752" s="3">
        <v>35</v>
      </c>
      <c r="W3752" s="45" t="str">
        <f>HYPERLINK("http://ictvonline.org/taxonomy/p/taxonomy-history?taxnode_id=201902304","ICTVonline=201902304")</f>
        <v>ICTVonline=201902304</v>
      </c>
      <c r="Y3752" s="1" t="s">
        <v>12460</v>
      </c>
      <c r="Z3752" s="1" t="s">
        <v>12461</v>
      </c>
      <c r="AA3752" s="1">
        <v>201900000</v>
      </c>
      <c r="AB3752" s="1">
        <v>35</v>
      </c>
    </row>
    <row r="3753" spans="1:28" x14ac:dyDescent="0.2">
      <c r="A3753" s="1">
        <v>9626</v>
      </c>
      <c r="B3753" s="1" t="s">
        <v>6839</v>
      </c>
      <c r="D3753" s="1" t="s">
        <v>11735</v>
      </c>
      <c r="F3753" s="1" t="s">
        <v>11930</v>
      </c>
      <c r="H3753" s="1" t="s">
        <v>11931</v>
      </c>
      <c r="J3753" s="1" t="s">
        <v>1161</v>
      </c>
      <c r="L3753" s="1" t="s">
        <v>1162</v>
      </c>
      <c r="M3753" s="1" t="s">
        <v>3611</v>
      </c>
      <c r="N3753" s="1" t="s">
        <v>3612</v>
      </c>
      <c r="P3753" s="1" t="s">
        <v>3614</v>
      </c>
      <c r="Q3753" s="3">
        <v>0</v>
      </c>
      <c r="R3753" s="23" t="s">
        <v>11933</v>
      </c>
      <c r="S3753" s="23" t="s">
        <v>5849</v>
      </c>
      <c r="T3753" s="23" t="s">
        <v>4866</v>
      </c>
      <c r="U3753" s="3">
        <v>35</v>
      </c>
      <c r="W3753" s="45" t="str">
        <f>HYPERLINK("http://ictvonline.org/taxonomy/p/taxonomy-history?taxnode_id=201902305","ICTVonline=201902305")</f>
        <v>ICTVonline=201902305</v>
      </c>
      <c r="Y3753" s="1" t="s">
        <v>12462</v>
      </c>
      <c r="Z3753" s="1" t="s">
        <v>12463</v>
      </c>
      <c r="AA3753" s="1">
        <v>201900000</v>
      </c>
      <c r="AB3753" s="1">
        <v>35</v>
      </c>
    </row>
    <row r="3754" spans="1:28" x14ac:dyDescent="0.2">
      <c r="A3754" s="1">
        <v>9630</v>
      </c>
      <c r="B3754" s="1" t="s">
        <v>6839</v>
      </c>
      <c r="D3754" s="1" t="s">
        <v>11735</v>
      </c>
      <c r="F3754" s="1" t="s">
        <v>11930</v>
      </c>
      <c r="H3754" s="1" t="s">
        <v>11931</v>
      </c>
      <c r="J3754" s="1" t="s">
        <v>1161</v>
      </c>
      <c r="L3754" s="1" t="s">
        <v>1162</v>
      </c>
      <c r="M3754" s="1" t="s">
        <v>3611</v>
      </c>
      <c r="N3754" s="1" t="s">
        <v>218</v>
      </c>
      <c r="P3754" s="1" t="s">
        <v>219</v>
      </c>
      <c r="Q3754" s="3">
        <v>1</v>
      </c>
      <c r="R3754" s="23" t="s">
        <v>11933</v>
      </c>
      <c r="S3754" s="23" t="s">
        <v>5849</v>
      </c>
      <c r="T3754" s="23" t="s">
        <v>4866</v>
      </c>
      <c r="U3754" s="3">
        <v>35</v>
      </c>
      <c r="W3754" s="45" t="str">
        <f>HYPERLINK("http://ictvonline.org/taxonomy/p/taxonomy-history?taxnode_id=201902307","ICTVonline=201902307")</f>
        <v>ICTVonline=201902307</v>
      </c>
      <c r="Y3754" s="1" t="s">
        <v>12464</v>
      </c>
      <c r="Z3754" s="1" t="s">
        <v>12465</v>
      </c>
      <c r="AA3754" s="1">
        <v>201900000</v>
      </c>
      <c r="AB3754" s="1">
        <v>35</v>
      </c>
    </row>
    <row r="3755" spans="1:28" x14ac:dyDescent="0.2">
      <c r="A3755" s="1">
        <v>9634</v>
      </c>
      <c r="B3755" s="1" t="s">
        <v>6839</v>
      </c>
      <c r="D3755" s="1" t="s">
        <v>11735</v>
      </c>
      <c r="F3755" s="1" t="s">
        <v>11930</v>
      </c>
      <c r="H3755" s="1" t="s">
        <v>11931</v>
      </c>
      <c r="J3755" s="1" t="s">
        <v>1161</v>
      </c>
      <c r="L3755" s="1" t="s">
        <v>1162</v>
      </c>
      <c r="M3755" s="1" t="s">
        <v>3611</v>
      </c>
      <c r="N3755" s="1" t="s">
        <v>3615</v>
      </c>
      <c r="P3755" s="1" t="s">
        <v>2311</v>
      </c>
      <c r="Q3755" s="3">
        <v>1</v>
      </c>
      <c r="R3755" s="23" t="s">
        <v>11933</v>
      </c>
      <c r="S3755" s="23" t="s">
        <v>5849</v>
      </c>
      <c r="T3755" s="23" t="s">
        <v>4866</v>
      </c>
      <c r="U3755" s="3">
        <v>35</v>
      </c>
      <c r="W3755" s="45" t="str">
        <f>HYPERLINK("http://ictvonline.org/taxonomy/p/taxonomy-history?taxnode_id=201902309","ICTVonline=201902309")</f>
        <v>ICTVonline=201902309</v>
      </c>
      <c r="Y3755" s="1" t="s">
        <v>12466</v>
      </c>
      <c r="Z3755" s="1" t="s">
        <v>12467</v>
      </c>
      <c r="AA3755" s="1">
        <v>201900000</v>
      </c>
      <c r="AB3755" s="1">
        <v>35</v>
      </c>
    </row>
    <row r="3756" spans="1:28" x14ac:dyDescent="0.2">
      <c r="A3756" s="1">
        <v>9636</v>
      </c>
      <c r="B3756" s="1" t="s">
        <v>6839</v>
      </c>
      <c r="D3756" s="1" t="s">
        <v>11735</v>
      </c>
      <c r="F3756" s="1" t="s">
        <v>11930</v>
      </c>
      <c r="H3756" s="1" t="s">
        <v>11931</v>
      </c>
      <c r="J3756" s="1" t="s">
        <v>1161</v>
      </c>
      <c r="L3756" s="1" t="s">
        <v>1162</v>
      </c>
      <c r="M3756" s="1" t="s">
        <v>3611</v>
      </c>
      <c r="N3756" s="1" t="s">
        <v>3615</v>
      </c>
      <c r="P3756" s="1" t="s">
        <v>2312</v>
      </c>
      <c r="Q3756" s="3">
        <v>0</v>
      </c>
      <c r="R3756" s="23" t="s">
        <v>11933</v>
      </c>
      <c r="S3756" s="23" t="s">
        <v>5849</v>
      </c>
      <c r="T3756" s="23" t="s">
        <v>4866</v>
      </c>
      <c r="U3756" s="3">
        <v>35</v>
      </c>
      <c r="W3756" s="45" t="str">
        <f>HYPERLINK("http://ictvonline.org/taxonomy/p/taxonomy-history?taxnode_id=201902310","ICTVonline=201902310")</f>
        <v>ICTVonline=201902310</v>
      </c>
      <c r="Y3756" s="1" t="s">
        <v>12468</v>
      </c>
      <c r="Z3756" s="1" t="s">
        <v>12467</v>
      </c>
      <c r="AA3756" s="1">
        <v>201900000</v>
      </c>
      <c r="AB3756" s="1">
        <v>35</v>
      </c>
    </row>
    <row r="3757" spans="1:28" x14ac:dyDescent="0.2">
      <c r="A3757" s="1">
        <v>9638</v>
      </c>
      <c r="B3757" s="1" t="s">
        <v>6839</v>
      </c>
      <c r="D3757" s="1" t="s">
        <v>11735</v>
      </c>
      <c r="F3757" s="1" t="s">
        <v>11930</v>
      </c>
      <c r="H3757" s="1" t="s">
        <v>11931</v>
      </c>
      <c r="J3757" s="1" t="s">
        <v>1161</v>
      </c>
      <c r="L3757" s="1" t="s">
        <v>1162</v>
      </c>
      <c r="M3757" s="1" t="s">
        <v>3611</v>
      </c>
      <c r="N3757" s="1" t="s">
        <v>3615</v>
      </c>
      <c r="P3757" s="1" t="s">
        <v>2200</v>
      </c>
      <c r="Q3757" s="3">
        <v>0</v>
      </c>
      <c r="R3757" s="23" t="s">
        <v>11933</v>
      </c>
      <c r="S3757" s="23" t="s">
        <v>5849</v>
      </c>
      <c r="T3757" s="23" t="s">
        <v>4866</v>
      </c>
      <c r="U3757" s="3">
        <v>35</v>
      </c>
      <c r="W3757" s="45" t="str">
        <f>HYPERLINK("http://ictvonline.org/taxonomy/p/taxonomy-history?taxnode_id=201902311","ICTVonline=201902311")</f>
        <v>ICTVonline=201902311</v>
      </c>
      <c r="Y3757" s="1" t="s">
        <v>12469</v>
      </c>
      <c r="Z3757" s="1" t="s">
        <v>12470</v>
      </c>
      <c r="AA3757" s="1">
        <v>201900000</v>
      </c>
      <c r="AB3757" s="1">
        <v>35</v>
      </c>
    </row>
    <row r="3758" spans="1:28" x14ac:dyDescent="0.2">
      <c r="A3758" s="1">
        <v>9642</v>
      </c>
      <c r="B3758" s="1" t="s">
        <v>6839</v>
      </c>
      <c r="D3758" s="1" t="s">
        <v>11735</v>
      </c>
      <c r="F3758" s="1" t="s">
        <v>11930</v>
      </c>
      <c r="H3758" s="1" t="s">
        <v>11931</v>
      </c>
      <c r="J3758" s="1" t="s">
        <v>1161</v>
      </c>
      <c r="L3758" s="1" t="s">
        <v>1162</v>
      </c>
      <c r="M3758" s="1" t="s">
        <v>3611</v>
      </c>
      <c r="N3758" s="1" t="s">
        <v>3616</v>
      </c>
      <c r="P3758" s="1" t="s">
        <v>6654</v>
      </c>
      <c r="Q3758" s="3">
        <v>0</v>
      </c>
      <c r="R3758" s="23" t="s">
        <v>11933</v>
      </c>
      <c r="S3758" s="23" t="s">
        <v>5849</v>
      </c>
      <c r="T3758" s="23" t="s">
        <v>4866</v>
      </c>
      <c r="U3758" s="3">
        <v>35</v>
      </c>
      <c r="W3758" s="45" t="str">
        <f>HYPERLINK("http://ictvonline.org/taxonomy/p/taxonomy-history?taxnode_id=201906390","ICTVonline=201906390")</f>
        <v>ICTVonline=201906390</v>
      </c>
      <c r="X3758" s="1" t="s">
        <v>12471</v>
      </c>
      <c r="Y3758" s="1" t="s">
        <v>12472</v>
      </c>
      <c r="Z3758" s="1" t="s">
        <v>12473</v>
      </c>
      <c r="AA3758" s="1">
        <v>201900000</v>
      </c>
      <c r="AB3758" s="1">
        <v>35</v>
      </c>
    </row>
    <row r="3759" spans="1:28" x14ac:dyDescent="0.2">
      <c r="A3759" s="1">
        <v>9644</v>
      </c>
      <c r="B3759" s="1" t="s">
        <v>6839</v>
      </c>
      <c r="D3759" s="1" t="s">
        <v>11735</v>
      </c>
      <c r="F3759" s="1" t="s">
        <v>11930</v>
      </c>
      <c r="H3759" s="1" t="s">
        <v>11931</v>
      </c>
      <c r="J3759" s="1" t="s">
        <v>1161</v>
      </c>
      <c r="L3759" s="1" t="s">
        <v>1162</v>
      </c>
      <c r="M3759" s="1" t="s">
        <v>3611</v>
      </c>
      <c r="N3759" s="1" t="s">
        <v>3616</v>
      </c>
      <c r="P3759" s="1" t="s">
        <v>3617</v>
      </c>
      <c r="Q3759" s="3">
        <v>1</v>
      </c>
      <c r="R3759" s="23" t="s">
        <v>11933</v>
      </c>
      <c r="S3759" s="23" t="s">
        <v>5849</v>
      </c>
      <c r="T3759" s="23" t="s">
        <v>4866</v>
      </c>
      <c r="U3759" s="3">
        <v>35</v>
      </c>
      <c r="W3759" s="45" t="str">
        <f>HYPERLINK("http://ictvonline.org/taxonomy/p/taxonomy-history?taxnode_id=201902313","ICTVonline=201902313")</f>
        <v>ICTVonline=201902313</v>
      </c>
      <c r="Y3759" s="1" t="s">
        <v>12474</v>
      </c>
      <c r="Z3759" s="1" t="s">
        <v>12475</v>
      </c>
      <c r="AA3759" s="1">
        <v>201900000</v>
      </c>
      <c r="AB3759" s="1">
        <v>35</v>
      </c>
    </row>
    <row r="3760" spans="1:28" x14ac:dyDescent="0.2">
      <c r="A3760" s="1">
        <v>9646</v>
      </c>
      <c r="B3760" s="1" t="s">
        <v>6839</v>
      </c>
      <c r="D3760" s="1" t="s">
        <v>11735</v>
      </c>
      <c r="F3760" s="1" t="s">
        <v>11930</v>
      </c>
      <c r="H3760" s="1" t="s">
        <v>11931</v>
      </c>
      <c r="J3760" s="1" t="s">
        <v>1161</v>
      </c>
      <c r="L3760" s="1" t="s">
        <v>1162</v>
      </c>
      <c r="M3760" s="1" t="s">
        <v>3611</v>
      </c>
      <c r="N3760" s="1" t="s">
        <v>3616</v>
      </c>
      <c r="P3760" s="1" t="s">
        <v>3618</v>
      </c>
      <c r="Q3760" s="3">
        <v>0</v>
      </c>
      <c r="R3760" s="23" t="s">
        <v>11933</v>
      </c>
      <c r="S3760" s="23" t="s">
        <v>5849</v>
      </c>
      <c r="T3760" s="23" t="s">
        <v>4866</v>
      </c>
      <c r="U3760" s="3">
        <v>35</v>
      </c>
      <c r="W3760" s="45" t="str">
        <f>HYPERLINK("http://ictvonline.org/taxonomy/p/taxonomy-history?taxnode_id=201902314","ICTVonline=201902314")</f>
        <v>ICTVonline=201902314</v>
      </c>
      <c r="Y3760" s="1" t="s">
        <v>12476</v>
      </c>
      <c r="Z3760" s="1" t="s">
        <v>12477</v>
      </c>
      <c r="AA3760" s="1">
        <v>201900000</v>
      </c>
      <c r="AB3760" s="1">
        <v>35</v>
      </c>
    </row>
    <row r="3761" spans="1:28" x14ac:dyDescent="0.2">
      <c r="A3761" s="1">
        <v>9650</v>
      </c>
      <c r="B3761" s="1" t="s">
        <v>6839</v>
      </c>
      <c r="D3761" s="1" t="s">
        <v>11735</v>
      </c>
      <c r="F3761" s="1" t="s">
        <v>11930</v>
      </c>
      <c r="H3761" s="1" t="s">
        <v>11931</v>
      </c>
      <c r="J3761" s="1" t="s">
        <v>1161</v>
      </c>
      <c r="L3761" s="1" t="s">
        <v>1162</v>
      </c>
      <c r="M3761" s="1" t="s">
        <v>3611</v>
      </c>
      <c r="N3761" s="1" t="s">
        <v>12478</v>
      </c>
      <c r="P3761" s="1" t="s">
        <v>12479</v>
      </c>
      <c r="Q3761" s="3">
        <v>1</v>
      </c>
      <c r="R3761" s="23" t="s">
        <v>11933</v>
      </c>
      <c r="S3761" s="23" t="s">
        <v>5849</v>
      </c>
      <c r="T3761" s="23" t="s">
        <v>4864</v>
      </c>
      <c r="U3761" s="3">
        <v>35</v>
      </c>
      <c r="V3761" s="3" t="s">
        <v>12480</v>
      </c>
      <c r="W3761" s="45" t="str">
        <f>HYPERLINK("http://ictvonline.org/taxonomy/p/taxonomy-history?taxnode_id=201907396","ICTVonline=201907396")</f>
        <v>ICTVonline=201907396</v>
      </c>
      <c r="X3761" s="1" t="s">
        <v>12481</v>
      </c>
      <c r="Y3761" s="1" t="s">
        <v>12482</v>
      </c>
      <c r="Z3761" s="1" t="s">
        <v>12483</v>
      </c>
      <c r="AA3761" s="1">
        <v>201900000</v>
      </c>
      <c r="AB3761" s="1">
        <v>35</v>
      </c>
    </row>
    <row r="3762" spans="1:28" x14ac:dyDescent="0.2">
      <c r="A3762" s="1">
        <v>9654</v>
      </c>
      <c r="B3762" s="1" t="s">
        <v>6839</v>
      </c>
      <c r="D3762" s="1" t="s">
        <v>11735</v>
      </c>
      <c r="F3762" s="1" t="s">
        <v>11930</v>
      </c>
      <c r="H3762" s="1" t="s">
        <v>11931</v>
      </c>
      <c r="J3762" s="1" t="s">
        <v>1161</v>
      </c>
      <c r="L3762" s="1" t="s">
        <v>1162</v>
      </c>
      <c r="M3762" s="1" t="s">
        <v>3611</v>
      </c>
      <c r="N3762" s="1" t="s">
        <v>11</v>
      </c>
      <c r="P3762" s="1" t="s">
        <v>1969</v>
      </c>
      <c r="Q3762" s="3">
        <v>1</v>
      </c>
      <c r="R3762" s="23" t="s">
        <v>11933</v>
      </c>
      <c r="S3762" s="23" t="s">
        <v>5849</v>
      </c>
      <c r="T3762" s="23" t="s">
        <v>4866</v>
      </c>
      <c r="U3762" s="3">
        <v>35</v>
      </c>
      <c r="W3762" s="45" t="str">
        <f>HYPERLINK("http://ictvonline.org/taxonomy/p/taxonomy-history?taxnode_id=201902316","ICTVonline=201902316")</f>
        <v>ICTVonline=201902316</v>
      </c>
      <c r="Y3762" s="1" t="s">
        <v>12484</v>
      </c>
      <c r="Z3762" s="1" t="s">
        <v>12232</v>
      </c>
      <c r="AA3762" s="1">
        <v>201900000</v>
      </c>
      <c r="AB3762" s="1">
        <v>35</v>
      </c>
    </row>
    <row r="3763" spans="1:28" x14ac:dyDescent="0.2">
      <c r="A3763" s="1">
        <v>9656</v>
      </c>
      <c r="B3763" s="1" t="s">
        <v>6839</v>
      </c>
      <c r="D3763" s="1" t="s">
        <v>11735</v>
      </c>
      <c r="F3763" s="1" t="s">
        <v>11930</v>
      </c>
      <c r="H3763" s="1" t="s">
        <v>11931</v>
      </c>
      <c r="J3763" s="1" t="s">
        <v>1161</v>
      </c>
      <c r="L3763" s="1" t="s">
        <v>1162</v>
      </c>
      <c r="M3763" s="1" t="s">
        <v>3611</v>
      </c>
      <c r="N3763" s="1" t="s">
        <v>11</v>
      </c>
      <c r="P3763" s="1" t="s">
        <v>3619</v>
      </c>
      <c r="Q3763" s="3">
        <v>0</v>
      </c>
      <c r="R3763" s="23" t="s">
        <v>11933</v>
      </c>
      <c r="S3763" s="23" t="s">
        <v>5849</v>
      </c>
      <c r="T3763" s="23" t="s">
        <v>4866</v>
      </c>
      <c r="U3763" s="3">
        <v>35</v>
      </c>
      <c r="W3763" s="45" t="str">
        <f>HYPERLINK("http://ictvonline.org/taxonomy/p/taxonomy-history?taxnode_id=201902317","ICTVonline=201902317")</f>
        <v>ICTVonline=201902317</v>
      </c>
      <c r="Y3763" s="1" t="s">
        <v>12485</v>
      </c>
      <c r="Z3763" s="1" t="s">
        <v>12486</v>
      </c>
      <c r="AA3763" s="1">
        <v>201900000</v>
      </c>
      <c r="AB3763" s="1">
        <v>35</v>
      </c>
    </row>
    <row r="3764" spans="1:28" x14ac:dyDescent="0.2">
      <c r="A3764" s="1">
        <v>9660</v>
      </c>
      <c r="B3764" s="1" t="s">
        <v>6839</v>
      </c>
      <c r="D3764" s="1" t="s">
        <v>11735</v>
      </c>
      <c r="F3764" s="1" t="s">
        <v>11930</v>
      </c>
      <c r="H3764" s="1" t="s">
        <v>11931</v>
      </c>
      <c r="J3764" s="1" t="s">
        <v>1161</v>
      </c>
      <c r="L3764" s="1" t="s">
        <v>1162</v>
      </c>
      <c r="M3764" s="1" t="s">
        <v>3611</v>
      </c>
      <c r="N3764" s="1" t="s">
        <v>348</v>
      </c>
      <c r="P3764" s="1" t="s">
        <v>1445</v>
      </c>
      <c r="Q3764" s="3">
        <v>1</v>
      </c>
      <c r="R3764" s="23" t="s">
        <v>11933</v>
      </c>
      <c r="S3764" s="23" t="s">
        <v>5849</v>
      </c>
      <c r="T3764" s="23" t="s">
        <v>4866</v>
      </c>
      <c r="U3764" s="3">
        <v>35</v>
      </c>
      <c r="W3764" s="45" t="str">
        <f>HYPERLINK("http://ictvonline.org/taxonomy/p/taxonomy-history?taxnode_id=201902319","ICTVonline=201902319")</f>
        <v>ICTVonline=201902319</v>
      </c>
      <c r="Y3764" s="1" t="s">
        <v>12487</v>
      </c>
      <c r="Z3764" s="1" t="s">
        <v>12488</v>
      </c>
      <c r="AA3764" s="1">
        <v>201900000</v>
      </c>
      <c r="AB3764" s="1">
        <v>35</v>
      </c>
    </row>
    <row r="3765" spans="1:28" x14ac:dyDescent="0.2">
      <c r="A3765" s="1">
        <v>9662</v>
      </c>
      <c r="B3765" s="1" t="s">
        <v>6839</v>
      </c>
      <c r="D3765" s="1" t="s">
        <v>11735</v>
      </c>
      <c r="F3765" s="1" t="s">
        <v>11930</v>
      </c>
      <c r="H3765" s="1" t="s">
        <v>11931</v>
      </c>
      <c r="J3765" s="1" t="s">
        <v>1161</v>
      </c>
      <c r="L3765" s="1" t="s">
        <v>1162</v>
      </c>
      <c r="M3765" s="1" t="s">
        <v>3611</v>
      </c>
      <c r="N3765" s="1" t="s">
        <v>348</v>
      </c>
      <c r="P3765" s="1" t="s">
        <v>2070</v>
      </c>
      <c r="Q3765" s="3">
        <v>0</v>
      </c>
      <c r="R3765" s="23" t="s">
        <v>11933</v>
      </c>
      <c r="S3765" s="23" t="s">
        <v>5849</v>
      </c>
      <c r="T3765" s="23" t="s">
        <v>4866</v>
      </c>
      <c r="U3765" s="3">
        <v>35</v>
      </c>
      <c r="W3765" s="45" t="str">
        <f>HYPERLINK("http://ictvonline.org/taxonomy/p/taxonomy-history?taxnode_id=201902320","ICTVonline=201902320")</f>
        <v>ICTVonline=201902320</v>
      </c>
      <c r="Y3765" s="1" t="s">
        <v>12489</v>
      </c>
      <c r="Z3765" s="1" t="s">
        <v>12490</v>
      </c>
      <c r="AA3765" s="1">
        <v>201900000</v>
      </c>
      <c r="AB3765" s="1">
        <v>35</v>
      </c>
    </row>
    <row r="3766" spans="1:28" x14ac:dyDescent="0.2">
      <c r="A3766" s="1">
        <v>9664</v>
      </c>
      <c r="B3766" s="1" t="s">
        <v>6839</v>
      </c>
      <c r="D3766" s="1" t="s">
        <v>11735</v>
      </c>
      <c r="F3766" s="1" t="s">
        <v>11930</v>
      </c>
      <c r="H3766" s="1" t="s">
        <v>11931</v>
      </c>
      <c r="J3766" s="1" t="s">
        <v>1161</v>
      </c>
      <c r="L3766" s="1" t="s">
        <v>1162</v>
      </c>
      <c r="M3766" s="1" t="s">
        <v>3611</v>
      </c>
      <c r="N3766" s="1" t="s">
        <v>348</v>
      </c>
      <c r="P3766" s="1" t="s">
        <v>2071</v>
      </c>
      <c r="Q3766" s="3">
        <v>0</v>
      </c>
      <c r="R3766" s="23" t="s">
        <v>11933</v>
      </c>
      <c r="S3766" s="23" t="s">
        <v>5849</v>
      </c>
      <c r="T3766" s="23" t="s">
        <v>4866</v>
      </c>
      <c r="U3766" s="3">
        <v>35</v>
      </c>
      <c r="W3766" s="45" t="str">
        <f>HYPERLINK("http://ictvonline.org/taxonomy/p/taxonomy-history?taxnode_id=201902321","ICTVonline=201902321")</f>
        <v>ICTVonline=201902321</v>
      </c>
      <c r="Y3766" s="1" t="s">
        <v>12491</v>
      </c>
      <c r="Z3766" s="1" t="s">
        <v>12492</v>
      </c>
      <c r="AA3766" s="1">
        <v>201900000</v>
      </c>
      <c r="AB3766" s="1">
        <v>35</v>
      </c>
    </row>
    <row r="3767" spans="1:28" x14ac:dyDescent="0.2">
      <c r="A3767" s="1">
        <v>9666</v>
      </c>
      <c r="B3767" s="1" t="s">
        <v>6839</v>
      </c>
      <c r="D3767" s="1" t="s">
        <v>11735</v>
      </c>
      <c r="F3767" s="1" t="s">
        <v>11930</v>
      </c>
      <c r="H3767" s="1" t="s">
        <v>11931</v>
      </c>
      <c r="J3767" s="1" t="s">
        <v>1161</v>
      </c>
      <c r="L3767" s="1" t="s">
        <v>1162</v>
      </c>
      <c r="M3767" s="1" t="s">
        <v>3611</v>
      </c>
      <c r="N3767" s="1" t="s">
        <v>348</v>
      </c>
      <c r="P3767" s="1" t="s">
        <v>2072</v>
      </c>
      <c r="Q3767" s="3">
        <v>0</v>
      </c>
      <c r="R3767" s="23" t="s">
        <v>11933</v>
      </c>
      <c r="S3767" s="23" t="s">
        <v>5849</v>
      </c>
      <c r="T3767" s="23" t="s">
        <v>4866</v>
      </c>
      <c r="U3767" s="3">
        <v>35</v>
      </c>
      <c r="W3767" s="45" t="str">
        <f>HYPERLINK("http://ictvonline.org/taxonomy/p/taxonomy-history?taxnode_id=201902322","ICTVonline=201902322")</f>
        <v>ICTVonline=201902322</v>
      </c>
      <c r="Y3767" s="1" t="s">
        <v>12493</v>
      </c>
      <c r="Z3767" s="1" t="s">
        <v>12494</v>
      </c>
      <c r="AA3767" s="1">
        <v>201900000</v>
      </c>
      <c r="AB3767" s="1">
        <v>35</v>
      </c>
    </row>
    <row r="3768" spans="1:28" x14ac:dyDescent="0.2">
      <c r="A3768" s="1">
        <v>9668</v>
      </c>
      <c r="B3768" s="1" t="s">
        <v>6839</v>
      </c>
      <c r="D3768" s="1" t="s">
        <v>11735</v>
      </c>
      <c r="F3768" s="1" t="s">
        <v>11930</v>
      </c>
      <c r="H3768" s="1" t="s">
        <v>11931</v>
      </c>
      <c r="J3768" s="1" t="s">
        <v>1161</v>
      </c>
      <c r="L3768" s="1" t="s">
        <v>1162</v>
      </c>
      <c r="M3768" s="1" t="s">
        <v>3611</v>
      </c>
      <c r="N3768" s="1" t="s">
        <v>348</v>
      </c>
      <c r="P3768" s="1" t="s">
        <v>2197</v>
      </c>
      <c r="Q3768" s="3">
        <v>0</v>
      </c>
      <c r="R3768" s="23" t="s">
        <v>11933</v>
      </c>
      <c r="S3768" s="23" t="s">
        <v>5849</v>
      </c>
      <c r="T3768" s="23" t="s">
        <v>4866</v>
      </c>
      <c r="U3768" s="3">
        <v>35</v>
      </c>
      <c r="W3768" s="45" t="str">
        <f>HYPERLINK("http://ictvonline.org/taxonomy/p/taxonomy-history?taxnode_id=201902323","ICTVonline=201902323")</f>
        <v>ICTVonline=201902323</v>
      </c>
      <c r="Y3768" s="1" t="s">
        <v>12495</v>
      </c>
      <c r="Z3768" s="1" t="s">
        <v>11898</v>
      </c>
      <c r="AA3768" s="1">
        <v>201900000</v>
      </c>
      <c r="AB3768" s="1">
        <v>35</v>
      </c>
    </row>
    <row r="3769" spans="1:28" x14ac:dyDescent="0.2">
      <c r="A3769" s="1">
        <v>9670</v>
      </c>
      <c r="B3769" s="1" t="s">
        <v>6839</v>
      </c>
      <c r="D3769" s="1" t="s">
        <v>11735</v>
      </c>
      <c r="F3769" s="1" t="s">
        <v>11930</v>
      </c>
      <c r="H3769" s="1" t="s">
        <v>11931</v>
      </c>
      <c r="J3769" s="1" t="s">
        <v>1161</v>
      </c>
      <c r="L3769" s="1" t="s">
        <v>1162</v>
      </c>
      <c r="M3769" s="1" t="s">
        <v>3611</v>
      </c>
      <c r="N3769" s="1" t="s">
        <v>348</v>
      </c>
      <c r="P3769" s="1" t="s">
        <v>2073</v>
      </c>
      <c r="Q3769" s="3">
        <v>0</v>
      </c>
      <c r="R3769" s="23" t="s">
        <v>11933</v>
      </c>
      <c r="S3769" s="23" t="s">
        <v>5849</v>
      </c>
      <c r="T3769" s="23" t="s">
        <v>4866</v>
      </c>
      <c r="U3769" s="3">
        <v>35</v>
      </c>
      <c r="W3769" s="45" t="str">
        <f>HYPERLINK("http://ictvonline.org/taxonomy/p/taxonomy-history?taxnode_id=201902324","ICTVonline=201902324")</f>
        <v>ICTVonline=201902324</v>
      </c>
      <c r="Y3769" s="1" t="s">
        <v>12496</v>
      </c>
      <c r="Z3769" s="1" t="s">
        <v>12497</v>
      </c>
      <c r="AA3769" s="1">
        <v>201900000</v>
      </c>
      <c r="AB3769" s="1">
        <v>35</v>
      </c>
    </row>
    <row r="3770" spans="1:28" x14ac:dyDescent="0.2">
      <c r="A3770" s="1">
        <v>9672</v>
      </c>
      <c r="B3770" s="1" t="s">
        <v>6839</v>
      </c>
      <c r="D3770" s="1" t="s">
        <v>11735</v>
      </c>
      <c r="F3770" s="1" t="s">
        <v>11930</v>
      </c>
      <c r="H3770" s="1" t="s">
        <v>11931</v>
      </c>
      <c r="J3770" s="1" t="s">
        <v>1161</v>
      </c>
      <c r="L3770" s="1" t="s">
        <v>1162</v>
      </c>
      <c r="M3770" s="1" t="s">
        <v>3611</v>
      </c>
      <c r="N3770" s="1" t="s">
        <v>348</v>
      </c>
      <c r="P3770" s="1" t="s">
        <v>2198</v>
      </c>
      <c r="Q3770" s="3">
        <v>0</v>
      </c>
      <c r="R3770" s="23" t="s">
        <v>11933</v>
      </c>
      <c r="S3770" s="23" t="s">
        <v>5849</v>
      </c>
      <c r="T3770" s="23" t="s">
        <v>4866</v>
      </c>
      <c r="U3770" s="3">
        <v>35</v>
      </c>
      <c r="W3770" s="45" t="str">
        <f>HYPERLINK("http://ictvonline.org/taxonomy/p/taxonomy-history?taxnode_id=201902325","ICTVonline=201902325")</f>
        <v>ICTVonline=201902325</v>
      </c>
      <c r="AA3770" s="1">
        <v>201900000</v>
      </c>
      <c r="AB3770" s="1">
        <v>35</v>
      </c>
    </row>
    <row r="3771" spans="1:28" x14ac:dyDescent="0.2">
      <c r="A3771" s="1">
        <v>9676</v>
      </c>
      <c r="B3771" s="1" t="s">
        <v>6839</v>
      </c>
      <c r="D3771" s="1" t="s">
        <v>11735</v>
      </c>
      <c r="F3771" s="1" t="s">
        <v>11930</v>
      </c>
      <c r="H3771" s="1" t="s">
        <v>11931</v>
      </c>
      <c r="J3771" s="1" t="s">
        <v>1161</v>
      </c>
      <c r="L3771" s="1" t="s">
        <v>1162</v>
      </c>
      <c r="M3771" s="1" t="s">
        <v>3611</v>
      </c>
      <c r="N3771" s="1" t="s">
        <v>1631</v>
      </c>
      <c r="P3771" s="1" t="s">
        <v>2201</v>
      </c>
      <c r="Q3771" s="3">
        <v>0</v>
      </c>
      <c r="R3771" s="23" t="s">
        <v>11933</v>
      </c>
      <c r="S3771" s="23" t="s">
        <v>5849</v>
      </c>
      <c r="T3771" s="23" t="s">
        <v>4866</v>
      </c>
      <c r="U3771" s="3">
        <v>35</v>
      </c>
      <c r="W3771" s="45" t="str">
        <f>HYPERLINK("http://ictvonline.org/taxonomy/p/taxonomy-history?taxnode_id=201902327","ICTVonline=201902327")</f>
        <v>ICTVonline=201902327</v>
      </c>
      <c r="AA3771" s="1">
        <v>201900000</v>
      </c>
      <c r="AB3771" s="1">
        <v>35</v>
      </c>
    </row>
    <row r="3772" spans="1:28" x14ac:dyDescent="0.2">
      <c r="A3772" s="1">
        <v>9678</v>
      </c>
      <c r="B3772" s="1" t="s">
        <v>6839</v>
      </c>
      <c r="D3772" s="1" t="s">
        <v>11735</v>
      </c>
      <c r="F3772" s="1" t="s">
        <v>11930</v>
      </c>
      <c r="H3772" s="1" t="s">
        <v>11931</v>
      </c>
      <c r="J3772" s="1" t="s">
        <v>1161</v>
      </c>
      <c r="L3772" s="1" t="s">
        <v>1162</v>
      </c>
      <c r="M3772" s="1" t="s">
        <v>3611</v>
      </c>
      <c r="N3772" s="1" t="s">
        <v>1631</v>
      </c>
      <c r="P3772" s="1" t="s">
        <v>2277</v>
      </c>
      <c r="Q3772" s="3">
        <v>0</v>
      </c>
      <c r="R3772" s="23" t="s">
        <v>11933</v>
      </c>
      <c r="S3772" s="23" t="s">
        <v>5849</v>
      </c>
      <c r="T3772" s="23" t="s">
        <v>4866</v>
      </c>
      <c r="U3772" s="3">
        <v>35</v>
      </c>
      <c r="W3772" s="45" t="str">
        <f>HYPERLINK("http://ictvonline.org/taxonomy/p/taxonomy-history?taxnode_id=201902328","ICTVonline=201902328")</f>
        <v>ICTVonline=201902328</v>
      </c>
      <c r="Y3772" s="1" t="s">
        <v>12498</v>
      </c>
      <c r="Z3772" s="1" t="s">
        <v>12499</v>
      </c>
      <c r="AA3772" s="1">
        <v>201900000</v>
      </c>
      <c r="AB3772" s="1">
        <v>35</v>
      </c>
    </row>
    <row r="3773" spans="1:28" x14ac:dyDescent="0.2">
      <c r="A3773" s="1">
        <v>9680</v>
      </c>
      <c r="B3773" s="1" t="s">
        <v>6839</v>
      </c>
      <c r="D3773" s="1" t="s">
        <v>11735</v>
      </c>
      <c r="F3773" s="1" t="s">
        <v>11930</v>
      </c>
      <c r="H3773" s="1" t="s">
        <v>11931</v>
      </c>
      <c r="J3773" s="1" t="s">
        <v>1161</v>
      </c>
      <c r="L3773" s="1" t="s">
        <v>1162</v>
      </c>
      <c r="M3773" s="1" t="s">
        <v>3611</v>
      </c>
      <c r="N3773" s="1" t="s">
        <v>1631</v>
      </c>
      <c r="P3773" s="1" t="s">
        <v>5143</v>
      </c>
      <c r="Q3773" s="3">
        <v>0</v>
      </c>
      <c r="R3773" s="23" t="s">
        <v>11933</v>
      </c>
      <c r="S3773" s="23" t="s">
        <v>5849</v>
      </c>
      <c r="T3773" s="23" t="s">
        <v>4866</v>
      </c>
      <c r="U3773" s="3">
        <v>35</v>
      </c>
      <c r="W3773" s="45" t="str">
        <f>HYPERLINK("http://ictvonline.org/taxonomy/p/taxonomy-history?taxnode_id=201905644","ICTVonline=201905644")</f>
        <v>ICTVonline=201905644</v>
      </c>
      <c r="AA3773" s="1">
        <v>201900000</v>
      </c>
      <c r="AB3773" s="1">
        <v>35</v>
      </c>
    </row>
    <row r="3774" spans="1:28" x14ac:dyDescent="0.2">
      <c r="A3774" s="1">
        <v>9682</v>
      </c>
      <c r="B3774" s="1" t="s">
        <v>6839</v>
      </c>
      <c r="D3774" s="1" t="s">
        <v>11735</v>
      </c>
      <c r="F3774" s="1" t="s">
        <v>11930</v>
      </c>
      <c r="H3774" s="1" t="s">
        <v>11931</v>
      </c>
      <c r="J3774" s="1" t="s">
        <v>1161</v>
      </c>
      <c r="L3774" s="1" t="s">
        <v>1162</v>
      </c>
      <c r="M3774" s="1" t="s">
        <v>3611</v>
      </c>
      <c r="N3774" s="1" t="s">
        <v>1631</v>
      </c>
      <c r="P3774" s="1" t="s">
        <v>6655</v>
      </c>
      <c r="Q3774" s="3">
        <v>0</v>
      </c>
      <c r="R3774" s="23" t="s">
        <v>11933</v>
      </c>
      <c r="S3774" s="23" t="s">
        <v>5849</v>
      </c>
      <c r="T3774" s="23" t="s">
        <v>4866</v>
      </c>
      <c r="U3774" s="3">
        <v>35</v>
      </c>
      <c r="W3774" s="45" t="str">
        <f>HYPERLINK("http://ictvonline.org/taxonomy/p/taxonomy-history?taxnode_id=201906439","ICTVonline=201906439")</f>
        <v>ICTVonline=201906439</v>
      </c>
      <c r="X3774" s="1" t="s">
        <v>12500</v>
      </c>
      <c r="Y3774" s="1" t="s">
        <v>12501</v>
      </c>
      <c r="Z3774" s="1" t="s">
        <v>12502</v>
      </c>
      <c r="AA3774" s="1">
        <v>201900000</v>
      </c>
      <c r="AB3774" s="1">
        <v>35</v>
      </c>
    </row>
    <row r="3775" spans="1:28" x14ac:dyDescent="0.2">
      <c r="A3775" s="1">
        <v>9684</v>
      </c>
      <c r="B3775" s="1" t="s">
        <v>6839</v>
      </c>
      <c r="D3775" s="1" t="s">
        <v>11735</v>
      </c>
      <c r="F3775" s="1" t="s">
        <v>11930</v>
      </c>
      <c r="H3775" s="1" t="s">
        <v>11931</v>
      </c>
      <c r="J3775" s="1" t="s">
        <v>1161</v>
      </c>
      <c r="L3775" s="1" t="s">
        <v>1162</v>
      </c>
      <c r="M3775" s="1" t="s">
        <v>3611</v>
      </c>
      <c r="N3775" s="1" t="s">
        <v>1631</v>
      </c>
      <c r="P3775" s="1" t="s">
        <v>1632</v>
      </c>
      <c r="Q3775" s="3">
        <v>1</v>
      </c>
      <c r="R3775" s="23" t="s">
        <v>11933</v>
      </c>
      <c r="S3775" s="23" t="s">
        <v>5849</v>
      </c>
      <c r="T3775" s="23" t="s">
        <v>4866</v>
      </c>
      <c r="U3775" s="3">
        <v>35</v>
      </c>
      <c r="W3775" s="45" t="str">
        <f>HYPERLINK("http://ictvonline.org/taxonomy/p/taxonomy-history?taxnode_id=201902329","ICTVonline=201902329")</f>
        <v>ICTVonline=201902329</v>
      </c>
      <c r="Y3775" s="1" t="s">
        <v>12503</v>
      </c>
      <c r="Z3775" s="1" t="s">
        <v>12504</v>
      </c>
      <c r="AA3775" s="1">
        <v>201900000</v>
      </c>
      <c r="AB3775" s="1">
        <v>35</v>
      </c>
    </row>
    <row r="3776" spans="1:28" x14ac:dyDescent="0.2">
      <c r="A3776" s="1">
        <v>9686</v>
      </c>
      <c r="B3776" s="1" t="s">
        <v>6839</v>
      </c>
      <c r="D3776" s="1" t="s">
        <v>11735</v>
      </c>
      <c r="F3776" s="1" t="s">
        <v>11930</v>
      </c>
      <c r="H3776" s="1" t="s">
        <v>11931</v>
      </c>
      <c r="J3776" s="1" t="s">
        <v>1161</v>
      </c>
      <c r="L3776" s="1" t="s">
        <v>1162</v>
      </c>
      <c r="M3776" s="1" t="s">
        <v>3611</v>
      </c>
      <c r="N3776" s="1" t="s">
        <v>1631</v>
      </c>
      <c r="P3776" s="1" t="s">
        <v>508</v>
      </c>
      <c r="Q3776" s="3">
        <v>0</v>
      </c>
      <c r="R3776" s="23" t="s">
        <v>11933</v>
      </c>
      <c r="S3776" s="23" t="s">
        <v>5849</v>
      </c>
      <c r="T3776" s="23" t="s">
        <v>4866</v>
      </c>
      <c r="U3776" s="3">
        <v>35</v>
      </c>
      <c r="W3776" s="45" t="str">
        <f>HYPERLINK("http://ictvonline.org/taxonomy/p/taxonomy-history?taxnode_id=201902330","ICTVonline=201902330")</f>
        <v>ICTVonline=201902330</v>
      </c>
      <c r="Y3776" s="1" t="s">
        <v>12505</v>
      </c>
      <c r="Z3776" s="1" t="s">
        <v>12506</v>
      </c>
      <c r="AA3776" s="1">
        <v>201900000</v>
      </c>
      <c r="AB3776" s="1">
        <v>35</v>
      </c>
    </row>
    <row r="3777" spans="1:28" x14ac:dyDescent="0.2">
      <c r="A3777" s="1">
        <v>9688</v>
      </c>
      <c r="B3777" s="1" t="s">
        <v>6839</v>
      </c>
      <c r="D3777" s="1" t="s">
        <v>11735</v>
      </c>
      <c r="F3777" s="1" t="s">
        <v>11930</v>
      </c>
      <c r="H3777" s="1" t="s">
        <v>11931</v>
      </c>
      <c r="J3777" s="1" t="s">
        <v>1161</v>
      </c>
      <c r="L3777" s="1" t="s">
        <v>1162</v>
      </c>
      <c r="M3777" s="1" t="s">
        <v>3611</v>
      </c>
      <c r="N3777" s="1" t="s">
        <v>1631</v>
      </c>
      <c r="P3777" s="1" t="s">
        <v>509</v>
      </c>
      <c r="Q3777" s="3">
        <v>0</v>
      </c>
      <c r="R3777" s="23" t="s">
        <v>11933</v>
      </c>
      <c r="S3777" s="23" t="s">
        <v>5849</v>
      </c>
      <c r="T3777" s="23" t="s">
        <v>4866</v>
      </c>
      <c r="U3777" s="3">
        <v>35</v>
      </c>
      <c r="W3777" s="45" t="str">
        <f>HYPERLINK("http://ictvonline.org/taxonomy/p/taxonomy-history?taxnode_id=201902331","ICTVonline=201902331")</f>
        <v>ICTVonline=201902331</v>
      </c>
      <c r="AA3777" s="1">
        <v>201900000</v>
      </c>
      <c r="AB3777" s="1">
        <v>35</v>
      </c>
    </row>
    <row r="3778" spans="1:28" x14ac:dyDescent="0.2">
      <c r="A3778" s="1">
        <v>9690</v>
      </c>
      <c r="B3778" s="1" t="s">
        <v>6839</v>
      </c>
      <c r="D3778" s="1" t="s">
        <v>11735</v>
      </c>
      <c r="F3778" s="1" t="s">
        <v>11930</v>
      </c>
      <c r="H3778" s="1" t="s">
        <v>11931</v>
      </c>
      <c r="J3778" s="1" t="s">
        <v>1161</v>
      </c>
      <c r="L3778" s="1" t="s">
        <v>1162</v>
      </c>
      <c r="M3778" s="1" t="s">
        <v>3611</v>
      </c>
      <c r="N3778" s="1" t="s">
        <v>1631</v>
      </c>
      <c r="P3778" s="1" t="s">
        <v>1516</v>
      </c>
      <c r="Q3778" s="3">
        <v>0</v>
      </c>
      <c r="R3778" s="23" t="s">
        <v>11933</v>
      </c>
      <c r="S3778" s="23" t="s">
        <v>5849</v>
      </c>
      <c r="T3778" s="23" t="s">
        <v>4866</v>
      </c>
      <c r="U3778" s="3">
        <v>35</v>
      </c>
      <c r="W3778" s="45" t="str">
        <f>HYPERLINK("http://ictvonline.org/taxonomy/p/taxonomy-history?taxnode_id=201902332","ICTVonline=201902332")</f>
        <v>ICTVonline=201902332</v>
      </c>
      <c r="Y3778" s="1" t="s">
        <v>12507</v>
      </c>
      <c r="Z3778" s="1" t="s">
        <v>12508</v>
      </c>
      <c r="AA3778" s="1">
        <v>201900000</v>
      </c>
      <c r="AB3778" s="1">
        <v>35</v>
      </c>
    </row>
    <row r="3779" spans="1:28" x14ac:dyDescent="0.2">
      <c r="A3779" s="1">
        <v>9692</v>
      </c>
      <c r="B3779" s="1" t="s">
        <v>6839</v>
      </c>
      <c r="D3779" s="1" t="s">
        <v>11735</v>
      </c>
      <c r="F3779" s="1" t="s">
        <v>11930</v>
      </c>
      <c r="H3779" s="1" t="s">
        <v>11931</v>
      </c>
      <c r="J3779" s="1" t="s">
        <v>1161</v>
      </c>
      <c r="L3779" s="1" t="s">
        <v>1162</v>
      </c>
      <c r="M3779" s="1" t="s">
        <v>3611</v>
      </c>
      <c r="N3779" s="1" t="s">
        <v>1631</v>
      </c>
      <c r="P3779" s="1" t="s">
        <v>2313</v>
      </c>
      <c r="Q3779" s="3">
        <v>0</v>
      </c>
      <c r="R3779" s="23" t="s">
        <v>11933</v>
      </c>
      <c r="S3779" s="23" t="s">
        <v>5849</v>
      </c>
      <c r="T3779" s="23" t="s">
        <v>4866</v>
      </c>
      <c r="U3779" s="3">
        <v>35</v>
      </c>
      <c r="W3779" s="45" t="str">
        <f>HYPERLINK("http://ictvonline.org/taxonomy/p/taxonomy-history?taxnode_id=201902333","ICTVonline=201902333")</f>
        <v>ICTVonline=201902333</v>
      </c>
      <c r="Y3779" s="1" t="s">
        <v>12509</v>
      </c>
      <c r="Z3779" s="1" t="s">
        <v>12510</v>
      </c>
      <c r="AA3779" s="1">
        <v>201900000</v>
      </c>
      <c r="AB3779" s="1">
        <v>35</v>
      </c>
    </row>
    <row r="3780" spans="1:28" x14ac:dyDescent="0.2">
      <c r="A3780" s="1">
        <v>9694</v>
      </c>
      <c r="B3780" s="1" t="s">
        <v>6839</v>
      </c>
      <c r="D3780" s="1" t="s">
        <v>11735</v>
      </c>
      <c r="F3780" s="1" t="s">
        <v>11930</v>
      </c>
      <c r="H3780" s="1" t="s">
        <v>11931</v>
      </c>
      <c r="J3780" s="1" t="s">
        <v>1161</v>
      </c>
      <c r="L3780" s="1" t="s">
        <v>1162</v>
      </c>
      <c r="M3780" s="1" t="s">
        <v>3611</v>
      </c>
      <c r="N3780" s="1" t="s">
        <v>1631</v>
      </c>
      <c r="P3780" s="1" t="s">
        <v>6656</v>
      </c>
      <c r="Q3780" s="3">
        <v>0</v>
      </c>
      <c r="R3780" s="23" t="s">
        <v>11933</v>
      </c>
      <c r="S3780" s="23" t="s">
        <v>5849</v>
      </c>
      <c r="T3780" s="23" t="s">
        <v>4866</v>
      </c>
      <c r="U3780" s="3">
        <v>35</v>
      </c>
      <c r="W3780" s="45" t="str">
        <f>HYPERLINK("http://ictvonline.org/taxonomy/p/taxonomy-history?taxnode_id=201906476","ICTVonline=201906476")</f>
        <v>ICTVonline=201906476</v>
      </c>
      <c r="X3780" s="1" t="s">
        <v>12511</v>
      </c>
      <c r="Y3780" s="1" t="s">
        <v>12512</v>
      </c>
      <c r="Z3780" s="1" t="s">
        <v>12513</v>
      </c>
      <c r="AA3780" s="1">
        <v>201900000</v>
      </c>
      <c r="AB3780" s="1">
        <v>35</v>
      </c>
    </row>
    <row r="3781" spans="1:28" x14ac:dyDescent="0.2">
      <c r="A3781" s="1">
        <v>9696</v>
      </c>
      <c r="B3781" s="1" t="s">
        <v>6839</v>
      </c>
      <c r="D3781" s="1" t="s">
        <v>11735</v>
      </c>
      <c r="F3781" s="1" t="s">
        <v>11930</v>
      </c>
      <c r="H3781" s="1" t="s">
        <v>11931</v>
      </c>
      <c r="J3781" s="1" t="s">
        <v>1161</v>
      </c>
      <c r="L3781" s="1" t="s">
        <v>1162</v>
      </c>
      <c r="M3781" s="1" t="s">
        <v>3611</v>
      </c>
      <c r="N3781" s="1" t="s">
        <v>1631</v>
      </c>
      <c r="P3781" s="1" t="s">
        <v>6657</v>
      </c>
      <c r="Q3781" s="3">
        <v>0</v>
      </c>
      <c r="R3781" s="23" t="s">
        <v>11933</v>
      </c>
      <c r="S3781" s="23" t="s">
        <v>5849</v>
      </c>
      <c r="T3781" s="23" t="s">
        <v>4866</v>
      </c>
      <c r="U3781" s="3">
        <v>35</v>
      </c>
      <c r="W3781" s="45" t="str">
        <f>HYPERLINK("http://ictvonline.org/taxonomy/p/taxonomy-history?taxnode_id=201906481","ICTVonline=201906481")</f>
        <v>ICTVonline=201906481</v>
      </c>
      <c r="X3781" s="1" t="s">
        <v>12514</v>
      </c>
      <c r="Y3781" s="1" t="s">
        <v>12515</v>
      </c>
      <c r="Z3781" s="1" t="s">
        <v>12516</v>
      </c>
      <c r="AA3781" s="1">
        <v>201900000</v>
      </c>
      <c r="AB3781" s="1">
        <v>35</v>
      </c>
    </row>
    <row r="3782" spans="1:28" x14ac:dyDescent="0.2">
      <c r="A3782" s="1">
        <v>9698</v>
      </c>
      <c r="B3782" s="1" t="s">
        <v>6839</v>
      </c>
      <c r="D3782" s="1" t="s">
        <v>11735</v>
      </c>
      <c r="F3782" s="1" t="s">
        <v>11930</v>
      </c>
      <c r="H3782" s="1" t="s">
        <v>11931</v>
      </c>
      <c r="J3782" s="1" t="s">
        <v>1161</v>
      </c>
      <c r="L3782" s="1" t="s">
        <v>1162</v>
      </c>
      <c r="M3782" s="1" t="s">
        <v>3611</v>
      </c>
      <c r="N3782" s="1" t="s">
        <v>1631</v>
      </c>
      <c r="P3782" s="1" t="s">
        <v>6658</v>
      </c>
      <c r="Q3782" s="3">
        <v>0</v>
      </c>
      <c r="R3782" s="23" t="s">
        <v>11933</v>
      </c>
      <c r="S3782" s="23" t="s">
        <v>5849</v>
      </c>
      <c r="T3782" s="23" t="s">
        <v>4866</v>
      </c>
      <c r="U3782" s="3">
        <v>35</v>
      </c>
      <c r="W3782" s="45" t="str">
        <f>HYPERLINK("http://ictvonline.org/taxonomy/p/taxonomy-history?taxnode_id=201906487","ICTVonline=201906487")</f>
        <v>ICTVonline=201906487</v>
      </c>
      <c r="X3782" s="1" t="s">
        <v>12517</v>
      </c>
      <c r="Y3782" s="1" t="s">
        <v>12518</v>
      </c>
      <c r="Z3782" s="1" t="s">
        <v>12519</v>
      </c>
      <c r="AA3782" s="1">
        <v>201900000</v>
      </c>
      <c r="AB3782" s="1">
        <v>35</v>
      </c>
    </row>
    <row r="3783" spans="1:28" x14ac:dyDescent="0.2">
      <c r="A3783" s="1">
        <v>9700</v>
      </c>
      <c r="B3783" s="1" t="s">
        <v>6839</v>
      </c>
      <c r="D3783" s="1" t="s">
        <v>11735</v>
      </c>
      <c r="F3783" s="1" t="s">
        <v>11930</v>
      </c>
      <c r="H3783" s="1" t="s">
        <v>11931</v>
      </c>
      <c r="J3783" s="1" t="s">
        <v>1161</v>
      </c>
      <c r="L3783" s="1" t="s">
        <v>1162</v>
      </c>
      <c r="M3783" s="1" t="s">
        <v>3611</v>
      </c>
      <c r="N3783" s="1" t="s">
        <v>1631</v>
      </c>
      <c r="P3783" s="1" t="s">
        <v>6659</v>
      </c>
      <c r="Q3783" s="3">
        <v>0</v>
      </c>
      <c r="R3783" s="23" t="s">
        <v>11933</v>
      </c>
      <c r="S3783" s="23" t="s">
        <v>5849</v>
      </c>
      <c r="T3783" s="23" t="s">
        <v>4866</v>
      </c>
      <c r="U3783" s="3">
        <v>35</v>
      </c>
      <c r="W3783" s="45" t="str">
        <f>HYPERLINK("http://ictvonline.org/taxonomy/p/taxonomy-history?taxnode_id=201906493","ICTVonline=201906493")</f>
        <v>ICTVonline=201906493</v>
      </c>
      <c r="X3783" s="1" t="s">
        <v>12520</v>
      </c>
      <c r="Y3783" s="1" t="s">
        <v>12521</v>
      </c>
      <c r="Z3783" s="1" t="s">
        <v>12522</v>
      </c>
      <c r="AA3783" s="1">
        <v>201900000</v>
      </c>
      <c r="AB3783" s="1">
        <v>35</v>
      </c>
    </row>
    <row r="3784" spans="1:28" x14ac:dyDescent="0.2">
      <c r="A3784" s="1">
        <v>9702</v>
      </c>
      <c r="B3784" s="1" t="s">
        <v>6839</v>
      </c>
      <c r="D3784" s="1" t="s">
        <v>11735</v>
      </c>
      <c r="F3784" s="1" t="s">
        <v>11930</v>
      </c>
      <c r="H3784" s="1" t="s">
        <v>11931</v>
      </c>
      <c r="J3784" s="1" t="s">
        <v>1161</v>
      </c>
      <c r="L3784" s="1" t="s">
        <v>1162</v>
      </c>
      <c r="M3784" s="1" t="s">
        <v>3611</v>
      </c>
      <c r="N3784" s="1" t="s">
        <v>1631</v>
      </c>
      <c r="P3784" s="1" t="s">
        <v>2075</v>
      </c>
      <c r="Q3784" s="3">
        <v>0</v>
      </c>
      <c r="R3784" s="23" t="s">
        <v>11933</v>
      </c>
      <c r="S3784" s="23" t="s">
        <v>5849</v>
      </c>
      <c r="T3784" s="23" t="s">
        <v>4866</v>
      </c>
      <c r="U3784" s="3">
        <v>35</v>
      </c>
      <c r="W3784" s="45" t="str">
        <f>HYPERLINK("http://ictvonline.org/taxonomy/p/taxonomy-history?taxnode_id=201902334","ICTVonline=201902334")</f>
        <v>ICTVonline=201902334</v>
      </c>
      <c r="AA3784" s="1">
        <v>201900000</v>
      </c>
      <c r="AB3784" s="1">
        <v>35</v>
      </c>
    </row>
    <row r="3785" spans="1:28" x14ac:dyDescent="0.2">
      <c r="A3785" s="1">
        <v>9704</v>
      </c>
      <c r="B3785" s="1" t="s">
        <v>6839</v>
      </c>
      <c r="D3785" s="1" t="s">
        <v>11735</v>
      </c>
      <c r="F3785" s="1" t="s">
        <v>11930</v>
      </c>
      <c r="H3785" s="1" t="s">
        <v>11931</v>
      </c>
      <c r="J3785" s="1" t="s">
        <v>1161</v>
      </c>
      <c r="L3785" s="1" t="s">
        <v>1162</v>
      </c>
      <c r="M3785" s="1" t="s">
        <v>3611</v>
      </c>
      <c r="N3785" s="1" t="s">
        <v>1631</v>
      </c>
      <c r="P3785" s="1" t="s">
        <v>2103</v>
      </c>
      <c r="Q3785" s="3">
        <v>0</v>
      </c>
      <c r="R3785" s="23" t="s">
        <v>11933</v>
      </c>
      <c r="S3785" s="23" t="s">
        <v>5849</v>
      </c>
      <c r="T3785" s="23" t="s">
        <v>4866</v>
      </c>
      <c r="U3785" s="3">
        <v>35</v>
      </c>
      <c r="W3785" s="45" t="str">
        <f>HYPERLINK("http://ictvonline.org/taxonomy/p/taxonomy-history?taxnode_id=201902335","ICTVonline=201902335")</f>
        <v>ICTVonline=201902335</v>
      </c>
      <c r="AA3785" s="1">
        <v>201900000</v>
      </c>
      <c r="AB3785" s="1">
        <v>35</v>
      </c>
    </row>
    <row r="3786" spans="1:28" x14ac:dyDescent="0.2">
      <c r="A3786" s="1">
        <v>9708</v>
      </c>
      <c r="B3786" s="1" t="s">
        <v>6839</v>
      </c>
      <c r="D3786" s="1" t="s">
        <v>11735</v>
      </c>
      <c r="F3786" s="1" t="s">
        <v>11930</v>
      </c>
      <c r="H3786" s="1" t="s">
        <v>11931</v>
      </c>
      <c r="J3786" s="1" t="s">
        <v>1161</v>
      </c>
      <c r="L3786" s="1" t="s">
        <v>1162</v>
      </c>
      <c r="M3786" s="1" t="s">
        <v>3611</v>
      </c>
      <c r="N3786" s="1" t="s">
        <v>6660</v>
      </c>
      <c r="P3786" s="1" t="s">
        <v>6661</v>
      </c>
      <c r="Q3786" s="3">
        <v>1</v>
      </c>
      <c r="R3786" s="23" t="s">
        <v>11933</v>
      </c>
      <c r="S3786" s="23" t="s">
        <v>5849</v>
      </c>
      <c r="T3786" s="23" t="s">
        <v>4866</v>
      </c>
      <c r="U3786" s="3">
        <v>35</v>
      </c>
      <c r="W3786" s="45" t="str">
        <f>HYPERLINK("http://ictvonline.org/taxonomy/p/taxonomy-history?taxnode_id=201906419","ICTVonline=201906419")</f>
        <v>ICTVonline=201906419</v>
      </c>
      <c r="X3786" s="1" t="s">
        <v>12523</v>
      </c>
      <c r="Y3786" s="1" t="s">
        <v>12524</v>
      </c>
      <c r="Z3786" s="1" t="s">
        <v>12525</v>
      </c>
      <c r="AA3786" s="1">
        <v>201900000</v>
      </c>
      <c r="AB3786" s="1">
        <v>35</v>
      </c>
    </row>
    <row r="3787" spans="1:28" x14ac:dyDescent="0.2">
      <c r="A3787" s="1">
        <v>9715</v>
      </c>
      <c r="B3787" s="1" t="s">
        <v>6839</v>
      </c>
      <c r="D3787" s="1" t="s">
        <v>11735</v>
      </c>
      <c r="F3787" s="1" t="s">
        <v>11930</v>
      </c>
      <c r="H3787" s="1" t="s">
        <v>11931</v>
      </c>
      <c r="J3787" s="1" t="s">
        <v>1161</v>
      </c>
      <c r="L3787" s="1" t="s">
        <v>5144</v>
      </c>
      <c r="N3787" s="1" t="s">
        <v>5145</v>
      </c>
      <c r="P3787" s="1" t="s">
        <v>5146</v>
      </c>
      <c r="Q3787" s="3">
        <v>0</v>
      </c>
      <c r="R3787" s="23" t="s">
        <v>11933</v>
      </c>
      <c r="S3787" s="23" t="s">
        <v>5849</v>
      </c>
      <c r="T3787" s="23" t="s">
        <v>4866</v>
      </c>
      <c r="U3787" s="3">
        <v>35</v>
      </c>
      <c r="W3787" s="45" t="str">
        <f>HYPERLINK("http://ictvonline.org/taxonomy/p/taxonomy-history?taxnode_id=201905645","ICTVonline=201905645")</f>
        <v>ICTVonline=201905645</v>
      </c>
      <c r="AA3787" s="1">
        <v>201900000</v>
      </c>
      <c r="AB3787" s="1">
        <v>35</v>
      </c>
    </row>
    <row r="3788" spans="1:28" x14ac:dyDescent="0.2">
      <c r="A3788" s="1">
        <v>9717</v>
      </c>
      <c r="B3788" s="1" t="s">
        <v>6839</v>
      </c>
      <c r="D3788" s="1" t="s">
        <v>11735</v>
      </c>
      <c r="F3788" s="1" t="s">
        <v>11930</v>
      </c>
      <c r="H3788" s="1" t="s">
        <v>11931</v>
      </c>
      <c r="J3788" s="1" t="s">
        <v>1161</v>
      </c>
      <c r="L3788" s="1" t="s">
        <v>5144</v>
      </c>
      <c r="N3788" s="1" t="s">
        <v>5145</v>
      </c>
      <c r="P3788" s="1" t="s">
        <v>5147</v>
      </c>
      <c r="Q3788" s="3">
        <v>1</v>
      </c>
      <c r="R3788" s="23" t="s">
        <v>11933</v>
      </c>
      <c r="S3788" s="23" t="s">
        <v>5849</v>
      </c>
      <c r="T3788" s="23" t="s">
        <v>4866</v>
      </c>
      <c r="U3788" s="3">
        <v>35</v>
      </c>
      <c r="W3788" s="45" t="str">
        <f>HYPERLINK("http://ictvonline.org/taxonomy/p/taxonomy-history?taxnode_id=201905646","ICTVonline=201905646")</f>
        <v>ICTVonline=201905646</v>
      </c>
      <c r="AA3788" s="1">
        <v>201900000</v>
      </c>
      <c r="AB3788" s="1">
        <v>35</v>
      </c>
    </row>
    <row r="3789" spans="1:28" x14ac:dyDescent="0.2">
      <c r="A3789" s="1">
        <v>9719</v>
      </c>
      <c r="B3789" s="1" t="s">
        <v>6839</v>
      </c>
      <c r="D3789" s="1" t="s">
        <v>11735</v>
      </c>
      <c r="F3789" s="1" t="s">
        <v>11930</v>
      </c>
      <c r="H3789" s="1" t="s">
        <v>11931</v>
      </c>
      <c r="J3789" s="1" t="s">
        <v>1161</v>
      </c>
      <c r="L3789" s="1" t="s">
        <v>5144</v>
      </c>
      <c r="N3789" s="1" t="s">
        <v>5145</v>
      </c>
      <c r="P3789" s="1" t="s">
        <v>5148</v>
      </c>
      <c r="Q3789" s="3">
        <v>0</v>
      </c>
      <c r="R3789" s="23" t="s">
        <v>11933</v>
      </c>
      <c r="S3789" s="23" t="s">
        <v>5849</v>
      </c>
      <c r="T3789" s="23" t="s">
        <v>4866</v>
      </c>
      <c r="U3789" s="3">
        <v>35</v>
      </c>
      <c r="W3789" s="45" t="str">
        <f>HYPERLINK("http://ictvonline.org/taxonomy/p/taxonomy-history?taxnode_id=201905647","ICTVonline=201905647")</f>
        <v>ICTVonline=201905647</v>
      </c>
      <c r="AA3789" s="1">
        <v>201900000</v>
      </c>
      <c r="AB3789" s="1">
        <v>35</v>
      </c>
    </row>
    <row r="3790" spans="1:28" x14ac:dyDescent="0.2">
      <c r="A3790" s="1">
        <v>9725</v>
      </c>
      <c r="B3790" s="1" t="s">
        <v>6839</v>
      </c>
      <c r="D3790" s="1" t="s">
        <v>11735</v>
      </c>
      <c r="F3790" s="1" t="s">
        <v>11930</v>
      </c>
      <c r="H3790" s="1" t="s">
        <v>11931</v>
      </c>
      <c r="J3790" s="1" t="s">
        <v>1161</v>
      </c>
      <c r="L3790" s="1" t="s">
        <v>1677</v>
      </c>
      <c r="N3790" s="1" t="s">
        <v>295</v>
      </c>
      <c r="P3790" s="1" t="s">
        <v>292</v>
      </c>
      <c r="Q3790" s="3">
        <v>1</v>
      </c>
      <c r="R3790" s="23" t="s">
        <v>11933</v>
      </c>
      <c r="S3790" s="23" t="s">
        <v>5849</v>
      </c>
      <c r="T3790" s="23" t="s">
        <v>4866</v>
      </c>
      <c r="U3790" s="3">
        <v>35</v>
      </c>
      <c r="W3790" s="45" t="str">
        <f>HYPERLINK("http://ictvonline.org/taxonomy/p/taxonomy-history?taxnode_id=201902340","ICTVonline=201902340")</f>
        <v>ICTVonline=201902340</v>
      </c>
      <c r="Y3790" s="1" t="s">
        <v>12526</v>
      </c>
      <c r="Z3790" s="1" t="s">
        <v>12295</v>
      </c>
      <c r="AA3790" s="1">
        <v>201900000</v>
      </c>
      <c r="AB3790" s="1">
        <v>35</v>
      </c>
    </row>
    <row r="3791" spans="1:28" x14ac:dyDescent="0.2">
      <c r="A3791" s="1">
        <v>9731</v>
      </c>
      <c r="B3791" s="1" t="s">
        <v>6839</v>
      </c>
      <c r="D3791" s="1" t="s">
        <v>11735</v>
      </c>
      <c r="F3791" s="1" t="s">
        <v>11930</v>
      </c>
      <c r="H3791" s="1" t="s">
        <v>11931</v>
      </c>
      <c r="J3791" s="1" t="s">
        <v>1161</v>
      </c>
      <c r="L3791" s="1" t="s">
        <v>1329</v>
      </c>
      <c r="N3791" s="1" t="s">
        <v>1330</v>
      </c>
      <c r="P3791" s="1" t="s">
        <v>1331</v>
      </c>
      <c r="Q3791" s="3">
        <v>1</v>
      </c>
      <c r="R3791" s="23" t="s">
        <v>11933</v>
      </c>
      <c r="S3791" s="23" t="s">
        <v>5849</v>
      </c>
      <c r="T3791" s="23" t="s">
        <v>4866</v>
      </c>
      <c r="U3791" s="3">
        <v>35</v>
      </c>
      <c r="W3791" s="45" t="str">
        <f>HYPERLINK("http://ictvonline.org/taxonomy/p/taxonomy-history?taxnode_id=201902344","ICTVonline=201902344")</f>
        <v>ICTVonline=201902344</v>
      </c>
      <c r="Y3791" s="1" t="s">
        <v>12527</v>
      </c>
      <c r="Z3791" s="1" t="s">
        <v>12528</v>
      </c>
      <c r="AA3791" s="1">
        <v>201900000</v>
      </c>
      <c r="AB3791" s="1">
        <v>35</v>
      </c>
    </row>
    <row r="3792" spans="1:28" x14ac:dyDescent="0.2">
      <c r="A3792" s="1">
        <v>9735</v>
      </c>
      <c r="B3792" s="1" t="s">
        <v>6839</v>
      </c>
      <c r="D3792" s="1" t="s">
        <v>11735</v>
      </c>
      <c r="F3792" s="1" t="s">
        <v>11930</v>
      </c>
      <c r="H3792" s="1" t="s">
        <v>11931</v>
      </c>
      <c r="J3792" s="1" t="s">
        <v>1161</v>
      </c>
      <c r="L3792" s="1" t="s">
        <v>1329</v>
      </c>
      <c r="N3792" s="1" t="s">
        <v>1332</v>
      </c>
      <c r="P3792" s="1" t="s">
        <v>1320</v>
      </c>
      <c r="Q3792" s="3">
        <v>0</v>
      </c>
      <c r="R3792" s="23" t="s">
        <v>11933</v>
      </c>
      <c r="S3792" s="23" t="s">
        <v>5849</v>
      </c>
      <c r="T3792" s="23" t="s">
        <v>4866</v>
      </c>
      <c r="U3792" s="3">
        <v>35</v>
      </c>
      <c r="W3792" s="45" t="str">
        <f>HYPERLINK("http://ictvonline.org/taxonomy/p/taxonomy-history?taxnode_id=201902346","ICTVonline=201902346")</f>
        <v>ICTVonline=201902346</v>
      </c>
      <c r="Y3792" s="1" t="s">
        <v>12529</v>
      </c>
      <c r="Z3792" s="1" t="s">
        <v>12530</v>
      </c>
      <c r="AA3792" s="1">
        <v>201900000</v>
      </c>
      <c r="AB3792" s="1">
        <v>35</v>
      </c>
    </row>
    <row r="3793" spans="1:28" x14ac:dyDescent="0.2">
      <c r="A3793" s="1">
        <v>9737</v>
      </c>
      <c r="B3793" s="1" t="s">
        <v>6839</v>
      </c>
      <c r="D3793" s="1" t="s">
        <v>11735</v>
      </c>
      <c r="F3793" s="1" t="s">
        <v>11930</v>
      </c>
      <c r="H3793" s="1" t="s">
        <v>11931</v>
      </c>
      <c r="J3793" s="1" t="s">
        <v>1161</v>
      </c>
      <c r="L3793" s="1" t="s">
        <v>1329</v>
      </c>
      <c r="N3793" s="1" t="s">
        <v>1332</v>
      </c>
      <c r="P3793" s="1" t="s">
        <v>14</v>
      </c>
      <c r="Q3793" s="3">
        <v>0</v>
      </c>
      <c r="R3793" s="23" t="s">
        <v>11933</v>
      </c>
      <c r="S3793" s="23" t="s">
        <v>5849</v>
      </c>
      <c r="T3793" s="23" t="s">
        <v>4866</v>
      </c>
      <c r="U3793" s="3">
        <v>35</v>
      </c>
      <c r="W3793" s="45" t="str">
        <f>HYPERLINK("http://ictvonline.org/taxonomy/p/taxonomy-history?taxnode_id=201902347","ICTVonline=201902347")</f>
        <v>ICTVonline=201902347</v>
      </c>
      <c r="Y3793" s="1" t="s">
        <v>12531</v>
      </c>
      <c r="Z3793" s="1" t="s">
        <v>11977</v>
      </c>
      <c r="AA3793" s="1">
        <v>201900000</v>
      </c>
      <c r="AB3793" s="1">
        <v>35</v>
      </c>
    </row>
    <row r="3794" spans="1:28" x14ac:dyDescent="0.2">
      <c r="A3794" s="1">
        <v>9739</v>
      </c>
      <c r="B3794" s="1" t="s">
        <v>6839</v>
      </c>
      <c r="D3794" s="1" t="s">
        <v>11735</v>
      </c>
      <c r="F3794" s="1" t="s">
        <v>11930</v>
      </c>
      <c r="H3794" s="1" t="s">
        <v>11931</v>
      </c>
      <c r="J3794" s="1" t="s">
        <v>1161</v>
      </c>
      <c r="L3794" s="1" t="s">
        <v>1329</v>
      </c>
      <c r="N3794" s="1" t="s">
        <v>1332</v>
      </c>
      <c r="P3794" s="1" t="s">
        <v>1321</v>
      </c>
      <c r="Q3794" s="3">
        <v>0</v>
      </c>
      <c r="R3794" s="23" t="s">
        <v>11933</v>
      </c>
      <c r="S3794" s="23" t="s">
        <v>5849</v>
      </c>
      <c r="T3794" s="23" t="s">
        <v>4866</v>
      </c>
      <c r="U3794" s="3">
        <v>35</v>
      </c>
      <c r="W3794" s="45" t="str">
        <f>HYPERLINK("http://ictvonline.org/taxonomy/p/taxonomy-history?taxnode_id=201902348","ICTVonline=201902348")</f>
        <v>ICTVonline=201902348</v>
      </c>
      <c r="Y3794" s="1" t="s">
        <v>12532</v>
      </c>
      <c r="Z3794" s="1" t="s">
        <v>12533</v>
      </c>
      <c r="AA3794" s="1">
        <v>201900000</v>
      </c>
      <c r="AB3794" s="1">
        <v>35</v>
      </c>
    </row>
    <row r="3795" spans="1:28" x14ac:dyDescent="0.2">
      <c r="A3795" s="1">
        <v>9741</v>
      </c>
      <c r="B3795" s="1" t="s">
        <v>6839</v>
      </c>
      <c r="D3795" s="1" t="s">
        <v>11735</v>
      </c>
      <c r="F3795" s="1" t="s">
        <v>11930</v>
      </c>
      <c r="H3795" s="1" t="s">
        <v>11931</v>
      </c>
      <c r="J3795" s="1" t="s">
        <v>1161</v>
      </c>
      <c r="L3795" s="1" t="s">
        <v>1329</v>
      </c>
      <c r="N3795" s="1" t="s">
        <v>1332</v>
      </c>
      <c r="P3795" s="1" t="s">
        <v>5149</v>
      </c>
      <c r="Q3795" s="3">
        <v>0</v>
      </c>
      <c r="R3795" s="23" t="s">
        <v>11933</v>
      </c>
      <c r="S3795" s="23" t="s">
        <v>5849</v>
      </c>
      <c r="T3795" s="23" t="s">
        <v>4866</v>
      </c>
      <c r="U3795" s="3">
        <v>35</v>
      </c>
      <c r="W3795" s="45" t="str">
        <f>HYPERLINK("http://ictvonline.org/taxonomy/p/taxonomy-history?taxnode_id=201905650","ICTVonline=201905650")</f>
        <v>ICTVonline=201905650</v>
      </c>
      <c r="AA3795" s="1">
        <v>201900000</v>
      </c>
      <c r="AB3795" s="1">
        <v>35</v>
      </c>
    </row>
    <row r="3796" spans="1:28" x14ac:dyDescent="0.2">
      <c r="A3796" s="1">
        <v>9743</v>
      </c>
      <c r="B3796" s="1" t="s">
        <v>6839</v>
      </c>
      <c r="D3796" s="1" t="s">
        <v>11735</v>
      </c>
      <c r="F3796" s="1" t="s">
        <v>11930</v>
      </c>
      <c r="H3796" s="1" t="s">
        <v>11931</v>
      </c>
      <c r="J3796" s="1" t="s">
        <v>1161</v>
      </c>
      <c r="L3796" s="1" t="s">
        <v>1329</v>
      </c>
      <c r="N3796" s="1" t="s">
        <v>1332</v>
      </c>
      <c r="P3796" s="1" t="s">
        <v>15</v>
      </c>
      <c r="Q3796" s="3">
        <v>0</v>
      </c>
      <c r="R3796" s="23" t="s">
        <v>11933</v>
      </c>
      <c r="S3796" s="23" t="s">
        <v>5849</v>
      </c>
      <c r="T3796" s="23" t="s">
        <v>4866</v>
      </c>
      <c r="U3796" s="3">
        <v>35</v>
      </c>
      <c r="W3796" s="45" t="str">
        <f>HYPERLINK("http://ictvonline.org/taxonomy/p/taxonomy-history?taxnode_id=201902349","ICTVonline=201902349")</f>
        <v>ICTVonline=201902349</v>
      </c>
      <c r="Y3796" s="1" t="s">
        <v>12534</v>
      </c>
      <c r="Z3796" s="1" t="s">
        <v>12535</v>
      </c>
      <c r="AA3796" s="1">
        <v>201900000</v>
      </c>
      <c r="AB3796" s="1">
        <v>35</v>
      </c>
    </row>
    <row r="3797" spans="1:28" x14ac:dyDescent="0.2">
      <c r="A3797" s="1">
        <v>9745</v>
      </c>
      <c r="B3797" s="1" t="s">
        <v>6839</v>
      </c>
      <c r="D3797" s="1" t="s">
        <v>11735</v>
      </c>
      <c r="F3797" s="1" t="s">
        <v>11930</v>
      </c>
      <c r="H3797" s="1" t="s">
        <v>11931</v>
      </c>
      <c r="J3797" s="1" t="s">
        <v>1161</v>
      </c>
      <c r="L3797" s="1" t="s">
        <v>1329</v>
      </c>
      <c r="N3797" s="1" t="s">
        <v>1332</v>
      </c>
      <c r="P3797" s="1" t="s">
        <v>1322</v>
      </c>
      <c r="Q3797" s="3">
        <v>1</v>
      </c>
      <c r="R3797" s="23" t="s">
        <v>11933</v>
      </c>
      <c r="S3797" s="23" t="s">
        <v>5849</v>
      </c>
      <c r="T3797" s="23" t="s">
        <v>4866</v>
      </c>
      <c r="U3797" s="3">
        <v>35</v>
      </c>
      <c r="W3797" s="45" t="str">
        <f>HYPERLINK("http://ictvonline.org/taxonomy/p/taxonomy-history?taxnode_id=201902350","ICTVonline=201902350")</f>
        <v>ICTVonline=201902350</v>
      </c>
      <c r="Y3797" s="1" t="s">
        <v>12536</v>
      </c>
      <c r="Z3797" s="1" t="s">
        <v>12537</v>
      </c>
      <c r="AA3797" s="1">
        <v>201900000</v>
      </c>
      <c r="AB3797" s="1">
        <v>35</v>
      </c>
    </row>
    <row r="3798" spans="1:28" x14ac:dyDescent="0.2">
      <c r="A3798" s="1">
        <v>9747</v>
      </c>
      <c r="B3798" s="1" t="s">
        <v>6839</v>
      </c>
      <c r="D3798" s="1" t="s">
        <v>11735</v>
      </c>
      <c r="F3798" s="1" t="s">
        <v>11930</v>
      </c>
      <c r="H3798" s="1" t="s">
        <v>11931</v>
      </c>
      <c r="J3798" s="1" t="s">
        <v>1161</v>
      </c>
      <c r="L3798" s="1" t="s">
        <v>1329</v>
      </c>
      <c r="N3798" s="1" t="s">
        <v>1332</v>
      </c>
      <c r="P3798" s="1" t="s">
        <v>4556</v>
      </c>
      <c r="Q3798" s="3">
        <v>0</v>
      </c>
      <c r="R3798" s="23" t="s">
        <v>11933</v>
      </c>
      <c r="S3798" s="23" t="s">
        <v>5849</v>
      </c>
      <c r="T3798" s="23" t="s">
        <v>4866</v>
      </c>
      <c r="U3798" s="3">
        <v>35</v>
      </c>
      <c r="W3798" s="45" t="str">
        <f>HYPERLINK("http://ictvonline.org/taxonomy/p/taxonomy-history?taxnode_id=201902351","ICTVonline=201902351")</f>
        <v>ICTVonline=201902351</v>
      </c>
      <c r="Y3798" s="1" t="s">
        <v>12538</v>
      </c>
      <c r="Z3798" s="1" t="s">
        <v>12539</v>
      </c>
      <c r="AA3798" s="1">
        <v>201900000</v>
      </c>
      <c r="AB3798" s="1">
        <v>35</v>
      </c>
    </row>
    <row r="3799" spans="1:28" x14ac:dyDescent="0.2">
      <c r="A3799" s="1">
        <v>9749</v>
      </c>
      <c r="B3799" s="1" t="s">
        <v>6839</v>
      </c>
      <c r="D3799" s="1" t="s">
        <v>11735</v>
      </c>
      <c r="F3799" s="1" t="s">
        <v>11930</v>
      </c>
      <c r="H3799" s="1" t="s">
        <v>11931</v>
      </c>
      <c r="J3799" s="1" t="s">
        <v>1161</v>
      </c>
      <c r="L3799" s="1" t="s">
        <v>1329</v>
      </c>
      <c r="N3799" s="1" t="s">
        <v>1332</v>
      </c>
      <c r="P3799" s="1" t="s">
        <v>1323</v>
      </c>
      <c r="Q3799" s="3">
        <v>0</v>
      </c>
      <c r="R3799" s="23" t="s">
        <v>11933</v>
      </c>
      <c r="S3799" s="23" t="s">
        <v>5849</v>
      </c>
      <c r="T3799" s="23" t="s">
        <v>4866</v>
      </c>
      <c r="U3799" s="3">
        <v>35</v>
      </c>
      <c r="W3799" s="45" t="str">
        <f>HYPERLINK("http://ictvonline.org/taxonomy/p/taxonomy-history?taxnode_id=201902352","ICTVonline=201902352")</f>
        <v>ICTVonline=201902352</v>
      </c>
      <c r="Y3799" s="1" t="s">
        <v>12540</v>
      </c>
      <c r="Z3799" s="1" t="s">
        <v>12206</v>
      </c>
      <c r="AA3799" s="1">
        <v>201900000</v>
      </c>
      <c r="AB3799" s="1">
        <v>35</v>
      </c>
    </row>
    <row r="3800" spans="1:28" x14ac:dyDescent="0.2">
      <c r="A3800" s="1">
        <v>9751</v>
      </c>
      <c r="B3800" s="1" t="s">
        <v>6839</v>
      </c>
      <c r="D3800" s="1" t="s">
        <v>11735</v>
      </c>
      <c r="F3800" s="1" t="s">
        <v>11930</v>
      </c>
      <c r="H3800" s="1" t="s">
        <v>11931</v>
      </c>
      <c r="J3800" s="1" t="s">
        <v>1161</v>
      </c>
      <c r="L3800" s="1" t="s">
        <v>1329</v>
      </c>
      <c r="N3800" s="1" t="s">
        <v>1332</v>
      </c>
      <c r="P3800" s="1" t="s">
        <v>16</v>
      </c>
      <c r="Q3800" s="3">
        <v>0</v>
      </c>
      <c r="R3800" s="23" t="s">
        <v>11933</v>
      </c>
      <c r="S3800" s="23" t="s">
        <v>5849</v>
      </c>
      <c r="T3800" s="23" t="s">
        <v>4866</v>
      </c>
      <c r="U3800" s="3">
        <v>35</v>
      </c>
      <c r="W3800" s="45" t="str">
        <f>HYPERLINK("http://ictvonline.org/taxonomy/p/taxonomy-history?taxnode_id=201902353","ICTVonline=201902353")</f>
        <v>ICTVonline=201902353</v>
      </c>
      <c r="Y3800" s="1" t="s">
        <v>12541</v>
      </c>
      <c r="Z3800" s="1" t="s">
        <v>12542</v>
      </c>
      <c r="AA3800" s="1">
        <v>201900000</v>
      </c>
      <c r="AB3800" s="1">
        <v>35</v>
      </c>
    </row>
    <row r="3801" spans="1:28" x14ac:dyDescent="0.2">
      <c r="A3801" s="1">
        <v>9753</v>
      </c>
      <c r="B3801" s="1" t="s">
        <v>6839</v>
      </c>
      <c r="D3801" s="1" t="s">
        <v>11735</v>
      </c>
      <c r="F3801" s="1" t="s">
        <v>11930</v>
      </c>
      <c r="H3801" s="1" t="s">
        <v>11931</v>
      </c>
      <c r="J3801" s="1" t="s">
        <v>1161</v>
      </c>
      <c r="L3801" s="1" t="s">
        <v>1329</v>
      </c>
      <c r="N3801" s="1" t="s">
        <v>1332</v>
      </c>
      <c r="P3801" s="1" t="s">
        <v>5150</v>
      </c>
      <c r="Q3801" s="3">
        <v>0</v>
      </c>
      <c r="R3801" s="23" t="s">
        <v>11933</v>
      </c>
      <c r="S3801" s="23" t="s">
        <v>5849</v>
      </c>
      <c r="T3801" s="23" t="s">
        <v>4866</v>
      </c>
      <c r="U3801" s="3">
        <v>35</v>
      </c>
      <c r="W3801" s="45" t="str">
        <f>HYPERLINK("http://ictvonline.org/taxonomy/p/taxonomy-history?taxnode_id=201905651","ICTVonline=201905651")</f>
        <v>ICTVonline=201905651</v>
      </c>
      <c r="AA3801" s="1">
        <v>201900000</v>
      </c>
      <c r="AB3801" s="1">
        <v>35</v>
      </c>
    </row>
    <row r="3802" spans="1:28" x14ac:dyDescent="0.2">
      <c r="A3802" s="1">
        <v>9757</v>
      </c>
      <c r="B3802" s="1" t="s">
        <v>6839</v>
      </c>
      <c r="D3802" s="1" t="s">
        <v>11735</v>
      </c>
      <c r="F3802" s="1" t="s">
        <v>11930</v>
      </c>
      <c r="H3802" s="1" t="s">
        <v>11931</v>
      </c>
      <c r="J3802" s="1" t="s">
        <v>1161</v>
      </c>
      <c r="L3802" s="1" t="s">
        <v>1329</v>
      </c>
      <c r="N3802" s="1" t="s">
        <v>1468</v>
      </c>
      <c r="P3802" s="1" t="s">
        <v>1469</v>
      </c>
      <c r="Q3802" s="3">
        <v>0</v>
      </c>
      <c r="R3802" s="23" t="s">
        <v>11933</v>
      </c>
      <c r="S3802" s="23" t="s">
        <v>5849</v>
      </c>
      <c r="T3802" s="23" t="s">
        <v>4866</v>
      </c>
      <c r="U3802" s="3">
        <v>35</v>
      </c>
      <c r="W3802" s="45" t="str">
        <f>HYPERLINK("http://ictvonline.org/taxonomy/p/taxonomy-history?taxnode_id=201902355","ICTVonline=201902355")</f>
        <v>ICTVonline=201902355</v>
      </c>
      <c r="Y3802" s="1" t="s">
        <v>12543</v>
      </c>
      <c r="Z3802" s="1" t="s">
        <v>12544</v>
      </c>
      <c r="AA3802" s="1">
        <v>201900000</v>
      </c>
      <c r="AB3802" s="1">
        <v>35</v>
      </c>
    </row>
    <row r="3803" spans="1:28" x14ac:dyDescent="0.2">
      <c r="A3803" s="1">
        <v>9759</v>
      </c>
      <c r="B3803" s="1" t="s">
        <v>6839</v>
      </c>
      <c r="D3803" s="1" t="s">
        <v>11735</v>
      </c>
      <c r="F3803" s="1" t="s">
        <v>11930</v>
      </c>
      <c r="H3803" s="1" t="s">
        <v>11931</v>
      </c>
      <c r="J3803" s="1" t="s">
        <v>1161</v>
      </c>
      <c r="L3803" s="1" t="s">
        <v>1329</v>
      </c>
      <c r="N3803" s="1" t="s">
        <v>1468</v>
      </c>
      <c r="P3803" s="1" t="s">
        <v>1470</v>
      </c>
      <c r="Q3803" s="3">
        <v>0</v>
      </c>
      <c r="R3803" s="23" t="s">
        <v>11933</v>
      </c>
      <c r="S3803" s="23" t="s">
        <v>5849</v>
      </c>
      <c r="T3803" s="23" t="s">
        <v>4866</v>
      </c>
      <c r="U3803" s="3">
        <v>35</v>
      </c>
      <c r="W3803" s="45" t="str">
        <f>HYPERLINK("http://ictvonline.org/taxonomy/p/taxonomy-history?taxnode_id=201902356","ICTVonline=201902356")</f>
        <v>ICTVonline=201902356</v>
      </c>
      <c r="AA3803" s="1">
        <v>201900000</v>
      </c>
      <c r="AB3803" s="1">
        <v>35</v>
      </c>
    </row>
    <row r="3804" spans="1:28" x14ac:dyDescent="0.2">
      <c r="A3804" s="1">
        <v>9761</v>
      </c>
      <c r="B3804" s="1" t="s">
        <v>6839</v>
      </c>
      <c r="D3804" s="1" t="s">
        <v>11735</v>
      </c>
      <c r="F3804" s="1" t="s">
        <v>11930</v>
      </c>
      <c r="H3804" s="1" t="s">
        <v>11931</v>
      </c>
      <c r="J3804" s="1" t="s">
        <v>1161</v>
      </c>
      <c r="L3804" s="1" t="s">
        <v>1329</v>
      </c>
      <c r="N3804" s="1" t="s">
        <v>1468</v>
      </c>
      <c r="P3804" s="1" t="s">
        <v>2314</v>
      </c>
      <c r="Q3804" s="3">
        <v>0</v>
      </c>
      <c r="R3804" s="23" t="s">
        <v>11933</v>
      </c>
      <c r="S3804" s="23" t="s">
        <v>5849</v>
      </c>
      <c r="T3804" s="23" t="s">
        <v>4866</v>
      </c>
      <c r="U3804" s="3">
        <v>35</v>
      </c>
      <c r="W3804" s="45" t="str">
        <f>HYPERLINK("http://ictvonline.org/taxonomy/p/taxonomy-history?taxnode_id=201902357","ICTVonline=201902357")</f>
        <v>ICTVonline=201902357</v>
      </c>
      <c r="AA3804" s="1">
        <v>201900000</v>
      </c>
      <c r="AB3804" s="1">
        <v>35</v>
      </c>
    </row>
    <row r="3805" spans="1:28" x14ac:dyDescent="0.2">
      <c r="A3805" s="1">
        <v>9763</v>
      </c>
      <c r="B3805" s="1" t="s">
        <v>6839</v>
      </c>
      <c r="D3805" s="1" t="s">
        <v>11735</v>
      </c>
      <c r="F3805" s="1" t="s">
        <v>11930</v>
      </c>
      <c r="H3805" s="1" t="s">
        <v>11931</v>
      </c>
      <c r="J3805" s="1" t="s">
        <v>1161</v>
      </c>
      <c r="L3805" s="1" t="s">
        <v>1329</v>
      </c>
      <c r="N3805" s="1" t="s">
        <v>1468</v>
      </c>
      <c r="P3805" s="1" t="s">
        <v>1471</v>
      </c>
      <c r="Q3805" s="3">
        <v>0</v>
      </c>
      <c r="R3805" s="23" t="s">
        <v>11933</v>
      </c>
      <c r="S3805" s="23" t="s">
        <v>5849</v>
      </c>
      <c r="T3805" s="23" t="s">
        <v>4866</v>
      </c>
      <c r="U3805" s="3">
        <v>35</v>
      </c>
      <c r="W3805" s="45" t="str">
        <f>HYPERLINK("http://ictvonline.org/taxonomy/p/taxonomy-history?taxnode_id=201902358","ICTVonline=201902358")</f>
        <v>ICTVonline=201902358</v>
      </c>
      <c r="AA3805" s="1">
        <v>201900000</v>
      </c>
      <c r="AB3805" s="1">
        <v>35</v>
      </c>
    </row>
    <row r="3806" spans="1:28" x14ac:dyDescent="0.2">
      <c r="A3806" s="1">
        <v>9765</v>
      </c>
      <c r="B3806" s="1" t="s">
        <v>6839</v>
      </c>
      <c r="D3806" s="1" t="s">
        <v>11735</v>
      </c>
      <c r="F3806" s="1" t="s">
        <v>11930</v>
      </c>
      <c r="H3806" s="1" t="s">
        <v>11931</v>
      </c>
      <c r="J3806" s="1" t="s">
        <v>1161</v>
      </c>
      <c r="L3806" s="1" t="s">
        <v>1329</v>
      </c>
      <c r="N3806" s="1" t="s">
        <v>1468</v>
      </c>
      <c r="P3806" s="1" t="s">
        <v>1472</v>
      </c>
      <c r="Q3806" s="3">
        <v>0</v>
      </c>
      <c r="R3806" s="23" t="s">
        <v>11933</v>
      </c>
      <c r="S3806" s="23" t="s">
        <v>5849</v>
      </c>
      <c r="T3806" s="23" t="s">
        <v>4866</v>
      </c>
      <c r="U3806" s="3">
        <v>35</v>
      </c>
      <c r="W3806" s="45" t="str">
        <f>HYPERLINK("http://ictvonline.org/taxonomy/p/taxonomy-history?taxnode_id=201902359","ICTVonline=201902359")</f>
        <v>ICTVonline=201902359</v>
      </c>
      <c r="Y3806" s="1" t="s">
        <v>12545</v>
      </c>
      <c r="Z3806" s="1" t="s">
        <v>12546</v>
      </c>
      <c r="AA3806" s="1">
        <v>201900000</v>
      </c>
      <c r="AB3806" s="1">
        <v>35</v>
      </c>
    </row>
    <row r="3807" spans="1:28" x14ac:dyDescent="0.2">
      <c r="A3807" s="1">
        <v>9767</v>
      </c>
      <c r="B3807" s="1" t="s">
        <v>6839</v>
      </c>
      <c r="D3807" s="1" t="s">
        <v>11735</v>
      </c>
      <c r="F3807" s="1" t="s">
        <v>11930</v>
      </c>
      <c r="H3807" s="1" t="s">
        <v>11931</v>
      </c>
      <c r="J3807" s="1" t="s">
        <v>1161</v>
      </c>
      <c r="L3807" s="1" t="s">
        <v>1329</v>
      </c>
      <c r="N3807" s="1" t="s">
        <v>1468</v>
      </c>
      <c r="P3807" s="1" t="s">
        <v>1473</v>
      </c>
      <c r="Q3807" s="3">
        <v>0</v>
      </c>
      <c r="R3807" s="23" t="s">
        <v>11933</v>
      </c>
      <c r="S3807" s="23" t="s">
        <v>5849</v>
      </c>
      <c r="T3807" s="23" t="s">
        <v>4866</v>
      </c>
      <c r="U3807" s="3">
        <v>35</v>
      </c>
      <c r="W3807" s="45" t="str">
        <f>HYPERLINK("http://ictvonline.org/taxonomy/p/taxonomy-history?taxnode_id=201902360","ICTVonline=201902360")</f>
        <v>ICTVonline=201902360</v>
      </c>
      <c r="Y3807" s="1" t="s">
        <v>12547</v>
      </c>
      <c r="Z3807" s="1">
        <v>20.5</v>
      </c>
      <c r="AA3807" s="1">
        <v>201900000</v>
      </c>
      <c r="AB3807" s="1">
        <v>35</v>
      </c>
    </row>
    <row r="3808" spans="1:28" x14ac:dyDescent="0.2">
      <c r="A3808" s="1">
        <v>9769</v>
      </c>
      <c r="B3808" s="1" t="s">
        <v>6839</v>
      </c>
      <c r="D3808" s="1" t="s">
        <v>11735</v>
      </c>
      <c r="F3808" s="1" t="s">
        <v>11930</v>
      </c>
      <c r="H3808" s="1" t="s">
        <v>11931</v>
      </c>
      <c r="J3808" s="1" t="s">
        <v>1161</v>
      </c>
      <c r="L3808" s="1" t="s">
        <v>1329</v>
      </c>
      <c r="N3808" s="1" t="s">
        <v>1468</v>
      </c>
      <c r="P3808" s="1" t="s">
        <v>1474</v>
      </c>
      <c r="Q3808" s="3">
        <v>0</v>
      </c>
      <c r="R3808" s="23" t="s">
        <v>11933</v>
      </c>
      <c r="S3808" s="23" t="s">
        <v>5849</v>
      </c>
      <c r="T3808" s="23" t="s">
        <v>4866</v>
      </c>
      <c r="U3808" s="3">
        <v>35</v>
      </c>
      <c r="W3808" s="45" t="str">
        <f>HYPERLINK("http://ictvonline.org/taxonomy/p/taxonomy-history?taxnode_id=201902361","ICTVonline=201902361")</f>
        <v>ICTVonline=201902361</v>
      </c>
      <c r="AA3808" s="1">
        <v>201900000</v>
      </c>
      <c r="AB3808" s="1">
        <v>35</v>
      </c>
    </row>
    <row r="3809" spans="1:28" x14ac:dyDescent="0.2">
      <c r="A3809" s="1">
        <v>9771</v>
      </c>
      <c r="B3809" s="1" t="s">
        <v>6839</v>
      </c>
      <c r="D3809" s="1" t="s">
        <v>11735</v>
      </c>
      <c r="F3809" s="1" t="s">
        <v>11930</v>
      </c>
      <c r="H3809" s="1" t="s">
        <v>11931</v>
      </c>
      <c r="J3809" s="1" t="s">
        <v>1161</v>
      </c>
      <c r="L3809" s="1" t="s">
        <v>1329</v>
      </c>
      <c r="N3809" s="1" t="s">
        <v>1468</v>
      </c>
      <c r="P3809" s="1" t="s">
        <v>17</v>
      </c>
      <c r="Q3809" s="3">
        <v>0</v>
      </c>
      <c r="R3809" s="23" t="s">
        <v>11933</v>
      </c>
      <c r="S3809" s="23" t="s">
        <v>5849</v>
      </c>
      <c r="T3809" s="23" t="s">
        <v>4866</v>
      </c>
      <c r="U3809" s="3">
        <v>35</v>
      </c>
      <c r="W3809" s="45" t="str">
        <f>HYPERLINK("http://ictvonline.org/taxonomy/p/taxonomy-history?taxnode_id=201902362","ICTVonline=201902362")</f>
        <v>ICTVonline=201902362</v>
      </c>
      <c r="AA3809" s="1">
        <v>201900000</v>
      </c>
      <c r="AB3809" s="1">
        <v>35</v>
      </c>
    </row>
    <row r="3810" spans="1:28" x14ac:dyDescent="0.2">
      <c r="A3810" s="1">
        <v>9773</v>
      </c>
      <c r="B3810" s="1" t="s">
        <v>6839</v>
      </c>
      <c r="D3810" s="1" t="s">
        <v>11735</v>
      </c>
      <c r="F3810" s="1" t="s">
        <v>11930</v>
      </c>
      <c r="H3810" s="1" t="s">
        <v>11931</v>
      </c>
      <c r="J3810" s="1" t="s">
        <v>1161</v>
      </c>
      <c r="L3810" s="1" t="s">
        <v>1329</v>
      </c>
      <c r="N3810" s="1" t="s">
        <v>1468</v>
      </c>
      <c r="P3810" s="1" t="s">
        <v>1475</v>
      </c>
      <c r="Q3810" s="3">
        <v>0</v>
      </c>
      <c r="R3810" s="23" t="s">
        <v>11933</v>
      </c>
      <c r="S3810" s="23" t="s">
        <v>5849</v>
      </c>
      <c r="T3810" s="23" t="s">
        <v>4866</v>
      </c>
      <c r="U3810" s="3">
        <v>35</v>
      </c>
      <c r="W3810" s="45" t="str">
        <f>HYPERLINK("http://ictvonline.org/taxonomy/p/taxonomy-history?taxnode_id=201902363","ICTVonline=201902363")</f>
        <v>ICTVonline=201902363</v>
      </c>
      <c r="Y3810" s="1" t="s">
        <v>12548</v>
      </c>
      <c r="Z3810" s="1" t="s">
        <v>12549</v>
      </c>
      <c r="AA3810" s="1">
        <v>201900000</v>
      </c>
      <c r="AB3810" s="1">
        <v>35</v>
      </c>
    </row>
    <row r="3811" spans="1:28" x14ac:dyDescent="0.2">
      <c r="A3811" s="1">
        <v>9775</v>
      </c>
      <c r="B3811" s="1" t="s">
        <v>6839</v>
      </c>
      <c r="D3811" s="1" t="s">
        <v>11735</v>
      </c>
      <c r="F3811" s="1" t="s">
        <v>11930</v>
      </c>
      <c r="H3811" s="1" t="s">
        <v>11931</v>
      </c>
      <c r="J3811" s="1" t="s">
        <v>1161</v>
      </c>
      <c r="L3811" s="1" t="s">
        <v>1329</v>
      </c>
      <c r="N3811" s="1" t="s">
        <v>1468</v>
      </c>
      <c r="P3811" s="1" t="s">
        <v>1446</v>
      </c>
      <c r="Q3811" s="3">
        <v>0</v>
      </c>
      <c r="R3811" s="23" t="s">
        <v>11933</v>
      </c>
      <c r="S3811" s="23" t="s">
        <v>5849</v>
      </c>
      <c r="T3811" s="23" t="s">
        <v>4866</v>
      </c>
      <c r="U3811" s="3">
        <v>35</v>
      </c>
      <c r="W3811" s="45" t="str">
        <f>HYPERLINK("http://ictvonline.org/taxonomy/p/taxonomy-history?taxnode_id=201902364","ICTVonline=201902364")</f>
        <v>ICTVonline=201902364</v>
      </c>
      <c r="Y3811" s="1" t="s">
        <v>12550</v>
      </c>
      <c r="Z3811" s="1" t="s">
        <v>12551</v>
      </c>
      <c r="AA3811" s="1">
        <v>201900000</v>
      </c>
      <c r="AB3811" s="1">
        <v>35</v>
      </c>
    </row>
    <row r="3812" spans="1:28" x14ac:dyDescent="0.2">
      <c r="A3812" s="1">
        <v>9777</v>
      </c>
      <c r="B3812" s="1" t="s">
        <v>6839</v>
      </c>
      <c r="D3812" s="1" t="s">
        <v>11735</v>
      </c>
      <c r="F3812" s="1" t="s">
        <v>11930</v>
      </c>
      <c r="H3812" s="1" t="s">
        <v>11931</v>
      </c>
      <c r="J3812" s="1" t="s">
        <v>1161</v>
      </c>
      <c r="L3812" s="1" t="s">
        <v>1329</v>
      </c>
      <c r="N3812" s="1" t="s">
        <v>1468</v>
      </c>
      <c r="P3812" s="1" t="s">
        <v>1447</v>
      </c>
      <c r="Q3812" s="3">
        <v>0</v>
      </c>
      <c r="R3812" s="23" t="s">
        <v>11933</v>
      </c>
      <c r="S3812" s="23" t="s">
        <v>5849</v>
      </c>
      <c r="T3812" s="23" t="s">
        <v>4866</v>
      </c>
      <c r="U3812" s="3">
        <v>35</v>
      </c>
      <c r="W3812" s="45" t="str">
        <f>HYPERLINK("http://ictvonline.org/taxonomy/p/taxonomy-history?taxnode_id=201902365","ICTVonline=201902365")</f>
        <v>ICTVonline=201902365</v>
      </c>
      <c r="Y3812" s="1" t="s">
        <v>12552</v>
      </c>
      <c r="Z3812" s="1" t="s">
        <v>12553</v>
      </c>
      <c r="AA3812" s="1">
        <v>201900000</v>
      </c>
      <c r="AB3812" s="1">
        <v>35</v>
      </c>
    </row>
    <row r="3813" spans="1:28" x14ac:dyDescent="0.2">
      <c r="A3813" s="1">
        <v>9779</v>
      </c>
      <c r="B3813" s="1" t="s">
        <v>6839</v>
      </c>
      <c r="D3813" s="1" t="s">
        <v>11735</v>
      </c>
      <c r="F3813" s="1" t="s">
        <v>11930</v>
      </c>
      <c r="H3813" s="1" t="s">
        <v>11931</v>
      </c>
      <c r="J3813" s="1" t="s">
        <v>1161</v>
      </c>
      <c r="L3813" s="1" t="s">
        <v>1329</v>
      </c>
      <c r="N3813" s="1" t="s">
        <v>1468</v>
      </c>
      <c r="P3813" s="1" t="s">
        <v>1448</v>
      </c>
      <c r="Q3813" s="3">
        <v>0</v>
      </c>
      <c r="R3813" s="23" t="s">
        <v>11933</v>
      </c>
      <c r="S3813" s="23" t="s">
        <v>5849</v>
      </c>
      <c r="T3813" s="23" t="s">
        <v>4866</v>
      </c>
      <c r="U3813" s="3">
        <v>35</v>
      </c>
      <c r="W3813" s="45" t="str">
        <f>HYPERLINK("http://ictvonline.org/taxonomy/p/taxonomy-history?taxnode_id=201902366","ICTVonline=201902366")</f>
        <v>ICTVonline=201902366</v>
      </c>
      <c r="Y3813" s="1" t="s">
        <v>12554</v>
      </c>
      <c r="Z3813" s="1" t="s">
        <v>12555</v>
      </c>
      <c r="AA3813" s="1">
        <v>201900000</v>
      </c>
      <c r="AB3813" s="1">
        <v>35</v>
      </c>
    </row>
    <row r="3814" spans="1:28" x14ac:dyDescent="0.2">
      <c r="A3814" s="1">
        <v>9781</v>
      </c>
      <c r="B3814" s="1" t="s">
        <v>6839</v>
      </c>
      <c r="D3814" s="1" t="s">
        <v>11735</v>
      </c>
      <c r="F3814" s="1" t="s">
        <v>11930</v>
      </c>
      <c r="H3814" s="1" t="s">
        <v>11931</v>
      </c>
      <c r="J3814" s="1" t="s">
        <v>1161</v>
      </c>
      <c r="L3814" s="1" t="s">
        <v>1329</v>
      </c>
      <c r="N3814" s="1" t="s">
        <v>1468</v>
      </c>
      <c r="P3814" s="1" t="s">
        <v>1449</v>
      </c>
      <c r="Q3814" s="3">
        <v>0</v>
      </c>
      <c r="R3814" s="23" t="s">
        <v>11933</v>
      </c>
      <c r="S3814" s="23" t="s">
        <v>5849</v>
      </c>
      <c r="T3814" s="23" t="s">
        <v>4866</v>
      </c>
      <c r="U3814" s="3">
        <v>35</v>
      </c>
      <c r="W3814" s="45" t="str">
        <f>HYPERLINK("http://ictvonline.org/taxonomy/p/taxonomy-history?taxnode_id=201902367","ICTVonline=201902367")</f>
        <v>ICTVonline=201902367</v>
      </c>
      <c r="AA3814" s="1">
        <v>201900000</v>
      </c>
      <c r="AB3814" s="1">
        <v>35</v>
      </c>
    </row>
    <row r="3815" spans="1:28" x14ac:dyDescent="0.2">
      <c r="A3815" s="1">
        <v>9783</v>
      </c>
      <c r="B3815" s="1" t="s">
        <v>6839</v>
      </c>
      <c r="D3815" s="1" t="s">
        <v>11735</v>
      </c>
      <c r="F3815" s="1" t="s">
        <v>11930</v>
      </c>
      <c r="H3815" s="1" t="s">
        <v>11931</v>
      </c>
      <c r="J3815" s="1" t="s">
        <v>1161</v>
      </c>
      <c r="L3815" s="1" t="s">
        <v>1329</v>
      </c>
      <c r="N3815" s="1" t="s">
        <v>1468</v>
      </c>
      <c r="P3815" s="1" t="s">
        <v>360</v>
      </c>
      <c r="Q3815" s="3">
        <v>0</v>
      </c>
      <c r="R3815" s="23" t="s">
        <v>11933</v>
      </c>
      <c r="S3815" s="23" t="s">
        <v>5849</v>
      </c>
      <c r="T3815" s="23" t="s">
        <v>4866</v>
      </c>
      <c r="U3815" s="3">
        <v>35</v>
      </c>
      <c r="W3815" s="45" t="str">
        <f>HYPERLINK("http://ictvonline.org/taxonomy/p/taxonomy-history?taxnode_id=201902368","ICTVonline=201902368")</f>
        <v>ICTVonline=201902368</v>
      </c>
      <c r="Y3815" s="1" t="s">
        <v>12556</v>
      </c>
      <c r="Z3815" s="1" t="s">
        <v>12557</v>
      </c>
      <c r="AA3815" s="1">
        <v>201900000</v>
      </c>
      <c r="AB3815" s="1">
        <v>35</v>
      </c>
    </row>
    <row r="3816" spans="1:28" x14ac:dyDescent="0.2">
      <c r="A3816" s="1">
        <v>9785</v>
      </c>
      <c r="B3816" s="1" t="s">
        <v>6839</v>
      </c>
      <c r="D3816" s="1" t="s">
        <v>11735</v>
      </c>
      <c r="F3816" s="1" t="s">
        <v>11930</v>
      </c>
      <c r="H3816" s="1" t="s">
        <v>11931</v>
      </c>
      <c r="J3816" s="1" t="s">
        <v>1161</v>
      </c>
      <c r="L3816" s="1" t="s">
        <v>1329</v>
      </c>
      <c r="N3816" s="1" t="s">
        <v>1468</v>
      </c>
      <c r="P3816" s="1" t="s">
        <v>361</v>
      </c>
      <c r="Q3816" s="3">
        <v>0</v>
      </c>
      <c r="R3816" s="23" t="s">
        <v>11933</v>
      </c>
      <c r="S3816" s="23" t="s">
        <v>5849</v>
      </c>
      <c r="T3816" s="23" t="s">
        <v>4866</v>
      </c>
      <c r="U3816" s="3">
        <v>35</v>
      </c>
      <c r="W3816" s="45" t="str">
        <f>HYPERLINK("http://ictvonline.org/taxonomy/p/taxonomy-history?taxnode_id=201902369","ICTVonline=201902369")</f>
        <v>ICTVonline=201902369</v>
      </c>
      <c r="Y3816" s="1" t="s">
        <v>12558</v>
      </c>
      <c r="Z3816" s="1" t="s">
        <v>12559</v>
      </c>
      <c r="AA3816" s="1">
        <v>201900000</v>
      </c>
      <c r="AB3816" s="1">
        <v>35</v>
      </c>
    </row>
    <row r="3817" spans="1:28" x14ac:dyDescent="0.2">
      <c r="A3817" s="1">
        <v>9787</v>
      </c>
      <c r="B3817" s="1" t="s">
        <v>6839</v>
      </c>
      <c r="D3817" s="1" t="s">
        <v>11735</v>
      </c>
      <c r="F3817" s="1" t="s">
        <v>11930</v>
      </c>
      <c r="H3817" s="1" t="s">
        <v>11931</v>
      </c>
      <c r="J3817" s="1" t="s">
        <v>1161</v>
      </c>
      <c r="L3817" s="1" t="s">
        <v>1329</v>
      </c>
      <c r="N3817" s="1" t="s">
        <v>1468</v>
      </c>
      <c r="P3817" s="1" t="s">
        <v>362</v>
      </c>
      <c r="Q3817" s="3">
        <v>0</v>
      </c>
      <c r="R3817" s="23" t="s">
        <v>11933</v>
      </c>
      <c r="S3817" s="23" t="s">
        <v>5849</v>
      </c>
      <c r="T3817" s="23" t="s">
        <v>4866</v>
      </c>
      <c r="U3817" s="3">
        <v>35</v>
      </c>
      <c r="W3817" s="45" t="str">
        <f>HYPERLINK("http://ictvonline.org/taxonomy/p/taxonomy-history?taxnode_id=201902370","ICTVonline=201902370")</f>
        <v>ICTVonline=201902370</v>
      </c>
      <c r="Y3817" s="1" t="s">
        <v>12560</v>
      </c>
      <c r="Z3817" s="1" t="s">
        <v>12561</v>
      </c>
      <c r="AA3817" s="1">
        <v>201900000</v>
      </c>
      <c r="AB3817" s="1">
        <v>35</v>
      </c>
    </row>
    <row r="3818" spans="1:28" x14ac:dyDescent="0.2">
      <c r="A3818" s="1">
        <v>9789</v>
      </c>
      <c r="B3818" s="1" t="s">
        <v>6839</v>
      </c>
      <c r="D3818" s="1" t="s">
        <v>11735</v>
      </c>
      <c r="F3818" s="1" t="s">
        <v>11930</v>
      </c>
      <c r="H3818" s="1" t="s">
        <v>11931</v>
      </c>
      <c r="J3818" s="1" t="s">
        <v>1161</v>
      </c>
      <c r="L3818" s="1" t="s">
        <v>1329</v>
      </c>
      <c r="N3818" s="1" t="s">
        <v>1468</v>
      </c>
      <c r="P3818" s="1" t="s">
        <v>1453</v>
      </c>
      <c r="Q3818" s="3">
        <v>0</v>
      </c>
      <c r="R3818" s="23" t="s">
        <v>11933</v>
      </c>
      <c r="S3818" s="23" t="s">
        <v>5849</v>
      </c>
      <c r="T3818" s="23" t="s">
        <v>4866</v>
      </c>
      <c r="U3818" s="3">
        <v>35</v>
      </c>
      <c r="W3818" s="45" t="str">
        <f>HYPERLINK("http://ictvonline.org/taxonomy/p/taxonomy-history?taxnode_id=201902371","ICTVonline=201902371")</f>
        <v>ICTVonline=201902371</v>
      </c>
      <c r="AA3818" s="1">
        <v>201900000</v>
      </c>
      <c r="AB3818" s="1">
        <v>35</v>
      </c>
    </row>
    <row r="3819" spans="1:28" x14ac:dyDescent="0.2">
      <c r="A3819" s="1">
        <v>9791</v>
      </c>
      <c r="B3819" s="1" t="s">
        <v>6839</v>
      </c>
      <c r="D3819" s="1" t="s">
        <v>11735</v>
      </c>
      <c r="F3819" s="1" t="s">
        <v>11930</v>
      </c>
      <c r="H3819" s="1" t="s">
        <v>11931</v>
      </c>
      <c r="J3819" s="1" t="s">
        <v>1161</v>
      </c>
      <c r="L3819" s="1" t="s">
        <v>1329</v>
      </c>
      <c r="N3819" s="1" t="s">
        <v>1468</v>
      </c>
      <c r="P3819" s="1" t="s">
        <v>1454</v>
      </c>
      <c r="Q3819" s="3">
        <v>0</v>
      </c>
      <c r="R3819" s="23" t="s">
        <v>11933</v>
      </c>
      <c r="S3819" s="23" t="s">
        <v>5849</v>
      </c>
      <c r="T3819" s="23" t="s">
        <v>4866</v>
      </c>
      <c r="U3819" s="3">
        <v>35</v>
      </c>
      <c r="W3819" s="45" t="str">
        <f>HYPERLINK("http://ictvonline.org/taxonomy/p/taxonomy-history?taxnode_id=201902372","ICTVonline=201902372")</f>
        <v>ICTVonline=201902372</v>
      </c>
      <c r="AA3819" s="1">
        <v>201900000</v>
      </c>
      <c r="AB3819" s="1">
        <v>35</v>
      </c>
    </row>
    <row r="3820" spans="1:28" x14ac:dyDescent="0.2">
      <c r="A3820" s="1">
        <v>9793</v>
      </c>
      <c r="B3820" s="1" t="s">
        <v>6839</v>
      </c>
      <c r="D3820" s="1" t="s">
        <v>11735</v>
      </c>
      <c r="F3820" s="1" t="s">
        <v>11930</v>
      </c>
      <c r="H3820" s="1" t="s">
        <v>11931</v>
      </c>
      <c r="J3820" s="1" t="s">
        <v>1161</v>
      </c>
      <c r="L3820" s="1" t="s">
        <v>1329</v>
      </c>
      <c r="N3820" s="1" t="s">
        <v>1468</v>
      </c>
      <c r="P3820" s="1" t="s">
        <v>364</v>
      </c>
      <c r="Q3820" s="3">
        <v>0</v>
      </c>
      <c r="R3820" s="23" t="s">
        <v>11933</v>
      </c>
      <c r="S3820" s="23" t="s">
        <v>5849</v>
      </c>
      <c r="T3820" s="23" t="s">
        <v>4866</v>
      </c>
      <c r="U3820" s="3">
        <v>35</v>
      </c>
      <c r="W3820" s="45" t="str">
        <f>HYPERLINK("http://ictvonline.org/taxonomy/p/taxonomy-history?taxnode_id=201902373","ICTVonline=201902373")</f>
        <v>ICTVonline=201902373</v>
      </c>
      <c r="AA3820" s="1">
        <v>201900000</v>
      </c>
      <c r="AB3820" s="1">
        <v>35</v>
      </c>
    </row>
    <row r="3821" spans="1:28" x14ac:dyDescent="0.2">
      <c r="A3821" s="1">
        <v>9795</v>
      </c>
      <c r="B3821" s="1" t="s">
        <v>6839</v>
      </c>
      <c r="D3821" s="1" t="s">
        <v>11735</v>
      </c>
      <c r="F3821" s="1" t="s">
        <v>11930</v>
      </c>
      <c r="H3821" s="1" t="s">
        <v>11931</v>
      </c>
      <c r="J3821" s="1" t="s">
        <v>1161</v>
      </c>
      <c r="L3821" s="1" t="s">
        <v>1329</v>
      </c>
      <c r="N3821" s="1" t="s">
        <v>1468</v>
      </c>
      <c r="P3821" s="1" t="s">
        <v>365</v>
      </c>
      <c r="Q3821" s="3">
        <v>0</v>
      </c>
      <c r="R3821" s="23" t="s">
        <v>11933</v>
      </c>
      <c r="S3821" s="23" t="s">
        <v>5849</v>
      </c>
      <c r="T3821" s="23" t="s">
        <v>4866</v>
      </c>
      <c r="U3821" s="3">
        <v>35</v>
      </c>
      <c r="W3821" s="45" t="str">
        <f>HYPERLINK("http://ictvonline.org/taxonomy/p/taxonomy-history?taxnode_id=201902374","ICTVonline=201902374")</f>
        <v>ICTVonline=201902374</v>
      </c>
      <c r="Y3821" s="1" t="s">
        <v>12562</v>
      </c>
      <c r="Z3821" s="1" t="s">
        <v>12563</v>
      </c>
      <c r="AA3821" s="1">
        <v>201900000</v>
      </c>
      <c r="AB3821" s="1">
        <v>35</v>
      </c>
    </row>
    <row r="3822" spans="1:28" x14ac:dyDescent="0.2">
      <c r="A3822" s="1">
        <v>9797</v>
      </c>
      <c r="B3822" s="1" t="s">
        <v>6839</v>
      </c>
      <c r="D3822" s="1" t="s">
        <v>11735</v>
      </c>
      <c r="F3822" s="1" t="s">
        <v>11930</v>
      </c>
      <c r="H3822" s="1" t="s">
        <v>11931</v>
      </c>
      <c r="J3822" s="1" t="s">
        <v>1161</v>
      </c>
      <c r="L3822" s="1" t="s">
        <v>1329</v>
      </c>
      <c r="N3822" s="1" t="s">
        <v>1468</v>
      </c>
      <c r="P3822" s="1" t="s">
        <v>366</v>
      </c>
      <c r="Q3822" s="3">
        <v>0</v>
      </c>
      <c r="R3822" s="23" t="s">
        <v>11933</v>
      </c>
      <c r="S3822" s="23" t="s">
        <v>5849</v>
      </c>
      <c r="T3822" s="23" t="s">
        <v>4866</v>
      </c>
      <c r="U3822" s="3">
        <v>35</v>
      </c>
      <c r="W3822" s="45" t="str">
        <f>HYPERLINK("http://ictvonline.org/taxonomy/p/taxonomy-history?taxnode_id=201902375","ICTVonline=201902375")</f>
        <v>ICTVonline=201902375</v>
      </c>
      <c r="Y3822" s="1" t="s">
        <v>12564</v>
      </c>
      <c r="Z3822" s="1" t="s">
        <v>12206</v>
      </c>
      <c r="AA3822" s="1">
        <v>201900000</v>
      </c>
      <c r="AB3822" s="1">
        <v>35</v>
      </c>
    </row>
    <row r="3823" spans="1:28" x14ac:dyDescent="0.2">
      <c r="A3823" s="1">
        <v>9799</v>
      </c>
      <c r="B3823" s="1" t="s">
        <v>6839</v>
      </c>
      <c r="D3823" s="1" t="s">
        <v>11735</v>
      </c>
      <c r="F3823" s="1" t="s">
        <v>11930</v>
      </c>
      <c r="H3823" s="1" t="s">
        <v>11931</v>
      </c>
      <c r="J3823" s="1" t="s">
        <v>1161</v>
      </c>
      <c r="L3823" s="1" t="s">
        <v>1329</v>
      </c>
      <c r="N3823" s="1" t="s">
        <v>1468</v>
      </c>
      <c r="P3823" s="1" t="s">
        <v>367</v>
      </c>
      <c r="Q3823" s="3">
        <v>0</v>
      </c>
      <c r="R3823" s="23" t="s">
        <v>11933</v>
      </c>
      <c r="S3823" s="23" t="s">
        <v>5849</v>
      </c>
      <c r="T3823" s="23" t="s">
        <v>4866</v>
      </c>
      <c r="U3823" s="3">
        <v>35</v>
      </c>
      <c r="W3823" s="45" t="str">
        <f>HYPERLINK("http://ictvonline.org/taxonomy/p/taxonomy-history?taxnode_id=201902376","ICTVonline=201902376")</f>
        <v>ICTVonline=201902376</v>
      </c>
      <c r="Y3823" s="1" t="s">
        <v>12565</v>
      </c>
      <c r="Z3823" s="1" t="s">
        <v>12206</v>
      </c>
      <c r="AA3823" s="1">
        <v>201900000</v>
      </c>
      <c r="AB3823" s="1">
        <v>35</v>
      </c>
    </row>
    <row r="3824" spans="1:28" x14ac:dyDescent="0.2">
      <c r="A3824" s="1">
        <v>9801</v>
      </c>
      <c r="B3824" s="1" t="s">
        <v>6839</v>
      </c>
      <c r="D3824" s="1" t="s">
        <v>11735</v>
      </c>
      <c r="F3824" s="1" t="s">
        <v>11930</v>
      </c>
      <c r="H3824" s="1" t="s">
        <v>11931</v>
      </c>
      <c r="J3824" s="1" t="s">
        <v>1161</v>
      </c>
      <c r="L3824" s="1" t="s">
        <v>1329</v>
      </c>
      <c r="N3824" s="1" t="s">
        <v>1468</v>
      </c>
      <c r="P3824" s="1" t="s">
        <v>368</v>
      </c>
      <c r="Q3824" s="3">
        <v>0</v>
      </c>
      <c r="R3824" s="23" t="s">
        <v>11933</v>
      </c>
      <c r="S3824" s="23" t="s">
        <v>5849</v>
      </c>
      <c r="T3824" s="23" t="s">
        <v>4866</v>
      </c>
      <c r="U3824" s="3">
        <v>35</v>
      </c>
      <c r="W3824" s="45" t="str">
        <f>HYPERLINK("http://ictvonline.org/taxonomy/p/taxonomy-history?taxnode_id=201902377","ICTVonline=201902377")</f>
        <v>ICTVonline=201902377</v>
      </c>
      <c r="Y3824" s="1" t="s">
        <v>12566</v>
      </c>
      <c r="Z3824" s="1" t="s">
        <v>12567</v>
      </c>
      <c r="AA3824" s="1">
        <v>201900000</v>
      </c>
      <c r="AB3824" s="1">
        <v>35</v>
      </c>
    </row>
    <row r="3825" spans="1:28" x14ac:dyDescent="0.2">
      <c r="A3825" s="1">
        <v>9803</v>
      </c>
      <c r="B3825" s="1" t="s">
        <v>6839</v>
      </c>
      <c r="D3825" s="1" t="s">
        <v>11735</v>
      </c>
      <c r="F3825" s="1" t="s">
        <v>11930</v>
      </c>
      <c r="H3825" s="1" t="s">
        <v>11931</v>
      </c>
      <c r="J3825" s="1" t="s">
        <v>1161</v>
      </c>
      <c r="L3825" s="1" t="s">
        <v>1329</v>
      </c>
      <c r="N3825" s="1" t="s">
        <v>1468</v>
      </c>
      <c r="P3825" s="1" t="s">
        <v>243</v>
      </c>
      <c r="Q3825" s="3">
        <v>0</v>
      </c>
      <c r="R3825" s="23" t="s">
        <v>11933</v>
      </c>
      <c r="S3825" s="23" t="s">
        <v>5849</v>
      </c>
      <c r="T3825" s="23" t="s">
        <v>4866</v>
      </c>
      <c r="U3825" s="3">
        <v>35</v>
      </c>
      <c r="W3825" s="45" t="str">
        <f>HYPERLINK("http://ictvonline.org/taxonomy/p/taxonomy-history?taxnode_id=201902378","ICTVonline=201902378")</f>
        <v>ICTVonline=201902378</v>
      </c>
      <c r="AA3825" s="1">
        <v>201900000</v>
      </c>
      <c r="AB3825" s="1">
        <v>35</v>
      </c>
    </row>
    <row r="3826" spans="1:28" x14ac:dyDescent="0.2">
      <c r="A3826" s="1">
        <v>9805</v>
      </c>
      <c r="B3826" s="1" t="s">
        <v>6839</v>
      </c>
      <c r="D3826" s="1" t="s">
        <v>11735</v>
      </c>
      <c r="F3826" s="1" t="s">
        <v>11930</v>
      </c>
      <c r="H3826" s="1" t="s">
        <v>11931</v>
      </c>
      <c r="J3826" s="1" t="s">
        <v>1161</v>
      </c>
      <c r="L3826" s="1" t="s">
        <v>1329</v>
      </c>
      <c r="N3826" s="1" t="s">
        <v>1468</v>
      </c>
      <c r="P3826" s="1" t="s">
        <v>4557</v>
      </c>
      <c r="Q3826" s="3">
        <v>0</v>
      </c>
      <c r="R3826" s="23" t="s">
        <v>11933</v>
      </c>
      <c r="S3826" s="23" t="s">
        <v>5849</v>
      </c>
      <c r="T3826" s="23" t="s">
        <v>4866</v>
      </c>
      <c r="U3826" s="3">
        <v>35</v>
      </c>
      <c r="W3826" s="45" t="str">
        <f>HYPERLINK("http://ictvonline.org/taxonomy/p/taxonomy-history?taxnode_id=201902379","ICTVonline=201902379")</f>
        <v>ICTVonline=201902379</v>
      </c>
      <c r="Y3826" s="1" t="s">
        <v>12568</v>
      </c>
      <c r="Z3826" s="1" t="s">
        <v>12569</v>
      </c>
      <c r="AA3826" s="1">
        <v>201900000</v>
      </c>
      <c r="AB3826" s="1">
        <v>35</v>
      </c>
    </row>
    <row r="3827" spans="1:28" x14ac:dyDescent="0.2">
      <c r="A3827" s="1">
        <v>9807</v>
      </c>
      <c r="B3827" s="1" t="s">
        <v>6839</v>
      </c>
      <c r="D3827" s="1" t="s">
        <v>11735</v>
      </c>
      <c r="F3827" s="1" t="s">
        <v>11930</v>
      </c>
      <c r="H3827" s="1" t="s">
        <v>11931</v>
      </c>
      <c r="J3827" s="1" t="s">
        <v>1161</v>
      </c>
      <c r="L3827" s="1" t="s">
        <v>1329</v>
      </c>
      <c r="N3827" s="1" t="s">
        <v>1468</v>
      </c>
      <c r="P3827" s="1" t="s">
        <v>1244</v>
      </c>
      <c r="Q3827" s="3">
        <v>1</v>
      </c>
      <c r="R3827" s="23" t="s">
        <v>11933</v>
      </c>
      <c r="S3827" s="23" t="s">
        <v>5849</v>
      </c>
      <c r="T3827" s="23" t="s">
        <v>4866</v>
      </c>
      <c r="U3827" s="3">
        <v>35</v>
      </c>
      <c r="W3827" s="45" t="str">
        <f>HYPERLINK("http://ictvonline.org/taxonomy/p/taxonomy-history?taxnode_id=201902380","ICTVonline=201902380")</f>
        <v>ICTVonline=201902380</v>
      </c>
      <c r="AA3827" s="1">
        <v>201900000</v>
      </c>
      <c r="AB3827" s="1">
        <v>35</v>
      </c>
    </row>
    <row r="3828" spans="1:28" x14ac:dyDescent="0.2">
      <c r="A3828" s="1">
        <v>9809</v>
      </c>
      <c r="B3828" s="1" t="s">
        <v>6839</v>
      </c>
      <c r="D3828" s="1" t="s">
        <v>11735</v>
      </c>
      <c r="F3828" s="1" t="s">
        <v>11930</v>
      </c>
      <c r="H3828" s="1" t="s">
        <v>11931</v>
      </c>
      <c r="J3828" s="1" t="s">
        <v>1161</v>
      </c>
      <c r="L3828" s="1" t="s">
        <v>1329</v>
      </c>
      <c r="N3828" s="1" t="s">
        <v>1468</v>
      </c>
      <c r="P3828" s="1" t="s">
        <v>1245</v>
      </c>
      <c r="Q3828" s="3">
        <v>0</v>
      </c>
      <c r="R3828" s="23" t="s">
        <v>11933</v>
      </c>
      <c r="S3828" s="23" t="s">
        <v>5849</v>
      </c>
      <c r="T3828" s="23" t="s">
        <v>4866</v>
      </c>
      <c r="U3828" s="3">
        <v>35</v>
      </c>
      <c r="W3828" s="45" t="str">
        <f>HYPERLINK("http://ictvonline.org/taxonomy/p/taxonomy-history?taxnode_id=201902381","ICTVonline=201902381")</f>
        <v>ICTVonline=201902381</v>
      </c>
      <c r="AA3828" s="1">
        <v>201900000</v>
      </c>
      <c r="AB3828" s="1">
        <v>35</v>
      </c>
    </row>
    <row r="3829" spans="1:28" x14ac:dyDescent="0.2">
      <c r="A3829" s="1">
        <v>9811</v>
      </c>
      <c r="B3829" s="1" t="s">
        <v>6839</v>
      </c>
      <c r="D3829" s="1" t="s">
        <v>11735</v>
      </c>
      <c r="F3829" s="1" t="s">
        <v>11930</v>
      </c>
      <c r="H3829" s="1" t="s">
        <v>11931</v>
      </c>
      <c r="J3829" s="1" t="s">
        <v>1161</v>
      </c>
      <c r="L3829" s="1" t="s">
        <v>1329</v>
      </c>
      <c r="N3829" s="1" t="s">
        <v>1468</v>
      </c>
      <c r="P3829" s="1" t="s">
        <v>1246</v>
      </c>
      <c r="Q3829" s="3">
        <v>0</v>
      </c>
      <c r="R3829" s="23" t="s">
        <v>11933</v>
      </c>
      <c r="S3829" s="23" t="s">
        <v>5849</v>
      </c>
      <c r="T3829" s="23" t="s">
        <v>4866</v>
      </c>
      <c r="U3829" s="3">
        <v>35</v>
      </c>
      <c r="W3829" s="45" t="str">
        <f>HYPERLINK("http://ictvonline.org/taxonomy/p/taxonomy-history?taxnode_id=201902382","ICTVonline=201902382")</f>
        <v>ICTVonline=201902382</v>
      </c>
      <c r="Y3829" s="1" t="s">
        <v>12570</v>
      </c>
      <c r="Z3829" s="1" t="s">
        <v>12571</v>
      </c>
      <c r="AA3829" s="1">
        <v>201900000</v>
      </c>
      <c r="AB3829" s="1">
        <v>35</v>
      </c>
    </row>
    <row r="3830" spans="1:28" x14ac:dyDescent="0.2">
      <c r="A3830" s="1">
        <v>9814</v>
      </c>
      <c r="B3830" s="1" t="s">
        <v>6839</v>
      </c>
      <c r="D3830" s="1" t="s">
        <v>11735</v>
      </c>
      <c r="F3830" s="1" t="s">
        <v>11930</v>
      </c>
      <c r="H3830" s="1" t="s">
        <v>11931</v>
      </c>
      <c r="J3830" s="1" t="s">
        <v>1161</v>
      </c>
      <c r="L3830" s="1" t="s">
        <v>1329</v>
      </c>
      <c r="P3830" s="1" t="s">
        <v>12</v>
      </c>
      <c r="Q3830" s="3">
        <v>0</v>
      </c>
      <c r="R3830" s="23" t="s">
        <v>11933</v>
      </c>
      <c r="S3830" s="23" t="s">
        <v>5849</v>
      </c>
      <c r="T3830" s="23" t="s">
        <v>4866</v>
      </c>
      <c r="U3830" s="3">
        <v>35</v>
      </c>
      <c r="W3830" s="45" t="str">
        <f>HYPERLINK("http://ictvonline.org/taxonomy/p/taxonomy-history?taxnode_id=201902384","ICTVonline=201902384")</f>
        <v>ICTVonline=201902384</v>
      </c>
      <c r="Y3830" s="1" t="s">
        <v>12572</v>
      </c>
      <c r="Z3830" s="1" t="s">
        <v>12573</v>
      </c>
      <c r="AA3830" s="1">
        <v>201900000</v>
      </c>
      <c r="AB3830" s="1">
        <v>35</v>
      </c>
    </row>
    <row r="3831" spans="1:28" x14ac:dyDescent="0.2">
      <c r="A3831" s="1">
        <v>9816</v>
      </c>
      <c r="B3831" s="1" t="s">
        <v>6839</v>
      </c>
      <c r="D3831" s="1" t="s">
        <v>11735</v>
      </c>
      <c r="F3831" s="1" t="s">
        <v>11930</v>
      </c>
      <c r="H3831" s="1" t="s">
        <v>11931</v>
      </c>
      <c r="J3831" s="1" t="s">
        <v>1161</v>
      </c>
      <c r="L3831" s="1" t="s">
        <v>1329</v>
      </c>
      <c r="P3831" s="1" t="s">
        <v>13</v>
      </c>
      <c r="Q3831" s="3">
        <v>0</v>
      </c>
      <c r="R3831" s="23" t="s">
        <v>11933</v>
      </c>
      <c r="S3831" s="23" t="s">
        <v>5849</v>
      </c>
      <c r="T3831" s="23" t="s">
        <v>4866</v>
      </c>
      <c r="U3831" s="3">
        <v>35</v>
      </c>
      <c r="W3831" s="45" t="str">
        <f>HYPERLINK("http://ictvonline.org/taxonomy/p/taxonomy-history?taxnode_id=201902385","ICTVonline=201902385")</f>
        <v>ICTVonline=201902385</v>
      </c>
      <c r="AA3831" s="1">
        <v>201900000</v>
      </c>
      <c r="AB3831" s="1">
        <v>35</v>
      </c>
    </row>
    <row r="3832" spans="1:28" x14ac:dyDescent="0.2">
      <c r="A3832" s="1">
        <v>9825</v>
      </c>
      <c r="B3832" s="1" t="s">
        <v>6839</v>
      </c>
      <c r="D3832" s="1" t="s">
        <v>11735</v>
      </c>
      <c r="F3832" s="1" t="s">
        <v>11930</v>
      </c>
      <c r="H3832" s="1" t="s">
        <v>12574</v>
      </c>
      <c r="J3832" s="1" t="s">
        <v>12575</v>
      </c>
      <c r="L3832" s="1" t="s">
        <v>1126</v>
      </c>
      <c r="N3832" s="1" t="s">
        <v>1127</v>
      </c>
      <c r="P3832" s="1" t="s">
        <v>1128</v>
      </c>
      <c r="Q3832" s="3">
        <v>0</v>
      </c>
      <c r="R3832" s="23" t="s">
        <v>11933</v>
      </c>
      <c r="S3832" s="23" t="s">
        <v>5849</v>
      </c>
      <c r="T3832" s="23" t="s">
        <v>4866</v>
      </c>
      <c r="U3832" s="3">
        <v>35</v>
      </c>
      <c r="W3832" s="45" t="str">
        <f>HYPERLINK("http://ictvonline.org/taxonomy/p/taxonomy-history?taxnode_id=201903071","ICTVonline=201903071")</f>
        <v>ICTVonline=201903071</v>
      </c>
      <c r="AA3832" s="1">
        <v>201900000</v>
      </c>
      <c r="AB3832" s="1">
        <v>35</v>
      </c>
    </row>
    <row r="3833" spans="1:28" x14ac:dyDescent="0.2">
      <c r="A3833" s="1">
        <v>9827</v>
      </c>
      <c r="B3833" s="1" t="s">
        <v>6839</v>
      </c>
      <c r="D3833" s="1" t="s">
        <v>11735</v>
      </c>
      <c r="F3833" s="1" t="s">
        <v>11930</v>
      </c>
      <c r="H3833" s="1" t="s">
        <v>12574</v>
      </c>
      <c r="J3833" s="1" t="s">
        <v>12575</v>
      </c>
      <c r="L3833" s="1" t="s">
        <v>1126</v>
      </c>
      <c r="N3833" s="1" t="s">
        <v>1127</v>
      </c>
      <c r="P3833" s="1" t="s">
        <v>1129</v>
      </c>
      <c r="Q3833" s="3">
        <v>0</v>
      </c>
      <c r="R3833" s="23" t="s">
        <v>11933</v>
      </c>
      <c r="S3833" s="23" t="s">
        <v>5849</v>
      </c>
      <c r="T3833" s="23" t="s">
        <v>4866</v>
      </c>
      <c r="U3833" s="3">
        <v>35</v>
      </c>
      <c r="W3833" s="45" t="str">
        <f>HYPERLINK("http://ictvonline.org/taxonomy/p/taxonomy-history?taxnode_id=201903072","ICTVonline=201903072")</f>
        <v>ICTVonline=201903072</v>
      </c>
      <c r="AA3833" s="1">
        <v>201900000</v>
      </c>
      <c r="AB3833" s="1">
        <v>35</v>
      </c>
    </row>
    <row r="3834" spans="1:28" x14ac:dyDescent="0.2">
      <c r="A3834" s="1">
        <v>9829</v>
      </c>
      <c r="B3834" s="1" t="s">
        <v>6839</v>
      </c>
      <c r="D3834" s="1" t="s">
        <v>11735</v>
      </c>
      <c r="F3834" s="1" t="s">
        <v>11930</v>
      </c>
      <c r="H3834" s="1" t="s">
        <v>12574</v>
      </c>
      <c r="J3834" s="1" t="s">
        <v>12575</v>
      </c>
      <c r="L3834" s="1" t="s">
        <v>1126</v>
      </c>
      <c r="N3834" s="1" t="s">
        <v>1127</v>
      </c>
      <c r="P3834" s="1" t="s">
        <v>1130</v>
      </c>
      <c r="Q3834" s="3">
        <v>0</v>
      </c>
      <c r="R3834" s="23" t="s">
        <v>11933</v>
      </c>
      <c r="S3834" s="23" t="s">
        <v>5849</v>
      </c>
      <c r="T3834" s="23" t="s">
        <v>4866</v>
      </c>
      <c r="U3834" s="3">
        <v>35</v>
      </c>
      <c r="W3834" s="45" t="str">
        <f>HYPERLINK("http://ictvonline.org/taxonomy/p/taxonomy-history?taxnode_id=201903073","ICTVonline=201903073")</f>
        <v>ICTVonline=201903073</v>
      </c>
      <c r="AA3834" s="1">
        <v>201900000</v>
      </c>
      <c r="AB3834" s="1">
        <v>35</v>
      </c>
    </row>
    <row r="3835" spans="1:28" x14ac:dyDescent="0.2">
      <c r="A3835" s="1">
        <v>9831</v>
      </c>
      <c r="B3835" s="1" t="s">
        <v>6839</v>
      </c>
      <c r="D3835" s="1" t="s">
        <v>11735</v>
      </c>
      <c r="F3835" s="1" t="s">
        <v>11930</v>
      </c>
      <c r="H3835" s="1" t="s">
        <v>12574</v>
      </c>
      <c r="J3835" s="1" t="s">
        <v>12575</v>
      </c>
      <c r="L3835" s="1" t="s">
        <v>1126</v>
      </c>
      <c r="N3835" s="1" t="s">
        <v>1127</v>
      </c>
      <c r="P3835" s="1" t="s">
        <v>1131</v>
      </c>
      <c r="Q3835" s="3">
        <v>0</v>
      </c>
      <c r="R3835" s="23" t="s">
        <v>11933</v>
      </c>
      <c r="S3835" s="23" t="s">
        <v>5849</v>
      </c>
      <c r="T3835" s="23" t="s">
        <v>4866</v>
      </c>
      <c r="U3835" s="3">
        <v>35</v>
      </c>
      <c r="W3835" s="45" t="str">
        <f>HYPERLINK("http://ictvonline.org/taxonomy/p/taxonomy-history?taxnode_id=201903074","ICTVonline=201903074")</f>
        <v>ICTVonline=201903074</v>
      </c>
      <c r="AA3835" s="1">
        <v>201900000</v>
      </c>
      <c r="AB3835" s="1">
        <v>35</v>
      </c>
    </row>
    <row r="3836" spans="1:28" x14ac:dyDescent="0.2">
      <c r="A3836" s="1">
        <v>9833</v>
      </c>
      <c r="B3836" s="1" t="s">
        <v>6839</v>
      </c>
      <c r="D3836" s="1" t="s">
        <v>11735</v>
      </c>
      <c r="F3836" s="1" t="s">
        <v>11930</v>
      </c>
      <c r="H3836" s="1" t="s">
        <v>12574</v>
      </c>
      <c r="J3836" s="1" t="s">
        <v>12575</v>
      </c>
      <c r="L3836" s="1" t="s">
        <v>1126</v>
      </c>
      <c r="N3836" s="1" t="s">
        <v>1127</v>
      </c>
      <c r="P3836" s="1" t="s">
        <v>1132</v>
      </c>
      <c r="Q3836" s="3">
        <v>0</v>
      </c>
      <c r="R3836" s="23" t="s">
        <v>11933</v>
      </c>
      <c r="S3836" s="23" t="s">
        <v>5849</v>
      </c>
      <c r="T3836" s="23" t="s">
        <v>4866</v>
      </c>
      <c r="U3836" s="3">
        <v>35</v>
      </c>
      <c r="W3836" s="45" t="str">
        <f>HYPERLINK("http://ictvonline.org/taxonomy/p/taxonomy-history?taxnode_id=201903075","ICTVonline=201903075")</f>
        <v>ICTVonline=201903075</v>
      </c>
      <c r="AA3836" s="1">
        <v>201900000</v>
      </c>
      <c r="AB3836" s="1">
        <v>35</v>
      </c>
    </row>
    <row r="3837" spans="1:28" x14ac:dyDescent="0.2">
      <c r="A3837" s="1">
        <v>9835</v>
      </c>
      <c r="B3837" s="1" t="s">
        <v>6839</v>
      </c>
      <c r="D3837" s="1" t="s">
        <v>11735</v>
      </c>
      <c r="F3837" s="1" t="s">
        <v>11930</v>
      </c>
      <c r="H3837" s="1" t="s">
        <v>12574</v>
      </c>
      <c r="J3837" s="1" t="s">
        <v>12575</v>
      </c>
      <c r="L3837" s="1" t="s">
        <v>1126</v>
      </c>
      <c r="N3837" s="1" t="s">
        <v>1127</v>
      </c>
      <c r="P3837" s="1" t="s">
        <v>1133</v>
      </c>
      <c r="Q3837" s="3">
        <v>0</v>
      </c>
      <c r="R3837" s="23" t="s">
        <v>11933</v>
      </c>
      <c r="S3837" s="23" t="s">
        <v>5849</v>
      </c>
      <c r="T3837" s="23" t="s">
        <v>4866</v>
      </c>
      <c r="U3837" s="3">
        <v>35</v>
      </c>
      <c r="W3837" s="45" t="str">
        <f>HYPERLINK("http://ictvonline.org/taxonomy/p/taxonomy-history?taxnode_id=201903076","ICTVonline=201903076")</f>
        <v>ICTVonline=201903076</v>
      </c>
      <c r="AA3837" s="1">
        <v>201900000</v>
      </c>
      <c r="AB3837" s="1">
        <v>35</v>
      </c>
    </row>
    <row r="3838" spans="1:28" x14ac:dyDescent="0.2">
      <c r="A3838" s="1">
        <v>9837</v>
      </c>
      <c r="B3838" s="1" t="s">
        <v>6839</v>
      </c>
      <c r="D3838" s="1" t="s">
        <v>11735</v>
      </c>
      <c r="F3838" s="1" t="s">
        <v>11930</v>
      </c>
      <c r="H3838" s="1" t="s">
        <v>12574</v>
      </c>
      <c r="J3838" s="1" t="s">
        <v>12575</v>
      </c>
      <c r="L3838" s="1" t="s">
        <v>1126</v>
      </c>
      <c r="N3838" s="1" t="s">
        <v>1127</v>
      </c>
      <c r="P3838" s="1" t="s">
        <v>1633</v>
      </c>
      <c r="Q3838" s="3">
        <v>0</v>
      </c>
      <c r="R3838" s="23" t="s">
        <v>11933</v>
      </c>
      <c r="S3838" s="23" t="s">
        <v>5849</v>
      </c>
      <c r="T3838" s="23" t="s">
        <v>4866</v>
      </c>
      <c r="U3838" s="3">
        <v>35</v>
      </c>
      <c r="W3838" s="45" t="str">
        <f>HYPERLINK("http://ictvonline.org/taxonomy/p/taxonomy-history?taxnode_id=201903077","ICTVonline=201903077")</f>
        <v>ICTVonline=201903077</v>
      </c>
      <c r="AA3838" s="1">
        <v>201900000</v>
      </c>
      <c r="AB3838" s="1">
        <v>35</v>
      </c>
    </row>
    <row r="3839" spans="1:28" x14ac:dyDescent="0.2">
      <c r="A3839" s="1">
        <v>9839</v>
      </c>
      <c r="B3839" s="1" t="s">
        <v>6839</v>
      </c>
      <c r="D3839" s="1" t="s">
        <v>11735</v>
      </c>
      <c r="F3839" s="1" t="s">
        <v>11930</v>
      </c>
      <c r="H3839" s="1" t="s">
        <v>12574</v>
      </c>
      <c r="J3839" s="1" t="s">
        <v>12575</v>
      </c>
      <c r="L3839" s="1" t="s">
        <v>1126</v>
      </c>
      <c r="N3839" s="1" t="s">
        <v>1127</v>
      </c>
      <c r="P3839" s="1" t="s">
        <v>1634</v>
      </c>
      <c r="Q3839" s="3">
        <v>0</v>
      </c>
      <c r="R3839" s="23" t="s">
        <v>11933</v>
      </c>
      <c r="S3839" s="23" t="s">
        <v>5849</v>
      </c>
      <c r="T3839" s="23" t="s">
        <v>4866</v>
      </c>
      <c r="U3839" s="3">
        <v>35</v>
      </c>
      <c r="W3839" s="45" t="str">
        <f>HYPERLINK("http://ictvonline.org/taxonomy/p/taxonomy-history?taxnode_id=201903078","ICTVonline=201903078")</f>
        <v>ICTVonline=201903078</v>
      </c>
      <c r="AA3839" s="1">
        <v>201900000</v>
      </c>
      <c r="AB3839" s="1">
        <v>35</v>
      </c>
    </row>
    <row r="3840" spans="1:28" x14ac:dyDescent="0.2">
      <c r="A3840" s="1">
        <v>9841</v>
      </c>
      <c r="B3840" s="1" t="s">
        <v>6839</v>
      </c>
      <c r="D3840" s="1" t="s">
        <v>11735</v>
      </c>
      <c r="F3840" s="1" t="s">
        <v>11930</v>
      </c>
      <c r="H3840" s="1" t="s">
        <v>12574</v>
      </c>
      <c r="J3840" s="1" t="s">
        <v>12575</v>
      </c>
      <c r="L3840" s="1" t="s">
        <v>1126</v>
      </c>
      <c r="N3840" s="1" t="s">
        <v>1127</v>
      </c>
      <c r="P3840" s="1" t="s">
        <v>1635</v>
      </c>
      <c r="Q3840" s="3">
        <v>0</v>
      </c>
      <c r="R3840" s="23" t="s">
        <v>11933</v>
      </c>
      <c r="S3840" s="23" t="s">
        <v>5849</v>
      </c>
      <c r="T3840" s="23" t="s">
        <v>4866</v>
      </c>
      <c r="U3840" s="3">
        <v>35</v>
      </c>
      <c r="W3840" s="45" t="str">
        <f>HYPERLINK("http://ictvonline.org/taxonomy/p/taxonomy-history?taxnode_id=201903079","ICTVonline=201903079")</f>
        <v>ICTVonline=201903079</v>
      </c>
      <c r="AA3840" s="1">
        <v>201900000</v>
      </c>
      <c r="AB3840" s="1">
        <v>35</v>
      </c>
    </row>
    <row r="3841" spans="1:28" x14ac:dyDescent="0.2">
      <c r="A3841" s="1">
        <v>9843</v>
      </c>
      <c r="B3841" s="1" t="s">
        <v>6839</v>
      </c>
      <c r="D3841" s="1" t="s">
        <v>11735</v>
      </c>
      <c r="F3841" s="1" t="s">
        <v>11930</v>
      </c>
      <c r="H3841" s="1" t="s">
        <v>12574</v>
      </c>
      <c r="J3841" s="1" t="s">
        <v>12575</v>
      </c>
      <c r="L3841" s="1" t="s">
        <v>1126</v>
      </c>
      <c r="N3841" s="1" t="s">
        <v>1127</v>
      </c>
      <c r="P3841" s="1" t="s">
        <v>1636</v>
      </c>
      <c r="Q3841" s="3">
        <v>0</v>
      </c>
      <c r="R3841" s="23" t="s">
        <v>11933</v>
      </c>
      <c r="S3841" s="23" t="s">
        <v>5849</v>
      </c>
      <c r="T3841" s="23" t="s">
        <v>4866</v>
      </c>
      <c r="U3841" s="3">
        <v>35</v>
      </c>
      <c r="W3841" s="45" t="str">
        <f>HYPERLINK("http://ictvonline.org/taxonomy/p/taxonomy-history?taxnode_id=201903080","ICTVonline=201903080")</f>
        <v>ICTVonline=201903080</v>
      </c>
      <c r="AA3841" s="1">
        <v>201900000</v>
      </c>
      <c r="AB3841" s="1">
        <v>35</v>
      </c>
    </row>
    <row r="3842" spans="1:28" x14ac:dyDescent="0.2">
      <c r="A3842" s="1">
        <v>9845</v>
      </c>
      <c r="B3842" s="1" t="s">
        <v>6839</v>
      </c>
      <c r="D3842" s="1" t="s">
        <v>11735</v>
      </c>
      <c r="F3842" s="1" t="s">
        <v>11930</v>
      </c>
      <c r="H3842" s="1" t="s">
        <v>12574</v>
      </c>
      <c r="J3842" s="1" t="s">
        <v>12575</v>
      </c>
      <c r="L3842" s="1" t="s">
        <v>1126</v>
      </c>
      <c r="N3842" s="1" t="s">
        <v>1127</v>
      </c>
      <c r="P3842" s="1" t="s">
        <v>1637</v>
      </c>
      <c r="Q3842" s="3">
        <v>0</v>
      </c>
      <c r="R3842" s="23" t="s">
        <v>11933</v>
      </c>
      <c r="S3842" s="23" t="s">
        <v>5849</v>
      </c>
      <c r="T3842" s="23" t="s">
        <v>4866</v>
      </c>
      <c r="U3842" s="3">
        <v>35</v>
      </c>
      <c r="W3842" s="45" t="str">
        <f>HYPERLINK("http://ictvonline.org/taxonomy/p/taxonomy-history?taxnode_id=201903081","ICTVonline=201903081")</f>
        <v>ICTVonline=201903081</v>
      </c>
      <c r="AA3842" s="1">
        <v>201900000</v>
      </c>
      <c r="AB3842" s="1">
        <v>35</v>
      </c>
    </row>
    <row r="3843" spans="1:28" x14ac:dyDescent="0.2">
      <c r="A3843" s="1">
        <v>9847</v>
      </c>
      <c r="B3843" s="1" t="s">
        <v>6839</v>
      </c>
      <c r="D3843" s="1" t="s">
        <v>11735</v>
      </c>
      <c r="F3843" s="1" t="s">
        <v>11930</v>
      </c>
      <c r="H3843" s="1" t="s">
        <v>12574</v>
      </c>
      <c r="J3843" s="1" t="s">
        <v>12575</v>
      </c>
      <c r="L3843" s="1" t="s">
        <v>1126</v>
      </c>
      <c r="N3843" s="1" t="s">
        <v>1127</v>
      </c>
      <c r="P3843" s="1" t="s">
        <v>1638</v>
      </c>
      <c r="Q3843" s="3">
        <v>0</v>
      </c>
      <c r="R3843" s="23" t="s">
        <v>11933</v>
      </c>
      <c r="S3843" s="23" t="s">
        <v>5849</v>
      </c>
      <c r="T3843" s="23" t="s">
        <v>4866</v>
      </c>
      <c r="U3843" s="3">
        <v>35</v>
      </c>
      <c r="W3843" s="45" t="str">
        <f>HYPERLINK("http://ictvonline.org/taxonomy/p/taxonomy-history?taxnode_id=201903082","ICTVonline=201903082")</f>
        <v>ICTVonline=201903082</v>
      </c>
      <c r="AA3843" s="1">
        <v>201900000</v>
      </c>
      <c r="AB3843" s="1">
        <v>35</v>
      </c>
    </row>
    <row r="3844" spans="1:28" x14ac:dyDescent="0.2">
      <c r="A3844" s="1">
        <v>9849</v>
      </c>
      <c r="B3844" s="1" t="s">
        <v>6839</v>
      </c>
      <c r="D3844" s="1" t="s">
        <v>11735</v>
      </c>
      <c r="F3844" s="1" t="s">
        <v>11930</v>
      </c>
      <c r="H3844" s="1" t="s">
        <v>12574</v>
      </c>
      <c r="J3844" s="1" t="s">
        <v>12575</v>
      </c>
      <c r="L3844" s="1" t="s">
        <v>1126</v>
      </c>
      <c r="N3844" s="1" t="s">
        <v>1127</v>
      </c>
      <c r="P3844" s="1" t="s">
        <v>1639</v>
      </c>
      <c r="Q3844" s="3">
        <v>0</v>
      </c>
      <c r="R3844" s="23" t="s">
        <v>11933</v>
      </c>
      <c r="S3844" s="23" t="s">
        <v>5849</v>
      </c>
      <c r="T3844" s="23" t="s">
        <v>4866</v>
      </c>
      <c r="U3844" s="3">
        <v>35</v>
      </c>
      <c r="W3844" s="45" t="str">
        <f>HYPERLINK("http://ictvonline.org/taxonomy/p/taxonomy-history?taxnode_id=201903083","ICTVonline=201903083")</f>
        <v>ICTVonline=201903083</v>
      </c>
      <c r="AA3844" s="1">
        <v>201900000</v>
      </c>
      <c r="AB3844" s="1">
        <v>35</v>
      </c>
    </row>
    <row r="3845" spans="1:28" x14ac:dyDescent="0.2">
      <c r="A3845" s="1">
        <v>9851</v>
      </c>
      <c r="B3845" s="1" t="s">
        <v>6839</v>
      </c>
      <c r="D3845" s="1" t="s">
        <v>11735</v>
      </c>
      <c r="F3845" s="1" t="s">
        <v>11930</v>
      </c>
      <c r="H3845" s="1" t="s">
        <v>12574</v>
      </c>
      <c r="J3845" s="1" t="s">
        <v>12575</v>
      </c>
      <c r="L3845" s="1" t="s">
        <v>1126</v>
      </c>
      <c r="N3845" s="1" t="s">
        <v>1127</v>
      </c>
      <c r="P3845" s="1" t="s">
        <v>1640</v>
      </c>
      <c r="Q3845" s="3">
        <v>0</v>
      </c>
      <c r="R3845" s="23" t="s">
        <v>11933</v>
      </c>
      <c r="S3845" s="23" t="s">
        <v>5849</v>
      </c>
      <c r="T3845" s="23" t="s">
        <v>4866</v>
      </c>
      <c r="U3845" s="3">
        <v>35</v>
      </c>
      <c r="W3845" s="45" t="str">
        <f>HYPERLINK("http://ictvonline.org/taxonomy/p/taxonomy-history?taxnode_id=201903084","ICTVonline=201903084")</f>
        <v>ICTVonline=201903084</v>
      </c>
      <c r="AA3845" s="1">
        <v>201900000</v>
      </c>
      <c r="AB3845" s="1">
        <v>35</v>
      </c>
    </row>
    <row r="3846" spans="1:28" x14ac:dyDescent="0.2">
      <c r="A3846" s="1">
        <v>9853</v>
      </c>
      <c r="B3846" s="1" t="s">
        <v>6839</v>
      </c>
      <c r="D3846" s="1" t="s">
        <v>11735</v>
      </c>
      <c r="F3846" s="1" t="s">
        <v>11930</v>
      </c>
      <c r="H3846" s="1" t="s">
        <v>12574</v>
      </c>
      <c r="J3846" s="1" t="s">
        <v>12575</v>
      </c>
      <c r="L3846" s="1" t="s">
        <v>1126</v>
      </c>
      <c r="N3846" s="1" t="s">
        <v>1127</v>
      </c>
      <c r="P3846" s="1" t="s">
        <v>1641</v>
      </c>
      <c r="Q3846" s="3">
        <v>0</v>
      </c>
      <c r="R3846" s="23" t="s">
        <v>11933</v>
      </c>
      <c r="S3846" s="23" t="s">
        <v>5849</v>
      </c>
      <c r="T3846" s="23" t="s">
        <v>4866</v>
      </c>
      <c r="U3846" s="3">
        <v>35</v>
      </c>
      <c r="W3846" s="45" t="str">
        <f>HYPERLINK("http://ictvonline.org/taxonomy/p/taxonomy-history?taxnode_id=201903085","ICTVonline=201903085")</f>
        <v>ICTVonline=201903085</v>
      </c>
      <c r="AA3846" s="1">
        <v>201900000</v>
      </c>
      <c r="AB3846" s="1">
        <v>35</v>
      </c>
    </row>
    <row r="3847" spans="1:28" x14ac:dyDescent="0.2">
      <c r="A3847" s="1">
        <v>9855</v>
      </c>
      <c r="B3847" s="1" t="s">
        <v>6839</v>
      </c>
      <c r="D3847" s="1" t="s">
        <v>11735</v>
      </c>
      <c r="F3847" s="1" t="s">
        <v>11930</v>
      </c>
      <c r="H3847" s="1" t="s">
        <v>12574</v>
      </c>
      <c r="J3847" s="1" t="s">
        <v>12575</v>
      </c>
      <c r="L3847" s="1" t="s">
        <v>1126</v>
      </c>
      <c r="N3847" s="1" t="s">
        <v>1127</v>
      </c>
      <c r="P3847" s="1" t="s">
        <v>1642</v>
      </c>
      <c r="Q3847" s="3">
        <v>0</v>
      </c>
      <c r="R3847" s="23" t="s">
        <v>11933</v>
      </c>
      <c r="S3847" s="23" t="s">
        <v>5849</v>
      </c>
      <c r="T3847" s="23" t="s">
        <v>4866</v>
      </c>
      <c r="U3847" s="3">
        <v>35</v>
      </c>
      <c r="W3847" s="45" t="str">
        <f>HYPERLINK("http://ictvonline.org/taxonomy/p/taxonomy-history?taxnode_id=201903086","ICTVonline=201903086")</f>
        <v>ICTVonline=201903086</v>
      </c>
      <c r="AA3847" s="1">
        <v>201900000</v>
      </c>
      <c r="AB3847" s="1">
        <v>35</v>
      </c>
    </row>
    <row r="3848" spans="1:28" x14ac:dyDescent="0.2">
      <c r="A3848" s="1">
        <v>9857</v>
      </c>
      <c r="B3848" s="1" t="s">
        <v>6839</v>
      </c>
      <c r="D3848" s="1" t="s">
        <v>11735</v>
      </c>
      <c r="F3848" s="1" t="s">
        <v>11930</v>
      </c>
      <c r="H3848" s="1" t="s">
        <v>12574</v>
      </c>
      <c r="J3848" s="1" t="s">
        <v>12575</v>
      </c>
      <c r="L3848" s="1" t="s">
        <v>1126</v>
      </c>
      <c r="N3848" s="1" t="s">
        <v>1127</v>
      </c>
      <c r="P3848" s="1" t="s">
        <v>1643</v>
      </c>
      <c r="Q3848" s="3">
        <v>0</v>
      </c>
      <c r="R3848" s="23" t="s">
        <v>11933</v>
      </c>
      <c r="S3848" s="23" t="s">
        <v>5849</v>
      </c>
      <c r="T3848" s="23" t="s">
        <v>4866</v>
      </c>
      <c r="U3848" s="3">
        <v>35</v>
      </c>
      <c r="W3848" s="45" t="str">
        <f>HYPERLINK("http://ictvonline.org/taxonomy/p/taxonomy-history?taxnode_id=201903087","ICTVonline=201903087")</f>
        <v>ICTVonline=201903087</v>
      </c>
      <c r="AA3848" s="1">
        <v>201900000</v>
      </c>
      <c r="AB3848" s="1">
        <v>35</v>
      </c>
    </row>
    <row r="3849" spans="1:28" x14ac:dyDescent="0.2">
      <c r="A3849" s="1">
        <v>9859</v>
      </c>
      <c r="B3849" s="1" t="s">
        <v>6839</v>
      </c>
      <c r="D3849" s="1" t="s">
        <v>11735</v>
      </c>
      <c r="F3849" s="1" t="s">
        <v>11930</v>
      </c>
      <c r="H3849" s="1" t="s">
        <v>12574</v>
      </c>
      <c r="J3849" s="1" t="s">
        <v>12575</v>
      </c>
      <c r="L3849" s="1" t="s">
        <v>1126</v>
      </c>
      <c r="N3849" s="1" t="s">
        <v>1127</v>
      </c>
      <c r="P3849" s="1" t="s">
        <v>1644</v>
      </c>
      <c r="Q3849" s="3">
        <v>0</v>
      </c>
      <c r="R3849" s="23" t="s">
        <v>11933</v>
      </c>
      <c r="S3849" s="23" t="s">
        <v>5849</v>
      </c>
      <c r="T3849" s="23" t="s">
        <v>4866</v>
      </c>
      <c r="U3849" s="3">
        <v>35</v>
      </c>
      <c r="W3849" s="45" t="str">
        <f>HYPERLINK("http://ictvonline.org/taxonomy/p/taxonomy-history?taxnode_id=201903088","ICTVonline=201903088")</f>
        <v>ICTVonline=201903088</v>
      </c>
      <c r="AA3849" s="1">
        <v>201900000</v>
      </c>
      <c r="AB3849" s="1">
        <v>35</v>
      </c>
    </row>
    <row r="3850" spans="1:28" x14ac:dyDescent="0.2">
      <c r="A3850" s="1">
        <v>9861</v>
      </c>
      <c r="B3850" s="1" t="s">
        <v>6839</v>
      </c>
      <c r="D3850" s="1" t="s">
        <v>11735</v>
      </c>
      <c r="F3850" s="1" t="s">
        <v>11930</v>
      </c>
      <c r="H3850" s="1" t="s">
        <v>12574</v>
      </c>
      <c r="J3850" s="1" t="s">
        <v>12575</v>
      </c>
      <c r="L3850" s="1" t="s">
        <v>1126</v>
      </c>
      <c r="N3850" s="1" t="s">
        <v>1127</v>
      </c>
      <c r="P3850" s="1" t="s">
        <v>1645</v>
      </c>
      <c r="Q3850" s="3">
        <v>0</v>
      </c>
      <c r="R3850" s="23" t="s">
        <v>11933</v>
      </c>
      <c r="S3850" s="23" t="s">
        <v>5849</v>
      </c>
      <c r="T3850" s="23" t="s">
        <v>4866</v>
      </c>
      <c r="U3850" s="3">
        <v>35</v>
      </c>
      <c r="W3850" s="45" t="str">
        <f>HYPERLINK("http://ictvonline.org/taxonomy/p/taxonomy-history?taxnode_id=201903089","ICTVonline=201903089")</f>
        <v>ICTVonline=201903089</v>
      </c>
      <c r="AA3850" s="1">
        <v>201900000</v>
      </c>
      <c r="AB3850" s="1">
        <v>35</v>
      </c>
    </row>
    <row r="3851" spans="1:28" x14ac:dyDescent="0.2">
      <c r="A3851" s="1">
        <v>9863</v>
      </c>
      <c r="B3851" s="1" t="s">
        <v>6839</v>
      </c>
      <c r="D3851" s="1" t="s">
        <v>11735</v>
      </c>
      <c r="F3851" s="1" t="s">
        <v>11930</v>
      </c>
      <c r="H3851" s="1" t="s">
        <v>12574</v>
      </c>
      <c r="J3851" s="1" t="s">
        <v>12575</v>
      </c>
      <c r="L3851" s="1" t="s">
        <v>1126</v>
      </c>
      <c r="N3851" s="1" t="s">
        <v>1127</v>
      </c>
      <c r="P3851" s="1" t="s">
        <v>1646</v>
      </c>
      <c r="Q3851" s="3">
        <v>0</v>
      </c>
      <c r="R3851" s="23" t="s">
        <v>11933</v>
      </c>
      <c r="S3851" s="23" t="s">
        <v>5849</v>
      </c>
      <c r="T3851" s="23" t="s">
        <v>4866</v>
      </c>
      <c r="U3851" s="3">
        <v>35</v>
      </c>
      <c r="W3851" s="45" t="str">
        <f>HYPERLINK("http://ictvonline.org/taxonomy/p/taxonomy-history?taxnode_id=201903090","ICTVonline=201903090")</f>
        <v>ICTVonline=201903090</v>
      </c>
      <c r="AA3851" s="1">
        <v>201900000</v>
      </c>
      <c r="AB3851" s="1">
        <v>35</v>
      </c>
    </row>
    <row r="3852" spans="1:28" x14ac:dyDescent="0.2">
      <c r="A3852" s="1">
        <v>9865</v>
      </c>
      <c r="B3852" s="1" t="s">
        <v>6839</v>
      </c>
      <c r="D3852" s="1" t="s">
        <v>11735</v>
      </c>
      <c r="F3852" s="1" t="s">
        <v>11930</v>
      </c>
      <c r="H3852" s="1" t="s">
        <v>12574</v>
      </c>
      <c r="J3852" s="1" t="s">
        <v>12575</v>
      </c>
      <c r="L3852" s="1" t="s">
        <v>1126</v>
      </c>
      <c r="N3852" s="1" t="s">
        <v>1127</v>
      </c>
      <c r="P3852" s="1" t="s">
        <v>1647</v>
      </c>
      <c r="Q3852" s="3">
        <v>0</v>
      </c>
      <c r="R3852" s="23" t="s">
        <v>11933</v>
      </c>
      <c r="S3852" s="23" t="s">
        <v>5849</v>
      </c>
      <c r="T3852" s="23" t="s">
        <v>4866</v>
      </c>
      <c r="U3852" s="3">
        <v>35</v>
      </c>
      <c r="W3852" s="45" t="str">
        <f>HYPERLINK("http://ictvonline.org/taxonomy/p/taxonomy-history?taxnode_id=201903091","ICTVonline=201903091")</f>
        <v>ICTVonline=201903091</v>
      </c>
      <c r="AA3852" s="1">
        <v>201900000</v>
      </c>
      <c r="AB3852" s="1">
        <v>35</v>
      </c>
    </row>
    <row r="3853" spans="1:28" x14ac:dyDescent="0.2">
      <c r="A3853" s="1">
        <v>9867</v>
      </c>
      <c r="B3853" s="1" t="s">
        <v>6839</v>
      </c>
      <c r="D3853" s="1" t="s">
        <v>11735</v>
      </c>
      <c r="F3853" s="1" t="s">
        <v>11930</v>
      </c>
      <c r="H3853" s="1" t="s">
        <v>12574</v>
      </c>
      <c r="J3853" s="1" t="s">
        <v>12575</v>
      </c>
      <c r="L3853" s="1" t="s">
        <v>1126</v>
      </c>
      <c r="N3853" s="1" t="s">
        <v>1127</v>
      </c>
      <c r="P3853" s="1" t="s">
        <v>1648</v>
      </c>
      <c r="Q3853" s="3">
        <v>0</v>
      </c>
      <c r="R3853" s="23" t="s">
        <v>11933</v>
      </c>
      <c r="S3853" s="23" t="s">
        <v>5849</v>
      </c>
      <c r="T3853" s="23" t="s">
        <v>4866</v>
      </c>
      <c r="U3853" s="3">
        <v>35</v>
      </c>
      <c r="W3853" s="45" t="str">
        <f>HYPERLINK("http://ictvonline.org/taxonomy/p/taxonomy-history?taxnode_id=201903092","ICTVonline=201903092")</f>
        <v>ICTVonline=201903092</v>
      </c>
      <c r="AA3853" s="1">
        <v>201900000</v>
      </c>
      <c r="AB3853" s="1">
        <v>35</v>
      </c>
    </row>
    <row r="3854" spans="1:28" x14ac:dyDescent="0.2">
      <c r="A3854" s="1">
        <v>9869</v>
      </c>
      <c r="B3854" s="1" t="s">
        <v>6839</v>
      </c>
      <c r="D3854" s="1" t="s">
        <v>11735</v>
      </c>
      <c r="F3854" s="1" t="s">
        <v>11930</v>
      </c>
      <c r="H3854" s="1" t="s">
        <v>12574</v>
      </c>
      <c r="J3854" s="1" t="s">
        <v>12575</v>
      </c>
      <c r="L3854" s="1" t="s">
        <v>1126</v>
      </c>
      <c r="N3854" s="1" t="s">
        <v>1127</v>
      </c>
      <c r="P3854" s="1" t="s">
        <v>1649</v>
      </c>
      <c r="Q3854" s="3">
        <v>0</v>
      </c>
      <c r="R3854" s="23" t="s">
        <v>11933</v>
      </c>
      <c r="S3854" s="23" t="s">
        <v>5849</v>
      </c>
      <c r="T3854" s="23" t="s">
        <v>4866</v>
      </c>
      <c r="U3854" s="3">
        <v>35</v>
      </c>
      <c r="W3854" s="45" t="str">
        <f>HYPERLINK("http://ictvonline.org/taxonomy/p/taxonomy-history?taxnode_id=201903093","ICTVonline=201903093")</f>
        <v>ICTVonline=201903093</v>
      </c>
      <c r="AA3854" s="1">
        <v>201900000</v>
      </c>
      <c r="AB3854" s="1">
        <v>35</v>
      </c>
    </row>
    <row r="3855" spans="1:28" x14ac:dyDescent="0.2">
      <c r="A3855" s="1">
        <v>9871</v>
      </c>
      <c r="B3855" s="1" t="s">
        <v>6839</v>
      </c>
      <c r="D3855" s="1" t="s">
        <v>11735</v>
      </c>
      <c r="F3855" s="1" t="s">
        <v>11930</v>
      </c>
      <c r="H3855" s="1" t="s">
        <v>12574</v>
      </c>
      <c r="J3855" s="1" t="s">
        <v>12575</v>
      </c>
      <c r="L3855" s="1" t="s">
        <v>1126</v>
      </c>
      <c r="N3855" s="1" t="s">
        <v>1127</v>
      </c>
      <c r="P3855" s="1" t="s">
        <v>1650</v>
      </c>
      <c r="Q3855" s="3">
        <v>0</v>
      </c>
      <c r="R3855" s="23" t="s">
        <v>11933</v>
      </c>
      <c r="S3855" s="23" t="s">
        <v>5849</v>
      </c>
      <c r="T3855" s="23" t="s">
        <v>4866</v>
      </c>
      <c r="U3855" s="3">
        <v>35</v>
      </c>
      <c r="W3855" s="45" t="str">
        <f>HYPERLINK("http://ictvonline.org/taxonomy/p/taxonomy-history?taxnode_id=201903094","ICTVonline=201903094")</f>
        <v>ICTVonline=201903094</v>
      </c>
      <c r="AA3855" s="1">
        <v>201900000</v>
      </c>
      <c r="AB3855" s="1">
        <v>35</v>
      </c>
    </row>
    <row r="3856" spans="1:28" x14ac:dyDescent="0.2">
      <c r="A3856" s="1">
        <v>9873</v>
      </c>
      <c r="B3856" s="1" t="s">
        <v>6839</v>
      </c>
      <c r="D3856" s="1" t="s">
        <v>11735</v>
      </c>
      <c r="F3856" s="1" t="s">
        <v>11930</v>
      </c>
      <c r="H3856" s="1" t="s">
        <v>12574</v>
      </c>
      <c r="J3856" s="1" t="s">
        <v>12575</v>
      </c>
      <c r="L3856" s="1" t="s">
        <v>1126</v>
      </c>
      <c r="N3856" s="1" t="s">
        <v>1127</v>
      </c>
      <c r="P3856" s="1" t="s">
        <v>1651</v>
      </c>
      <c r="Q3856" s="3">
        <v>0</v>
      </c>
      <c r="R3856" s="23" t="s">
        <v>11933</v>
      </c>
      <c r="S3856" s="23" t="s">
        <v>5849</v>
      </c>
      <c r="T3856" s="23" t="s">
        <v>4866</v>
      </c>
      <c r="U3856" s="3">
        <v>35</v>
      </c>
      <c r="W3856" s="45" t="str">
        <f>HYPERLINK("http://ictvonline.org/taxonomy/p/taxonomy-history?taxnode_id=201903095","ICTVonline=201903095")</f>
        <v>ICTVonline=201903095</v>
      </c>
      <c r="AA3856" s="1">
        <v>201900000</v>
      </c>
      <c r="AB3856" s="1">
        <v>35</v>
      </c>
    </row>
    <row r="3857" spans="1:28" x14ac:dyDescent="0.2">
      <c r="A3857" s="1">
        <v>9875</v>
      </c>
      <c r="B3857" s="1" t="s">
        <v>6839</v>
      </c>
      <c r="D3857" s="1" t="s">
        <v>11735</v>
      </c>
      <c r="F3857" s="1" t="s">
        <v>11930</v>
      </c>
      <c r="H3857" s="1" t="s">
        <v>12574</v>
      </c>
      <c r="J3857" s="1" t="s">
        <v>12575</v>
      </c>
      <c r="L3857" s="1" t="s">
        <v>1126</v>
      </c>
      <c r="N3857" s="1" t="s">
        <v>1127</v>
      </c>
      <c r="P3857" s="1" t="s">
        <v>1652</v>
      </c>
      <c r="Q3857" s="3">
        <v>0</v>
      </c>
      <c r="R3857" s="23" t="s">
        <v>11933</v>
      </c>
      <c r="S3857" s="23" t="s">
        <v>5849</v>
      </c>
      <c r="T3857" s="23" t="s">
        <v>4866</v>
      </c>
      <c r="U3857" s="3">
        <v>35</v>
      </c>
      <c r="W3857" s="45" t="str">
        <f>HYPERLINK("http://ictvonline.org/taxonomy/p/taxonomy-history?taxnode_id=201903096","ICTVonline=201903096")</f>
        <v>ICTVonline=201903096</v>
      </c>
      <c r="AA3857" s="1">
        <v>201900000</v>
      </c>
      <c r="AB3857" s="1">
        <v>35</v>
      </c>
    </row>
    <row r="3858" spans="1:28" x14ac:dyDescent="0.2">
      <c r="A3858" s="1">
        <v>9877</v>
      </c>
      <c r="B3858" s="1" t="s">
        <v>6839</v>
      </c>
      <c r="D3858" s="1" t="s">
        <v>11735</v>
      </c>
      <c r="F3858" s="1" t="s">
        <v>11930</v>
      </c>
      <c r="H3858" s="1" t="s">
        <v>12574</v>
      </c>
      <c r="J3858" s="1" t="s">
        <v>12575</v>
      </c>
      <c r="L3858" s="1" t="s">
        <v>1126</v>
      </c>
      <c r="N3858" s="1" t="s">
        <v>1127</v>
      </c>
      <c r="P3858" s="1" t="s">
        <v>1653</v>
      </c>
      <c r="Q3858" s="3">
        <v>0</v>
      </c>
      <c r="R3858" s="23" t="s">
        <v>11933</v>
      </c>
      <c r="S3858" s="23" t="s">
        <v>5849</v>
      </c>
      <c r="T3858" s="23" t="s">
        <v>4866</v>
      </c>
      <c r="U3858" s="3">
        <v>35</v>
      </c>
      <c r="W3858" s="45" t="str">
        <f>HYPERLINK("http://ictvonline.org/taxonomy/p/taxonomy-history?taxnode_id=201903097","ICTVonline=201903097")</f>
        <v>ICTVonline=201903097</v>
      </c>
      <c r="AA3858" s="1">
        <v>201900000</v>
      </c>
      <c r="AB3858" s="1">
        <v>35</v>
      </c>
    </row>
    <row r="3859" spans="1:28" x14ac:dyDescent="0.2">
      <c r="A3859" s="1">
        <v>9879</v>
      </c>
      <c r="B3859" s="1" t="s">
        <v>6839</v>
      </c>
      <c r="D3859" s="1" t="s">
        <v>11735</v>
      </c>
      <c r="F3859" s="1" t="s">
        <v>11930</v>
      </c>
      <c r="H3859" s="1" t="s">
        <v>12574</v>
      </c>
      <c r="J3859" s="1" t="s">
        <v>12575</v>
      </c>
      <c r="L3859" s="1" t="s">
        <v>1126</v>
      </c>
      <c r="N3859" s="1" t="s">
        <v>1127</v>
      </c>
      <c r="P3859" s="1" t="s">
        <v>1654</v>
      </c>
      <c r="Q3859" s="3">
        <v>0</v>
      </c>
      <c r="R3859" s="23" t="s">
        <v>11933</v>
      </c>
      <c r="S3859" s="23" t="s">
        <v>5849</v>
      </c>
      <c r="T3859" s="23" t="s">
        <v>4866</v>
      </c>
      <c r="U3859" s="3">
        <v>35</v>
      </c>
      <c r="W3859" s="45" t="str">
        <f>HYPERLINK("http://ictvonline.org/taxonomy/p/taxonomy-history?taxnode_id=201903098","ICTVonline=201903098")</f>
        <v>ICTVonline=201903098</v>
      </c>
      <c r="AA3859" s="1">
        <v>201900000</v>
      </c>
      <c r="AB3859" s="1">
        <v>35</v>
      </c>
    </row>
    <row r="3860" spans="1:28" x14ac:dyDescent="0.2">
      <c r="A3860" s="1">
        <v>9881</v>
      </c>
      <c r="B3860" s="1" t="s">
        <v>6839</v>
      </c>
      <c r="D3860" s="1" t="s">
        <v>11735</v>
      </c>
      <c r="F3860" s="1" t="s">
        <v>11930</v>
      </c>
      <c r="H3860" s="1" t="s">
        <v>12574</v>
      </c>
      <c r="J3860" s="1" t="s">
        <v>12575</v>
      </c>
      <c r="L3860" s="1" t="s">
        <v>1126</v>
      </c>
      <c r="N3860" s="1" t="s">
        <v>1127</v>
      </c>
      <c r="P3860" s="1" t="s">
        <v>1979</v>
      </c>
      <c r="Q3860" s="3">
        <v>0</v>
      </c>
      <c r="R3860" s="23" t="s">
        <v>11933</v>
      </c>
      <c r="S3860" s="23" t="s">
        <v>5849</v>
      </c>
      <c r="T3860" s="23" t="s">
        <v>4866</v>
      </c>
      <c r="U3860" s="3">
        <v>35</v>
      </c>
      <c r="W3860" s="45" t="str">
        <f>HYPERLINK("http://ictvonline.org/taxonomy/p/taxonomy-history?taxnode_id=201903099","ICTVonline=201903099")</f>
        <v>ICTVonline=201903099</v>
      </c>
      <c r="AA3860" s="1">
        <v>201900000</v>
      </c>
      <c r="AB3860" s="1">
        <v>35</v>
      </c>
    </row>
    <row r="3861" spans="1:28" x14ac:dyDescent="0.2">
      <c r="A3861" s="1">
        <v>9883</v>
      </c>
      <c r="B3861" s="1" t="s">
        <v>6839</v>
      </c>
      <c r="D3861" s="1" t="s">
        <v>11735</v>
      </c>
      <c r="F3861" s="1" t="s">
        <v>11930</v>
      </c>
      <c r="H3861" s="1" t="s">
        <v>12574</v>
      </c>
      <c r="J3861" s="1" t="s">
        <v>12575</v>
      </c>
      <c r="L3861" s="1" t="s">
        <v>1126</v>
      </c>
      <c r="N3861" s="1" t="s">
        <v>1127</v>
      </c>
      <c r="P3861" s="1" t="s">
        <v>1163</v>
      </c>
      <c r="Q3861" s="3">
        <v>0</v>
      </c>
      <c r="R3861" s="23" t="s">
        <v>11933</v>
      </c>
      <c r="S3861" s="23" t="s">
        <v>5849</v>
      </c>
      <c r="T3861" s="23" t="s">
        <v>4866</v>
      </c>
      <c r="U3861" s="3">
        <v>35</v>
      </c>
      <c r="W3861" s="45" t="str">
        <f>HYPERLINK("http://ictvonline.org/taxonomy/p/taxonomy-history?taxnode_id=201903100","ICTVonline=201903100")</f>
        <v>ICTVonline=201903100</v>
      </c>
      <c r="AA3861" s="1">
        <v>201900000</v>
      </c>
      <c r="AB3861" s="1">
        <v>35</v>
      </c>
    </row>
    <row r="3862" spans="1:28" x14ac:dyDescent="0.2">
      <c r="A3862" s="1">
        <v>9885</v>
      </c>
      <c r="B3862" s="1" t="s">
        <v>6839</v>
      </c>
      <c r="D3862" s="1" t="s">
        <v>11735</v>
      </c>
      <c r="F3862" s="1" t="s">
        <v>11930</v>
      </c>
      <c r="H3862" s="1" t="s">
        <v>12574</v>
      </c>
      <c r="J3862" s="1" t="s">
        <v>12575</v>
      </c>
      <c r="L3862" s="1" t="s">
        <v>1126</v>
      </c>
      <c r="N3862" s="1" t="s">
        <v>1127</v>
      </c>
      <c r="P3862" s="1" t="s">
        <v>1164</v>
      </c>
      <c r="Q3862" s="3">
        <v>0</v>
      </c>
      <c r="R3862" s="23" t="s">
        <v>11933</v>
      </c>
      <c r="S3862" s="23" t="s">
        <v>5849</v>
      </c>
      <c r="T3862" s="23" t="s">
        <v>4866</v>
      </c>
      <c r="U3862" s="3">
        <v>35</v>
      </c>
      <c r="W3862" s="45" t="str">
        <f>HYPERLINK("http://ictvonline.org/taxonomy/p/taxonomy-history?taxnode_id=201903101","ICTVonline=201903101")</f>
        <v>ICTVonline=201903101</v>
      </c>
      <c r="AA3862" s="1">
        <v>201900000</v>
      </c>
      <c r="AB3862" s="1">
        <v>35</v>
      </c>
    </row>
    <row r="3863" spans="1:28" x14ac:dyDescent="0.2">
      <c r="A3863" s="1">
        <v>9887</v>
      </c>
      <c r="B3863" s="1" t="s">
        <v>6839</v>
      </c>
      <c r="D3863" s="1" t="s">
        <v>11735</v>
      </c>
      <c r="F3863" s="1" t="s">
        <v>11930</v>
      </c>
      <c r="H3863" s="1" t="s">
        <v>12574</v>
      </c>
      <c r="J3863" s="1" t="s">
        <v>12575</v>
      </c>
      <c r="L3863" s="1" t="s">
        <v>1126</v>
      </c>
      <c r="N3863" s="1" t="s">
        <v>1127</v>
      </c>
      <c r="P3863" s="1" t="s">
        <v>1165</v>
      </c>
      <c r="Q3863" s="3">
        <v>0</v>
      </c>
      <c r="R3863" s="23" t="s">
        <v>11933</v>
      </c>
      <c r="S3863" s="23" t="s">
        <v>5849</v>
      </c>
      <c r="T3863" s="23" t="s">
        <v>4866</v>
      </c>
      <c r="U3863" s="3">
        <v>35</v>
      </c>
      <c r="W3863" s="45" t="str">
        <f>HYPERLINK("http://ictvonline.org/taxonomy/p/taxonomy-history?taxnode_id=201903102","ICTVonline=201903102")</f>
        <v>ICTVonline=201903102</v>
      </c>
      <c r="AA3863" s="1">
        <v>201900000</v>
      </c>
      <c r="AB3863" s="1">
        <v>35</v>
      </c>
    </row>
    <row r="3864" spans="1:28" x14ac:dyDescent="0.2">
      <c r="A3864" s="1">
        <v>9889</v>
      </c>
      <c r="B3864" s="1" t="s">
        <v>6839</v>
      </c>
      <c r="D3864" s="1" t="s">
        <v>11735</v>
      </c>
      <c r="F3864" s="1" t="s">
        <v>11930</v>
      </c>
      <c r="H3864" s="1" t="s">
        <v>12574</v>
      </c>
      <c r="J3864" s="1" t="s">
        <v>12575</v>
      </c>
      <c r="L3864" s="1" t="s">
        <v>1126</v>
      </c>
      <c r="N3864" s="1" t="s">
        <v>1127</v>
      </c>
      <c r="P3864" s="1" t="s">
        <v>716</v>
      </c>
      <c r="Q3864" s="3">
        <v>0</v>
      </c>
      <c r="R3864" s="23" t="s">
        <v>11933</v>
      </c>
      <c r="S3864" s="23" t="s">
        <v>5849</v>
      </c>
      <c r="T3864" s="23" t="s">
        <v>4866</v>
      </c>
      <c r="U3864" s="3">
        <v>35</v>
      </c>
      <c r="W3864" s="45" t="str">
        <f>HYPERLINK("http://ictvonline.org/taxonomy/p/taxonomy-history?taxnode_id=201903103","ICTVonline=201903103")</f>
        <v>ICTVonline=201903103</v>
      </c>
      <c r="AA3864" s="1">
        <v>201900000</v>
      </c>
      <c r="AB3864" s="1">
        <v>35</v>
      </c>
    </row>
    <row r="3865" spans="1:28" x14ac:dyDescent="0.2">
      <c r="A3865" s="1">
        <v>9891</v>
      </c>
      <c r="B3865" s="1" t="s">
        <v>6839</v>
      </c>
      <c r="D3865" s="1" t="s">
        <v>11735</v>
      </c>
      <c r="F3865" s="1" t="s">
        <v>11930</v>
      </c>
      <c r="H3865" s="1" t="s">
        <v>12574</v>
      </c>
      <c r="J3865" s="1" t="s">
        <v>12575</v>
      </c>
      <c r="L3865" s="1" t="s">
        <v>1126</v>
      </c>
      <c r="N3865" s="1" t="s">
        <v>1127</v>
      </c>
      <c r="P3865" s="1" t="s">
        <v>717</v>
      </c>
      <c r="Q3865" s="3">
        <v>0</v>
      </c>
      <c r="R3865" s="23" t="s">
        <v>11933</v>
      </c>
      <c r="S3865" s="23" t="s">
        <v>5849</v>
      </c>
      <c r="T3865" s="23" t="s">
        <v>4866</v>
      </c>
      <c r="U3865" s="3">
        <v>35</v>
      </c>
      <c r="W3865" s="45" t="str">
        <f>HYPERLINK("http://ictvonline.org/taxonomy/p/taxonomy-history?taxnode_id=201903104","ICTVonline=201903104")</f>
        <v>ICTVonline=201903104</v>
      </c>
      <c r="AA3865" s="1">
        <v>201900000</v>
      </c>
      <c r="AB3865" s="1">
        <v>35</v>
      </c>
    </row>
    <row r="3866" spans="1:28" x14ac:dyDescent="0.2">
      <c r="A3866" s="1">
        <v>9893</v>
      </c>
      <c r="B3866" s="1" t="s">
        <v>6839</v>
      </c>
      <c r="D3866" s="1" t="s">
        <v>11735</v>
      </c>
      <c r="F3866" s="1" t="s">
        <v>11930</v>
      </c>
      <c r="H3866" s="1" t="s">
        <v>12574</v>
      </c>
      <c r="J3866" s="1" t="s">
        <v>12575</v>
      </c>
      <c r="L3866" s="1" t="s">
        <v>1126</v>
      </c>
      <c r="N3866" s="1" t="s">
        <v>1127</v>
      </c>
      <c r="P3866" s="1" t="s">
        <v>718</v>
      </c>
      <c r="Q3866" s="3">
        <v>0</v>
      </c>
      <c r="R3866" s="23" t="s">
        <v>11933</v>
      </c>
      <c r="S3866" s="23" t="s">
        <v>5849</v>
      </c>
      <c r="T3866" s="23" t="s">
        <v>4866</v>
      </c>
      <c r="U3866" s="3">
        <v>35</v>
      </c>
      <c r="W3866" s="45" t="str">
        <f>HYPERLINK("http://ictvonline.org/taxonomy/p/taxonomy-history?taxnode_id=201903105","ICTVonline=201903105")</f>
        <v>ICTVonline=201903105</v>
      </c>
      <c r="AA3866" s="1">
        <v>201900000</v>
      </c>
      <c r="AB3866" s="1">
        <v>35</v>
      </c>
    </row>
    <row r="3867" spans="1:28" x14ac:dyDescent="0.2">
      <c r="A3867" s="1">
        <v>9895</v>
      </c>
      <c r="B3867" s="1" t="s">
        <v>6839</v>
      </c>
      <c r="D3867" s="1" t="s">
        <v>11735</v>
      </c>
      <c r="F3867" s="1" t="s">
        <v>11930</v>
      </c>
      <c r="H3867" s="1" t="s">
        <v>12574</v>
      </c>
      <c r="J3867" s="1" t="s">
        <v>12575</v>
      </c>
      <c r="L3867" s="1" t="s">
        <v>1126</v>
      </c>
      <c r="N3867" s="1" t="s">
        <v>1127</v>
      </c>
      <c r="P3867" s="1" t="s">
        <v>719</v>
      </c>
      <c r="Q3867" s="3">
        <v>0</v>
      </c>
      <c r="R3867" s="23" t="s">
        <v>11933</v>
      </c>
      <c r="S3867" s="23" t="s">
        <v>5849</v>
      </c>
      <c r="T3867" s="23" t="s">
        <v>4866</v>
      </c>
      <c r="U3867" s="3">
        <v>35</v>
      </c>
      <c r="W3867" s="45" t="str">
        <f>HYPERLINK("http://ictvonline.org/taxonomy/p/taxonomy-history?taxnode_id=201903106","ICTVonline=201903106")</f>
        <v>ICTVonline=201903106</v>
      </c>
      <c r="AA3867" s="1">
        <v>201900000</v>
      </c>
      <c r="AB3867" s="1">
        <v>35</v>
      </c>
    </row>
    <row r="3868" spans="1:28" x14ac:dyDescent="0.2">
      <c r="A3868" s="1">
        <v>9897</v>
      </c>
      <c r="B3868" s="1" t="s">
        <v>6839</v>
      </c>
      <c r="D3868" s="1" t="s">
        <v>11735</v>
      </c>
      <c r="F3868" s="1" t="s">
        <v>11930</v>
      </c>
      <c r="H3868" s="1" t="s">
        <v>12574</v>
      </c>
      <c r="J3868" s="1" t="s">
        <v>12575</v>
      </c>
      <c r="L3868" s="1" t="s">
        <v>1126</v>
      </c>
      <c r="N3868" s="1" t="s">
        <v>1127</v>
      </c>
      <c r="P3868" s="1" t="s">
        <v>720</v>
      </c>
      <c r="Q3868" s="3">
        <v>0</v>
      </c>
      <c r="R3868" s="23" t="s">
        <v>11933</v>
      </c>
      <c r="S3868" s="23" t="s">
        <v>5849</v>
      </c>
      <c r="T3868" s="23" t="s">
        <v>4866</v>
      </c>
      <c r="U3868" s="3">
        <v>35</v>
      </c>
      <c r="W3868" s="45" t="str">
        <f>HYPERLINK("http://ictvonline.org/taxonomy/p/taxonomy-history?taxnode_id=201903107","ICTVonline=201903107")</f>
        <v>ICTVonline=201903107</v>
      </c>
      <c r="AA3868" s="1">
        <v>201900000</v>
      </c>
      <c r="AB3868" s="1">
        <v>35</v>
      </c>
    </row>
    <row r="3869" spans="1:28" x14ac:dyDescent="0.2">
      <c r="A3869" s="1">
        <v>9899</v>
      </c>
      <c r="B3869" s="1" t="s">
        <v>6839</v>
      </c>
      <c r="D3869" s="1" t="s">
        <v>11735</v>
      </c>
      <c r="F3869" s="1" t="s">
        <v>11930</v>
      </c>
      <c r="H3869" s="1" t="s">
        <v>12574</v>
      </c>
      <c r="J3869" s="1" t="s">
        <v>12575</v>
      </c>
      <c r="L3869" s="1" t="s">
        <v>1126</v>
      </c>
      <c r="N3869" s="1" t="s">
        <v>1127</v>
      </c>
      <c r="P3869" s="1" t="s">
        <v>5286</v>
      </c>
      <c r="Q3869" s="3">
        <v>0</v>
      </c>
      <c r="R3869" s="23" t="s">
        <v>11933</v>
      </c>
      <c r="S3869" s="23" t="s">
        <v>5849</v>
      </c>
      <c r="T3869" s="23" t="s">
        <v>4866</v>
      </c>
      <c r="U3869" s="3">
        <v>35</v>
      </c>
      <c r="W3869" s="45" t="str">
        <f>HYPERLINK("http://ictvonline.org/taxonomy/p/taxonomy-history?taxnode_id=201903112","ICTVonline=201903112")</f>
        <v>ICTVonline=201903112</v>
      </c>
      <c r="AA3869" s="1">
        <v>201900000</v>
      </c>
      <c r="AB3869" s="1">
        <v>35</v>
      </c>
    </row>
    <row r="3870" spans="1:28" x14ac:dyDescent="0.2">
      <c r="A3870" s="1">
        <v>9901</v>
      </c>
      <c r="B3870" s="1" t="s">
        <v>6839</v>
      </c>
      <c r="D3870" s="1" t="s">
        <v>11735</v>
      </c>
      <c r="F3870" s="1" t="s">
        <v>11930</v>
      </c>
      <c r="H3870" s="1" t="s">
        <v>12574</v>
      </c>
      <c r="J3870" s="1" t="s">
        <v>12575</v>
      </c>
      <c r="L3870" s="1" t="s">
        <v>1126</v>
      </c>
      <c r="N3870" s="1" t="s">
        <v>1127</v>
      </c>
      <c r="P3870" s="1" t="s">
        <v>721</v>
      </c>
      <c r="Q3870" s="3">
        <v>0</v>
      </c>
      <c r="R3870" s="23" t="s">
        <v>11933</v>
      </c>
      <c r="S3870" s="23" t="s">
        <v>5849</v>
      </c>
      <c r="T3870" s="23" t="s">
        <v>4866</v>
      </c>
      <c r="U3870" s="3">
        <v>35</v>
      </c>
      <c r="W3870" s="45" t="str">
        <f>HYPERLINK("http://ictvonline.org/taxonomy/p/taxonomy-history?taxnode_id=201903108","ICTVonline=201903108")</f>
        <v>ICTVonline=201903108</v>
      </c>
      <c r="AA3870" s="1">
        <v>201900000</v>
      </c>
      <c r="AB3870" s="1">
        <v>35</v>
      </c>
    </row>
    <row r="3871" spans="1:28" x14ac:dyDescent="0.2">
      <c r="A3871" s="1">
        <v>9903</v>
      </c>
      <c r="B3871" s="1" t="s">
        <v>6839</v>
      </c>
      <c r="D3871" s="1" t="s">
        <v>11735</v>
      </c>
      <c r="F3871" s="1" t="s">
        <v>11930</v>
      </c>
      <c r="H3871" s="1" t="s">
        <v>12574</v>
      </c>
      <c r="J3871" s="1" t="s">
        <v>12575</v>
      </c>
      <c r="L3871" s="1" t="s">
        <v>1126</v>
      </c>
      <c r="N3871" s="1" t="s">
        <v>1127</v>
      </c>
      <c r="P3871" s="1" t="s">
        <v>722</v>
      </c>
      <c r="Q3871" s="3">
        <v>0</v>
      </c>
      <c r="R3871" s="23" t="s">
        <v>11933</v>
      </c>
      <c r="S3871" s="23" t="s">
        <v>5849</v>
      </c>
      <c r="T3871" s="23" t="s">
        <v>4866</v>
      </c>
      <c r="U3871" s="3">
        <v>35</v>
      </c>
      <c r="W3871" s="45" t="str">
        <f>HYPERLINK("http://ictvonline.org/taxonomy/p/taxonomy-history?taxnode_id=201903109","ICTVonline=201903109")</f>
        <v>ICTVonline=201903109</v>
      </c>
      <c r="AA3871" s="1">
        <v>201900000</v>
      </c>
      <c r="AB3871" s="1">
        <v>35</v>
      </c>
    </row>
    <row r="3872" spans="1:28" x14ac:dyDescent="0.2">
      <c r="A3872" s="1">
        <v>9905</v>
      </c>
      <c r="B3872" s="1" t="s">
        <v>6839</v>
      </c>
      <c r="D3872" s="1" t="s">
        <v>11735</v>
      </c>
      <c r="F3872" s="1" t="s">
        <v>11930</v>
      </c>
      <c r="H3872" s="1" t="s">
        <v>12574</v>
      </c>
      <c r="J3872" s="1" t="s">
        <v>12575</v>
      </c>
      <c r="L3872" s="1" t="s">
        <v>1126</v>
      </c>
      <c r="N3872" s="1" t="s">
        <v>1127</v>
      </c>
      <c r="P3872" s="1" t="s">
        <v>1171</v>
      </c>
      <c r="Q3872" s="3">
        <v>0</v>
      </c>
      <c r="R3872" s="23" t="s">
        <v>11933</v>
      </c>
      <c r="S3872" s="23" t="s">
        <v>5849</v>
      </c>
      <c r="T3872" s="23" t="s">
        <v>4866</v>
      </c>
      <c r="U3872" s="3">
        <v>35</v>
      </c>
      <c r="W3872" s="45" t="str">
        <f>HYPERLINK("http://ictvonline.org/taxonomy/p/taxonomy-history?taxnode_id=201903110","ICTVonline=201903110")</f>
        <v>ICTVonline=201903110</v>
      </c>
      <c r="AA3872" s="1">
        <v>201900000</v>
      </c>
      <c r="AB3872" s="1">
        <v>35</v>
      </c>
    </row>
    <row r="3873" spans="1:28" x14ac:dyDescent="0.2">
      <c r="A3873" s="1">
        <v>9907</v>
      </c>
      <c r="B3873" s="1" t="s">
        <v>6839</v>
      </c>
      <c r="D3873" s="1" t="s">
        <v>11735</v>
      </c>
      <c r="F3873" s="1" t="s">
        <v>11930</v>
      </c>
      <c r="H3873" s="1" t="s">
        <v>12574</v>
      </c>
      <c r="J3873" s="1" t="s">
        <v>12575</v>
      </c>
      <c r="L3873" s="1" t="s">
        <v>1126</v>
      </c>
      <c r="N3873" s="1" t="s">
        <v>1127</v>
      </c>
      <c r="P3873" s="1" t="s">
        <v>1172</v>
      </c>
      <c r="Q3873" s="3">
        <v>0</v>
      </c>
      <c r="R3873" s="23" t="s">
        <v>11933</v>
      </c>
      <c r="S3873" s="23" t="s">
        <v>5849</v>
      </c>
      <c r="T3873" s="23" t="s">
        <v>4866</v>
      </c>
      <c r="U3873" s="3">
        <v>35</v>
      </c>
      <c r="W3873" s="45" t="str">
        <f>HYPERLINK("http://ictvonline.org/taxonomy/p/taxonomy-history?taxnode_id=201903111","ICTVonline=201903111")</f>
        <v>ICTVonline=201903111</v>
      </c>
      <c r="AA3873" s="1">
        <v>201900000</v>
      </c>
      <c r="AB3873" s="1">
        <v>35</v>
      </c>
    </row>
    <row r="3874" spans="1:28" x14ac:dyDescent="0.2">
      <c r="A3874" s="1">
        <v>9909</v>
      </c>
      <c r="B3874" s="1" t="s">
        <v>6839</v>
      </c>
      <c r="D3874" s="1" t="s">
        <v>11735</v>
      </c>
      <c r="F3874" s="1" t="s">
        <v>11930</v>
      </c>
      <c r="H3874" s="1" t="s">
        <v>12574</v>
      </c>
      <c r="J3874" s="1" t="s">
        <v>12575</v>
      </c>
      <c r="L3874" s="1" t="s">
        <v>1126</v>
      </c>
      <c r="N3874" s="1" t="s">
        <v>1127</v>
      </c>
      <c r="P3874" s="1" t="s">
        <v>1173</v>
      </c>
      <c r="Q3874" s="3">
        <v>0</v>
      </c>
      <c r="R3874" s="23" t="s">
        <v>11933</v>
      </c>
      <c r="S3874" s="23" t="s">
        <v>5849</v>
      </c>
      <c r="T3874" s="23" t="s">
        <v>4866</v>
      </c>
      <c r="U3874" s="3">
        <v>35</v>
      </c>
      <c r="W3874" s="45" t="str">
        <f>HYPERLINK("http://ictvonline.org/taxonomy/p/taxonomy-history?taxnode_id=201903113","ICTVonline=201903113")</f>
        <v>ICTVonline=201903113</v>
      </c>
      <c r="AA3874" s="1">
        <v>201900000</v>
      </c>
      <c r="AB3874" s="1">
        <v>35</v>
      </c>
    </row>
    <row r="3875" spans="1:28" x14ac:dyDescent="0.2">
      <c r="A3875" s="1">
        <v>9911</v>
      </c>
      <c r="B3875" s="1" t="s">
        <v>6839</v>
      </c>
      <c r="D3875" s="1" t="s">
        <v>11735</v>
      </c>
      <c r="F3875" s="1" t="s">
        <v>11930</v>
      </c>
      <c r="H3875" s="1" t="s">
        <v>12574</v>
      </c>
      <c r="J3875" s="1" t="s">
        <v>12575</v>
      </c>
      <c r="L3875" s="1" t="s">
        <v>1126</v>
      </c>
      <c r="N3875" s="1" t="s">
        <v>1127</v>
      </c>
      <c r="P3875" s="1" t="s">
        <v>1174</v>
      </c>
      <c r="Q3875" s="3">
        <v>0</v>
      </c>
      <c r="R3875" s="23" t="s">
        <v>11933</v>
      </c>
      <c r="S3875" s="23" t="s">
        <v>5849</v>
      </c>
      <c r="T3875" s="23" t="s">
        <v>4866</v>
      </c>
      <c r="U3875" s="3">
        <v>35</v>
      </c>
      <c r="W3875" s="45" t="str">
        <f>HYPERLINK("http://ictvonline.org/taxonomy/p/taxonomy-history?taxnode_id=201903114","ICTVonline=201903114")</f>
        <v>ICTVonline=201903114</v>
      </c>
      <c r="AA3875" s="1">
        <v>201900000</v>
      </c>
      <c r="AB3875" s="1">
        <v>35</v>
      </c>
    </row>
    <row r="3876" spans="1:28" x14ac:dyDescent="0.2">
      <c r="A3876" s="1">
        <v>9913</v>
      </c>
      <c r="B3876" s="1" t="s">
        <v>6839</v>
      </c>
      <c r="D3876" s="1" t="s">
        <v>11735</v>
      </c>
      <c r="F3876" s="1" t="s">
        <v>11930</v>
      </c>
      <c r="H3876" s="1" t="s">
        <v>12574</v>
      </c>
      <c r="J3876" s="1" t="s">
        <v>12575</v>
      </c>
      <c r="L3876" s="1" t="s">
        <v>1126</v>
      </c>
      <c r="N3876" s="1" t="s">
        <v>1127</v>
      </c>
      <c r="P3876" s="1" t="s">
        <v>1175</v>
      </c>
      <c r="Q3876" s="3">
        <v>0</v>
      </c>
      <c r="R3876" s="23" t="s">
        <v>11933</v>
      </c>
      <c r="S3876" s="23" t="s">
        <v>5849</v>
      </c>
      <c r="T3876" s="23" t="s">
        <v>4866</v>
      </c>
      <c r="U3876" s="3">
        <v>35</v>
      </c>
      <c r="W3876" s="45" t="str">
        <f>HYPERLINK("http://ictvonline.org/taxonomy/p/taxonomy-history?taxnode_id=201903115","ICTVonline=201903115")</f>
        <v>ICTVonline=201903115</v>
      </c>
      <c r="AA3876" s="1">
        <v>201900000</v>
      </c>
      <c r="AB3876" s="1">
        <v>35</v>
      </c>
    </row>
    <row r="3877" spans="1:28" x14ac:dyDescent="0.2">
      <c r="A3877" s="1">
        <v>9915</v>
      </c>
      <c r="B3877" s="1" t="s">
        <v>6839</v>
      </c>
      <c r="D3877" s="1" t="s">
        <v>11735</v>
      </c>
      <c r="F3877" s="1" t="s">
        <v>11930</v>
      </c>
      <c r="H3877" s="1" t="s">
        <v>12574</v>
      </c>
      <c r="J3877" s="1" t="s">
        <v>12575</v>
      </c>
      <c r="L3877" s="1" t="s">
        <v>1126</v>
      </c>
      <c r="N3877" s="1" t="s">
        <v>1127</v>
      </c>
      <c r="P3877" s="1" t="s">
        <v>1176</v>
      </c>
      <c r="Q3877" s="3">
        <v>0</v>
      </c>
      <c r="R3877" s="23" t="s">
        <v>11933</v>
      </c>
      <c r="S3877" s="23" t="s">
        <v>5849</v>
      </c>
      <c r="T3877" s="23" t="s">
        <v>4866</v>
      </c>
      <c r="U3877" s="3">
        <v>35</v>
      </c>
      <c r="W3877" s="45" t="str">
        <f>HYPERLINK("http://ictvonline.org/taxonomy/p/taxonomy-history?taxnode_id=201903116","ICTVonline=201903116")</f>
        <v>ICTVonline=201903116</v>
      </c>
      <c r="AA3877" s="1">
        <v>201900000</v>
      </c>
      <c r="AB3877" s="1">
        <v>35</v>
      </c>
    </row>
    <row r="3878" spans="1:28" x14ac:dyDescent="0.2">
      <c r="A3878" s="1">
        <v>9917</v>
      </c>
      <c r="B3878" s="1" t="s">
        <v>6839</v>
      </c>
      <c r="D3878" s="1" t="s">
        <v>11735</v>
      </c>
      <c r="F3878" s="1" t="s">
        <v>11930</v>
      </c>
      <c r="H3878" s="1" t="s">
        <v>12574</v>
      </c>
      <c r="J3878" s="1" t="s">
        <v>12575</v>
      </c>
      <c r="L3878" s="1" t="s">
        <v>1126</v>
      </c>
      <c r="N3878" s="1" t="s">
        <v>1127</v>
      </c>
      <c r="P3878" s="1" t="s">
        <v>1177</v>
      </c>
      <c r="Q3878" s="3">
        <v>0</v>
      </c>
      <c r="R3878" s="23" t="s">
        <v>11933</v>
      </c>
      <c r="S3878" s="23" t="s">
        <v>5849</v>
      </c>
      <c r="T3878" s="23" t="s">
        <v>4866</v>
      </c>
      <c r="U3878" s="3">
        <v>35</v>
      </c>
      <c r="W3878" s="45" t="str">
        <f>HYPERLINK("http://ictvonline.org/taxonomy/p/taxonomy-history?taxnode_id=201903117","ICTVonline=201903117")</f>
        <v>ICTVonline=201903117</v>
      </c>
      <c r="AA3878" s="1">
        <v>201900000</v>
      </c>
      <c r="AB3878" s="1">
        <v>35</v>
      </c>
    </row>
    <row r="3879" spans="1:28" x14ac:dyDescent="0.2">
      <c r="A3879" s="1">
        <v>9919</v>
      </c>
      <c r="B3879" s="1" t="s">
        <v>6839</v>
      </c>
      <c r="D3879" s="1" t="s">
        <v>11735</v>
      </c>
      <c r="F3879" s="1" t="s">
        <v>11930</v>
      </c>
      <c r="H3879" s="1" t="s">
        <v>12574</v>
      </c>
      <c r="J3879" s="1" t="s">
        <v>12575</v>
      </c>
      <c r="L3879" s="1" t="s">
        <v>1126</v>
      </c>
      <c r="N3879" s="1" t="s">
        <v>1127</v>
      </c>
      <c r="P3879" s="1" t="s">
        <v>1178</v>
      </c>
      <c r="Q3879" s="3">
        <v>0</v>
      </c>
      <c r="R3879" s="23" t="s">
        <v>11933</v>
      </c>
      <c r="S3879" s="23" t="s">
        <v>5849</v>
      </c>
      <c r="T3879" s="23" t="s">
        <v>4866</v>
      </c>
      <c r="U3879" s="3">
        <v>35</v>
      </c>
      <c r="W3879" s="45" t="str">
        <f>HYPERLINK("http://ictvonline.org/taxonomy/p/taxonomy-history?taxnode_id=201903118","ICTVonline=201903118")</f>
        <v>ICTVonline=201903118</v>
      </c>
      <c r="AA3879" s="1">
        <v>201900000</v>
      </c>
      <c r="AB3879" s="1">
        <v>35</v>
      </c>
    </row>
    <row r="3880" spans="1:28" x14ac:dyDescent="0.2">
      <c r="A3880" s="1">
        <v>9921</v>
      </c>
      <c r="B3880" s="1" t="s">
        <v>6839</v>
      </c>
      <c r="D3880" s="1" t="s">
        <v>11735</v>
      </c>
      <c r="F3880" s="1" t="s">
        <v>11930</v>
      </c>
      <c r="H3880" s="1" t="s">
        <v>12574</v>
      </c>
      <c r="J3880" s="1" t="s">
        <v>12575</v>
      </c>
      <c r="L3880" s="1" t="s">
        <v>1126</v>
      </c>
      <c r="N3880" s="1" t="s">
        <v>1127</v>
      </c>
      <c r="P3880" s="1" t="s">
        <v>1179</v>
      </c>
      <c r="Q3880" s="3">
        <v>0</v>
      </c>
      <c r="R3880" s="23" t="s">
        <v>11933</v>
      </c>
      <c r="S3880" s="23" t="s">
        <v>5849</v>
      </c>
      <c r="T3880" s="23" t="s">
        <v>4866</v>
      </c>
      <c r="U3880" s="3">
        <v>35</v>
      </c>
      <c r="W3880" s="45" t="str">
        <f>HYPERLINK("http://ictvonline.org/taxonomy/p/taxonomy-history?taxnode_id=201903119","ICTVonline=201903119")</f>
        <v>ICTVonline=201903119</v>
      </c>
      <c r="AA3880" s="1">
        <v>201900000</v>
      </c>
      <c r="AB3880" s="1">
        <v>35</v>
      </c>
    </row>
    <row r="3881" spans="1:28" x14ac:dyDescent="0.2">
      <c r="A3881" s="1">
        <v>9923</v>
      </c>
      <c r="B3881" s="1" t="s">
        <v>6839</v>
      </c>
      <c r="D3881" s="1" t="s">
        <v>11735</v>
      </c>
      <c r="F3881" s="1" t="s">
        <v>11930</v>
      </c>
      <c r="H3881" s="1" t="s">
        <v>12574</v>
      </c>
      <c r="J3881" s="1" t="s">
        <v>12575</v>
      </c>
      <c r="L3881" s="1" t="s">
        <v>1126</v>
      </c>
      <c r="N3881" s="1" t="s">
        <v>1127</v>
      </c>
      <c r="P3881" s="1" t="s">
        <v>1180</v>
      </c>
      <c r="Q3881" s="3">
        <v>0</v>
      </c>
      <c r="R3881" s="23" t="s">
        <v>11933</v>
      </c>
      <c r="S3881" s="23" t="s">
        <v>5849</v>
      </c>
      <c r="T3881" s="23" t="s">
        <v>4866</v>
      </c>
      <c r="U3881" s="3">
        <v>35</v>
      </c>
      <c r="W3881" s="45" t="str">
        <f>HYPERLINK("http://ictvonline.org/taxonomy/p/taxonomy-history?taxnode_id=201903120","ICTVonline=201903120")</f>
        <v>ICTVonline=201903120</v>
      </c>
      <c r="AA3881" s="1">
        <v>201900000</v>
      </c>
      <c r="AB3881" s="1">
        <v>35</v>
      </c>
    </row>
    <row r="3882" spans="1:28" x14ac:dyDescent="0.2">
      <c r="A3882" s="1">
        <v>9925</v>
      </c>
      <c r="B3882" s="1" t="s">
        <v>6839</v>
      </c>
      <c r="D3882" s="1" t="s">
        <v>11735</v>
      </c>
      <c r="F3882" s="1" t="s">
        <v>11930</v>
      </c>
      <c r="H3882" s="1" t="s">
        <v>12574</v>
      </c>
      <c r="J3882" s="1" t="s">
        <v>12575</v>
      </c>
      <c r="L3882" s="1" t="s">
        <v>1126</v>
      </c>
      <c r="N3882" s="1" t="s">
        <v>1127</v>
      </c>
      <c r="P3882" s="1" t="s">
        <v>1181</v>
      </c>
      <c r="Q3882" s="3">
        <v>1</v>
      </c>
      <c r="R3882" s="23" t="s">
        <v>11933</v>
      </c>
      <c r="S3882" s="23" t="s">
        <v>5849</v>
      </c>
      <c r="T3882" s="23" t="s">
        <v>4866</v>
      </c>
      <c r="U3882" s="3">
        <v>35</v>
      </c>
      <c r="W3882" s="45" t="str">
        <f>HYPERLINK("http://ictvonline.org/taxonomy/p/taxonomy-history?taxnode_id=201903121","ICTVonline=201903121")</f>
        <v>ICTVonline=201903121</v>
      </c>
      <c r="AA3882" s="1">
        <v>201900000</v>
      </c>
      <c r="AB3882" s="1">
        <v>35</v>
      </c>
    </row>
    <row r="3883" spans="1:28" x14ac:dyDescent="0.2">
      <c r="A3883" s="1">
        <v>9927</v>
      </c>
      <c r="B3883" s="1" t="s">
        <v>6839</v>
      </c>
      <c r="D3883" s="1" t="s">
        <v>11735</v>
      </c>
      <c r="F3883" s="1" t="s">
        <v>11930</v>
      </c>
      <c r="H3883" s="1" t="s">
        <v>12574</v>
      </c>
      <c r="J3883" s="1" t="s">
        <v>12575</v>
      </c>
      <c r="L3883" s="1" t="s">
        <v>1126</v>
      </c>
      <c r="N3883" s="1" t="s">
        <v>1127</v>
      </c>
      <c r="P3883" s="1" t="s">
        <v>1182</v>
      </c>
      <c r="Q3883" s="3">
        <v>0</v>
      </c>
      <c r="R3883" s="23" t="s">
        <v>11933</v>
      </c>
      <c r="S3883" s="23" t="s">
        <v>5849</v>
      </c>
      <c r="T3883" s="23" t="s">
        <v>4866</v>
      </c>
      <c r="U3883" s="3">
        <v>35</v>
      </c>
      <c r="W3883" s="45" t="str">
        <f>HYPERLINK("http://ictvonline.org/taxonomy/p/taxonomy-history?taxnode_id=201903122","ICTVonline=201903122")</f>
        <v>ICTVonline=201903122</v>
      </c>
      <c r="AA3883" s="1">
        <v>201900000</v>
      </c>
      <c r="AB3883" s="1">
        <v>35</v>
      </c>
    </row>
    <row r="3884" spans="1:28" x14ac:dyDescent="0.2">
      <c r="A3884" s="1">
        <v>9929</v>
      </c>
      <c r="B3884" s="1" t="s">
        <v>6839</v>
      </c>
      <c r="D3884" s="1" t="s">
        <v>11735</v>
      </c>
      <c r="F3884" s="1" t="s">
        <v>11930</v>
      </c>
      <c r="H3884" s="1" t="s">
        <v>12574</v>
      </c>
      <c r="J3884" s="1" t="s">
        <v>12575</v>
      </c>
      <c r="L3884" s="1" t="s">
        <v>1126</v>
      </c>
      <c r="N3884" s="1" t="s">
        <v>1127</v>
      </c>
      <c r="P3884" s="1" t="s">
        <v>1183</v>
      </c>
      <c r="Q3884" s="3">
        <v>0</v>
      </c>
      <c r="R3884" s="23" t="s">
        <v>11933</v>
      </c>
      <c r="S3884" s="23" t="s">
        <v>5849</v>
      </c>
      <c r="T3884" s="23" t="s">
        <v>4866</v>
      </c>
      <c r="U3884" s="3">
        <v>35</v>
      </c>
      <c r="W3884" s="45" t="str">
        <f>HYPERLINK("http://ictvonline.org/taxonomy/p/taxonomy-history?taxnode_id=201903123","ICTVonline=201903123")</f>
        <v>ICTVonline=201903123</v>
      </c>
      <c r="AA3884" s="1">
        <v>201900000</v>
      </c>
      <c r="AB3884" s="1">
        <v>35</v>
      </c>
    </row>
    <row r="3885" spans="1:28" x14ac:dyDescent="0.2">
      <c r="A3885" s="1">
        <v>9933</v>
      </c>
      <c r="B3885" s="1" t="s">
        <v>6839</v>
      </c>
      <c r="D3885" s="1" t="s">
        <v>11735</v>
      </c>
      <c r="F3885" s="1" t="s">
        <v>11930</v>
      </c>
      <c r="H3885" s="1" t="s">
        <v>12574</v>
      </c>
      <c r="J3885" s="1" t="s">
        <v>12575</v>
      </c>
      <c r="L3885" s="1" t="s">
        <v>1126</v>
      </c>
      <c r="N3885" s="1" t="s">
        <v>1184</v>
      </c>
      <c r="P3885" s="1" t="s">
        <v>4622</v>
      </c>
      <c r="Q3885" s="3">
        <v>0</v>
      </c>
      <c r="R3885" s="23" t="s">
        <v>11933</v>
      </c>
      <c r="S3885" s="23" t="s">
        <v>5849</v>
      </c>
      <c r="T3885" s="23" t="s">
        <v>4866</v>
      </c>
      <c r="U3885" s="3">
        <v>35</v>
      </c>
      <c r="W3885" s="45" t="str">
        <f>HYPERLINK("http://ictvonline.org/taxonomy/p/taxonomy-history?taxnode_id=201903125","ICTVonline=201903125")</f>
        <v>ICTVonline=201903125</v>
      </c>
      <c r="Y3885" s="1" t="s">
        <v>12576</v>
      </c>
      <c r="Z3885" s="1" t="s">
        <v>12577</v>
      </c>
      <c r="AA3885" s="1">
        <v>201900000</v>
      </c>
      <c r="AB3885" s="1">
        <v>35</v>
      </c>
    </row>
    <row r="3886" spans="1:28" x14ac:dyDescent="0.2">
      <c r="A3886" s="1">
        <v>9935</v>
      </c>
      <c r="B3886" s="1" t="s">
        <v>6839</v>
      </c>
      <c r="D3886" s="1" t="s">
        <v>11735</v>
      </c>
      <c r="F3886" s="1" t="s">
        <v>11930</v>
      </c>
      <c r="H3886" s="1" t="s">
        <v>12574</v>
      </c>
      <c r="J3886" s="1" t="s">
        <v>12575</v>
      </c>
      <c r="L3886" s="1" t="s">
        <v>1126</v>
      </c>
      <c r="N3886" s="1" t="s">
        <v>1184</v>
      </c>
      <c r="P3886" s="1" t="s">
        <v>4623</v>
      </c>
      <c r="Q3886" s="3">
        <v>0</v>
      </c>
      <c r="R3886" s="23" t="s">
        <v>11933</v>
      </c>
      <c r="S3886" s="23" t="s">
        <v>5849</v>
      </c>
      <c r="T3886" s="23" t="s">
        <v>4866</v>
      </c>
      <c r="U3886" s="3">
        <v>35</v>
      </c>
      <c r="W3886" s="45" t="str">
        <f>HYPERLINK("http://ictvonline.org/taxonomy/p/taxonomy-history?taxnode_id=201903126","ICTVonline=201903126")</f>
        <v>ICTVonline=201903126</v>
      </c>
      <c r="Y3886" s="1" t="s">
        <v>12578</v>
      </c>
      <c r="Z3886" s="1" t="s">
        <v>12579</v>
      </c>
      <c r="AA3886" s="1">
        <v>201900000</v>
      </c>
      <c r="AB3886" s="1">
        <v>35</v>
      </c>
    </row>
    <row r="3887" spans="1:28" x14ac:dyDescent="0.2">
      <c r="A3887" s="1">
        <v>9937</v>
      </c>
      <c r="B3887" s="1" t="s">
        <v>6839</v>
      </c>
      <c r="D3887" s="1" t="s">
        <v>11735</v>
      </c>
      <c r="F3887" s="1" t="s">
        <v>11930</v>
      </c>
      <c r="H3887" s="1" t="s">
        <v>12574</v>
      </c>
      <c r="J3887" s="1" t="s">
        <v>12575</v>
      </c>
      <c r="L3887" s="1" t="s">
        <v>1126</v>
      </c>
      <c r="N3887" s="1" t="s">
        <v>1184</v>
      </c>
      <c r="P3887" s="1" t="s">
        <v>4924</v>
      </c>
      <c r="Q3887" s="3">
        <v>1</v>
      </c>
      <c r="R3887" s="23" t="s">
        <v>11933</v>
      </c>
      <c r="S3887" s="23" t="s">
        <v>5849</v>
      </c>
      <c r="T3887" s="23" t="s">
        <v>4866</v>
      </c>
      <c r="U3887" s="3">
        <v>35</v>
      </c>
      <c r="W3887" s="45" t="str">
        <f>HYPERLINK("http://ictvonline.org/taxonomy/p/taxonomy-history?taxnode_id=201903127","ICTVonline=201903127")</f>
        <v>ICTVonline=201903127</v>
      </c>
      <c r="AA3887" s="1">
        <v>201900000</v>
      </c>
      <c r="AB3887" s="1">
        <v>35</v>
      </c>
    </row>
    <row r="3888" spans="1:28" x14ac:dyDescent="0.2">
      <c r="A3888" s="1">
        <v>9939</v>
      </c>
      <c r="B3888" s="1" t="s">
        <v>6839</v>
      </c>
      <c r="D3888" s="1" t="s">
        <v>11735</v>
      </c>
      <c r="F3888" s="1" t="s">
        <v>11930</v>
      </c>
      <c r="H3888" s="1" t="s">
        <v>12574</v>
      </c>
      <c r="J3888" s="1" t="s">
        <v>12575</v>
      </c>
      <c r="L3888" s="1" t="s">
        <v>1126</v>
      </c>
      <c r="N3888" s="1" t="s">
        <v>1184</v>
      </c>
      <c r="P3888" s="1" t="s">
        <v>4624</v>
      </c>
      <c r="Q3888" s="3">
        <v>0</v>
      </c>
      <c r="R3888" s="23" t="s">
        <v>11933</v>
      </c>
      <c r="S3888" s="23" t="s">
        <v>5849</v>
      </c>
      <c r="T3888" s="23" t="s">
        <v>4866</v>
      </c>
      <c r="U3888" s="3">
        <v>35</v>
      </c>
      <c r="W3888" s="45" t="str">
        <f>HYPERLINK("http://ictvonline.org/taxonomy/p/taxonomy-history?taxnode_id=201903128","ICTVonline=201903128")</f>
        <v>ICTVonline=201903128</v>
      </c>
      <c r="Y3888" s="1" t="s">
        <v>12580</v>
      </c>
      <c r="Z3888" s="1" t="s">
        <v>12581</v>
      </c>
      <c r="AA3888" s="1">
        <v>201900000</v>
      </c>
      <c r="AB3888" s="1">
        <v>35</v>
      </c>
    </row>
    <row r="3889" spans="1:28" x14ac:dyDescent="0.2">
      <c r="A3889" s="1">
        <v>9941</v>
      </c>
      <c r="B3889" s="1" t="s">
        <v>6839</v>
      </c>
      <c r="D3889" s="1" t="s">
        <v>11735</v>
      </c>
      <c r="F3889" s="1" t="s">
        <v>11930</v>
      </c>
      <c r="H3889" s="1" t="s">
        <v>12574</v>
      </c>
      <c r="J3889" s="1" t="s">
        <v>12575</v>
      </c>
      <c r="L3889" s="1" t="s">
        <v>1126</v>
      </c>
      <c r="N3889" s="1" t="s">
        <v>1184</v>
      </c>
      <c r="P3889" s="1" t="s">
        <v>4625</v>
      </c>
      <c r="Q3889" s="3">
        <v>0</v>
      </c>
      <c r="R3889" s="23" t="s">
        <v>11933</v>
      </c>
      <c r="S3889" s="23" t="s">
        <v>5849</v>
      </c>
      <c r="T3889" s="23" t="s">
        <v>4866</v>
      </c>
      <c r="U3889" s="3">
        <v>35</v>
      </c>
      <c r="W3889" s="45" t="str">
        <f>HYPERLINK("http://ictvonline.org/taxonomy/p/taxonomy-history?taxnode_id=201903129","ICTVonline=201903129")</f>
        <v>ICTVonline=201903129</v>
      </c>
      <c r="Y3889" s="1" t="s">
        <v>12582</v>
      </c>
      <c r="Z3889" s="1" t="s">
        <v>12583</v>
      </c>
      <c r="AA3889" s="1">
        <v>201900000</v>
      </c>
      <c r="AB3889" s="1">
        <v>35</v>
      </c>
    </row>
    <row r="3890" spans="1:28" x14ac:dyDescent="0.2">
      <c r="A3890" s="1">
        <v>9943</v>
      </c>
      <c r="B3890" s="1" t="s">
        <v>6839</v>
      </c>
      <c r="D3890" s="1" t="s">
        <v>11735</v>
      </c>
      <c r="F3890" s="1" t="s">
        <v>11930</v>
      </c>
      <c r="H3890" s="1" t="s">
        <v>12574</v>
      </c>
      <c r="J3890" s="1" t="s">
        <v>12575</v>
      </c>
      <c r="L3890" s="1" t="s">
        <v>1126</v>
      </c>
      <c r="N3890" s="1" t="s">
        <v>1184</v>
      </c>
      <c r="P3890" s="1" t="s">
        <v>4626</v>
      </c>
      <c r="Q3890" s="3">
        <v>0</v>
      </c>
      <c r="R3890" s="23" t="s">
        <v>11933</v>
      </c>
      <c r="S3890" s="23" t="s">
        <v>5849</v>
      </c>
      <c r="T3890" s="23" t="s">
        <v>4866</v>
      </c>
      <c r="U3890" s="3">
        <v>35</v>
      </c>
      <c r="W3890" s="45" t="str">
        <f>HYPERLINK("http://ictvonline.org/taxonomy/p/taxonomy-history?taxnode_id=201903130","ICTVonline=201903130")</f>
        <v>ICTVonline=201903130</v>
      </c>
      <c r="Y3890" s="1" t="s">
        <v>12584</v>
      </c>
      <c r="Z3890" s="1" t="s">
        <v>12585</v>
      </c>
      <c r="AA3890" s="1">
        <v>201900000</v>
      </c>
      <c r="AB3890" s="1">
        <v>35</v>
      </c>
    </row>
    <row r="3891" spans="1:28" x14ac:dyDescent="0.2">
      <c r="A3891" s="1">
        <v>9945</v>
      </c>
      <c r="B3891" s="1" t="s">
        <v>6839</v>
      </c>
      <c r="D3891" s="1" t="s">
        <v>11735</v>
      </c>
      <c r="F3891" s="1" t="s">
        <v>11930</v>
      </c>
      <c r="H3891" s="1" t="s">
        <v>12574</v>
      </c>
      <c r="J3891" s="1" t="s">
        <v>12575</v>
      </c>
      <c r="L3891" s="1" t="s">
        <v>1126</v>
      </c>
      <c r="N3891" s="1" t="s">
        <v>1184</v>
      </c>
      <c r="P3891" s="1" t="s">
        <v>4627</v>
      </c>
      <c r="Q3891" s="3">
        <v>0</v>
      </c>
      <c r="R3891" s="23" t="s">
        <v>11933</v>
      </c>
      <c r="S3891" s="23" t="s">
        <v>5849</v>
      </c>
      <c r="T3891" s="23" t="s">
        <v>4866</v>
      </c>
      <c r="U3891" s="3">
        <v>35</v>
      </c>
      <c r="W3891" s="45" t="str">
        <f>HYPERLINK("http://ictvonline.org/taxonomy/p/taxonomy-history?taxnode_id=201903131","ICTVonline=201903131")</f>
        <v>ICTVonline=201903131</v>
      </c>
      <c r="Y3891" s="1" t="s">
        <v>12586</v>
      </c>
      <c r="Z3891" s="1" t="s">
        <v>12587</v>
      </c>
      <c r="AA3891" s="1">
        <v>201900000</v>
      </c>
      <c r="AB3891" s="1">
        <v>35</v>
      </c>
    </row>
    <row r="3892" spans="1:28" x14ac:dyDescent="0.2">
      <c r="A3892" s="1">
        <v>9947</v>
      </c>
      <c r="B3892" s="1" t="s">
        <v>6839</v>
      </c>
      <c r="D3892" s="1" t="s">
        <v>11735</v>
      </c>
      <c r="F3892" s="1" t="s">
        <v>11930</v>
      </c>
      <c r="H3892" s="1" t="s">
        <v>12574</v>
      </c>
      <c r="J3892" s="1" t="s">
        <v>12575</v>
      </c>
      <c r="L3892" s="1" t="s">
        <v>1126</v>
      </c>
      <c r="N3892" s="1" t="s">
        <v>1184</v>
      </c>
      <c r="P3892" s="1" t="s">
        <v>4628</v>
      </c>
      <c r="Q3892" s="3">
        <v>0</v>
      </c>
      <c r="R3892" s="23" t="s">
        <v>11933</v>
      </c>
      <c r="S3892" s="23" t="s">
        <v>5849</v>
      </c>
      <c r="T3892" s="23" t="s">
        <v>4866</v>
      </c>
      <c r="U3892" s="3">
        <v>35</v>
      </c>
      <c r="W3892" s="45" t="str">
        <f>HYPERLINK("http://ictvonline.org/taxonomy/p/taxonomy-history?taxnode_id=201903132","ICTVonline=201903132")</f>
        <v>ICTVonline=201903132</v>
      </c>
      <c r="Y3892" s="1" t="s">
        <v>12588</v>
      </c>
      <c r="Z3892" s="1" t="s">
        <v>12589</v>
      </c>
      <c r="AA3892" s="1">
        <v>201900000</v>
      </c>
      <c r="AB3892" s="1">
        <v>35</v>
      </c>
    </row>
    <row r="3893" spans="1:28" x14ac:dyDescent="0.2">
      <c r="A3893" s="1">
        <v>9949</v>
      </c>
      <c r="B3893" s="1" t="s">
        <v>6839</v>
      </c>
      <c r="D3893" s="1" t="s">
        <v>11735</v>
      </c>
      <c r="F3893" s="1" t="s">
        <v>11930</v>
      </c>
      <c r="H3893" s="1" t="s">
        <v>12574</v>
      </c>
      <c r="J3893" s="1" t="s">
        <v>12575</v>
      </c>
      <c r="L3893" s="1" t="s">
        <v>1126</v>
      </c>
      <c r="N3893" s="1" t="s">
        <v>1184</v>
      </c>
      <c r="P3893" s="1" t="s">
        <v>4629</v>
      </c>
      <c r="Q3893" s="3">
        <v>0</v>
      </c>
      <c r="R3893" s="23" t="s">
        <v>11933</v>
      </c>
      <c r="S3893" s="23" t="s">
        <v>5849</v>
      </c>
      <c r="T3893" s="23" t="s">
        <v>4866</v>
      </c>
      <c r="U3893" s="3">
        <v>35</v>
      </c>
      <c r="W3893" s="45" t="str">
        <f>HYPERLINK("http://ictvonline.org/taxonomy/p/taxonomy-history?taxnode_id=201903133","ICTVonline=201903133")</f>
        <v>ICTVonline=201903133</v>
      </c>
      <c r="Y3893" s="1" t="s">
        <v>12590</v>
      </c>
      <c r="Z3893" s="1" t="s">
        <v>12591</v>
      </c>
      <c r="AA3893" s="1">
        <v>201900000</v>
      </c>
      <c r="AB3893" s="1">
        <v>35</v>
      </c>
    </row>
    <row r="3894" spans="1:28" x14ac:dyDescent="0.2">
      <c r="A3894" s="1">
        <v>9951</v>
      </c>
      <c r="B3894" s="1" t="s">
        <v>6839</v>
      </c>
      <c r="D3894" s="1" t="s">
        <v>11735</v>
      </c>
      <c r="F3894" s="1" t="s">
        <v>11930</v>
      </c>
      <c r="H3894" s="1" t="s">
        <v>12574</v>
      </c>
      <c r="J3894" s="1" t="s">
        <v>12575</v>
      </c>
      <c r="L3894" s="1" t="s">
        <v>1126</v>
      </c>
      <c r="N3894" s="1" t="s">
        <v>1184</v>
      </c>
      <c r="P3894" s="1" t="s">
        <v>4630</v>
      </c>
      <c r="Q3894" s="3">
        <v>0</v>
      </c>
      <c r="R3894" s="23" t="s">
        <v>11933</v>
      </c>
      <c r="S3894" s="23" t="s">
        <v>5849</v>
      </c>
      <c r="T3894" s="23" t="s">
        <v>4866</v>
      </c>
      <c r="U3894" s="3">
        <v>35</v>
      </c>
      <c r="W3894" s="45" t="str">
        <f>HYPERLINK("http://ictvonline.org/taxonomy/p/taxonomy-history?taxnode_id=201903134","ICTVonline=201903134")</f>
        <v>ICTVonline=201903134</v>
      </c>
      <c r="Y3894" s="1" t="s">
        <v>12592</v>
      </c>
      <c r="Z3894" s="1" t="s">
        <v>12593</v>
      </c>
      <c r="AA3894" s="1">
        <v>201900000</v>
      </c>
      <c r="AB3894" s="1">
        <v>35</v>
      </c>
    </row>
    <row r="3895" spans="1:28" x14ac:dyDescent="0.2">
      <c r="A3895" s="1">
        <v>9953</v>
      </c>
      <c r="B3895" s="1" t="s">
        <v>6839</v>
      </c>
      <c r="D3895" s="1" t="s">
        <v>11735</v>
      </c>
      <c r="F3895" s="1" t="s">
        <v>11930</v>
      </c>
      <c r="H3895" s="1" t="s">
        <v>12574</v>
      </c>
      <c r="J3895" s="1" t="s">
        <v>12575</v>
      </c>
      <c r="L3895" s="1" t="s">
        <v>1126</v>
      </c>
      <c r="N3895" s="1" t="s">
        <v>1184</v>
      </c>
      <c r="P3895" s="1" t="s">
        <v>4631</v>
      </c>
      <c r="Q3895" s="3">
        <v>0</v>
      </c>
      <c r="R3895" s="23" t="s">
        <v>11933</v>
      </c>
      <c r="S3895" s="23" t="s">
        <v>5849</v>
      </c>
      <c r="T3895" s="23" t="s">
        <v>4866</v>
      </c>
      <c r="U3895" s="3">
        <v>35</v>
      </c>
      <c r="W3895" s="45" t="str">
        <f>HYPERLINK("http://ictvonline.org/taxonomy/p/taxonomy-history?taxnode_id=201903135","ICTVonline=201903135")</f>
        <v>ICTVonline=201903135</v>
      </c>
      <c r="Y3895" s="1" t="s">
        <v>12594</v>
      </c>
      <c r="Z3895" s="1" t="s">
        <v>12595</v>
      </c>
      <c r="AA3895" s="1">
        <v>201900000</v>
      </c>
      <c r="AB3895" s="1">
        <v>35</v>
      </c>
    </row>
    <row r="3896" spans="1:28" x14ac:dyDescent="0.2">
      <c r="A3896" s="1">
        <v>9955</v>
      </c>
      <c r="B3896" s="1" t="s">
        <v>6839</v>
      </c>
      <c r="D3896" s="1" t="s">
        <v>11735</v>
      </c>
      <c r="F3896" s="1" t="s">
        <v>11930</v>
      </c>
      <c r="H3896" s="1" t="s">
        <v>12574</v>
      </c>
      <c r="J3896" s="1" t="s">
        <v>12575</v>
      </c>
      <c r="L3896" s="1" t="s">
        <v>1126</v>
      </c>
      <c r="N3896" s="1" t="s">
        <v>1184</v>
      </c>
      <c r="P3896" s="1" t="s">
        <v>4632</v>
      </c>
      <c r="Q3896" s="3">
        <v>0</v>
      </c>
      <c r="R3896" s="23" t="s">
        <v>11933</v>
      </c>
      <c r="S3896" s="23" t="s">
        <v>5849</v>
      </c>
      <c r="T3896" s="23" t="s">
        <v>4866</v>
      </c>
      <c r="U3896" s="3">
        <v>35</v>
      </c>
      <c r="W3896" s="45" t="str">
        <f>HYPERLINK("http://ictvonline.org/taxonomy/p/taxonomy-history?taxnode_id=201903136","ICTVonline=201903136")</f>
        <v>ICTVonline=201903136</v>
      </c>
      <c r="Y3896" s="1" t="s">
        <v>12596</v>
      </c>
      <c r="Z3896" s="1" t="s">
        <v>12597</v>
      </c>
      <c r="AA3896" s="1">
        <v>201900000</v>
      </c>
      <c r="AB3896" s="1">
        <v>35</v>
      </c>
    </row>
    <row r="3897" spans="1:28" x14ac:dyDescent="0.2">
      <c r="A3897" s="1">
        <v>9957</v>
      </c>
      <c r="B3897" s="1" t="s">
        <v>6839</v>
      </c>
      <c r="D3897" s="1" t="s">
        <v>11735</v>
      </c>
      <c r="F3897" s="1" t="s">
        <v>11930</v>
      </c>
      <c r="H3897" s="1" t="s">
        <v>12574</v>
      </c>
      <c r="J3897" s="1" t="s">
        <v>12575</v>
      </c>
      <c r="L3897" s="1" t="s">
        <v>1126</v>
      </c>
      <c r="N3897" s="1" t="s">
        <v>1184</v>
      </c>
      <c r="P3897" s="1" t="s">
        <v>4633</v>
      </c>
      <c r="Q3897" s="3">
        <v>0</v>
      </c>
      <c r="R3897" s="23" t="s">
        <v>11933</v>
      </c>
      <c r="S3897" s="23" t="s">
        <v>5849</v>
      </c>
      <c r="T3897" s="23" t="s">
        <v>4866</v>
      </c>
      <c r="U3897" s="3">
        <v>35</v>
      </c>
      <c r="W3897" s="45" t="str">
        <f>HYPERLINK("http://ictvonline.org/taxonomy/p/taxonomy-history?taxnode_id=201903137","ICTVonline=201903137")</f>
        <v>ICTVonline=201903137</v>
      </c>
      <c r="Y3897" s="1" t="s">
        <v>12598</v>
      </c>
      <c r="Z3897" s="1" t="s">
        <v>12599</v>
      </c>
      <c r="AA3897" s="1">
        <v>201900000</v>
      </c>
      <c r="AB3897" s="1">
        <v>35</v>
      </c>
    </row>
    <row r="3898" spans="1:28" x14ac:dyDescent="0.2">
      <c r="A3898" s="1">
        <v>9959</v>
      </c>
      <c r="B3898" s="1" t="s">
        <v>6839</v>
      </c>
      <c r="D3898" s="1" t="s">
        <v>11735</v>
      </c>
      <c r="F3898" s="1" t="s">
        <v>11930</v>
      </c>
      <c r="H3898" s="1" t="s">
        <v>12574</v>
      </c>
      <c r="J3898" s="1" t="s">
        <v>12575</v>
      </c>
      <c r="L3898" s="1" t="s">
        <v>1126</v>
      </c>
      <c r="N3898" s="1" t="s">
        <v>1184</v>
      </c>
      <c r="P3898" s="1" t="s">
        <v>4634</v>
      </c>
      <c r="Q3898" s="3">
        <v>0</v>
      </c>
      <c r="R3898" s="23" t="s">
        <v>11933</v>
      </c>
      <c r="S3898" s="23" t="s">
        <v>5849</v>
      </c>
      <c r="T3898" s="23" t="s">
        <v>4866</v>
      </c>
      <c r="U3898" s="3">
        <v>35</v>
      </c>
      <c r="W3898" s="45" t="str">
        <f>HYPERLINK("http://ictvonline.org/taxonomy/p/taxonomy-history?taxnode_id=201903138","ICTVonline=201903138")</f>
        <v>ICTVonline=201903138</v>
      </c>
      <c r="Y3898" s="1" t="s">
        <v>12600</v>
      </c>
      <c r="Z3898" s="1" t="s">
        <v>12601</v>
      </c>
      <c r="AA3898" s="1">
        <v>201900000</v>
      </c>
      <c r="AB3898" s="1">
        <v>35</v>
      </c>
    </row>
    <row r="3899" spans="1:28" x14ac:dyDescent="0.2">
      <c r="A3899" s="1">
        <v>9963</v>
      </c>
      <c r="B3899" s="1" t="s">
        <v>6839</v>
      </c>
      <c r="D3899" s="1" t="s">
        <v>11735</v>
      </c>
      <c r="F3899" s="1" t="s">
        <v>11930</v>
      </c>
      <c r="H3899" s="1" t="s">
        <v>12574</v>
      </c>
      <c r="J3899" s="1" t="s">
        <v>12575</v>
      </c>
      <c r="L3899" s="1" t="s">
        <v>1126</v>
      </c>
      <c r="N3899" s="1" t="s">
        <v>2216</v>
      </c>
      <c r="P3899" s="1" t="s">
        <v>2217</v>
      </c>
      <c r="Q3899" s="3">
        <v>1</v>
      </c>
      <c r="R3899" s="23" t="s">
        <v>11933</v>
      </c>
      <c r="S3899" s="23" t="s">
        <v>5849</v>
      </c>
      <c r="T3899" s="23" t="s">
        <v>4866</v>
      </c>
      <c r="U3899" s="3">
        <v>35</v>
      </c>
      <c r="W3899" s="45" t="str">
        <f>HYPERLINK("http://ictvonline.org/taxonomy/p/taxonomy-history?taxnode_id=201903140","ICTVonline=201903140")</f>
        <v>ICTVonline=201903140</v>
      </c>
      <c r="AA3899" s="1">
        <v>201900000</v>
      </c>
      <c r="AB3899" s="1">
        <v>35</v>
      </c>
    </row>
    <row r="3900" spans="1:28" x14ac:dyDescent="0.2">
      <c r="A3900" s="1">
        <v>9965</v>
      </c>
      <c r="B3900" s="1" t="s">
        <v>6839</v>
      </c>
      <c r="D3900" s="1" t="s">
        <v>11735</v>
      </c>
      <c r="F3900" s="1" t="s">
        <v>11930</v>
      </c>
      <c r="H3900" s="1" t="s">
        <v>12574</v>
      </c>
      <c r="J3900" s="1" t="s">
        <v>12575</v>
      </c>
      <c r="L3900" s="1" t="s">
        <v>1126</v>
      </c>
      <c r="N3900" s="1" t="s">
        <v>2216</v>
      </c>
      <c r="P3900" s="1" t="s">
        <v>2218</v>
      </c>
      <c r="Q3900" s="3">
        <v>0</v>
      </c>
      <c r="R3900" s="23" t="s">
        <v>11933</v>
      </c>
      <c r="S3900" s="23" t="s">
        <v>5849</v>
      </c>
      <c r="T3900" s="23" t="s">
        <v>4866</v>
      </c>
      <c r="U3900" s="3">
        <v>35</v>
      </c>
      <c r="W3900" s="45" t="str">
        <f>HYPERLINK("http://ictvonline.org/taxonomy/p/taxonomy-history?taxnode_id=201903141","ICTVonline=201903141")</f>
        <v>ICTVonline=201903141</v>
      </c>
      <c r="AA3900" s="1">
        <v>201900000</v>
      </c>
      <c r="AB3900" s="1">
        <v>35</v>
      </c>
    </row>
    <row r="3901" spans="1:28" x14ac:dyDescent="0.2">
      <c r="A3901" s="1">
        <v>9967</v>
      </c>
      <c r="B3901" s="1" t="s">
        <v>6839</v>
      </c>
      <c r="D3901" s="1" t="s">
        <v>11735</v>
      </c>
      <c r="F3901" s="1" t="s">
        <v>11930</v>
      </c>
      <c r="H3901" s="1" t="s">
        <v>12574</v>
      </c>
      <c r="J3901" s="1" t="s">
        <v>12575</v>
      </c>
      <c r="L3901" s="1" t="s">
        <v>1126</v>
      </c>
      <c r="N3901" s="1" t="s">
        <v>2216</v>
      </c>
      <c r="P3901" s="1" t="s">
        <v>4635</v>
      </c>
      <c r="Q3901" s="3">
        <v>0</v>
      </c>
      <c r="R3901" s="23" t="s">
        <v>11933</v>
      </c>
      <c r="S3901" s="23" t="s">
        <v>5849</v>
      </c>
      <c r="T3901" s="23" t="s">
        <v>4866</v>
      </c>
      <c r="U3901" s="3">
        <v>35</v>
      </c>
      <c r="W3901" s="45" t="str">
        <f>HYPERLINK("http://ictvonline.org/taxonomy/p/taxonomy-history?taxnode_id=201903142","ICTVonline=201903142")</f>
        <v>ICTVonline=201903142</v>
      </c>
      <c r="Y3901" s="1" t="s">
        <v>12602</v>
      </c>
      <c r="Z3901" s="1" t="s">
        <v>12603</v>
      </c>
      <c r="AA3901" s="1">
        <v>201900000</v>
      </c>
      <c r="AB3901" s="1">
        <v>35</v>
      </c>
    </row>
    <row r="3902" spans="1:28" x14ac:dyDescent="0.2">
      <c r="A3902" s="1">
        <v>9969</v>
      </c>
      <c r="B3902" s="1" t="s">
        <v>6839</v>
      </c>
      <c r="D3902" s="1" t="s">
        <v>11735</v>
      </c>
      <c r="F3902" s="1" t="s">
        <v>11930</v>
      </c>
      <c r="H3902" s="1" t="s">
        <v>12574</v>
      </c>
      <c r="J3902" s="1" t="s">
        <v>12575</v>
      </c>
      <c r="L3902" s="1" t="s">
        <v>1126</v>
      </c>
      <c r="N3902" s="1" t="s">
        <v>2216</v>
      </c>
      <c r="P3902" s="1" t="s">
        <v>4636</v>
      </c>
      <c r="Q3902" s="3">
        <v>0</v>
      </c>
      <c r="R3902" s="23" t="s">
        <v>11933</v>
      </c>
      <c r="S3902" s="23" t="s">
        <v>5849</v>
      </c>
      <c r="T3902" s="23" t="s">
        <v>4866</v>
      </c>
      <c r="U3902" s="3">
        <v>35</v>
      </c>
      <c r="W3902" s="45" t="str">
        <f>HYPERLINK("http://ictvonline.org/taxonomy/p/taxonomy-history?taxnode_id=201903143","ICTVonline=201903143")</f>
        <v>ICTVonline=201903143</v>
      </c>
      <c r="Y3902" s="1" t="s">
        <v>12604</v>
      </c>
      <c r="Z3902" s="1" t="s">
        <v>12605</v>
      </c>
      <c r="AA3902" s="1">
        <v>201900000</v>
      </c>
      <c r="AB3902" s="1">
        <v>35</v>
      </c>
    </row>
    <row r="3903" spans="1:28" x14ac:dyDescent="0.2">
      <c r="A3903" s="1">
        <v>9971</v>
      </c>
      <c r="B3903" s="1" t="s">
        <v>6839</v>
      </c>
      <c r="D3903" s="1" t="s">
        <v>11735</v>
      </c>
      <c r="F3903" s="1" t="s">
        <v>11930</v>
      </c>
      <c r="H3903" s="1" t="s">
        <v>12574</v>
      </c>
      <c r="J3903" s="1" t="s">
        <v>12575</v>
      </c>
      <c r="L3903" s="1" t="s">
        <v>1126</v>
      </c>
      <c r="N3903" s="1" t="s">
        <v>2216</v>
      </c>
      <c r="P3903" s="1" t="s">
        <v>4637</v>
      </c>
      <c r="Q3903" s="3">
        <v>0</v>
      </c>
      <c r="R3903" s="23" t="s">
        <v>11933</v>
      </c>
      <c r="S3903" s="23" t="s">
        <v>5849</v>
      </c>
      <c r="T3903" s="23" t="s">
        <v>4866</v>
      </c>
      <c r="U3903" s="3">
        <v>35</v>
      </c>
      <c r="W3903" s="45" t="str">
        <f>HYPERLINK("http://ictvonline.org/taxonomy/p/taxonomy-history?taxnode_id=201903144","ICTVonline=201903144")</f>
        <v>ICTVonline=201903144</v>
      </c>
      <c r="Y3903" s="1" t="s">
        <v>12606</v>
      </c>
      <c r="Z3903" s="1" t="s">
        <v>12607</v>
      </c>
      <c r="AA3903" s="1">
        <v>201900000</v>
      </c>
      <c r="AB3903" s="1">
        <v>35</v>
      </c>
    </row>
    <row r="3904" spans="1:28" x14ac:dyDescent="0.2">
      <c r="A3904" s="1">
        <v>9973</v>
      </c>
      <c r="B3904" s="1" t="s">
        <v>6839</v>
      </c>
      <c r="D3904" s="1" t="s">
        <v>11735</v>
      </c>
      <c r="F3904" s="1" t="s">
        <v>11930</v>
      </c>
      <c r="H3904" s="1" t="s">
        <v>12574</v>
      </c>
      <c r="J3904" s="1" t="s">
        <v>12575</v>
      </c>
      <c r="L3904" s="1" t="s">
        <v>1126</v>
      </c>
      <c r="N3904" s="1" t="s">
        <v>2216</v>
      </c>
      <c r="P3904" s="1" t="s">
        <v>4638</v>
      </c>
      <c r="Q3904" s="3">
        <v>0</v>
      </c>
      <c r="R3904" s="23" t="s">
        <v>11933</v>
      </c>
      <c r="S3904" s="23" t="s">
        <v>5849</v>
      </c>
      <c r="T3904" s="23" t="s">
        <v>4866</v>
      </c>
      <c r="U3904" s="3">
        <v>35</v>
      </c>
      <c r="W3904" s="45" t="str">
        <f>HYPERLINK("http://ictvonline.org/taxonomy/p/taxonomy-history?taxnode_id=201903145","ICTVonline=201903145")</f>
        <v>ICTVonline=201903145</v>
      </c>
      <c r="Y3904" s="1" t="s">
        <v>12608</v>
      </c>
      <c r="Z3904" s="1" t="s">
        <v>12609</v>
      </c>
      <c r="AA3904" s="1">
        <v>201900000</v>
      </c>
      <c r="AB3904" s="1">
        <v>35</v>
      </c>
    </row>
    <row r="3905" spans="1:28" x14ac:dyDescent="0.2">
      <c r="A3905" s="1">
        <v>9975</v>
      </c>
      <c r="B3905" s="1" t="s">
        <v>6839</v>
      </c>
      <c r="D3905" s="1" t="s">
        <v>11735</v>
      </c>
      <c r="F3905" s="1" t="s">
        <v>11930</v>
      </c>
      <c r="H3905" s="1" t="s">
        <v>12574</v>
      </c>
      <c r="J3905" s="1" t="s">
        <v>12575</v>
      </c>
      <c r="L3905" s="1" t="s">
        <v>1126</v>
      </c>
      <c r="N3905" s="1" t="s">
        <v>2216</v>
      </c>
      <c r="P3905" s="1" t="s">
        <v>4639</v>
      </c>
      <c r="Q3905" s="3">
        <v>0</v>
      </c>
      <c r="R3905" s="23" t="s">
        <v>11933</v>
      </c>
      <c r="S3905" s="23" t="s">
        <v>5849</v>
      </c>
      <c r="T3905" s="23" t="s">
        <v>4866</v>
      </c>
      <c r="U3905" s="3">
        <v>35</v>
      </c>
      <c r="W3905" s="45" t="str">
        <f>HYPERLINK("http://ictvonline.org/taxonomy/p/taxonomy-history?taxnode_id=201903146","ICTVonline=201903146")</f>
        <v>ICTVonline=201903146</v>
      </c>
      <c r="Y3905" s="1" t="s">
        <v>12610</v>
      </c>
      <c r="Z3905" s="1" t="s">
        <v>12611</v>
      </c>
      <c r="AA3905" s="1">
        <v>201900000</v>
      </c>
      <c r="AB3905" s="1">
        <v>35</v>
      </c>
    </row>
    <row r="3906" spans="1:28" x14ac:dyDescent="0.2">
      <c r="A3906" s="1">
        <v>9977</v>
      </c>
      <c r="B3906" s="1" t="s">
        <v>6839</v>
      </c>
      <c r="D3906" s="1" t="s">
        <v>11735</v>
      </c>
      <c r="F3906" s="1" t="s">
        <v>11930</v>
      </c>
      <c r="H3906" s="1" t="s">
        <v>12574</v>
      </c>
      <c r="J3906" s="1" t="s">
        <v>12575</v>
      </c>
      <c r="L3906" s="1" t="s">
        <v>1126</v>
      </c>
      <c r="N3906" s="1" t="s">
        <v>2216</v>
      </c>
      <c r="P3906" s="1" t="s">
        <v>4640</v>
      </c>
      <c r="Q3906" s="3">
        <v>0</v>
      </c>
      <c r="R3906" s="23" t="s">
        <v>11933</v>
      </c>
      <c r="S3906" s="23" t="s">
        <v>5849</v>
      </c>
      <c r="T3906" s="23" t="s">
        <v>4866</v>
      </c>
      <c r="U3906" s="3">
        <v>35</v>
      </c>
      <c r="W3906" s="45" t="str">
        <f>HYPERLINK("http://ictvonline.org/taxonomy/p/taxonomy-history?taxnode_id=201903147","ICTVonline=201903147")</f>
        <v>ICTVonline=201903147</v>
      </c>
      <c r="Y3906" s="1" t="s">
        <v>12612</v>
      </c>
      <c r="Z3906" s="1" t="s">
        <v>12613</v>
      </c>
      <c r="AA3906" s="1">
        <v>201900000</v>
      </c>
      <c r="AB3906" s="1">
        <v>35</v>
      </c>
    </row>
    <row r="3907" spans="1:28" x14ac:dyDescent="0.2">
      <c r="A3907" s="1">
        <v>9979</v>
      </c>
      <c r="B3907" s="1" t="s">
        <v>6839</v>
      </c>
      <c r="D3907" s="1" t="s">
        <v>11735</v>
      </c>
      <c r="F3907" s="1" t="s">
        <v>11930</v>
      </c>
      <c r="H3907" s="1" t="s">
        <v>12574</v>
      </c>
      <c r="J3907" s="1" t="s">
        <v>12575</v>
      </c>
      <c r="L3907" s="1" t="s">
        <v>1126</v>
      </c>
      <c r="N3907" s="1" t="s">
        <v>2216</v>
      </c>
      <c r="P3907" s="1" t="s">
        <v>4641</v>
      </c>
      <c r="Q3907" s="3">
        <v>0</v>
      </c>
      <c r="R3907" s="23" t="s">
        <v>11933</v>
      </c>
      <c r="S3907" s="23" t="s">
        <v>5849</v>
      </c>
      <c r="T3907" s="23" t="s">
        <v>4866</v>
      </c>
      <c r="U3907" s="3">
        <v>35</v>
      </c>
      <c r="W3907" s="45" t="str">
        <f>HYPERLINK("http://ictvonline.org/taxonomy/p/taxonomy-history?taxnode_id=201903148","ICTVonline=201903148")</f>
        <v>ICTVonline=201903148</v>
      </c>
      <c r="Y3907" s="1" t="s">
        <v>12614</v>
      </c>
      <c r="Z3907" s="1" t="s">
        <v>12615</v>
      </c>
      <c r="AA3907" s="1">
        <v>201900000</v>
      </c>
      <c r="AB3907" s="1">
        <v>35</v>
      </c>
    </row>
    <row r="3908" spans="1:28" x14ac:dyDescent="0.2">
      <c r="A3908" s="1">
        <v>9981</v>
      </c>
      <c r="B3908" s="1" t="s">
        <v>6839</v>
      </c>
      <c r="D3908" s="1" t="s">
        <v>11735</v>
      </c>
      <c r="F3908" s="1" t="s">
        <v>11930</v>
      </c>
      <c r="H3908" s="1" t="s">
        <v>12574</v>
      </c>
      <c r="J3908" s="1" t="s">
        <v>12575</v>
      </c>
      <c r="L3908" s="1" t="s">
        <v>1126</v>
      </c>
      <c r="N3908" s="1" t="s">
        <v>2216</v>
      </c>
      <c r="P3908" s="1" t="s">
        <v>4642</v>
      </c>
      <c r="Q3908" s="3">
        <v>0</v>
      </c>
      <c r="R3908" s="23" t="s">
        <v>11933</v>
      </c>
      <c r="S3908" s="23" t="s">
        <v>5849</v>
      </c>
      <c r="T3908" s="23" t="s">
        <v>4866</v>
      </c>
      <c r="U3908" s="3">
        <v>35</v>
      </c>
      <c r="W3908" s="45" t="str">
        <f>HYPERLINK("http://ictvonline.org/taxonomy/p/taxonomy-history?taxnode_id=201903149","ICTVonline=201903149")</f>
        <v>ICTVonline=201903149</v>
      </c>
      <c r="Y3908" s="1" t="s">
        <v>12616</v>
      </c>
      <c r="Z3908" s="1" t="s">
        <v>12617</v>
      </c>
      <c r="AA3908" s="1">
        <v>201900000</v>
      </c>
      <c r="AB3908" s="1">
        <v>35</v>
      </c>
    </row>
    <row r="3909" spans="1:28" x14ac:dyDescent="0.2">
      <c r="A3909" s="1">
        <v>9983</v>
      </c>
      <c r="B3909" s="1" t="s">
        <v>6839</v>
      </c>
      <c r="D3909" s="1" t="s">
        <v>11735</v>
      </c>
      <c r="F3909" s="1" t="s">
        <v>11930</v>
      </c>
      <c r="H3909" s="1" t="s">
        <v>12574</v>
      </c>
      <c r="J3909" s="1" t="s">
        <v>12575</v>
      </c>
      <c r="L3909" s="1" t="s">
        <v>1126</v>
      </c>
      <c r="N3909" s="1" t="s">
        <v>2216</v>
      </c>
      <c r="P3909" s="1" t="s">
        <v>4643</v>
      </c>
      <c r="Q3909" s="3">
        <v>0</v>
      </c>
      <c r="R3909" s="23" t="s">
        <v>11933</v>
      </c>
      <c r="S3909" s="23" t="s">
        <v>5849</v>
      </c>
      <c r="T3909" s="23" t="s">
        <v>4866</v>
      </c>
      <c r="U3909" s="3">
        <v>35</v>
      </c>
      <c r="W3909" s="45" t="str">
        <f>HYPERLINK("http://ictvonline.org/taxonomy/p/taxonomy-history?taxnode_id=201903150","ICTVonline=201903150")</f>
        <v>ICTVonline=201903150</v>
      </c>
      <c r="Y3909" s="1" t="s">
        <v>12618</v>
      </c>
      <c r="Z3909" s="1" t="s">
        <v>12619</v>
      </c>
      <c r="AA3909" s="1">
        <v>201900000</v>
      </c>
      <c r="AB3909" s="1">
        <v>35</v>
      </c>
    </row>
    <row r="3910" spans="1:28" x14ac:dyDescent="0.2">
      <c r="A3910" s="1">
        <v>9987</v>
      </c>
      <c r="B3910" s="1" t="s">
        <v>6839</v>
      </c>
      <c r="D3910" s="1" t="s">
        <v>11735</v>
      </c>
      <c r="F3910" s="1" t="s">
        <v>11930</v>
      </c>
      <c r="H3910" s="1" t="s">
        <v>12574</v>
      </c>
      <c r="J3910" s="1" t="s">
        <v>12575</v>
      </c>
      <c r="L3910" s="1" t="s">
        <v>1126</v>
      </c>
      <c r="N3910" s="1" t="s">
        <v>1185</v>
      </c>
      <c r="P3910" s="1" t="s">
        <v>5287</v>
      </c>
      <c r="Q3910" s="3">
        <v>1</v>
      </c>
      <c r="R3910" s="23" t="s">
        <v>11933</v>
      </c>
      <c r="S3910" s="23" t="s">
        <v>5849</v>
      </c>
      <c r="T3910" s="23" t="s">
        <v>4866</v>
      </c>
      <c r="U3910" s="3">
        <v>35</v>
      </c>
      <c r="W3910" s="45" t="str">
        <f>HYPERLINK("http://ictvonline.org/taxonomy/p/taxonomy-history?taxnode_id=201903153","ICTVonline=201903153")</f>
        <v>ICTVonline=201903153</v>
      </c>
      <c r="AA3910" s="1">
        <v>201900000</v>
      </c>
      <c r="AB3910" s="1">
        <v>35</v>
      </c>
    </row>
    <row r="3911" spans="1:28" x14ac:dyDescent="0.2">
      <c r="A3911" s="1">
        <v>9989</v>
      </c>
      <c r="B3911" s="1" t="s">
        <v>6839</v>
      </c>
      <c r="D3911" s="1" t="s">
        <v>11735</v>
      </c>
      <c r="F3911" s="1" t="s">
        <v>11930</v>
      </c>
      <c r="H3911" s="1" t="s">
        <v>12574</v>
      </c>
      <c r="J3911" s="1" t="s">
        <v>12575</v>
      </c>
      <c r="L3911" s="1" t="s">
        <v>1126</v>
      </c>
      <c r="N3911" s="1" t="s">
        <v>1185</v>
      </c>
      <c r="P3911" s="1" t="s">
        <v>5288</v>
      </c>
      <c r="Q3911" s="3">
        <v>0</v>
      </c>
      <c r="R3911" s="23" t="s">
        <v>11933</v>
      </c>
      <c r="S3911" s="23" t="s">
        <v>5849</v>
      </c>
      <c r="T3911" s="23" t="s">
        <v>4866</v>
      </c>
      <c r="U3911" s="3">
        <v>35</v>
      </c>
      <c r="W3911" s="45" t="str">
        <f>HYPERLINK("http://ictvonline.org/taxonomy/p/taxonomy-history?taxnode_id=201903154","ICTVonline=201903154")</f>
        <v>ICTVonline=201903154</v>
      </c>
      <c r="AA3911" s="1">
        <v>201900000</v>
      </c>
      <c r="AB3911" s="1">
        <v>35</v>
      </c>
    </row>
    <row r="3912" spans="1:28" x14ac:dyDescent="0.2">
      <c r="A3912" s="1">
        <v>9991</v>
      </c>
      <c r="B3912" s="1" t="s">
        <v>6839</v>
      </c>
      <c r="D3912" s="1" t="s">
        <v>11735</v>
      </c>
      <c r="F3912" s="1" t="s">
        <v>11930</v>
      </c>
      <c r="H3912" s="1" t="s">
        <v>12574</v>
      </c>
      <c r="J3912" s="1" t="s">
        <v>12575</v>
      </c>
      <c r="L3912" s="1" t="s">
        <v>1126</v>
      </c>
      <c r="N3912" s="1" t="s">
        <v>1185</v>
      </c>
      <c r="P3912" s="1" t="s">
        <v>5289</v>
      </c>
      <c r="Q3912" s="3">
        <v>0</v>
      </c>
      <c r="R3912" s="23" t="s">
        <v>11933</v>
      </c>
      <c r="S3912" s="23" t="s">
        <v>5849</v>
      </c>
      <c r="T3912" s="23" t="s">
        <v>4866</v>
      </c>
      <c r="U3912" s="3">
        <v>35</v>
      </c>
      <c r="W3912" s="45" t="str">
        <f>HYPERLINK("http://ictvonline.org/taxonomy/p/taxonomy-history?taxnode_id=201903155","ICTVonline=201903155")</f>
        <v>ICTVonline=201903155</v>
      </c>
      <c r="AA3912" s="1">
        <v>201900000</v>
      </c>
      <c r="AB3912" s="1">
        <v>35</v>
      </c>
    </row>
    <row r="3913" spans="1:28" x14ac:dyDescent="0.2">
      <c r="A3913" s="1">
        <v>9993</v>
      </c>
      <c r="B3913" s="1" t="s">
        <v>6839</v>
      </c>
      <c r="D3913" s="1" t="s">
        <v>11735</v>
      </c>
      <c r="F3913" s="1" t="s">
        <v>11930</v>
      </c>
      <c r="H3913" s="1" t="s">
        <v>12574</v>
      </c>
      <c r="J3913" s="1" t="s">
        <v>12575</v>
      </c>
      <c r="L3913" s="1" t="s">
        <v>1126</v>
      </c>
      <c r="N3913" s="1" t="s">
        <v>1185</v>
      </c>
      <c r="P3913" s="1" t="s">
        <v>5290</v>
      </c>
      <c r="Q3913" s="3">
        <v>0</v>
      </c>
      <c r="R3913" s="23" t="s">
        <v>11933</v>
      </c>
      <c r="S3913" s="23" t="s">
        <v>5849</v>
      </c>
      <c r="T3913" s="23" t="s">
        <v>4866</v>
      </c>
      <c r="U3913" s="3">
        <v>35</v>
      </c>
      <c r="W3913" s="45" t="str">
        <f>HYPERLINK("http://ictvonline.org/taxonomy/p/taxonomy-history?taxnode_id=201903152","ICTVonline=201903152")</f>
        <v>ICTVonline=201903152</v>
      </c>
      <c r="AA3913" s="1">
        <v>201900000</v>
      </c>
      <c r="AB3913" s="1">
        <v>35</v>
      </c>
    </row>
    <row r="3914" spans="1:28" x14ac:dyDescent="0.2">
      <c r="A3914" s="1">
        <v>9995</v>
      </c>
      <c r="B3914" s="1" t="s">
        <v>6839</v>
      </c>
      <c r="D3914" s="1" t="s">
        <v>11735</v>
      </c>
      <c r="F3914" s="1" t="s">
        <v>11930</v>
      </c>
      <c r="H3914" s="1" t="s">
        <v>12574</v>
      </c>
      <c r="J3914" s="1" t="s">
        <v>12575</v>
      </c>
      <c r="L3914" s="1" t="s">
        <v>1126</v>
      </c>
      <c r="N3914" s="1" t="s">
        <v>1185</v>
      </c>
      <c r="P3914" s="1" t="s">
        <v>5291</v>
      </c>
      <c r="Q3914" s="3">
        <v>0</v>
      </c>
      <c r="R3914" s="23" t="s">
        <v>11933</v>
      </c>
      <c r="S3914" s="23" t="s">
        <v>5849</v>
      </c>
      <c r="T3914" s="23" t="s">
        <v>4866</v>
      </c>
      <c r="U3914" s="3">
        <v>35</v>
      </c>
      <c r="W3914" s="45" t="str">
        <f>HYPERLINK("http://ictvonline.org/taxonomy/p/taxonomy-history?taxnode_id=201905780","ICTVonline=201905780")</f>
        <v>ICTVonline=201905780</v>
      </c>
      <c r="AA3914" s="1">
        <v>201900000</v>
      </c>
      <c r="AB3914" s="1">
        <v>35</v>
      </c>
    </row>
    <row r="3915" spans="1:28" x14ac:dyDescent="0.2">
      <c r="A3915" s="1">
        <v>9997</v>
      </c>
      <c r="B3915" s="1" t="s">
        <v>6839</v>
      </c>
      <c r="D3915" s="1" t="s">
        <v>11735</v>
      </c>
      <c r="F3915" s="1" t="s">
        <v>11930</v>
      </c>
      <c r="H3915" s="1" t="s">
        <v>12574</v>
      </c>
      <c r="J3915" s="1" t="s">
        <v>12575</v>
      </c>
      <c r="L3915" s="1" t="s">
        <v>1126</v>
      </c>
      <c r="N3915" s="1" t="s">
        <v>1185</v>
      </c>
      <c r="P3915" s="1" t="s">
        <v>5292</v>
      </c>
      <c r="Q3915" s="3">
        <v>0</v>
      </c>
      <c r="R3915" s="23" t="s">
        <v>11933</v>
      </c>
      <c r="S3915" s="23" t="s">
        <v>5849</v>
      </c>
      <c r="T3915" s="23" t="s">
        <v>4866</v>
      </c>
      <c r="U3915" s="3">
        <v>35</v>
      </c>
      <c r="W3915" s="45" t="str">
        <f>HYPERLINK("http://ictvonline.org/taxonomy/p/taxonomy-history?taxnode_id=201905781","ICTVonline=201905781")</f>
        <v>ICTVonline=201905781</v>
      </c>
      <c r="AA3915" s="1">
        <v>201900000</v>
      </c>
      <c r="AB3915" s="1">
        <v>35</v>
      </c>
    </row>
    <row r="3916" spans="1:28" x14ac:dyDescent="0.2">
      <c r="A3916" s="1">
        <v>9999</v>
      </c>
      <c r="B3916" s="1" t="s">
        <v>6839</v>
      </c>
      <c r="D3916" s="1" t="s">
        <v>11735</v>
      </c>
      <c r="F3916" s="1" t="s">
        <v>11930</v>
      </c>
      <c r="H3916" s="1" t="s">
        <v>12574</v>
      </c>
      <c r="J3916" s="1" t="s">
        <v>12575</v>
      </c>
      <c r="L3916" s="1" t="s">
        <v>1126</v>
      </c>
      <c r="N3916" s="1" t="s">
        <v>1185</v>
      </c>
      <c r="P3916" s="1" t="s">
        <v>5293</v>
      </c>
      <c r="Q3916" s="3">
        <v>0</v>
      </c>
      <c r="R3916" s="23" t="s">
        <v>11933</v>
      </c>
      <c r="S3916" s="23" t="s">
        <v>5849</v>
      </c>
      <c r="T3916" s="23" t="s">
        <v>4866</v>
      </c>
      <c r="U3916" s="3">
        <v>35</v>
      </c>
      <c r="W3916" s="45" t="str">
        <f>HYPERLINK("http://ictvonline.org/taxonomy/p/taxonomy-history?taxnode_id=201905782","ICTVonline=201905782")</f>
        <v>ICTVonline=201905782</v>
      </c>
      <c r="AA3916" s="1">
        <v>201900000</v>
      </c>
      <c r="AB3916" s="1">
        <v>35</v>
      </c>
    </row>
    <row r="3917" spans="1:28" x14ac:dyDescent="0.2">
      <c r="A3917" s="1">
        <v>10001</v>
      </c>
      <c r="B3917" s="1" t="s">
        <v>6839</v>
      </c>
      <c r="D3917" s="1" t="s">
        <v>11735</v>
      </c>
      <c r="F3917" s="1" t="s">
        <v>11930</v>
      </c>
      <c r="H3917" s="1" t="s">
        <v>12574</v>
      </c>
      <c r="J3917" s="1" t="s">
        <v>12575</v>
      </c>
      <c r="L3917" s="1" t="s">
        <v>1126</v>
      </c>
      <c r="N3917" s="1" t="s">
        <v>1185</v>
      </c>
      <c r="P3917" s="1" t="s">
        <v>5294</v>
      </c>
      <c r="Q3917" s="3">
        <v>0</v>
      </c>
      <c r="R3917" s="23" t="s">
        <v>11933</v>
      </c>
      <c r="S3917" s="23" t="s">
        <v>5849</v>
      </c>
      <c r="T3917" s="23" t="s">
        <v>4866</v>
      </c>
      <c r="U3917" s="3">
        <v>35</v>
      </c>
      <c r="W3917" s="45" t="str">
        <f>HYPERLINK("http://ictvonline.org/taxonomy/p/taxonomy-history?taxnode_id=201905783","ICTVonline=201905783")</f>
        <v>ICTVonline=201905783</v>
      </c>
      <c r="AA3917" s="1">
        <v>201900000</v>
      </c>
      <c r="AB3917" s="1">
        <v>35</v>
      </c>
    </row>
    <row r="3918" spans="1:28" x14ac:dyDescent="0.2">
      <c r="A3918" s="1">
        <v>10003</v>
      </c>
      <c r="B3918" s="1" t="s">
        <v>6839</v>
      </c>
      <c r="D3918" s="1" t="s">
        <v>11735</v>
      </c>
      <c r="F3918" s="1" t="s">
        <v>11930</v>
      </c>
      <c r="H3918" s="1" t="s">
        <v>12574</v>
      </c>
      <c r="J3918" s="1" t="s">
        <v>12575</v>
      </c>
      <c r="L3918" s="1" t="s">
        <v>1126</v>
      </c>
      <c r="N3918" s="1" t="s">
        <v>1185</v>
      </c>
      <c r="P3918" s="1" t="s">
        <v>5295</v>
      </c>
      <c r="Q3918" s="3">
        <v>0</v>
      </c>
      <c r="R3918" s="23" t="s">
        <v>11933</v>
      </c>
      <c r="S3918" s="23" t="s">
        <v>5849</v>
      </c>
      <c r="T3918" s="23" t="s">
        <v>4866</v>
      </c>
      <c r="U3918" s="3">
        <v>35</v>
      </c>
      <c r="W3918" s="45" t="str">
        <f>HYPERLINK("http://ictvonline.org/taxonomy/p/taxonomy-history?taxnode_id=201905784","ICTVonline=201905784")</f>
        <v>ICTVonline=201905784</v>
      </c>
      <c r="AA3918" s="1">
        <v>201900000</v>
      </c>
      <c r="AB3918" s="1">
        <v>35</v>
      </c>
    </row>
    <row r="3919" spans="1:28" x14ac:dyDescent="0.2">
      <c r="A3919" s="1">
        <v>10005</v>
      </c>
      <c r="B3919" s="1" t="s">
        <v>6839</v>
      </c>
      <c r="D3919" s="1" t="s">
        <v>11735</v>
      </c>
      <c r="F3919" s="1" t="s">
        <v>11930</v>
      </c>
      <c r="H3919" s="1" t="s">
        <v>12574</v>
      </c>
      <c r="J3919" s="1" t="s">
        <v>12575</v>
      </c>
      <c r="L3919" s="1" t="s">
        <v>1126</v>
      </c>
      <c r="N3919" s="1" t="s">
        <v>1185</v>
      </c>
      <c r="P3919" s="1" t="s">
        <v>5296</v>
      </c>
      <c r="Q3919" s="3">
        <v>0</v>
      </c>
      <c r="R3919" s="23" t="s">
        <v>11933</v>
      </c>
      <c r="S3919" s="23" t="s">
        <v>5849</v>
      </c>
      <c r="T3919" s="23" t="s">
        <v>4866</v>
      </c>
      <c r="U3919" s="3">
        <v>35</v>
      </c>
      <c r="W3919" s="45" t="str">
        <f>HYPERLINK("http://ictvonline.org/taxonomy/p/taxonomy-history?taxnode_id=201905785","ICTVonline=201905785")</f>
        <v>ICTVonline=201905785</v>
      </c>
      <c r="AA3919" s="1">
        <v>201900000</v>
      </c>
      <c r="AB3919" s="1">
        <v>35</v>
      </c>
    </row>
    <row r="3920" spans="1:28" x14ac:dyDescent="0.2">
      <c r="A3920" s="1">
        <v>10007</v>
      </c>
      <c r="B3920" s="1" t="s">
        <v>6839</v>
      </c>
      <c r="D3920" s="1" t="s">
        <v>11735</v>
      </c>
      <c r="F3920" s="1" t="s">
        <v>11930</v>
      </c>
      <c r="H3920" s="1" t="s">
        <v>12574</v>
      </c>
      <c r="J3920" s="1" t="s">
        <v>12575</v>
      </c>
      <c r="L3920" s="1" t="s">
        <v>1126</v>
      </c>
      <c r="N3920" s="1" t="s">
        <v>1185</v>
      </c>
      <c r="P3920" s="1" t="s">
        <v>5297</v>
      </c>
      <c r="Q3920" s="3">
        <v>0</v>
      </c>
      <c r="R3920" s="23" t="s">
        <v>11933</v>
      </c>
      <c r="S3920" s="23" t="s">
        <v>5849</v>
      </c>
      <c r="T3920" s="23" t="s">
        <v>4866</v>
      </c>
      <c r="U3920" s="3">
        <v>35</v>
      </c>
      <c r="W3920" s="45" t="str">
        <f>HYPERLINK("http://ictvonline.org/taxonomy/p/taxonomy-history?taxnode_id=201905786","ICTVonline=201905786")</f>
        <v>ICTVonline=201905786</v>
      </c>
      <c r="AA3920" s="1">
        <v>201900000</v>
      </c>
      <c r="AB3920" s="1">
        <v>35</v>
      </c>
    </row>
    <row r="3921" spans="1:28" x14ac:dyDescent="0.2">
      <c r="A3921" s="1">
        <v>10017</v>
      </c>
      <c r="B3921" s="1" t="s">
        <v>6839</v>
      </c>
      <c r="D3921" s="1" t="s">
        <v>11735</v>
      </c>
      <c r="F3921" s="1" t="s">
        <v>11930</v>
      </c>
      <c r="H3921" s="1" t="s">
        <v>12620</v>
      </c>
      <c r="J3921" s="1" t="s">
        <v>12621</v>
      </c>
      <c r="L3921" s="1" t="s">
        <v>1088</v>
      </c>
      <c r="N3921" s="1" t="s">
        <v>1089</v>
      </c>
      <c r="P3921" s="1" t="s">
        <v>1090</v>
      </c>
      <c r="Q3921" s="3">
        <v>0</v>
      </c>
      <c r="R3921" s="23" t="s">
        <v>11933</v>
      </c>
      <c r="S3921" s="23" t="s">
        <v>5849</v>
      </c>
      <c r="T3921" s="23" t="s">
        <v>4866</v>
      </c>
      <c r="U3921" s="3">
        <v>35</v>
      </c>
      <c r="W3921" s="45" t="str">
        <f>HYPERLINK("http://ictvonline.org/taxonomy/p/taxonomy-history?taxnode_id=201903926","ICTVonline=201903926")</f>
        <v>ICTVonline=201903926</v>
      </c>
      <c r="AA3921" s="1">
        <v>201900000</v>
      </c>
      <c r="AB3921" s="1">
        <v>35</v>
      </c>
    </row>
    <row r="3922" spans="1:28" x14ac:dyDescent="0.2">
      <c r="A3922" s="1">
        <v>10019</v>
      </c>
      <c r="B3922" s="1" t="s">
        <v>6839</v>
      </c>
      <c r="D3922" s="1" t="s">
        <v>11735</v>
      </c>
      <c r="F3922" s="1" t="s">
        <v>11930</v>
      </c>
      <c r="H3922" s="1" t="s">
        <v>12620</v>
      </c>
      <c r="J3922" s="1" t="s">
        <v>12621</v>
      </c>
      <c r="L3922" s="1" t="s">
        <v>1088</v>
      </c>
      <c r="N3922" s="1" t="s">
        <v>1089</v>
      </c>
      <c r="P3922" s="1" t="s">
        <v>1091</v>
      </c>
      <c r="Q3922" s="3">
        <v>0</v>
      </c>
      <c r="R3922" s="23" t="s">
        <v>11933</v>
      </c>
      <c r="S3922" s="23" t="s">
        <v>5849</v>
      </c>
      <c r="T3922" s="23" t="s">
        <v>4866</v>
      </c>
      <c r="U3922" s="3">
        <v>35</v>
      </c>
      <c r="W3922" s="45" t="str">
        <f>HYPERLINK("http://ictvonline.org/taxonomy/p/taxonomy-history?taxnode_id=201903927","ICTVonline=201903927")</f>
        <v>ICTVonline=201903927</v>
      </c>
      <c r="AA3922" s="1">
        <v>201900000</v>
      </c>
      <c r="AB3922" s="1">
        <v>35</v>
      </c>
    </row>
    <row r="3923" spans="1:28" x14ac:dyDescent="0.2">
      <c r="A3923" s="1">
        <v>10021</v>
      </c>
      <c r="B3923" s="1" t="s">
        <v>6839</v>
      </c>
      <c r="D3923" s="1" t="s">
        <v>11735</v>
      </c>
      <c r="F3923" s="1" t="s">
        <v>11930</v>
      </c>
      <c r="H3923" s="1" t="s">
        <v>12620</v>
      </c>
      <c r="J3923" s="1" t="s">
        <v>12621</v>
      </c>
      <c r="L3923" s="1" t="s">
        <v>1088</v>
      </c>
      <c r="N3923" s="1" t="s">
        <v>1089</v>
      </c>
      <c r="P3923" s="1" t="s">
        <v>1092</v>
      </c>
      <c r="Q3923" s="3">
        <v>0</v>
      </c>
      <c r="R3923" s="23" t="s">
        <v>11933</v>
      </c>
      <c r="S3923" s="23" t="s">
        <v>5849</v>
      </c>
      <c r="T3923" s="23" t="s">
        <v>4866</v>
      </c>
      <c r="U3923" s="3">
        <v>35</v>
      </c>
      <c r="W3923" s="45" t="str">
        <f>HYPERLINK("http://ictvonline.org/taxonomy/p/taxonomy-history?taxnode_id=201903928","ICTVonline=201903928")</f>
        <v>ICTVonline=201903928</v>
      </c>
      <c r="AA3923" s="1">
        <v>201900000</v>
      </c>
      <c r="AB3923" s="1">
        <v>35</v>
      </c>
    </row>
    <row r="3924" spans="1:28" x14ac:dyDescent="0.2">
      <c r="A3924" s="1">
        <v>10023</v>
      </c>
      <c r="B3924" s="1" t="s">
        <v>6839</v>
      </c>
      <c r="D3924" s="1" t="s">
        <v>11735</v>
      </c>
      <c r="F3924" s="1" t="s">
        <v>11930</v>
      </c>
      <c r="H3924" s="1" t="s">
        <v>12620</v>
      </c>
      <c r="J3924" s="1" t="s">
        <v>12621</v>
      </c>
      <c r="L3924" s="1" t="s">
        <v>1088</v>
      </c>
      <c r="N3924" s="1" t="s">
        <v>1089</v>
      </c>
      <c r="P3924" s="1" t="s">
        <v>1093</v>
      </c>
      <c r="Q3924" s="3">
        <v>1</v>
      </c>
      <c r="R3924" s="23" t="s">
        <v>11933</v>
      </c>
      <c r="S3924" s="23" t="s">
        <v>5849</v>
      </c>
      <c r="T3924" s="23" t="s">
        <v>4866</v>
      </c>
      <c r="U3924" s="3">
        <v>35</v>
      </c>
      <c r="W3924" s="45" t="str">
        <f>HYPERLINK("http://ictvonline.org/taxonomy/p/taxonomy-history?taxnode_id=201903929","ICTVonline=201903929")</f>
        <v>ICTVonline=201903929</v>
      </c>
      <c r="AA3924" s="1">
        <v>201900000</v>
      </c>
      <c r="AB3924" s="1">
        <v>35</v>
      </c>
    </row>
    <row r="3925" spans="1:28" x14ac:dyDescent="0.2">
      <c r="A3925" s="1">
        <v>10025</v>
      </c>
      <c r="B3925" s="1" t="s">
        <v>6839</v>
      </c>
      <c r="D3925" s="1" t="s">
        <v>11735</v>
      </c>
      <c r="F3925" s="1" t="s">
        <v>11930</v>
      </c>
      <c r="H3925" s="1" t="s">
        <v>12620</v>
      </c>
      <c r="J3925" s="1" t="s">
        <v>12621</v>
      </c>
      <c r="L3925" s="1" t="s">
        <v>1088</v>
      </c>
      <c r="N3925" s="1" t="s">
        <v>1089</v>
      </c>
      <c r="P3925" s="1" t="s">
        <v>1094</v>
      </c>
      <c r="Q3925" s="3">
        <v>0</v>
      </c>
      <c r="R3925" s="23" t="s">
        <v>11933</v>
      </c>
      <c r="S3925" s="23" t="s">
        <v>5849</v>
      </c>
      <c r="T3925" s="23" t="s">
        <v>4866</v>
      </c>
      <c r="U3925" s="3">
        <v>35</v>
      </c>
      <c r="W3925" s="45" t="str">
        <f>HYPERLINK("http://ictvonline.org/taxonomy/p/taxonomy-history?taxnode_id=201903930","ICTVonline=201903930")</f>
        <v>ICTVonline=201903930</v>
      </c>
      <c r="AA3925" s="1">
        <v>201900000</v>
      </c>
      <c r="AB3925" s="1">
        <v>35</v>
      </c>
    </row>
    <row r="3926" spans="1:28" x14ac:dyDescent="0.2">
      <c r="A3926" s="1">
        <v>10029</v>
      </c>
      <c r="B3926" s="1" t="s">
        <v>6839</v>
      </c>
      <c r="D3926" s="1" t="s">
        <v>11735</v>
      </c>
      <c r="F3926" s="1" t="s">
        <v>11930</v>
      </c>
      <c r="H3926" s="1" t="s">
        <v>12620</v>
      </c>
      <c r="J3926" s="1" t="s">
        <v>12621</v>
      </c>
      <c r="L3926" s="1" t="s">
        <v>1088</v>
      </c>
      <c r="N3926" s="1" t="s">
        <v>1095</v>
      </c>
      <c r="P3926" s="1" t="s">
        <v>1096</v>
      </c>
      <c r="Q3926" s="3">
        <v>0</v>
      </c>
      <c r="R3926" s="23" t="s">
        <v>11933</v>
      </c>
      <c r="S3926" s="23" t="s">
        <v>5849</v>
      </c>
      <c r="T3926" s="23" t="s">
        <v>4866</v>
      </c>
      <c r="U3926" s="3">
        <v>35</v>
      </c>
      <c r="W3926" s="45" t="str">
        <f>HYPERLINK("http://ictvonline.org/taxonomy/p/taxonomy-history?taxnode_id=201903932","ICTVonline=201903932")</f>
        <v>ICTVonline=201903932</v>
      </c>
      <c r="AA3926" s="1">
        <v>201900000</v>
      </c>
      <c r="AB3926" s="1">
        <v>35</v>
      </c>
    </row>
    <row r="3927" spans="1:28" x14ac:dyDescent="0.2">
      <c r="A3927" s="1">
        <v>10031</v>
      </c>
      <c r="B3927" s="1" t="s">
        <v>6839</v>
      </c>
      <c r="D3927" s="1" t="s">
        <v>11735</v>
      </c>
      <c r="F3927" s="1" t="s">
        <v>11930</v>
      </c>
      <c r="H3927" s="1" t="s">
        <v>12620</v>
      </c>
      <c r="J3927" s="1" t="s">
        <v>12621</v>
      </c>
      <c r="L3927" s="1" t="s">
        <v>1088</v>
      </c>
      <c r="N3927" s="1" t="s">
        <v>1095</v>
      </c>
      <c r="P3927" s="1" t="s">
        <v>1608</v>
      </c>
      <c r="Q3927" s="3">
        <v>0</v>
      </c>
      <c r="R3927" s="23" t="s">
        <v>11933</v>
      </c>
      <c r="S3927" s="23" t="s">
        <v>5849</v>
      </c>
      <c r="T3927" s="23" t="s">
        <v>4866</v>
      </c>
      <c r="U3927" s="3">
        <v>35</v>
      </c>
      <c r="W3927" s="45" t="str">
        <f>HYPERLINK("http://ictvonline.org/taxonomy/p/taxonomy-history?taxnode_id=201903933","ICTVonline=201903933")</f>
        <v>ICTVonline=201903933</v>
      </c>
      <c r="AA3927" s="1">
        <v>201900000</v>
      </c>
      <c r="AB3927" s="1">
        <v>35</v>
      </c>
    </row>
    <row r="3928" spans="1:28" x14ac:dyDescent="0.2">
      <c r="A3928" s="1">
        <v>10033</v>
      </c>
      <c r="B3928" s="1" t="s">
        <v>6839</v>
      </c>
      <c r="D3928" s="1" t="s">
        <v>11735</v>
      </c>
      <c r="F3928" s="1" t="s">
        <v>11930</v>
      </c>
      <c r="H3928" s="1" t="s">
        <v>12620</v>
      </c>
      <c r="J3928" s="1" t="s">
        <v>12621</v>
      </c>
      <c r="L3928" s="1" t="s">
        <v>1088</v>
      </c>
      <c r="N3928" s="1" t="s">
        <v>1095</v>
      </c>
      <c r="P3928" s="1" t="s">
        <v>1609</v>
      </c>
      <c r="Q3928" s="3">
        <v>1</v>
      </c>
      <c r="R3928" s="23" t="s">
        <v>11933</v>
      </c>
      <c r="S3928" s="23" t="s">
        <v>5849</v>
      </c>
      <c r="T3928" s="23" t="s">
        <v>4866</v>
      </c>
      <c r="U3928" s="3">
        <v>35</v>
      </c>
      <c r="W3928" s="45" t="str">
        <f>HYPERLINK("http://ictvonline.org/taxonomy/p/taxonomy-history?taxnode_id=201903934","ICTVonline=201903934")</f>
        <v>ICTVonline=201903934</v>
      </c>
      <c r="AA3928" s="1">
        <v>201900000</v>
      </c>
      <c r="AB3928" s="1">
        <v>35</v>
      </c>
    </row>
    <row r="3929" spans="1:28" x14ac:dyDescent="0.2">
      <c r="A3929" s="1">
        <v>10035</v>
      </c>
      <c r="B3929" s="1" t="s">
        <v>6839</v>
      </c>
      <c r="D3929" s="1" t="s">
        <v>11735</v>
      </c>
      <c r="F3929" s="1" t="s">
        <v>11930</v>
      </c>
      <c r="H3929" s="1" t="s">
        <v>12620</v>
      </c>
      <c r="J3929" s="1" t="s">
        <v>12621</v>
      </c>
      <c r="L3929" s="1" t="s">
        <v>1088</v>
      </c>
      <c r="N3929" s="1" t="s">
        <v>1095</v>
      </c>
      <c r="P3929" s="1" t="s">
        <v>1610</v>
      </c>
      <c r="Q3929" s="3">
        <v>0</v>
      </c>
      <c r="R3929" s="23" t="s">
        <v>11933</v>
      </c>
      <c r="S3929" s="23" t="s">
        <v>5849</v>
      </c>
      <c r="T3929" s="23" t="s">
        <v>4866</v>
      </c>
      <c r="U3929" s="3">
        <v>35</v>
      </c>
      <c r="W3929" s="45" t="str">
        <f>HYPERLINK("http://ictvonline.org/taxonomy/p/taxonomy-history?taxnode_id=201903935","ICTVonline=201903935")</f>
        <v>ICTVonline=201903935</v>
      </c>
      <c r="AA3929" s="1">
        <v>201900000</v>
      </c>
      <c r="AB3929" s="1">
        <v>35</v>
      </c>
    </row>
    <row r="3930" spans="1:28" x14ac:dyDescent="0.2">
      <c r="A3930" s="1">
        <v>10041</v>
      </c>
      <c r="B3930" s="1" t="s">
        <v>6839</v>
      </c>
      <c r="D3930" s="1" t="s">
        <v>11735</v>
      </c>
      <c r="F3930" s="1" t="s">
        <v>11930</v>
      </c>
      <c r="H3930" s="1" t="s">
        <v>12620</v>
      </c>
      <c r="J3930" s="1" t="s">
        <v>12621</v>
      </c>
      <c r="L3930" s="1" t="s">
        <v>12622</v>
      </c>
      <c r="N3930" s="1" t="s">
        <v>3972</v>
      </c>
      <c r="P3930" s="1" t="s">
        <v>3973</v>
      </c>
      <c r="Q3930" s="3">
        <v>0</v>
      </c>
      <c r="R3930" s="23" t="s">
        <v>11933</v>
      </c>
      <c r="S3930" s="23" t="s">
        <v>5849</v>
      </c>
      <c r="T3930" s="23" t="s">
        <v>4866</v>
      </c>
      <c r="U3930" s="3">
        <v>35</v>
      </c>
      <c r="W3930" s="45" t="str">
        <f>HYPERLINK("http://ictvonline.org/taxonomy/p/taxonomy-history?taxnode_id=201905368","ICTVonline=201905368")</f>
        <v>ICTVonline=201905368</v>
      </c>
      <c r="Y3930" s="1" t="s">
        <v>12623</v>
      </c>
      <c r="Z3930" s="1" t="s">
        <v>3973</v>
      </c>
      <c r="AA3930" s="1">
        <v>201900000</v>
      </c>
      <c r="AB3930" s="1">
        <v>35</v>
      </c>
    </row>
    <row r="3931" spans="1:28" x14ac:dyDescent="0.2">
      <c r="A3931" s="1">
        <v>10043</v>
      </c>
      <c r="B3931" s="1" t="s">
        <v>6839</v>
      </c>
      <c r="D3931" s="1" t="s">
        <v>11735</v>
      </c>
      <c r="F3931" s="1" t="s">
        <v>11930</v>
      </c>
      <c r="H3931" s="1" t="s">
        <v>12620</v>
      </c>
      <c r="J3931" s="1" t="s">
        <v>12621</v>
      </c>
      <c r="L3931" s="1" t="s">
        <v>12622</v>
      </c>
      <c r="N3931" s="1" t="s">
        <v>3972</v>
      </c>
      <c r="P3931" s="1" t="s">
        <v>3974</v>
      </c>
      <c r="Q3931" s="3">
        <v>1</v>
      </c>
      <c r="R3931" s="23" t="s">
        <v>11933</v>
      </c>
      <c r="S3931" s="23" t="s">
        <v>5849</v>
      </c>
      <c r="T3931" s="23" t="s">
        <v>4866</v>
      </c>
      <c r="U3931" s="3">
        <v>35</v>
      </c>
      <c r="W3931" s="45" t="str">
        <f>HYPERLINK("http://ictvonline.org/taxonomy/p/taxonomy-history?taxnode_id=201905369","ICTVonline=201905369")</f>
        <v>ICTVonline=201905369</v>
      </c>
      <c r="Y3931" s="1" t="s">
        <v>12624</v>
      </c>
      <c r="Z3931" s="1" t="s">
        <v>3974</v>
      </c>
      <c r="AA3931" s="1">
        <v>201900000</v>
      </c>
      <c r="AB3931" s="1">
        <v>35</v>
      </c>
    </row>
    <row r="3932" spans="1:28" x14ac:dyDescent="0.2">
      <c r="A3932" s="1">
        <v>10053</v>
      </c>
      <c r="B3932" s="1" t="s">
        <v>6839</v>
      </c>
      <c r="D3932" s="1" t="s">
        <v>11735</v>
      </c>
      <c r="F3932" s="1" t="s">
        <v>11930</v>
      </c>
      <c r="H3932" s="1" t="s">
        <v>12625</v>
      </c>
      <c r="J3932" s="1" t="s">
        <v>12626</v>
      </c>
      <c r="L3932" s="1" t="s">
        <v>73</v>
      </c>
      <c r="N3932" s="1" t="s">
        <v>74</v>
      </c>
      <c r="P3932" s="1" t="s">
        <v>1560</v>
      </c>
      <c r="Q3932" s="3">
        <v>1</v>
      </c>
      <c r="R3932" s="23" t="s">
        <v>11933</v>
      </c>
      <c r="S3932" s="23" t="s">
        <v>5849</v>
      </c>
      <c r="T3932" s="23" t="s">
        <v>4866</v>
      </c>
      <c r="U3932" s="3">
        <v>35</v>
      </c>
      <c r="W3932" s="45" t="str">
        <f>HYPERLINK("http://ictvonline.org/taxonomy/p/taxonomy-history?taxnode_id=201902815","ICTVonline=201902815")</f>
        <v>ICTVonline=201902815</v>
      </c>
      <c r="AA3932" s="1">
        <v>201900000</v>
      </c>
      <c r="AB3932" s="1">
        <v>35</v>
      </c>
    </row>
    <row r="3933" spans="1:28" x14ac:dyDescent="0.2">
      <c r="A3933" s="1">
        <v>10059</v>
      </c>
      <c r="B3933" s="1" t="s">
        <v>6839</v>
      </c>
      <c r="D3933" s="1" t="s">
        <v>11735</v>
      </c>
      <c r="F3933" s="1" t="s">
        <v>11930</v>
      </c>
      <c r="H3933" s="1" t="s">
        <v>12625</v>
      </c>
      <c r="J3933" s="1" t="s">
        <v>12626</v>
      </c>
      <c r="L3933" s="1" t="s">
        <v>1956</v>
      </c>
      <c r="N3933" s="1" t="s">
        <v>1118</v>
      </c>
      <c r="P3933" s="1" t="s">
        <v>4755</v>
      </c>
      <c r="Q3933" s="3">
        <v>0</v>
      </c>
      <c r="R3933" s="23" t="s">
        <v>11933</v>
      </c>
      <c r="S3933" s="23" t="s">
        <v>5849</v>
      </c>
      <c r="T3933" s="23" t="s">
        <v>4866</v>
      </c>
      <c r="U3933" s="3">
        <v>35</v>
      </c>
      <c r="W3933" s="45" t="str">
        <f>HYPERLINK("http://ictvonline.org/taxonomy/p/taxonomy-history?taxnode_id=201903762","ICTVonline=201903762")</f>
        <v>ICTVonline=201903762</v>
      </c>
      <c r="Y3933" s="1" t="s">
        <v>12627</v>
      </c>
      <c r="Z3933" s="1" t="s">
        <v>12628</v>
      </c>
      <c r="AA3933" s="1">
        <v>201900000</v>
      </c>
      <c r="AB3933" s="1">
        <v>35</v>
      </c>
    </row>
    <row r="3934" spans="1:28" x14ac:dyDescent="0.2">
      <c r="A3934" s="1">
        <v>10061</v>
      </c>
      <c r="B3934" s="1" t="s">
        <v>6839</v>
      </c>
      <c r="D3934" s="1" t="s">
        <v>11735</v>
      </c>
      <c r="F3934" s="1" t="s">
        <v>11930</v>
      </c>
      <c r="H3934" s="1" t="s">
        <v>12625</v>
      </c>
      <c r="J3934" s="1" t="s">
        <v>12626</v>
      </c>
      <c r="L3934" s="1" t="s">
        <v>1956</v>
      </c>
      <c r="N3934" s="1" t="s">
        <v>1118</v>
      </c>
      <c r="P3934" s="1" t="s">
        <v>12629</v>
      </c>
      <c r="Q3934" s="3">
        <v>0</v>
      </c>
      <c r="R3934" s="23" t="s">
        <v>11933</v>
      </c>
      <c r="S3934" s="23" t="s">
        <v>5849</v>
      </c>
      <c r="T3934" s="23" t="s">
        <v>4864</v>
      </c>
      <c r="U3934" s="3">
        <v>35</v>
      </c>
      <c r="V3934" s="3" t="s">
        <v>12630</v>
      </c>
      <c r="W3934" s="45" t="str">
        <f>HYPERLINK("http://ictvonline.org/taxonomy/p/taxonomy-history?taxnode_id=201907408","ICTVonline=201907408")</f>
        <v>ICTVonline=201907408</v>
      </c>
      <c r="X3934" s="1" t="s">
        <v>12631</v>
      </c>
      <c r="Y3934" s="1" t="s">
        <v>12632</v>
      </c>
      <c r="Z3934" s="1" t="s">
        <v>12633</v>
      </c>
      <c r="AA3934" s="1">
        <v>201900000</v>
      </c>
      <c r="AB3934" s="1">
        <v>35</v>
      </c>
    </row>
    <row r="3935" spans="1:28" x14ac:dyDescent="0.2">
      <c r="A3935" s="1">
        <v>10063</v>
      </c>
      <c r="B3935" s="1" t="s">
        <v>6839</v>
      </c>
      <c r="D3935" s="1" t="s">
        <v>11735</v>
      </c>
      <c r="F3935" s="1" t="s">
        <v>11930</v>
      </c>
      <c r="H3935" s="1" t="s">
        <v>12625</v>
      </c>
      <c r="J3935" s="1" t="s">
        <v>12626</v>
      </c>
      <c r="L3935" s="1" t="s">
        <v>1956</v>
      </c>
      <c r="N3935" s="1" t="s">
        <v>1118</v>
      </c>
      <c r="P3935" s="1" t="s">
        <v>6792</v>
      </c>
      <c r="Q3935" s="3">
        <v>0</v>
      </c>
      <c r="R3935" s="23" t="s">
        <v>11933</v>
      </c>
      <c r="S3935" s="23" t="s">
        <v>5849</v>
      </c>
      <c r="T3935" s="23" t="s">
        <v>4866</v>
      </c>
      <c r="U3935" s="3">
        <v>35</v>
      </c>
      <c r="W3935" s="45" t="str">
        <f>HYPERLINK("http://ictvonline.org/taxonomy/p/taxonomy-history?taxnode_id=201906590","ICTVonline=201906590")</f>
        <v>ICTVonline=201906590</v>
      </c>
      <c r="X3935" s="1" t="s">
        <v>12634</v>
      </c>
      <c r="Y3935" s="1" t="s">
        <v>12635</v>
      </c>
      <c r="Z3935" s="1" t="s">
        <v>12636</v>
      </c>
      <c r="AA3935" s="1">
        <v>201900000</v>
      </c>
      <c r="AB3935" s="1">
        <v>35</v>
      </c>
    </row>
    <row r="3936" spans="1:28" x14ac:dyDescent="0.2">
      <c r="A3936" s="1">
        <v>10065</v>
      </c>
      <c r="B3936" s="1" t="s">
        <v>6839</v>
      </c>
      <c r="D3936" s="1" t="s">
        <v>11735</v>
      </c>
      <c r="F3936" s="1" t="s">
        <v>11930</v>
      </c>
      <c r="H3936" s="1" t="s">
        <v>12625</v>
      </c>
      <c r="J3936" s="1" t="s">
        <v>12626</v>
      </c>
      <c r="L3936" s="1" t="s">
        <v>1956</v>
      </c>
      <c r="N3936" s="1" t="s">
        <v>1118</v>
      </c>
      <c r="P3936" s="1" t="s">
        <v>6793</v>
      </c>
      <c r="Q3936" s="3">
        <v>0</v>
      </c>
      <c r="R3936" s="23" t="s">
        <v>11933</v>
      </c>
      <c r="S3936" s="23" t="s">
        <v>5849</v>
      </c>
      <c r="T3936" s="23" t="s">
        <v>4866</v>
      </c>
      <c r="U3936" s="3">
        <v>35</v>
      </c>
      <c r="W3936" s="45" t="str">
        <f>HYPERLINK("http://ictvonline.org/taxonomy/p/taxonomy-history?taxnode_id=201906585","ICTVonline=201906585")</f>
        <v>ICTVonline=201906585</v>
      </c>
      <c r="X3936" s="1" t="s">
        <v>12637</v>
      </c>
      <c r="Y3936" s="1" t="s">
        <v>12638</v>
      </c>
      <c r="Z3936" s="1" t="s">
        <v>12639</v>
      </c>
      <c r="AA3936" s="1">
        <v>201900000</v>
      </c>
      <c r="AB3936" s="1">
        <v>35</v>
      </c>
    </row>
    <row r="3937" spans="1:28" x14ac:dyDescent="0.2">
      <c r="A3937" s="1">
        <v>10067</v>
      </c>
      <c r="B3937" s="1" t="s">
        <v>6839</v>
      </c>
      <c r="D3937" s="1" t="s">
        <v>11735</v>
      </c>
      <c r="F3937" s="1" t="s">
        <v>11930</v>
      </c>
      <c r="H3937" s="1" t="s">
        <v>12625</v>
      </c>
      <c r="J3937" s="1" t="s">
        <v>12626</v>
      </c>
      <c r="L3937" s="1" t="s">
        <v>1956</v>
      </c>
      <c r="N3937" s="1" t="s">
        <v>1118</v>
      </c>
      <c r="P3937" s="1" t="s">
        <v>2455</v>
      </c>
      <c r="Q3937" s="3">
        <v>1</v>
      </c>
      <c r="R3937" s="23" t="s">
        <v>11933</v>
      </c>
      <c r="S3937" s="23" t="s">
        <v>5849</v>
      </c>
      <c r="T3937" s="23" t="s">
        <v>4866</v>
      </c>
      <c r="U3937" s="3">
        <v>35</v>
      </c>
      <c r="W3937" s="45" t="str">
        <f>HYPERLINK("http://ictvonline.org/taxonomy/p/taxonomy-history?taxnode_id=201903763","ICTVonline=201903763")</f>
        <v>ICTVonline=201903763</v>
      </c>
      <c r="Y3937" s="1" t="s">
        <v>12640</v>
      </c>
      <c r="Z3937" s="1" t="s">
        <v>12641</v>
      </c>
      <c r="AA3937" s="1">
        <v>201900000</v>
      </c>
      <c r="AB3937" s="1">
        <v>35</v>
      </c>
    </row>
    <row r="3938" spans="1:28" x14ac:dyDescent="0.2">
      <c r="A3938" s="1">
        <v>10071</v>
      </c>
      <c r="B3938" s="1" t="s">
        <v>6839</v>
      </c>
      <c r="D3938" s="1" t="s">
        <v>11735</v>
      </c>
      <c r="F3938" s="1" t="s">
        <v>11930</v>
      </c>
      <c r="H3938" s="1" t="s">
        <v>12625</v>
      </c>
      <c r="J3938" s="1" t="s">
        <v>12626</v>
      </c>
      <c r="L3938" s="1" t="s">
        <v>1956</v>
      </c>
      <c r="N3938" s="1" t="s">
        <v>1119</v>
      </c>
      <c r="P3938" s="1" t="s">
        <v>12642</v>
      </c>
      <c r="Q3938" s="3">
        <v>0</v>
      </c>
      <c r="R3938" s="23" t="s">
        <v>11933</v>
      </c>
      <c r="S3938" s="23" t="s">
        <v>5849</v>
      </c>
      <c r="T3938" s="23" t="s">
        <v>4864</v>
      </c>
      <c r="U3938" s="3">
        <v>35</v>
      </c>
      <c r="V3938" s="3" t="s">
        <v>12643</v>
      </c>
      <c r="W3938" s="45" t="str">
        <f>HYPERLINK("http://ictvonline.org/taxonomy/p/taxonomy-history?taxnode_id=201907550","ICTVonline=201907550")</f>
        <v>ICTVonline=201907550</v>
      </c>
      <c r="X3938" s="1" t="s">
        <v>12644</v>
      </c>
      <c r="Y3938" s="1" t="s">
        <v>12645</v>
      </c>
      <c r="Z3938" s="1" t="s">
        <v>12646</v>
      </c>
      <c r="AA3938" s="1">
        <v>201900000</v>
      </c>
      <c r="AB3938" s="1">
        <v>35</v>
      </c>
    </row>
    <row r="3939" spans="1:28" x14ac:dyDescent="0.2">
      <c r="A3939" s="1">
        <v>10073</v>
      </c>
      <c r="B3939" s="1" t="s">
        <v>6839</v>
      </c>
      <c r="D3939" s="1" t="s">
        <v>11735</v>
      </c>
      <c r="F3939" s="1" t="s">
        <v>11930</v>
      </c>
      <c r="H3939" s="1" t="s">
        <v>12625</v>
      </c>
      <c r="J3939" s="1" t="s">
        <v>12626</v>
      </c>
      <c r="L3939" s="1" t="s">
        <v>1956</v>
      </c>
      <c r="N3939" s="1" t="s">
        <v>1119</v>
      </c>
      <c r="P3939" s="1" t="s">
        <v>12647</v>
      </c>
      <c r="Q3939" s="3">
        <v>0</v>
      </c>
      <c r="R3939" s="23" t="s">
        <v>11933</v>
      </c>
      <c r="S3939" s="23" t="s">
        <v>5849</v>
      </c>
      <c r="T3939" s="23" t="s">
        <v>4864</v>
      </c>
      <c r="U3939" s="3">
        <v>35</v>
      </c>
      <c r="V3939" s="3" t="s">
        <v>12643</v>
      </c>
      <c r="W3939" s="45" t="str">
        <f>HYPERLINK("http://ictvonline.org/taxonomy/p/taxonomy-history?taxnode_id=201907551","ICTVonline=201907551")</f>
        <v>ICTVonline=201907551</v>
      </c>
      <c r="X3939" s="1" t="s">
        <v>12648</v>
      </c>
      <c r="Y3939" s="1" t="s">
        <v>12649</v>
      </c>
      <c r="Z3939" s="1" t="s">
        <v>12650</v>
      </c>
      <c r="AA3939" s="1">
        <v>201900000</v>
      </c>
      <c r="AB3939" s="1">
        <v>35</v>
      </c>
    </row>
    <row r="3940" spans="1:28" x14ac:dyDescent="0.2">
      <c r="A3940" s="1">
        <v>10075</v>
      </c>
      <c r="B3940" s="1" t="s">
        <v>6839</v>
      </c>
      <c r="D3940" s="1" t="s">
        <v>11735</v>
      </c>
      <c r="F3940" s="1" t="s">
        <v>11930</v>
      </c>
      <c r="H3940" s="1" t="s">
        <v>12625</v>
      </c>
      <c r="J3940" s="1" t="s">
        <v>12626</v>
      </c>
      <c r="L3940" s="1" t="s">
        <v>1956</v>
      </c>
      <c r="N3940" s="1" t="s">
        <v>1119</v>
      </c>
      <c r="P3940" s="1" t="s">
        <v>5376</v>
      </c>
      <c r="Q3940" s="3">
        <v>0</v>
      </c>
      <c r="R3940" s="23" t="s">
        <v>11933</v>
      </c>
      <c r="S3940" s="23" t="s">
        <v>5849</v>
      </c>
      <c r="T3940" s="23" t="s">
        <v>4866</v>
      </c>
      <c r="U3940" s="3">
        <v>35</v>
      </c>
      <c r="W3940" s="45" t="str">
        <f>HYPERLINK("http://ictvonline.org/taxonomy/p/taxonomy-history?taxnode_id=201903765","ICTVonline=201903765")</f>
        <v>ICTVonline=201903765</v>
      </c>
      <c r="Y3940" s="1" t="s">
        <v>12651</v>
      </c>
      <c r="Z3940" s="1" t="s">
        <v>12652</v>
      </c>
      <c r="AA3940" s="1">
        <v>201900000</v>
      </c>
      <c r="AB3940" s="1">
        <v>35</v>
      </c>
    </row>
    <row r="3941" spans="1:28" x14ac:dyDescent="0.2">
      <c r="A3941" s="1">
        <v>10077</v>
      </c>
      <c r="B3941" s="1" t="s">
        <v>6839</v>
      </c>
      <c r="D3941" s="1" t="s">
        <v>11735</v>
      </c>
      <c r="F3941" s="1" t="s">
        <v>11930</v>
      </c>
      <c r="H3941" s="1" t="s">
        <v>12625</v>
      </c>
      <c r="J3941" s="1" t="s">
        <v>12626</v>
      </c>
      <c r="L3941" s="1" t="s">
        <v>1956</v>
      </c>
      <c r="N3941" s="1" t="s">
        <v>1119</v>
      </c>
      <c r="P3941" s="1" t="s">
        <v>5377</v>
      </c>
      <c r="Q3941" s="3">
        <v>0</v>
      </c>
      <c r="R3941" s="23" t="s">
        <v>11933</v>
      </c>
      <c r="S3941" s="23" t="s">
        <v>5849</v>
      </c>
      <c r="T3941" s="23" t="s">
        <v>4866</v>
      </c>
      <c r="U3941" s="3">
        <v>35</v>
      </c>
      <c r="W3941" s="45" t="str">
        <f>HYPERLINK("http://ictvonline.org/taxonomy/p/taxonomy-history?taxnode_id=201903766","ICTVonline=201903766")</f>
        <v>ICTVonline=201903766</v>
      </c>
      <c r="AA3941" s="1">
        <v>201900000</v>
      </c>
      <c r="AB3941" s="1">
        <v>35</v>
      </c>
    </row>
    <row r="3942" spans="1:28" x14ac:dyDescent="0.2">
      <c r="A3942" s="1">
        <v>10079</v>
      </c>
      <c r="B3942" s="1" t="s">
        <v>6839</v>
      </c>
      <c r="D3942" s="1" t="s">
        <v>11735</v>
      </c>
      <c r="F3942" s="1" t="s">
        <v>11930</v>
      </c>
      <c r="H3942" s="1" t="s">
        <v>12625</v>
      </c>
      <c r="J3942" s="1" t="s">
        <v>12626</v>
      </c>
      <c r="L3942" s="1" t="s">
        <v>1956</v>
      </c>
      <c r="N3942" s="1" t="s">
        <v>1119</v>
      </c>
      <c r="P3942" s="1" t="s">
        <v>5378</v>
      </c>
      <c r="Q3942" s="3">
        <v>0</v>
      </c>
      <c r="R3942" s="23" t="s">
        <v>11933</v>
      </c>
      <c r="S3942" s="23" t="s">
        <v>5849</v>
      </c>
      <c r="T3942" s="23" t="s">
        <v>4866</v>
      </c>
      <c r="U3942" s="3">
        <v>35</v>
      </c>
      <c r="W3942" s="45" t="str">
        <f>HYPERLINK("http://ictvonline.org/taxonomy/p/taxonomy-history?taxnode_id=201903767","ICTVonline=201903767")</f>
        <v>ICTVonline=201903767</v>
      </c>
      <c r="Y3942" s="1" t="s">
        <v>12653</v>
      </c>
      <c r="Z3942" s="1" t="s">
        <v>12654</v>
      </c>
      <c r="AA3942" s="1">
        <v>201900000</v>
      </c>
      <c r="AB3942" s="1">
        <v>35</v>
      </c>
    </row>
    <row r="3943" spans="1:28" x14ac:dyDescent="0.2">
      <c r="A3943" s="1">
        <v>10081</v>
      </c>
      <c r="B3943" s="1" t="s">
        <v>6839</v>
      </c>
      <c r="D3943" s="1" t="s">
        <v>11735</v>
      </c>
      <c r="F3943" s="1" t="s">
        <v>11930</v>
      </c>
      <c r="H3943" s="1" t="s">
        <v>12625</v>
      </c>
      <c r="J3943" s="1" t="s">
        <v>12626</v>
      </c>
      <c r="L3943" s="1" t="s">
        <v>1956</v>
      </c>
      <c r="N3943" s="1" t="s">
        <v>1119</v>
      </c>
      <c r="P3943" s="1" t="s">
        <v>5379</v>
      </c>
      <c r="Q3943" s="3">
        <v>0</v>
      </c>
      <c r="R3943" s="23" t="s">
        <v>11933</v>
      </c>
      <c r="S3943" s="23" t="s">
        <v>5849</v>
      </c>
      <c r="T3943" s="23" t="s">
        <v>4866</v>
      </c>
      <c r="U3943" s="3">
        <v>35</v>
      </c>
      <c r="W3943" s="45" t="str">
        <f>HYPERLINK("http://ictvonline.org/taxonomy/p/taxonomy-history?taxnode_id=201903768","ICTVonline=201903768")</f>
        <v>ICTVonline=201903768</v>
      </c>
      <c r="Y3943" s="1" t="s">
        <v>12655</v>
      </c>
      <c r="Z3943" s="1" t="s">
        <v>12656</v>
      </c>
      <c r="AA3943" s="1">
        <v>201900000</v>
      </c>
      <c r="AB3943" s="1">
        <v>35</v>
      </c>
    </row>
    <row r="3944" spans="1:28" x14ac:dyDescent="0.2">
      <c r="A3944" s="1">
        <v>10083</v>
      </c>
      <c r="B3944" s="1" t="s">
        <v>6839</v>
      </c>
      <c r="D3944" s="1" t="s">
        <v>11735</v>
      </c>
      <c r="F3944" s="1" t="s">
        <v>11930</v>
      </c>
      <c r="H3944" s="1" t="s">
        <v>12625</v>
      </c>
      <c r="J3944" s="1" t="s">
        <v>12626</v>
      </c>
      <c r="L3944" s="1" t="s">
        <v>1956</v>
      </c>
      <c r="N3944" s="1" t="s">
        <v>1119</v>
      </c>
      <c r="P3944" s="1" t="s">
        <v>5380</v>
      </c>
      <c r="Q3944" s="3">
        <v>1</v>
      </c>
      <c r="R3944" s="23" t="s">
        <v>11933</v>
      </c>
      <c r="S3944" s="23" t="s">
        <v>5849</v>
      </c>
      <c r="T3944" s="23" t="s">
        <v>4866</v>
      </c>
      <c r="U3944" s="3">
        <v>35</v>
      </c>
      <c r="W3944" s="45" t="str">
        <f>HYPERLINK("http://ictvonline.org/taxonomy/p/taxonomy-history?taxnode_id=201903769","ICTVonline=201903769")</f>
        <v>ICTVonline=201903769</v>
      </c>
      <c r="Y3944" s="1" t="s">
        <v>12657</v>
      </c>
      <c r="Z3944" s="1" t="s">
        <v>11206</v>
      </c>
      <c r="AA3944" s="1">
        <v>201900000</v>
      </c>
      <c r="AB3944" s="1">
        <v>35</v>
      </c>
    </row>
    <row r="3945" spans="1:28" x14ac:dyDescent="0.2">
      <c r="A3945" s="1">
        <v>10085</v>
      </c>
      <c r="B3945" s="1" t="s">
        <v>6839</v>
      </c>
      <c r="D3945" s="1" t="s">
        <v>11735</v>
      </c>
      <c r="F3945" s="1" t="s">
        <v>11930</v>
      </c>
      <c r="H3945" s="1" t="s">
        <v>12625</v>
      </c>
      <c r="J3945" s="1" t="s">
        <v>12626</v>
      </c>
      <c r="L3945" s="1" t="s">
        <v>1956</v>
      </c>
      <c r="N3945" s="1" t="s">
        <v>1119</v>
      </c>
      <c r="P3945" s="1" t="s">
        <v>1618</v>
      </c>
      <c r="Q3945" s="3">
        <v>0</v>
      </c>
      <c r="R3945" s="23" t="s">
        <v>11933</v>
      </c>
      <c r="S3945" s="23" t="s">
        <v>5849</v>
      </c>
      <c r="T3945" s="23" t="s">
        <v>4866</v>
      </c>
      <c r="U3945" s="3">
        <v>35</v>
      </c>
      <c r="W3945" s="45" t="str">
        <f>HYPERLINK("http://ictvonline.org/taxonomy/p/taxonomy-history?taxnode_id=201903770","ICTVonline=201903770")</f>
        <v>ICTVonline=201903770</v>
      </c>
      <c r="Y3945" s="1" t="s">
        <v>12658</v>
      </c>
      <c r="Z3945" s="1" t="s">
        <v>12659</v>
      </c>
      <c r="AA3945" s="1">
        <v>201900000</v>
      </c>
      <c r="AB3945" s="1">
        <v>35</v>
      </c>
    </row>
    <row r="3946" spans="1:28" x14ac:dyDescent="0.2">
      <c r="A3946" s="1">
        <v>10087</v>
      </c>
      <c r="B3946" s="1" t="s">
        <v>6839</v>
      </c>
      <c r="D3946" s="1" t="s">
        <v>11735</v>
      </c>
      <c r="F3946" s="1" t="s">
        <v>11930</v>
      </c>
      <c r="H3946" s="1" t="s">
        <v>12625</v>
      </c>
      <c r="J3946" s="1" t="s">
        <v>12626</v>
      </c>
      <c r="L3946" s="1" t="s">
        <v>1956</v>
      </c>
      <c r="N3946" s="1" t="s">
        <v>1119</v>
      </c>
      <c r="P3946" s="1" t="s">
        <v>6794</v>
      </c>
      <c r="Q3946" s="3">
        <v>0</v>
      </c>
      <c r="R3946" s="23" t="s">
        <v>11933</v>
      </c>
      <c r="S3946" s="23" t="s">
        <v>5849</v>
      </c>
      <c r="T3946" s="23" t="s">
        <v>4866</v>
      </c>
      <c r="U3946" s="3">
        <v>35</v>
      </c>
      <c r="W3946" s="45" t="str">
        <f>HYPERLINK("http://ictvonline.org/taxonomy/p/taxonomy-history?taxnode_id=201906618","ICTVonline=201906618")</f>
        <v>ICTVonline=201906618</v>
      </c>
      <c r="X3946" s="1" t="s">
        <v>12660</v>
      </c>
      <c r="Y3946" s="1" t="s">
        <v>12661</v>
      </c>
      <c r="Z3946" s="1" t="s">
        <v>12662</v>
      </c>
      <c r="AA3946" s="1">
        <v>201900000</v>
      </c>
      <c r="AB3946" s="1">
        <v>35</v>
      </c>
    </row>
    <row r="3947" spans="1:28" x14ac:dyDescent="0.2">
      <c r="A3947" s="1">
        <v>10089</v>
      </c>
      <c r="B3947" s="1" t="s">
        <v>6839</v>
      </c>
      <c r="D3947" s="1" t="s">
        <v>11735</v>
      </c>
      <c r="F3947" s="1" t="s">
        <v>11930</v>
      </c>
      <c r="H3947" s="1" t="s">
        <v>12625</v>
      </c>
      <c r="J3947" s="1" t="s">
        <v>12626</v>
      </c>
      <c r="L3947" s="1" t="s">
        <v>1956</v>
      </c>
      <c r="N3947" s="1" t="s">
        <v>1119</v>
      </c>
      <c r="P3947" s="1" t="s">
        <v>6795</v>
      </c>
      <c r="Q3947" s="3">
        <v>0</v>
      </c>
      <c r="R3947" s="23" t="s">
        <v>11933</v>
      </c>
      <c r="S3947" s="23" t="s">
        <v>5849</v>
      </c>
      <c r="T3947" s="23" t="s">
        <v>4866</v>
      </c>
      <c r="U3947" s="3">
        <v>35</v>
      </c>
      <c r="W3947" s="45" t="str">
        <f>HYPERLINK("http://ictvonline.org/taxonomy/p/taxonomy-history?taxnode_id=201906615","ICTVonline=201906615")</f>
        <v>ICTVonline=201906615</v>
      </c>
      <c r="X3947" s="1" t="s">
        <v>12663</v>
      </c>
      <c r="Y3947" s="1" t="s">
        <v>12664</v>
      </c>
      <c r="Z3947" s="1" t="s">
        <v>12665</v>
      </c>
      <c r="AA3947" s="1">
        <v>201900000</v>
      </c>
      <c r="AB3947" s="1">
        <v>35</v>
      </c>
    </row>
    <row r="3948" spans="1:28" x14ac:dyDescent="0.2">
      <c r="A3948" s="1">
        <v>10091</v>
      </c>
      <c r="B3948" s="1" t="s">
        <v>6839</v>
      </c>
      <c r="D3948" s="1" t="s">
        <v>11735</v>
      </c>
      <c r="F3948" s="1" t="s">
        <v>11930</v>
      </c>
      <c r="H3948" s="1" t="s">
        <v>12625</v>
      </c>
      <c r="J3948" s="1" t="s">
        <v>12626</v>
      </c>
      <c r="L3948" s="1" t="s">
        <v>1956</v>
      </c>
      <c r="N3948" s="1" t="s">
        <v>1119</v>
      </c>
      <c r="P3948" s="1" t="s">
        <v>12666</v>
      </c>
      <c r="Q3948" s="3">
        <v>0</v>
      </c>
      <c r="R3948" s="23" t="s">
        <v>11933</v>
      </c>
      <c r="S3948" s="23" t="s">
        <v>5849</v>
      </c>
      <c r="T3948" s="23" t="s">
        <v>4864</v>
      </c>
      <c r="U3948" s="3">
        <v>35</v>
      </c>
      <c r="V3948" s="3" t="s">
        <v>12643</v>
      </c>
      <c r="W3948" s="45" t="str">
        <f>HYPERLINK("http://ictvonline.org/taxonomy/p/taxonomy-history?taxnode_id=201907552","ICTVonline=201907552")</f>
        <v>ICTVonline=201907552</v>
      </c>
      <c r="X3948" s="1" t="s">
        <v>12667</v>
      </c>
      <c r="Y3948" s="1" t="s">
        <v>12668</v>
      </c>
      <c r="Z3948" s="1" t="s">
        <v>12669</v>
      </c>
      <c r="AA3948" s="1">
        <v>201900000</v>
      </c>
      <c r="AB3948" s="1">
        <v>35</v>
      </c>
    </row>
    <row r="3949" spans="1:28" x14ac:dyDescent="0.2">
      <c r="A3949" s="1">
        <v>10093</v>
      </c>
      <c r="B3949" s="1" t="s">
        <v>6839</v>
      </c>
      <c r="D3949" s="1" t="s">
        <v>11735</v>
      </c>
      <c r="F3949" s="1" t="s">
        <v>11930</v>
      </c>
      <c r="H3949" s="1" t="s">
        <v>12625</v>
      </c>
      <c r="J3949" s="1" t="s">
        <v>12626</v>
      </c>
      <c r="L3949" s="1" t="s">
        <v>1956</v>
      </c>
      <c r="N3949" s="1" t="s">
        <v>1119</v>
      </c>
      <c r="P3949" s="1" t="s">
        <v>544</v>
      </c>
      <c r="Q3949" s="3">
        <v>0</v>
      </c>
      <c r="R3949" s="23" t="s">
        <v>11933</v>
      </c>
      <c r="S3949" s="23" t="s">
        <v>5849</v>
      </c>
      <c r="T3949" s="23" t="s">
        <v>4866</v>
      </c>
      <c r="U3949" s="3">
        <v>35</v>
      </c>
      <c r="W3949" s="45" t="str">
        <f>HYPERLINK("http://ictvonline.org/taxonomy/p/taxonomy-history?taxnode_id=201903771","ICTVonline=201903771")</f>
        <v>ICTVonline=201903771</v>
      </c>
      <c r="Y3949" s="1" t="s">
        <v>12670</v>
      </c>
      <c r="Z3949" s="1" t="s">
        <v>12068</v>
      </c>
      <c r="AA3949" s="1">
        <v>201900000</v>
      </c>
      <c r="AB3949" s="1">
        <v>35</v>
      </c>
    </row>
    <row r="3950" spans="1:28" x14ac:dyDescent="0.2">
      <c r="A3950" s="1">
        <v>10095</v>
      </c>
      <c r="B3950" s="1" t="s">
        <v>6839</v>
      </c>
      <c r="D3950" s="1" t="s">
        <v>11735</v>
      </c>
      <c r="F3950" s="1" t="s">
        <v>11930</v>
      </c>
      <c r="H3950" s="1" t="s">
        <v>12625</v>
      </c>
      <c r="J3950" s="1" t="s">
        <v>12626</v>
      </c>
      <c r="L3950" s="1" t="s">
        <v>1956</v>
      </c>
      <c r="N3950" s="1" t="s">
        <v>1119</v>
      </c>
      <c r="P3950" s="1" t="s">
        <v>1120</v>
      </c>
      <c r="Q3950" s="3">
        <v>0</v>
      </c>
      <c r="R3950" s="23" t="s">
        <v>11933</v>
      </c>
      <c r="S3950" s="23" t="s">
        <v>5849</v>
      </c>
      <c r="T3950" s="23" t="s">
        <v>4866</v>
      </c>
      <c r="U3950" s="3">
        <v>35</v>
      </c>
      <c r="W3950" s="45" t="str">
        <f>HYPERLINK("http://ictvonline.org/taxonomy/p/taxonomy-history?taxnode_id=201903772","ICTVonline=201903772")</f>
        <v>ICTVonline=201903772</v>
      </c>
      <c r="Y3950" s="1" t="s">
        <v>12671</v>
      </c>
      <c r="Z3950" s="1" t="s">
        <v>12672</v>
      </c>
      <c r="AA3950" s="1">
        <v>201900000</v>
      </c>
      <c r="AB3950" s="1">
        <v>35</v>
      </c>
    </row>
    <row r="3951" spans="1:28" x14ac:dyDescent="0.2">
      <c r="A3951" s="1">
        <v>10099</v>
      </c>
      <c r="B3951" s="1" t="s">
        <v>6839</v>
      </c>
      <c r="D3951" s="1" t="s">
        <v>11735</v>
      </c>
      <c r="F3951" s="1" t="s">
        <v>11930</v>
      </c>
      <c r="H3951" s="1" t="s">
        <v>12625</v>
      </c>
      <c r="J3951" s="1" t="s">
        <v>12626</v>
      </c>
      <c r="L3951" s="1" t="s">
        <v>1956</v>
      </c>
      <c r="N3951" s="1" t="s">
        <v>1620</v>
      </c>
      <c r="P3951" s="1" t="s">
        <v>1621</v>
      </c>
      <c r="Q3951" s="3">
        <v>0</v>
      </c>
      <c r="R3951" s="23" t="s">
        <v>11933</v>
      </c>
      <c r="S3951" s="23" t="s">
        <v>5849</v>
      </c>
      <c r="T3951" s="23" t="s">
        <v>4866</v>
      </c>
      <c r="U3951" s="3">
        <v>35</v>
      </c>
      <c r="W3951" s="45" t="str">
        <f>HYPERLINK("http://ictvonline.org/taxonomy/p/taxonomy-history?taxnode_id=201903774","ICTVonline=201903774")</f>
        <v>ICTVonline=201903774</v>
      </c>
      <c r="Y3951" s="1" t="s">
        <v>12673</v>
      </c>
      <c r="Z3951" s="1" t="s">
        <v>12674</v>
      </c>
      <c r="AA3951" s="1">
        <v>201900000</v>
      </c>
      <c r="AB3951" s="1">
        <v>35</v>
      </c>
    </row>
    <row r="3952" spans="1:28" x14ac:dyDescent="0.2">
      <c r="A3952" s="1">
        <v>10101</v>
      </c>
      <c r="B3952" s="1" t="s">
        <v>6839</v>
      </c>
      <c r="D3952" s="1" t="s">
        <v>11735</v>
      </c>
      <c r="F3952" s="1" t="s">
        <v>11930</v>
      </c>
      <c r="H3952" s="1" t="s">
        <v>12625</v>
      </c>
      <c r="J3952" s="1" t="s">
        <v>12626</v>
      </c>
      <c r="L3952" s="1" t="s">
        <v>1956</v>
      </c>
      <c r="N3952" s="1" t="s">
        <v>1620</v>
      </c>
      <c r="P3952" s="1" t="s">
        <v>1961</v>
      </c>
      <c r="Q3952" s="3">
        <v>0</v>
      </c>
      <c r="R3952" s="23" t="s">
        <v>11933</v>
      </c>
      <c r="S3952" s="23" t="s">
        <v>5849</v>
      </c>
      <c r="T3952" s="23" t="s">
        <v>4866</v>
      </c>
      <c r="U3952" s="3">
        <v>35</v>
      </c>
      <c r="W3952" s="45" t="str">
        <f>HYPERLINK("http://ictvonline.org/taxonomy/p/taxonomy-history?taxnode_id=201903775","ICTVonline=201903775")</f>
        <v>ICTVonline=201903775</v>
      </c>
      <c r="Y3952" s="1" t="s">
        <v>12675</v>
      </c>
      <c r="Z3952" s="1" t="s">
        <v>12676</v>
      </c>
      <c r="AA3952" s="1">
        <v>201900000</v>
      </c>
      <c r="AB3952" s="1">
        <v>35</v>
      </c>
    </row>
    <row r="3953" spans="1:28" x14ac:dyDescent="0.2">
      <c r="A3953" s="1">
        <v>10103</v>
      </c>
      <c r="B3953" s="1" t="s">
        <v>6839</v>
      </c>
      <c r="D3953" s="1" t="s">
        <v>11735</v>
      </c>
      <c r="F3953" s="1" t="s">
        <v>11930</v>
      </c>
      <c r="H3953" s="1" t="s">
        <v>12625</v>
      </c>
      <c r="J3953" s="1" t="s">
        <v>12626</v>
      </c>
      <c r="L3953" s="1" t="s">
        <v>1956</v>
      </c>
      <c r="N3953" s="1" t="s">
        <v>1620</v>
      </c>
      <c r="P3953" s="1" t="s">
        <v>1622</v>
      </c>
      <c r="Q3953" s="3">
        <v>0</v>
      </c>
      <c r="R3953" s="23" t="s">
        <v>11933</v>
      </c>
      <c r="S3953" s="23" t="s">
        <v>5849</v>
      </c>
      <c r="T3953" s="23" t="s">
        <v>4866</v>
      </c>
      <c r="U3953" s="3">
        <v>35</v>
      </c>
      <c r="W3953" s="45" t="str">
        <f>HYPERLINK("http://ictvonline.org/taxonomy/p/taxonomy-history?taxnode_id=201903776","ICTVonline=201903776")</f>
        <v>ICTVonline=201903776</v>
      </c>
      <c r="Y3953" s="1" t="s">
        <v>12677</v>
      </c>
      <c r="Z3953" s="1" t="s">
        <v>11977</v>
      </c>
      <c r="AA3953" s="1">
        <v>201900000</v>
      </c>
      <c r="AB3953" s="1">
        <v>35</v>
      </c>
    </row>
    <row r="3954" spans="1:28" x14ac:dyDescent="0.2">
      <c r="A3954" s="1">
        <v>10105</v>
      </c>
      <c r="B3954" s="1" t="s">
        <v>6839</v>
      </c>
      <c r="D3954" s="1" t="s">
        <v>11735</v>
      </c>
      <c r="F3954" s="1" t="s">
        <v>11930</v>
      </c>
      <c r="H3954" s="1" t="s">
        <v>12625</v>
      </c>
      <c r="J3954" s="1" t="s">
        <v>12626</v>
      </c>
      <c r="L3954" s="1" t="s">
        <v>1956</v>
      </c>
      <c r="N3954" s="1" t="s">
        <v>1620</v>
      </c>
      <c r="P3954" s="1" t="s">
        <v>1623</v>
      </c>
      <c r="Q3954" s="3">
        <v>0</v>
      </c>
      <c r="R3954" s="23" t="s">
        <v>11933</v>
      </c>
      <c r="S3954" s="23" t="s">
        <v>5849</v>
      </c>
      <c r="T3954" s="23" t="s">
        <v>4866</v>
      </c>
      <c r="U3954" s="3">
        <v>35</v>
      </c>
      <c r="W3954" s="45" t="str">
        <f>HYPERLINK("http://ictvonline.org/taxonomy/p/taxonomy-history?taxnode_id=201903777","ICTVonline=201903777")</f>
        <v>ICTVonline=201903777</v>
      </c>
      <c r="Y3954" s="1" t="s">
        <v>12678</v>
      </c>
      <c r="Z3954" s="1" t="s">
        <v>12679</v>
      </c>
      <c r="AA3954" s="1">
        <v>201900000</v>
      </c>
      <c r="AB3954" s="1">
        <v>35</v>
      </c>
    </row>
    <row r="3955" spans="1:28" x14ac:dyDescent="0.2">
      <c r="A3955" s="1">
        <v>10107</v>
      </c>
      <c r="B3955" s="1" t="s">
        <v>6839</v>
      </c>
      <c r="D3955" s="1" t="s">
        <v>11735</v>
      </c>
      <c r="F3955" s="1" t="s">
        <v>11930</v>
      </c>
      <c r="H3955" s="1" t="s">
        <v>12625</v>
      </c>
      <c r="J3955" s="1" t="s">
        <v>12626</v>
      </c>
      <c r="L3955" s="1" t="s">
        <v>1956</v>
      </c>
      <c r="N3955" s="1" t="s">
        <v>1620</v>
      </c>
      <c r="P3955" s="1" t="s">
        <v>5381</v>
      </c>
      <c r="Q3955" s="3">
        <v>0</v>
      </c>
      <c r="R3955" s="23" t="s">
        <v>11933</v>
      </c>
      <c r="S3955" s="23" t="s">
        <v>5849</v>
      </c>
      <c r="T3955" s="23" t="s">
        <v>4866</v>
      </c>
      <c r="U3955" s="3">
        <v>35</v>
      </c>
      <c r="W3955" s="45" t="str">
        <f>HYPERLINK("http://ictvonline.org/taxonomy/p/taxonomy-history?taxnode_id=201903778","ICTVonline=201903778")</f>
        <v>ICTVonline=201903778</v>
      </c>
      <c r="Y3955" s="1" t="s">
        <v>12680</v>
      </c>
      <c r="Z3955" s="1" t="s">
        <v>12681</v>
      </c>
      <c r="AA3955" s="1">
        <v>201900000</v>
      </c>
      <c r="AB3955" s="1">
        <v>35</v>
      </c>
    </row>
    <row r="3956" spans="1:28" x14ac:dyDescent="0.2">
      <c r="A3956" s="1">
        <v>10109</v>
      </c>
      <c r="B3956" s="1" t="s">
        <v>6839</v>
      </c>
      <c r="D3956" s="1" t="s">
        <v>11735</v>
      </c>
      <c r="F3956" s="1" t="s">
        <v>11930</v>
      </c>
      <c r="H3956" s="1" t="s">
        <v>12625</v>
      </c>
      <c r="J3956" s="1" t="s">
        <v>12626</v>
      </c>
      <c r="L3956" s="1" t="s">
        <v>1956</v>
      </c>
      <c r="N3956" s="1" t="s">
        <v>1620</v>
      </c>
      <c r="P3956" s="1" t="s">
        <v>5382</v>
      </c>
      <c r="Q3956" s="3">
        <v>0</v>
      </c>
      <c r="R3956" s="23" t="s">
        <v>11933</v>
      </c>
      <c r="S3956" s="23" t="s">
        <v>5849</v>
      </c>
      <c r="T3956" s="23" t="s">
        <v>4866</v>
      </c>
      <c r="U3956" s="3">
        <v>35</v>
      </c>
      <c r="W3956" s="45" t="str">
        <f>HYPERLINK("http://ictvonline.org/taxonomy/p/taxonomy-history?taxnode_id=201903779","ICTVonline=201903779")</f>
        <v>ICTVonline=201903779</v>
      </c>
      <c r="Y3956" s="1" t="s">
        <v>12682</v>
      </c>
      <c r="Z3956" s="1" t="s">
        <v>12683</v>
      </c>
      <c r="AA3956" s="1">
        <v>201900000</v>
      </c>
      <c r="AB3956" s="1">
        <v>35</v>
      </c>
    </row>
    <row r="3957" spans="1:28" x14ac:dyDescent="0.2">
      <c r="A3957" s="1">
        <v>10111</v>
      </c>
      <c r="B3957" s="1" t="s">
        <v>6839</v>
      </c>
      <c r="D3957" s="1" t="s">
        <v>11735</v>
      </c>
      <c r="F3957" s="1" t="s">
        <v>11930</v>
      </c>
      <c r="H3957" s="1" t="s">
        <v>12625</v>
      </c>
      <c r="J3957" s="1" t="s">
        <v>12626</v>
      </c>
      <c r="L3957" s="1" t="s">
        <v>1956</v>
      </c>
      <c r="N3957" s="1" t="s">
        <v>1620</v>
      </c>
      <c r="P3957" s="1" t="s">
        <v>545</v>
      </c>
      <c r="Q3957" s="3">
        <v>0</v>
      </c>
      <c r="R3957" s="23" t="s">
        <v>11933</v>
      </c>
      <c r="S3957" s="23" t="s">
        <v>5849</v>
      </c>
      <c r="T3957" s="23" t="s">
        <v>4866</v>
      </c>
      <c r="U3957" s="3">
        <v>35</v>
      </c>
      <c r="W3957" s="45" t="str">
        <f>HYPERLINK("http://ictvonline.org/taxonomy/p/taxonomy-history?taxnode_id=201903780","ICTVonline=201903780")</f>
        <v>ICTVonline=201903780</v>
      </c>
      <c r="Y3957" s="1" t="s">
        <v>12684</v>
      </c>
      <c r="Z3957" s="1" t="s">
        <v>12685</v>
      </c>
      <c r="AA3957" s="1">
        <v>201900000</v>
      </c>
      <c r="AB3957" s="1">
        <v>35</v>
      </c>
    </row>
    <row r="3958" spans="1:28" x14ac:dyDescent="0.2">
      <c r="A3958" s="1">
        <v>10113</v>
      </c>
      <c r="B3958" s="1" t="s">
        <v>6839</v>
      </c>
      <c r="D3958" s="1" t="s">
        <v>11735</v>
      </c>
      <c r="F3958" s="1" t="s">
        <v>11930</v>
      </c>
      <c r="H3958" s="1" t="s">
        <v>12625</v>
      </c>
      <c r="J3958" s="1" t="s">
        <v>12626</v>
      </c>
      <c r="L3958" s="1" t="s">
        <v>1956</v>
      </c>
      <c r="N3958" s="1" t="s">
        <v>1620</v>
      </c>
      <c r="P3958" s="1" t="s">
        <v>2456</v>
      </c>
      <c r="Q3958" s="3">
        <v>0</v>
      </c>
      <c r="R3958" s="23" t="s">
        <v>11933</v>
      </c>
      <c r="S3958" s="23" t="s">
        <v>5849</v>
      </c>
      <c r="T3958" s="23" t="s">
        <v>4866</v>
      </c>
      <c r="U3958" s="3">
        <v>35</v>
      </c>
      <c r="W3958" s="45" t="str">
        <f>HYPERLINK("http://ictvonline.org/taxonomy/p/taxonomy-history?taxnode_id=201903781","ICTVonline=201903781")</f>
        <v>ICTVonline=201903781</v>
      </c>
      <c r="Y3958" s="1" t="s">
        <v>12686</v>
      </c>
      <c r="Z3958" s="1" t="s">
        <v>12687</v>
      </c>
      <c r="AA3958" s="1">
        <v>201900000</v>
      </c>
      <c r="AB3958" s="1">
        <v>35</v>
      </c>
    </row>
    <row r="3959" spans="1:28" x14ac:dyDescent="0.2">
      <c r="A3959" s="1">
        <v>10115</v>
      </c>
      <c r="B3959" s="1" t="s">
        <v>6839</v>
      </c>
      <c r="D3959" s="1" t="s">
        <v>11735</v>
      </c>
      <c r="F3959" s="1" t="s">
        <v>11930</v>
      </c>
      <c r="H3959" s="1" t="s">
        <v>12625</v>
      </c>
      <c r="J3959" s="1" t="s">
        <v>12626</v>
      </c>
      <c r="L3959" s="1" t="s">
        <v>1956</v>
      </c>
      <c r="N3959" s="1" t="s">
        <v>1620</v>
      </c>
      <c r="P3959" s="1" t="s">
        <v>1624</v>
      </c>
      <c r="Q3959" s="3">
        <v>0</v>
      </c>
      <c r="R3959" s="23" t="s">
        <v>11933</v>
      </c>
      <c r="S3959" s="23" t="s">
        <v>5849</v>
      </c>
      <c r="T3959" s="23" t="s">
        <v>4866</v>
      </c>
      <c r="U3959" s="3">
        <v>35</v>
      </c>
      <c r="W3959" s="45" t="str">
        <f>HYPERLINK("http://ictvonline.org/taxonomy/p/taxonomy-history?taxnode_id=201903782","ICTVonline=201903782")</f>
        <v>ICTVonline=201903782</v>
      </c>
      <c r="Y3959" s="1" t="s">
        <v>12688</v>
      </c>
      <c r="Z3959" s="1" t="s">
        <v>12683</v>
      </c>
      <c r="AA3959" s="1">
        <v>201900000</v>
      </c>
      <c r="AB3959" s="1">
        <v>35</v>
      </c>
    </row>
    <row r="3960" spans="1:28" x14ac:dyDescent="0.2">
      <c r="A3960" s="1">
        <v>10117</v>
      </c>
      <c r="B3960" s="1" t="s">
        <v>6839</v>
      </c>
      <c r="D3960" s="1" t="s">
        <v>11735</v>
      </c>
      <c r="F3960" s="1" t="s">
        <v>11930</v>
      </c>
      <c r="H3960" s="1" t="s">
        <v>12625</v>
      </c>
      <c r="J3960" s="1" t="s">
        <v>12626</v>
      </c>
      <c r="L3960" s="1" t="s">
        <v>1956</v>
      </c>
      <c r="N3960" s="1" t="s">
        <v>1620</v>
      </c>
      <c r="P3960" s="1" t="s">
        <v>12689</v>
      </c>
      <c r="Q3960" s="3">
        <v>0</v>
      </c>
      <c r="R3960" s="23" t="s">
        <v>11933</v>
      </c>
      <c r="S3960" s="23" t="s">
        <v>5849</v>
      </c>
      <c r="T3960" s="23" t="s">
        <v>4864</v>
      </c>
      <c r="U3960" s="3">
        <v>35</v>
      </c>
      <c r="V3960" s="3" t="s">
        <v>12690</v>
      </c>
      <c r="W3960" s="45" t="str">
        <f>HYPERLINK("http://ictvonline.org/taxonomy/p/taxonomy-history?taxnode_id=201907417","ICTVonline=201907417")</f>
        <v>ICTVonline=201907417</v>
      </c>
      <c r="X3960" s="1" t="s">
        <v>12691</v>
      </c>
      <c r="Y3960" s="1" t="s">
        <v>12692</v>
      </c>
      <c r="Z3960" s="1">
        <v>5253</v>
      </c>
      <c r="AA3960" s="1">
        <v>201900000</v>
      </c>
      <c r="AB3960" s="1">
        <v>35</v>
      </c>
    </row>
    <row r="3961" spans="1:28" x14ac:dyDescent="0.2">
      <c r="A3961" s="1">
        <v>10119</v>
      </c>
      <c r="B3961" s="1" t="s">
        <v>6839</v>
      </c>
      <c r="D3961" s="1" t="s">
        <v>11735</v>
      </c>
      <c r="F3961" s="1" t="s">
        <v>11930</v>
      </c>
      <c r="H3961" s="1" t="s">
        <v>12625</v>
      </c>
      <c r="J3961" s="1" t="s">
        <v>12626</v>
      </c>
      <c r="L3961" s="1" t="s">
        <v>1956</v>
      </c>
      <c r="N3961" s="1" t="s">
        <v>1620</v>
      </c>
      <c r="P3961" s="1" t="s">
        <v>5383</v>
      </c>
      <c r="Q3961" s="3">
        <v>0</v>
      </c>
      <c r="R3961" s="23" t="s">
        <v>11933</v>
      </c>
      <c r="S3961" s="23" t="s">
        <v>5849</v>
      </c>
      <c r="T3961" s="23" t="s">
        <v>4866</v>
      </c>
      <c r="U3961" s="3">
        <v>35</v>
      </c>
      <c r="W3961" s="45" t="str">
        <f>HYPERLINK("http://ictvonline.org/taxonomy/p/taxonomy-history?taxnode_id=201903783","ICTVonline=201903783")</f>
        <v>ICTVonline=201903783</v>
      </c>
      <c r="Y3961" s="1" t="s">
        <v>12693</v>
      </c>
      <c r="Z3961" s="1" t="s">
        <v>12694</v>
      </c>
      <c r="AA3961" s="1">
        <v>201900000</v>
      </c>
      <c r="AB3961" s="1">
        <v>35</v>
      </c>
    </row>
    <row r="3962" spans="1:28" x14ac:dyDescent="0.2">
      <c r="A3962" s="1">
        <v>10121</v>
      </c>
      <c r="B3962" s="1" t="s">
        <v>6839</v>
      </c>
      <c r="D3962" s="1" t="s">
        <v>11735</v>
      </c>
      <c r="F3962" s="1" t="s">
        <v>11930</v>
      </c>
      <c r="H3962" s="1" t="s">
        <v>12625</v>
      </c>
      <c r="J3962" s="1" t="s">
        <v>12626</v>
      </c>
      <c r="L3962" s="1" t="s">
        <v>1956</v>
      </c>
      <c r="N3962" s="1" t="s">
        <v>1620</v>
      </c>
      <c r="P3962" s="1" t="s">
        <v>5384</v>
      </c>
      <c r="Q3962" s="3">
        <v>0</v>
      </c>
      <c r="R3962" s="23" t="s">
        <v>11933</v>
      </c>
      <c r="S3962" s="23" t="s">
        <v>5849</v>
      </c>
      <c r="T3962" s="23" t="s">
        <v>4866</v>
      </c>
      <c r="U3962" s="3">
        <v>35</v>
      </c>
      <c r="W3962" s="45" t="str">
        <f>HYPERLINK("http://ictvonline.org/taxonomy/p/taxonomy-history?taxnode_id=201905862","ICTVonline=201905862")</f>
        <v>ICTVonline=201905862</v>
      </c>
      <c r="AA3962" s="1">
        <v>201900000</v>
      </c>
      <c r="AB3962" s="1">
        <v>35</v>
      </c>
    </row>
    <row r="3963" spans="1:28" x14ac:dyDescent="0.2">
      <c r="A3963" s="1">
        <v>10123</v>
      </c>
      <c r="B3963" s="1" t="s">
        <v>6839</v>
      </c>
      <c r="D3963" s="1" t="s">
        <v>11735</v>
      </c>
      <c r="F3963" s="1" t="s">
        <v>11930</v>
      </c>
      <c r="H3963" s="1" t="s">
        <v>12625</v>
      </c>
      <c r="J3963" s="1" t="s">
        <v>12626</v>
      </c>
      <c r="L3963" s="1" t="s">
        <v>1956</v>
      </c>
      <c r="N3963" s="1" t="s">
        <v>1620</v>
      </c>
      <c r="P3963" s="1" t="s">
        <v>546</v>
      </c>
      <c r="Q3963" s="3">
        <v>0</v>
      </c>
      <c r="R3963" s="23" t="s">
        <v>11933</v>
      </c>
      <c r="S3963" s="23" t="s">
        <v>5849</v>
      </c>
      <c r="T3963" s="23" t="s">
        <v>4866</v>
      </c>
      <c r="U3963" s="3">
        <v>35</v>
      </c>
      <c r="W3963" s="45" t="str">
        <f>HYPERLINK("http://ictvonline.org/taxonomy/p/taxonomy-history?taxnode_id=201903784","ICTVonline=201903784")</f>
        <v>ICTVonline=201903784</v>
      </c>
      <c r="Y3963" s="1" t="s">
        <v>12695</v>
      </c>
      <c r="Z3963" s="1" t="s">
        <v>12696</v>
      </c>
      <c r="AA3963" s="1">
        <v>201900000</v>
      </c>
      <c r="AB3963" s="1">
        <v>35</v>
      </c>
    </row>
    <row r="3964" spans="1:28" x14ac:dyDescent="0.2">
      <c r="A3964" s="1">
        <v>10125</v>
      </c>
      <c r="B3964" s="1" t="s">
        <v>6839</v>
      </c>
      <c r="D3964" s="1" t="s">
        <v>11735</v>
      </c>
      <c r="F3964" s="1" t="s">
        <v>11930</v>
      </c>
      <c r="H3964" s="1" t="s">
        <v>12625</v>
      </c>
      <c r="J3964" s="1" t="s">
        <v>12626</v>
      </c>
      <c r="L3964" s="1" t="s">
        <v>1956</v>
      </c>
      <c r="N3964" s="1" t="s">
        <v>1620</v>
      </c>
      <c r="P3964" s="1" t="s">
        <v>5385</v>
      </c>
      <c r="Q3964" s="3">
        <v>0</v>
      </c>
      <c r="R3964" s="23" t="s">
        <v>11933</v>
      </c>
      <c r="S3964" s="23" t="s">
        <v>5849</v>
      </c>
      <c r="T3964" s="23" t="s">
        <v>4866</v>
      </c>
      <c r="U3964" s="3">
        <v>35</v>
      </c>
      <c r="W3964" s="45" t="str">
        <f>HYPERLINK("http://ictvonline.org/taxonomy/p/taxonomy-history?taxnode_id=201905863","ICTVonline=201905863")</f>
        <v>ICTVonline=201905863</v>
      </c>
      <c r="AA3964" s="1">
        <v>201900000</v>
      </c>
      <c r="AB3964" s="1">
        <v>35</v>
      </c>
    </row>
    <row r="3965" spans="1:28" x14ac:dyDescent="0.2">
      <c r="A3965" s="1">
        <v>10127</v>
      </c>
      <c r="B3965" s="1" t="s">
        <v>6839</v>
      </c>
      <c r="D3965" s="1" t="s">
        <v>11735</v>
      </c>
      <c r="F3965" s="1" t="s">
        <v>11930</v>
      </c>
      <c r="H3965" s="1" t="s">
        <v>12625</v>
      </c>
      <c r="J3965" s="1" t="s">
        <v>12626</v>
      </c>
      <c r="L3965" s="1" t="s">
        <v>1956</v>
      </c>
      <c r="N3965" s="1" t="s">
        <v>1620</v>
      </c>
      <c r="P3965" s="1" t="s">
        <v>6796</v>
      </c>
      <c r="Q3965" s="3">
        <v>0</v>
      </c>
      <c r="R3965" s="23" t="s">
        <v>11933</v>
      </c>
      <c r="S3965" s="23" t="s">
        <v>5849</v>
      </c>
      <c r="T3965" s="23" t="s">
        <v>4866</v>
      </c>
      <c r="U3965" s="3">
        <v>35</v>
      </c>
      <c r="W3965" s="45" t="str">
        <f>HYPERLINK("http://ictvonline.org/taxonomy/p/taxonomy-history?taxnode_id=201903785","ICTVonline=201903785")</f>
        <v>ICTVonline=201903785</v>
      </c>
      <c r="X3965" s="1" t="s">
        <v>12697</v>
      </c>
      <c r="Y3965" s="1" t="s">
        <v>12698</v>
      </c>
      <c r="Z3965" s="1" t="s">
        <v>12699</v>
      </c>
      <c r="AA3965" s="1">
        <v>201900000</v>
      </c>
      <c r="AB3965" s="1">
        <v>35</v>
      </c>
    </row>
    <row r="3966" spans="1:28" x14ac:dyDescent="0.2">
      <c r="A3966" s="1">
        <v>10129</v>
      </c>
      <c r="B3966" s="1" t="s">
        <v>6839</v>
      </c>
      <c r="D3966" s="1" t="s">
        <v>11735</v>
      </c>
      <c r="F3966" s="1" t="s">
        <v>11930</v>
      </c>
      <c r="H3966" s="1" t="s">
        <v>12625</v>
      </c>
      <c r="J3966" s="1" t="s">
        <v>12626</v>
      </c>
      <c r="L3966" s="1" t="s">
        <v>1956</v>
      </c>
      <c r="N3966" s="1" t="s">
        <v>1620</v>
      </c>
      <c r="P3966" s="1" t="s">
        <v>6797</v>
      </c>
      <c r="Q3966" s="3">
        <v>0</v>
      </c>
      <c r="R3966" s="23" t="s">
        <v>11933</v>
      </c>
      <c r="S3966" s="23" t="s">
        <v>5849</v>
      </c>
      <c r="T3966" s="23" t="s">
        <v>4866</v>
      </c>
      <c r="U3966" s="3">
        <v>35</v>
      </c>
      <c r="W3966" s="45" t="str">
        <f>HYPERLINK("http://ictvonline.org/taxonomy/p/taxonomy-history?taxnode_id=201906621","ICTVonline=201906621")</f>
        <v>ICTVonline=201906621</v>
      </c>
      <c r="X3966" s="1" t="s">
        <v>12700</v>
      </c>
      <c r="Y3966" s="1" t="s">
        <v>12701</v>
      </c>
      <c r="Z3966" s="1" t="s">
        <v>12702</v>
      </c>
      <c r="AA3966" s="1">
        <v>201900000</v>
      </c>
      <c r="AB3966" s="1">
        <v>35</v>
      </c>
    </row>
    <row r="3967" spans="1:28" x14ac:dyDescent="0.2">
      <c r="A3967" s="1">
        <v>10131</v>
      </c>
      <c r="B3967" s="1" t="s">
        <v>6839</v>
      </c>
      <c r="D3967" s="1" t="s">
        <v>11735</v>
      </c>
      <c r="F3967" s="1" t="s">
        <v>11930</v>
      </c>
      <c r="H3967" s="1" t="s">
        <v>12625</v>
      </c>
      <c r="J3967" s="1" t="s">
        <v>12626</v>
      </c>
      <c r="L3967" s="1" t="s">
        <v>1956</v>
      </c>
      <c r="N3967" s="1" t="s">
        <v>1620</v>
      </c>
      <c r="P3967" s="1" t="s">
        <v>6798</v>
      </c>
      <c r="Q3967" s="3">
        <v>0</v>
      </c>
      <c r="R3967" s="23" t="s">
        <v>11933</v>
      </c>
      <c r="S3967" s="23" t="s">
        <v>5849</v>
      </c>
      <c r="T3967" s="23" t="s">
        <v>4866</v>
      </c>
      <c r="U3967" s="3">
        <v>35</v>
      </c>
      <c r="W3967" s="45" t="str">
        <f>HYPERLINK("http://ictvonline.org/taxonomy/p/taxonomy-history?taxnode_id=201906622","ICTVonline=201906622")</f>
        <v>ICTVonline=201906622</v>
      </c>
      <c r="X3967" s="1" t="s">
        <v>12703</v>
      </c>
      <c r="Y3967" s="1" t="s">
        <v>12704</v>
      </c>
      <c r="Z3967" s="1" t="s">
        <v>12705</v>
      </c>
      <c r="AA3967" s="1">
        <v>201900000</v>
      </c>
      <c r="AB3967" s="1">
        <v>35</v>
      </c>
    </row>
    <row r="3968" spans="1:28" x14ac:dyDescent="0.2">
      <c r="A3968" s="1">
        <v>10133</v>
      </c>
      <c r="B3968" s="1" t="s">
        <v>6839</v>
      </c>
      <c r="D3968" s="1" t="s">
        <v>11735</v>
      </c>
      <c r="F3968" s="1" t="s">
        <v>11930</v>
      </c>
      <c r="H3968" s="1" t="s">
        <v>12625</v>
      </c>
      <c r="J3968" s="1" t="s">
        <v>12626</v>
      </c>
      <c r="L3968" s="1" t="s">
        <v>1956</v>
      </c>
      <c r="N3968" s="1" t="s">
        <v>1620</v>
      </c>
      <c r="P3968" s="1" t="s">
        <v>6799</v>
      </c>
      <c r="Q3968" s="3">
        <v>0</v>
      </c>
      <c r="R3968" s="23" t="s">
        <v>11933</v>
      </c>
      <c r="S3968" s="23" t="s">
        <v>5849</v>
      </c>
      <c r="T3968" s="23" t="s">
        <v>4866</v>
      </c>
      <c r="U3968" s="3">
        <v>35</v>
      </c>
      <c r="W3968" s="45" t="str">
        <f>HYPERLINK("http://ictvonline.org/taxonomy/p/taxonomy-history?taxnode_id=201906623","ICTVonline=201906623")</f>
        <v>ICTVonline=201906623</v>
      </c>
      <c r="X3968" s="1" t="s">
        <v>12706</v>
      </c>
      <c r="Y3968" s="1" t="s">
        <v>12707</v>
      </c>
      <c r="Z3968" s="1" t="s">
        <v>12708</v>
      </c>
      <c r="AA3968" s="1">
        <v>201900000</v>
      </c>
      <c r="AB3968" s="1">
        <v>35</v>
      </c>
    </row>
    <row r="3969" spans="1:28" x14ac:dyDescent="0.2">
      <c r="A3969" s="1">
        <v>10135</v>
      </c>
      <c r="B3969" s="1" t="s">
        <v>6839</v>
      </c>
      <c r="D3969" s="1" t="s">
        <v>11735</v>
      </c>
      <c r="F3969" s="1" t="s">
        <v>11930</v>
      </c>
      <c r="H3969" s="1" t="s">
        <v>12625</v>
      </c>
      <c r="J3969" s="1" t="s">
        <v>12626</v>
      </c>
      <c r="L3969" s="1" t="s">
        <v>1956</v>
      </c>
      <c r="N3969" s="1" t="s">
        <v>1620</v>
      </c>
      <c r="P3969" s="1" t="s">
        <v>6800</v>
      </c>
      <c r="Q3969" s="3">
        <v>0</v>
      </c>
      <c r="R3969" s="23" t="s">
        <v>11933</v>
      </c>
      <c r="S3969" s="23" t="s">
        <v>5849</v>
      </c>
      <c r="T3969" s="23" t="s">
        <v>4866</v>
      </c>
      <c r="U3969" s="3">
        <v>35</v>
      </c>
      <c r="W3969" s="45" t="str">
        <f>HYPERLINK("http://ictvonline.org/taxonomy/p/taxonomy-history?taxnode_id=201906624","ICTVonline=201906624")</f>
        <v>ICTVonline=201906624</v>
      </c>
      <c r="X3969" s="1" t="s">
        <v>12709</v>
      </c>
      <c r="Y3969" s="1" t="s">
        <v>12710</v>
      </c>
      <c r="Z3969" s="1" t="s">
        <v>12711</v>
      </c>
      <c r="AA3969" s="1">
        <v>201900000</v>
      </c>
      <c r="AB3969" s="1">
        <v>35</v>
      </c>
    </row>
    <row r="3970" spans="1:28" x14ac:dyDescent="0.2">
      <c r="A3970" s="1">
        <v>10137</v>
      </c>
      <c r="B3970" s="1" t="s">
        <v>6839</v>
      </c>
      <c r="D3970" s="1" t="s">
        <v>11735</v>
      </c>
      <c r="F3970" s="1" t="s">
        <v>11930</v>
      </c>
      <c r="H3970" s="1" t="s">
        <v>12625</v>
      </c>
      <c r="J3970" s="1" t="s">
        <v>12626</v>
      </c>
      <c r="L3970" s="1" t="s">
        <v>1956</v>
      </c>
      <c r="N3970" s="1" t="s">
        <v>1620</v>
      </c>
      <c r="P3970" s="1" t="s">
        <v>6801</v>
      </c>
      <c r="Q3970" s="3">
        <v>0</v>
      </c>
      <c r="R3970" s="23" t="s">
        <v>11933</v>
      </c>
      <c r="S3970" s="23" t="s">
        <v>5849</v>
      </c>
      <c r="T3970" s="23" t="s">
        <v>4866</v>
      </c>
      <c r="U3970" s="3">
        <v>35</v>
      </c>
      <c r="W3970" s="45" t="str">
        <f>HYPERLINK("http://ictvonline.org/taxonomy/p/taxonomy-history?taxnode_id=201906625","ICTVonline=201906625")</f>
        <v>ICTVonline=201906625</v>
      </c>
      <c r="X3970" s="1" t="s">
        <v>12712</v>
      </c>
      <c r="Y3970" s="1" t="s">
        <v>12713</v>
      </c>
      <c r="Z3970" s="1" t="s">
        <v>12714</v>
      </c>
      <c r="AA3970" s="1">
        <v>201900000</v>
      </c>
      <c r="AB3970" s="1">
        <v>35</v>
      </c>
    </row>
    <row r="3971" spans="1:28" x14ac:dyDescent="0.2">
      <c r="A3971" s="1">
        <v>10139</v>
      </c>
      <c r="B3971" s="1" t="s">
        <v>6839</v>
      </c>
      <c r="D3971" s="1" t="s">
        <v>11735</v>
      </c>
      <c r="F3971" s="1" t="s">
        <v>11930</v>
      </c>
      <c r="H3971" s="1" t="s">
        <v>12625</v>
      </c>
      <c r="J3971" s="1" t="s">
        <v>12626</v>
      </c>
      <c r="L3971" s="1" t="s">
        <v>1956</v>
      </c>
      <c r="N3971" s="1" t="s">
        <v>1620</v>
      </c>
      <c r="P3971" s="1" t="s">
        <v>1625</v>
      </c>
      <c r="Q3971" s="3">
        <v>1</v>
      </c>
      <c r="R3971" s="23" t="s">
        <v>11933</v>
      </c>
      <c r="S3971" s="23" t="s">
        <v>5849</v>
      </c>
      <c r="T3971" s="23" t="s">
        <v>4866</v>
      </c>
      <c r="U3971" s="3">
        <v>35</v>
      </c>
      <c r="W3971" s="45" t="str">
        <f>HYPERLINK("http://ictvonline.org/taxonomy/p/taxonomy-history?taxnode_id=201903786","ICTVonline=201903786")</f>
        <v>ICTVonline=201903786</v>
      </c>
      <c r="Y3971" s="1" t="s">
        <v>12715</v>
      </c>
      <c r="Z3971" s="1">
        <v>1</v>
      </c>
      <c r="AA3971" s="1">
        <v>201900000</v>
      </c>
      <c r="AB3971" s="1">
        <v>35</v>
      </c>
    </row>
    <row r="3972" spans="1:28" x14ac:dyDescent="0.2">
      <c r="A3972" s="1">
        <v>10141</v>
      </c>
      <c r="B3972" s="1" t="s">
        <v>6839</v>
      </c>
      <c r="D3972" s="1" t="s">
        <v>11735</v>
      </c>
      <c r="F3972" s="1" t="s">
        <v>11930</v>
      </c>
      <c r="H3972" s="1" t="s">
        <v>12625</v>
      </c>
      <c r="J3972" s="1" t="s">
        <v>12626</v>
      </c>
      <c r="L3972" s="1" t="s">
        <v>1956</v>
      </c>
      <c r="N3972" s="1" t="s">
        <v>1620</v>
      </c>
      <c r="P3972" s="1" t="s">
        <v>12716</v>
      </c>
      <c r="Q3972" s="3">
        <v>0</v>
      </c>
      <c r="R3972" s="23" t="s">
        <v>11933</v>
      </c>
      <c r="S3972" s="23" t="s">
        <v>5849</v>
      </c>
      <c r="T3972" s="23" t="s">
        <v>4864</v>
      </c>
      <c r="U3972" s="3">
        <v>35</v>
      </c>
      <c r="V3972" s="3" t="s">
        <v>12643</v>
      </c>
      <c r="W3972" s="45" t="str">
        <f>HYPERLINK("http://ictvonline.org/taxonomy/p/taxonomy-history?taxnode_id=201907553","ICTVonline=201907553")</f>
        <v>ICTVonline=201907553</v>
      </c>
      <c r="X3972" s="1" t="s">
        <v>12717</v>
      </c>
      <c r="Y3972" s="1" t="s">
        <v>12718</v>
      </c>
      <c r="Z3972" s="1" t="s">
        <v>12719</v>
      </c>
      <c r="AA3972" s="1">
        <v>201900000</v>
      </c>
      <c r="AB3972" s="1">
        <v>35</v>
      </c>
    </row>
    <row r="3973" spans="1:28" x14ac:dyDescent="0.2">
      <c r="A3973" s="1">
        <v>10143</v>
      </c>
      <c r="B3973" s="1" t="s">
        <v>6839</v>
      </c>
      <c r="D3973" s="1" t="s">
        <v>11735</v>
      </c>
      <c r="F3973" s="1" t="s">
        <v>11930</v>
      </c>
      <c r="H3973" s="1" t="s">
        <v>12625</v>
      </c>
      <c r="J3973" s="1" t="s">
        <v>12626</v>
      </c>
      <c r="L3973" s="1" t="s">
        <v>1956</v>
      </c>
      <c r="N3973" s="1" t="s">
        <v>1620</v>
      </c>
      <c r="P3973" s="1" t="s">
        <v>2457</v>
      </c>
      <c r="Q3973" s="3">
        <v>0</v>
      </c>
      <c r="R3973" s="23" t="s">
        <v>11933</v>
      </c>
      <c r="S3973" s="23" t="s">
        <v>5849</v>
      </c>
      <c r="T3973" s="23" t="s">
        <v>4866</v>
      </c>
      <c r="U3973" s="3">
        <v>35</v>
      </c>
      <c r="W3973" s="45" t="str">
        <f>HYPERLINK("http://ictvonline.org/taxonomy/p/taxonomy-history?taxnode_id=201903787","ICTVonline=201903787")</f>
        <v>ICTVonline=201903787</v>
      </c>
      <c r="Y3973" s="1" t="s">
        <v>12720</v>
      </c>
      <c r="Z3973" s="1" t="s">
        <v>12721</v>
      </c>
      <c r="AA3973" s="1">
        <v>201900000</v>
      </c>
      <c r="AB3973" s="1">
        <v>35</v>
      </c>
    </row>
    <row r="3974" spans="1:28" x14ac:dyDescent="0.2">
      <c r="A3974" s="1">
        <v>10145</v>
      </c>
      <c r="B3974" s="1" t="s">
        <v>6839</v>
      </c>
      <c r="D3974" s="1" t="s">
        <v>11735</v>
      </c>
      <c r="F3974" s="1" t="s">
        <v>11930</v>
      </c>
      <c r="H3974" s="1" t="s">
        <v>12625</v>
      </c>
      <c r="J3974" s="1" t="s">
        <v>12626</v>
      </c>
      <c r="L3974" s="1" t="s">
        <v>1956</v>
      </c>
      <c r="N3974" s="1" t="s">
        <v>1620</v>
      </c>
      <c r="P3974" s="1" t="s">
        <v>1626</v>
      </c>
      <c r="Q3974" s="3">
        <v>0</v>
      </c>
      <c r="R3974" s="23" t="s">
        <v>11933</v>
      </c>
      <c r="S3974" s="23" t="s">
        <v>5849</v>
      </c>
      <c r="T3974" s="23" t="s">
        <v>4866</v>
      </c>
      <c r="U3974" s="3">
        <v>35</v>
      </c>
      <c r="W3974" s="45" t="str">
        <f>HYPERLINK("http://ictvonline.org/taxonomy/p/taxonomy-history?taxnode_id=201903788","ICTVonline=201903788")</f>
        <v>ICTVonline=201903788</v>
      </c>
      <c r="Y3974" s="1" t="s">
        <v>12722</v>
      </c>
      <c r="Z3974" s="1" t="s">
        <v>12723</v>
      </c>
      <c r="AA3974" s="1">
        <v>201900000</v>
      </c>
      <c r="AB3974" s="1">
        <v>35</v>
      </c>
    </row>
    <row r="3975" spans="1:28" x14ac:dyDescent="0.2">
      <c r="A3975" s="1">
        <v>10147</v>
      </c>
      <c r="B3975" s="1" t="s">
        <v>6839</v>
      </c>
      <c r="D3975" s="1" t="s">
        <v>11735</v>
      </c>
      <c r="F3975" s="1" t="s">
        <v>11930</v>
      </c>
      <c r="H3975" s="1" t="s">
        <v>12625</v>
      </c>
      <c r="J3975" s="1" t="s">
        <v>12626</v>
      </c>
      <c r="L3975" s="1" t="s">
        <v>1956</v>
      </c>
      <c r="N3975" s="1" t="s">
        <v>1620</v>
      </c>
      <c r="P3975" s="1" t="s">
        <v>1629</v>
      </c>
      <c r="Q3975" s="3">
        <v>0</v>
      </c>
      <c r="R3975" s="23" t="s">
        <v>11933</v>
      </c>
      <c r="S3975" s="23" t="s">
        <v>5849</v>
      </c>
      <c r="T3975" s="23" t="s">
        <v>4866</v>
      </c>
      <c r="U3975" s="3">
        <v>35</v>
      </c>
      <c r="W3975" s="45" t="str">
        <f>HYPERLINK("http://ictvonline.org/taxonomy/p/taxonomy-history?taxnode_id=201903789","ICTVonline=201903789")</f>
        <v>ICTVonline=201903789</v>
      </c>
      <c r="Y3975" s="1" t="s">
        <v>12724</v>
      </c>
      <c r="Z3975" s="1" t="s">
        <v>12725</v>
      </c>
      <c r="AA3975" s="1">
        <v>201900000</v>
      </c>
      <c r="AB3975" s="1">
        <v>35</v>
      </c>
    </row>
    <row r="3976" spans="1:28" x14ac:dyDescent="0.2">
      <c r="A3976" s="1">
        <v>10149</v>
      </c>
      <c r="B3976" s="1" t="s">
        <v>6839</v>
      </c>
      <c r="D3976" s="1" t="s">
        <v>11735</v>
      </c>
      <c r="F3976" s="1" t="s">
        <v>11930</v>
      </c>
      <c r="H3976" s="1" t="s">
        <v>12625</v>
      </c>
      <c r="J3976" s="1" t="s">
        <v>12626</v>
      </c>
      <c r="L3976" s="1" t="s">
        <v>1956</v>
      </c>
      <c r="N3976" s="1" t="s">
        <v>1620</v>
      </c>
      <c r="P3976" s="1" t="s">
        <v>1627</v>
      </c>
      <c r="Q3976" s="3">
        <v>0</v>
      </c>
      <c r="R3976" s="23" t="s">
        <v>11933</v>
      </c>
      <c r="S3976" s="23" t="s">
        <v>5849</v>
      </c>
      <c r="T3976" s="23" t="s">
        <v>4866</v>
      </c>
      <c r="U3976" s="3">
        <v>35</v>
      </c>
      <c r="W3976" s="45" t="str">
        <f>HYPERLINK("http://ictvonline.org/taxonomy/p/taxonomy-history?taxnode_id=201903790","ICTVonline=201903790")</f>
        <v>ICTVonline=201903790</v>
      </c>
      <c r="Y3976" s="1" t="s">
        <v>12726</v>
      </c>
      <c r="Z3976" s="1" t="s">
        <v>12727</v>
      </c>
      <c r="AA3976" s="1">
        <v>201900000</v>
      </c>
      <c r="AB3976" s="1">
        <v>35</v>
      </c>
    </row>
    <row r="3977" spans="1:28" x14ac:dyDescent="0.2">
      <c r="A3977" s="1">
        <v>10152</v>
      </c>
      <c r="B3977" s="1" t="s">
        <v>6839</v>
      </c>
      <c r="D3977" s="1" t="s">
        <v>11735</v>
      </c>
      <c r="F3977" s="1" t="s">
        <v>11930</v>
      </c>
      <c r="H3977" s="1" t="s">
        <v>12625</v>
      </c>
      <c r="J3977" s="1" t="s">
        <v>12626</v>
      </c>
      <c r="L3977" s="1" t="s">
        <v>1956</v>
      </c>
      <c r="P3977" s="1" t="s">
        <v>5386</v>
      </c>
      <c r="Q3977" s="3">
        <v>0</v>
      </c>
      <c r="R3977" s="23" t="s">
        <v>11933</v>
      </c>
      <c r="S3977" s="23" t="s">
        <v>5849</v>
      </c>
      <c r="T3977" s="23" t="s">
        <v>4866</v>
      </c>
      <c r="U3977" s="3">
        <v>35</v>
      </c>
      <c r="W3977" s="45" t="str">
        <f>HYPERLINK("http://ictvonline.org/taxonomy/p/taxonomy-history?taxnode_id=201903792","ICTVonline=201903792")</f>
        <v>ICTVonline=201903792</v>
      </c>
      <c r="AA3977" s="1">
        <v>201900000</v>
      </c>
      <c r="AB3977" s="1">
        <v>35</v>
      </c>
    </row>
    <row r="3978" spans="1:28" x14ac:dyDescent="0.2">
      <c r="A3978" s="1">
        <v>10154</v>
      </c>
      <c r="B3978" s="1" t="s">
        <v>6839</v>
      </c>
      <c r="D3978" s="1" t="s">
        <v>11735</v>
      </c>
      <c r="F3978" s="1" t="s">
        <v>11930</v>
      </c>
      <c r="H3978" s="1" t="s">
        <v>12625</v>
      </c>
      <c r="J3978" s="1" t="s">
        <v>12626</v>
      </c>
      <c r="L3978" s="1" t="s">
        <v>1956</v>
      </c>
      <c r="P3978" s="1" t="s">
        <v>5387</v>
      </c>
      <c r="Q3978" s="3">
        <v>0</v>
      </c>
      <c r="R3978" s="23" t="s">
        <v>11933</v>
      </c>
      <c r="S3978" s="23" t="s">
        <v>5849</v>
      </c>
      <c r="T3978" s="23" t="s">
        <v>4866</v>
      </c>
      <c r="U3978" s="3">
        <v>35</v>
      </c>
      <c r="W3978" s="45" t="str">
        <f>HYPERLINK("http://ictvonline.org/taxonomy/p/taxonomy-history?taxnode_id=201903793","ICTVonline=201903793")</f>
        <v>ICTVonline=201903793</v>
      </c>
      <c r="AA3978" s="1">
        <v>201900000</v>
      </c>
      <c r="AB3978" s="1">
        <v>35</v>
      </c>
    </row>
    <row r="3979" spans="1:28" x14ac:dyDescent="0.2">
      <c r="A3979" s="1">
        <v>10156</v>
      </c>
      <c r="B3979" s="1" t="s">
        <v>6839</v>
      </c>
      <c r="D3979" s="1" t="s">
        <v>11735</v>
      </c>
      <c r="F3979" s="1" t="s">
        <v>11930</v>
      </c>
      <c r="H3979" s="1" t="s">
        <v>12625</v>
      </c>
      <c r="J3979" s="1" t="s">
        <v>12626</v>
      </c>
      <c r="L3979" s="1" t="s">
        <v>1956</v>
      </c>
      <c r="P3979" s="1" t="s">
        <v>1121</v>
      </c>
      <c r="Q3979" s="3">
        <v>0</v>
      </c>
      <c r="R3979" s="23" t="s">
        <v>11933</v>
      </c>
      <c r="S3979" s="23" t="s">
        <v>5849</v>
      </c>
      <c r="T3979" s="23" t="s">
        <v>4866</v>
      </c>
      <c r="U3979" s="3">
        <v>35</v>
      </c>
      <c r="W3979" s="45" t="str">
        <f>HYPERLINK("http://ictvonline.org/taxonomy/p/taxonomy-history?taxnode_id=201903794","ICTVonline=201903794")</f>
        <v>ICTVonline=201903794</v>
      </c>
      <c r="AA3979" s="1">
        <v>201900000</v>
      </c>
      <c r="AB3979" s="1">
        <v>35</v>
      </c>
    </row>
    <row r="3980" spans="1:28" x14ac:dyDescent="0.2">
      <c r="A3980" s="1">
        <v>10158</v>
      </c>
      <c r="B3980" s="1" t="s">
        <v>6839</v>
      </c>
      <c r="D3980" s="1" t="s">
        <v>11735</v>
      </c>
      <c r="F3980" s="1" t="s">
        <v>11930</v>
      </c>
      <c r="H3980" s="1" t="s">
        <v>12625</v>
      </c>
      <c r="J3980" s="1" t="s">
        <v>12626</v>
      </c>
      <c r="L3980" s="1" t="s">
        <v>1956</v>
      </c>
      <c r="P3980" s="1" t="s">
        <v>1963</v>
      </c>
      <c r="Q3980" s="3">
        <v>0</v>
      </c>
      <c r="R3980" s="23" t="s">
        <v>11933</v>
      </c>
      <c r="S3980" s="23" t="s">
        <v>5849</v>
      </c>
      <c r="T3980" s="23" t="s">
        <v>4866</v>
      </c>
      <c r="U3980" s="3">
        <v>35</v>
      </c>
      <c r="W3980" s="45" t="str">
        <f>HYPERLINK("http://ictvonline.org/taxonomy/p/taxonomy-history?taxnode_id=201903795","ICTVonline=201903795")</f>
        <v>ICTVonline=201903795</v>
      </c>
      <c r="AA3980" s="1">
        <v>201900000</v>
      </c>
      <c r="AB3980" s="1">
        <v>35</v>
      </c>
    </row>
    <row r="3981" spans="1:28" x14ac:dyDescent="0.2">
      <c r="A3981" s="1">
        <v>10160</v>
      </c>
      <c r="B3981" s="1" t="s">
        <v>6839</v>
      </c>
      <c r="D3981" s="1" t="s">
        <v>11735</v>
      </c>
      <c r="F3981" s="1" t="s">
        <v>11930</v>
      </c>
      <c r="H3981" s="1" t="s">
        <v>12625</v>
      </c>
      <c r="J3981" s="1" t="s">
        <v>12626</v>
      </c>
      <c r="L3981" s="1" t="s">
        <v>1956</v>
      </c>
      <c r="P3981" s="1" t="s">
        <v>1964</v>
      </c>
      <c r="Q3981" s="3">
        <v>0</v>
      </c>
      <c r="R3981" s="23" t="s">
        <v>11933</v>
      </c>
      <c r="S3981" s="23" t="s">
        <v>5849</v>
      </c>
      <c r="T3981" s="23" t="s">
        <v>4866</v>
      </c>
      <c r="U3981" s="3">
        <v>35</v>
      </c>
      <c r="W3981" s="45" t="str">
        <f>HYPERLINK("http://ictvonline.org/taxonomy/p/taxonomy-history?taxnode_id=201903796","ICTVonline=201903796")</f>
        <v>ICTVonline=201903796</v>
      </c>
      <c r="AA3981" s="1">
        <v>201900000</v>
      </c>
      <c r="AB3981" s="1">
        <v>35</v>
      </c>
    </row>
    <row r="3982" spans="1:28" x14ac:dyDescent="0.2">
      <c r="A3982" s="1">
        <v>10162</v>
      </c>
      <c r="B3982" s="1" t="s">
        <v>6839</v>
      </c>
      <c r="D3982" s="1" t="s">
        <v>11735</v>
      </c>
      <c r="F3982" s="1" t="s">
        <v>11930</v>
      </c>
      <c r="H3982" s="1" t="s">
        <v>12625</v>
      </c>
      <c r="J3982" s="1" t="s">
        <v>12626</v>
      </c>
      <c r="L3982" s="1" t="s">
        <v>1956</v>
      </c>
      <c r="P3982" s="1" t="s">
        <v>1965</v>
      </c>
      <c r="Q3982" s="3">
        <v>0</v>
      </c>
      <c r="R3982" s="23" t="s">
        <v>11933</v>
      </c>
      <c r="S3982" s="23" t="s">
        <v>5849</v>
      </c>
      <c r="T3982" s="23" t="s">
        <v>4866</v>
      </c>
      <c r="U3982" s="3">
        <v>35</v>
      </c>
      <c r="W3982" s="45" t="str">
        <f>HYPERLINK("http://ictvonline.org/taxonomy/p/taxonomy-history?taxnode_id=201903797","ICTVonline=201903797")</f>
        <v>ICTVonline=201903797</v>
      </c>
      <c r="AA3982" s="1">
        <v>201900000</v>
      </c>
      <c r="AB3982" s="1">
        <v>35</v>
      </c>
    </row>
    <row r="3983" spans="1:28" x14ac:dyDescent="0.2">
      <c r="A3983" s="1">
        <v>10164</v>
      </c>
      <c r="B3983" s="1" t="s">
        <v>6839</v>
      </c>
      <c r="D3983" s="1" t="s">
        <v>11735</v>
      </c>
      <c r="F3983" s="1" t="s">
        <v>11930</v>
      </c>
      <c r="H3983" s="1" t="s">
        <v>12625</v>
      </c>
      <c r="J3983" s="1" t="s">
        <v>12626</v>
      </c>
      <c r="L3983" s="1" t="s">
        <v>1956</v>
      </c>
      <c r="P3983" s="1" t="s">
        <v>1966</v>
      </c>
      <c r="Q3983" s="3">
        <v>0</v>
      </c>
      <c r="R3983" s="23" t="s">
        <v>11933</v>
      </c>
      <c r="S3983" s="23" t="s">
        <v>5849</v>
      </c>
      <c r="T3983" s="23" t="s">
        <v>4866</v>
      </c>
      <c r="U3983" s="3">
        <v>35</v>
      </c>
      <c r="W3983" s="45" t="str">
        <f>HYPERLINK("http://ictvonline.org/taxonomy/p/taxonomy-history?taxnode_id=201903798","ICTVonline=201903798")</f>
        <v>ICTVonline=201903798</v>
      </c>
      <c r="AA3983" s="1">
        <v>201900000</v>
      </c>
      <c r="AB3983" s="1">
        <v>35</v>
      </c>
    </row>
    <row r="3984" spans="1:28" x14ac:dyDescent="0.2">
      <c r="A3984" s="1">
        <v>10170</v>
      </c>
      <c r="B3984" s="1" t="s">
        <v>6839</v>
      </c>
      <c r="D3984" s="1" t="s">
        <v>11735</v>
      </c>
      <c r="F3984" s="1" t="s">
        <v>11930</v>
      </c>
      <c r="H3984" s="1" t="s">
        <v>12625</v>
      </c>
      <c r="J3984" s="1" t="s">
        <v>12626</v>
      </c>
      <c r="L3984" s="1" t="s">
        <v>777</v>
      </c>
      <c r="M3984" s="1" t="s">
        <v>6832</v>
      </c>
      <c r="N3984" s="1" t="s">
        <v>1700</v>
      </c>
      <c r="P3984" s="1" t="s">
        <v>1701</v>
      </c>
      <c r="Q3984" s="3">
        <v>0</v>
      </c>
      <c r="R3984" s="23" t="s">
        <v>11933</v>
      </c>
      <c r="S3984" s="23" t="s">
        <v>5849</v>
      </c>
      <c r="T3984" s="23" t="s">
        <v>4866</v>
      </c>
      <c r="U3984" s="3">
        <v>35</v>
      </c>
      <c r="W3984" s="45" t="str">
        <f>HYPERLINK("http://ictvonline.org/taxonomy/p/taxonomy-history?taxnode_id=201905267","ICTVonline=201905267")</f>
        <v>ICTVonline=201905267</v>
      </c>
      <c r="Y3984" s="1" t="s">
        <v>12728</v>
      </c>
      <c r="Z3984" s="1" t="s">
        <v>11206</v>
      </c>
      <c r="AA3984" s="1">
        <v>201900000</v>
      </c>
      <c r="AB3984" s="1">
        <v>35</v>
      </c>
    </row>
    <row r="3985" spans="1:28" x14ac:dyDescent="0.2">
      <c r="A3985" s="1">
        <v>10172</v>
      </c>
      <c r="B3985" s="1" t="s">
        <v>6839</v>
      </c>
      <c r="D3985" s="1" t="s">
        <v>11735</v>
      </c>
      <c r="F3985" s="1" t="s">
        <v>11930</v>
      </c>
      <c r="H3985" s="1" t="s">
        <v>12625</v>
      </c>
      <c r="J3985" s="1" t="s">
        <v>12626</v>
      </c>
      <c r="L3985" s="1" t="s">
        <v>777</v>
      </c>
      <c r="M3985" s="1" t="s">
        <v>6832</v>
      </c>
      <c r="N3985" s="1" t="s">
        <v>1700</v>
      </c>
      <c r="P3985" s="1" t="s">
        <v>1114</v>
      </c>
      <c r="Q3985" s="3">
        <v>1</v>
      </c>
      <c r="R3985" s="23" t="s">
        <v>11933</v>
      </c>
      <c r="S3985" s="23" t="s">
        <v>5849</v>
      </c>
      <c r="T3985" s="23" t="s">
        <v>4866</v>
      </c>
      <c r="U3985" s="3">
        <v>35</v>
      </c>
      <c r="W3985" s="45" t="str">
        <f>HYPERLINK("http://ictvonline.org/taxonomy/p/taxonomy-history?taxnode_id=201905268","ICTVonline=201905268")</f>
        <v>ICTVonline=201905268</v>
      </c>
      <c r="Y3985" s="1" t="s">
        <v>12729</v>
      </c>
      <c r="Z3985" s="1" t="s">
        <v>12730</v>
      </c>
      <c r="AA3985" s="1">
        <v>201900000</v>
      </c>
      <c r="AB3985" s="1">
        <v>35</v>
      </c>
    </row>
    <row r="3986" spans="1:28" x14ac:dyDescent="0.2">
      <c r="A3986" s="1">
        <v>10174</v>
      </c>
      <c r="B3986" s="1" t="s">
        <v>6839</v>
      </c>
      <c r="D3986" s="1" t="s">
        <v>11735</v>
      </c>
      <c r="F3986" s="1" t="s">
        <v>11930</v>
      </c>
      <c r="H3986" s="1" t="s">
        <v>12625</v>
      </c>
      <c r="J3986" s="1" t="s">
        <v>12626</v>
      </c>
      <c r="L3986" s="1" t="s">
        <v>777</v>
      </c>
      <c r="M3986" s="1" t="s">
        <v>6832</v>
      </c>
      <c r="N3986" s="1" t="s">
        <v>1700</v>
      </c>
      <c r="P3986" s="1" t="s">
        <v>4852</v>
      </c>
      <c r="Q3986" s="3">
        <v>0</v>
      </c>
      <c r="R3986" s="23" t="s">
        <v>11933</v>
      </c>
      <c r="S3986" s="23" t="s">
        <v>5849</v>
      </c>
      <c r="T3986" s="23" t="s">
        <v>4866</v>
      </c>
      <c r="U3986" s="3">
        <v>35</v>
      </c>
      <c r="W3986" s="45" t="str">
        <f>HYPERLINK("http://ictvonline.org/taxonomy/p/taxonomy-history?taxnode_id=201905269","ICTVonline=201905269")</f>
        <v>ICTVonline=201905269</v>
      </c>
      <c r="Y3986" s="1" t="s">
        <v>12731</v>
      </c>
      <c r="Z3986" s="1" t="s">
        <v>12732</v>
      </c>
      <c r="AA3986" s="1">
        <v>201900000</v>
      </c>
      <c r="AB3986" s="1">
        <v>35</v>
      </c>
    </row>
    <row r="3987" spans="1:28" x14ac:dyDescent="0.2">
      <c r="A3987" s="1">
        <v>10176</v>
      </c>
      <c r="B3987" s="1" t="s">
        <v>6839</v>
      </c>
      <c r="D3987" s="1" t="s">
        <v>11735</v>
      </c>
      <c r="F3987" s="1" t="s">
        <v>11930</v>
      </c>
      <c r="H3987" s="1" t="s">
        <v>12625</v>
      </c>
      <c r="J3987" s="1" t="s">
        <v>12626</v>
      </c>
      <c r="L3987" s="1" t="s">
        <v>777</v>
      </c>
      <c r="M3987" s="1" t="s">
        <v>6832</v>
      </c>
      <c r="N3987" s="1" t="s">
        <v>1700</v>
      </c>
      <c r="P3987" s="1" t="s">
        <v>1115</v>
      </c>
      <c r="Q3987" s="3">
        <v>0</v>
      </c>
      <c r="R3987" s="23" t="s">
        <v>11933</v>
      </c>
      <c r="S3987" s="23" t="s">
        <v>5849</v>
      </c>
      <c r="T3987" s="23" t="s">
        <v>4866</v>
      </c>
      <c r="U3987" s="3">
        <v>35</v>
      </c>
      <c r="W3987" s="45" t="str">
        <f>HYPERLINK("http://ictvonline.org/taxonomy/p/taxonomy-history?taxnode_id=201905270","ICTVonline=201905270")</f>
        <v>ICTVonline=201905270</v>
      </c>
      <c r="Y3987" s="1" t="s">
        <v>12733</v>
      </c>
      <c r="Z3987" s="1" t="s">
        <v>12734</v>
      </c>
      <c r="AA3987" s="1">
        <v>201900000</v>
      </c>
      <c r="AB3987" s="1">
        <v>35</v>
      </c>
    </row>
    <row r="3988" spans="1:28" x14ac:dyDescent="0.2">
      <c r="A3988" s="1">
        <v>10178</v>
      </c>
      <c r="B3988" s="1" t="s">
        <v>6839</v>
      </c>
      <c r="D3988" s="1" t="s">
        <v>11735</v>
      </c>
      <c r="F3988" s="1" t="s">
        <v>11930</v>
      </c>
      <c r="H3988" s="1" t="s">
        <v>12625</v>
      </c>
      <c r="J3988" s="1" t="s">
        <v>12626</v>
      </c>
      <c r="L3988" s="1" t="s">
        <v>777</v>
      </c>
      <c r="M3988" s="1" t="s">
        <v>6832</v>
      </c>
      <c r="N3988" s="1" t="s">
        <v>1700</v>
      </c>
      <c r="P3988" s="1" t="s">
        <v>1619</v>
      </c>
      <c r="Q3988" s="3">
        <v>0</v>
      </c>
      <c r="R3988" s="23" t="s">
        <v>11933</v>
      </c>
      <c r="S3988" s="23" t="s">
        <v>5849</v>
      </c>
      <c r="T3988" s="23" t="s">
        <v>4866</v>
      </c>
      <c r="U3988" s="3">
        <v>35</v>
      </c>
      <c r="W3988" s="45" t="str">
        <f>HYPERLINK("http://ictvonline.org/taxonomy/p/taxonomy-history?taxnode_id=201905271","ICTVonline=201905271")</f>
        <v>ICTVonline=201905271</v>
      </c>
      <c r="AA3988" s="1">
        <v>201900000</v>
      </c>
      <c r="AB3988" s="1">
        <v>35</v>
      </c>
    </row>
    <row r="3989" spans="1:28" x14ac:dyDescent="0.2">
      <c r="A3989" s="1">
        <v>10180</v>
      </c>
      <c r="B3989" s="1" t="s">
        <v>6839</v>
      </c>
      <c r="D3989" s="1" t="s">
        <v>11735</v>
      </c>
      <c r="F3989" s="1" t="s">
        <v>11930</v>
      </c>
      <c r="H3989" s="1" t="s">
        <v>12625</v>
      </c>
      <c r="J3989" s="1" t="s">
        <v>12626</v>
      </c>
      <c r="L3989" s="1" t="s">
        <v>777</v>
      </c>
      <c r="M3989" s="1" t="s">
        <v>6832</v>
      </c>
      <c r="N3989" s="1" t="s">
        <v>1700</v>
      </c>
      <c r="P3989" s="1" t="s">
        <v>4853</v>
      </c>
      <c r="Q3989" s="3">
        <v>0</v>
      </c>
      <c r="R3989" s="23" t="s">
        <v>11933</v>
      </c>
      <c r="S3989" s="23" t="s">
        <v>5849</v>
      </c>
      <c r="T3989" s="23" t="s">
        <v>4866</v>
      </c>
      <c r="U3989" s="3">
        <v>35</v>
      </c>
      <c r="W3989" s="45" t="str">
        <f>HYPERLINK("http://ictvonline.org/taxonomy/p/taxonomy-history?taxnode_id=201905272","ICTVonline=201905272")</f>
        <v>ICTVonline=201905272</v>
      </c>
      <c r="Y3989" s="1" t="s">
        <v>12735</v>
      </c>
      <c r="Z3989" s="1" t="s">
        <v>12736</v>
      </c>
      <c r="AA3989" s="1">
        <v>201900000</v>
      </c>
      <c r="AB3989" s="1">
        <v>35</v>
      </c>
    </row>
    <row r="3990" spans="1:28" x14ac:dyDescent="0.2">
      <c r="A3990" s="1">
        <v>10182</v>
      </c>
      <c r="B3990" s="1" t="s">
        <v>6839</v>
      </c>
      <c r="D3990" s="1" t="s">
        <v>11735</v>
      </c>
      <c r="F3990" s="1" t="s">
        <v>11930</v>
      </c>
      <c r="H3990" s="1" t="s">
        <v>12625</v>
      </c>
      <c r="J3990" s="1" t="s">
        <v>12626</v>
      </c>
      <c r="L3990" s="1" t="s">
        <v>777</v>
      </c>
      <c r="M3990" s="1" t="s">
        <v>6832</v>
      </c>
      <c r="N3990" s="1" t="s">
        <v>1700</v>
      </c>
      <c r="P3990" s="1" t="s">
        <v>2599</v>
      </c>
      <c r="Q3990" s="3">
        <v>0</v>
      </c>
      <c r="R3990" s="23" t="s">
        <v>11933</v>
      </c>
      <c r="S3990" s="23" t="s">
        <v>5849</v>
      </c>
      <c r="T3990" s="23" t="s">
        <v>4866</v>
      </c>
      <c r="U3990" s="3">
        <v>35</v>
      </c>
      <c r="W3990" s="45" t="str">
        <f>HYPERLINK("http://ictvonline.org/taxonomy/p/taxonomy-history?taxnode_id=201905273","ICTVonline=201905273")</f>
        <v>ICTVonline=201905273</v>
      </c>
      <c r="Y3990" s="1" t="s">
        <v>12737</v>
      </c>
      <c r="Z3990" s="1" t="s">
        <v>12738</v>
      </c>
      <c r="AA3990" s="1">
        <v>201900000</v>
      </c>
      <c r="AB3990" s="1">
        <v>35</v>
      </c>
    </row>
    <row r="3991" spans="1:28" x14ac:dyDescent="0.2">
      <c r="A3991" s="1">
        <v>10184</v>
      </c>
      <c r="B3991" s="1" t="s">
        <v>6839</v>
      </c>
      <c r="D3991" s="1" t="s">
        <v>11735</v>
      </c>
      <c r="F3991" s="1" t="s">
        <v>11930</v>
      </c>
      <c r="H3991" s="1" t="s">
        <v>12625</v>
      </c>
      <c r="J3991" s="1" t="s">
        <v>12626</v>
      </c>
      <c r="L3991" s="1" t="s">
        <v>777</v>
      </c>
      <c r="M3991" s="1" t="s">
        <v>6832</v>
      </c>
      <c r="N3991" s="1" t="s">
        <v>1700</v>
      </c>
      <c r="P3991" s="1" t="s">
        <v>1117</v>
      </c>
      <c r="Q3991" s="3">
        <v>0</v>
      </c>
      <c r="R3991" s="23" t="s">
        <v>11933</v>
      </c>
      <c r="S3991" s="23" t="s">
        <v>5849</v>
      </c>
      <c r="T3991" s="23" t="s">
        <v>4866</v>
      </c>
      <c r="U3991" s="3">
        <v>35</v>
      </c>
      <c r="W3991" s="45" t="str">
        <f>HYPERLINK("http://ictvonline.org/taxonomy/p/taxonomy-history?taxnode_id=201905274","ICTVonline=201905274")</f>
        <v>ICTVonline=201905274</v>
      </c>
      <c r="Y3991" s="1" t="s">
        <v>12739</v>
      </c>
      <c r="Z3991" s="1" t="s">
        <v>12740</v>
      </c>
      <c r="AA3991" s="1">
        <v>201900000</v>
      </c>
      <c r="AB3991" s="1">
        <v>35</v>
      </c>
    </row>
    <row r="3992" spans="1:28" x14ac:dyDescent="0.2">
      <c r="A3992" s="1">
        <v>10186</v>
      </c>
      <c r="B3992" s="1" t="s">
        <v>6839</v>
      </c>
      <c r="D3992" s="1" t="s">
        <v>11735</v>
      </c>
      <c r="F3992" s="1" t="s">
        <v>11930</v>
      </c>
      <c r="H3992" s="1" t="s">
        <v>12625</v>
      </c>
      <c r="J3992" s="1" t="s">
        <v>12626</v>
      </c>
      <c r="L3992" s="1" t="s">
        <v>777</v>
      </c>
      <c r="M3992" s="1" t="s">
        <v>6832</v>
      </c>
      <c r="N3992" s="1" t="s">
        <v>1700</v>
      </c>
      <c r="P3992" s="1" t="s">
        <v>1037</v>
      </c>
      <c r="Q3992" s="3">
        <v>0</v>
      </c>
      <c r="R3992" s="23" t="s">
        <v>11933</v>
      </c>
      <c r="S3992" s="23" t="s">
        <v>5849</v>
      </c>
      <c r="T3992" s="23" t="s">
        <v>4866</v>
      </c>
      <c r="U3992" s="3">
        <v>35</v>
      </c>
      <c r="W3992" s="45" t="str">
        <f>HYPERLINK("http://ictvonline.org/taxonomy/p/taxonomy-history?taxnode_id=201905275","ICTVonline=201905275")</f>
        <v>ICTVonline=201905275</v>
      </c>
      <c r="AA3992" s="1">
        <v>201900000</v>
      </c>
      <c r="AB3992" s="1">
        <v>35</v>
      </c>
    </row>
    <row r="3993" spans="1:28" x14ac:dyDescent="0.2">
      <c r="A3993" s="1">
        <v>10192</v>
      </c>
      <c r="B3993" s="1" t="s">
        <v>6839</v>
      </c>
      <c r="D3993" s="1" t="s">
        <v>11735</v>
      </c>
      <c r="F3993" s="1" t="s">
        <v>11930</v>
      </c>
      <c r="H3993" s="1" t="s">
        <v>12625</v>
      </c>
      <c r="J3993" s="1" t="s">
        <v>12626</v>
      </c>
      <c r="L3993" s="1" t="s">
        <v>777</v>
      </c>
      <c r="M3993" s="1" t="s">
        <v>6833</v>
      </c>
      <c r="N3993" s="1" t="s">
        <v>3957</v>
      </c>
      <c r="P3993" s="1" t="s">
        <v>784</v>
      </c>
      <c r="Q3993" s="3">
        <v>0</v>
      </c>
      <c r="R3993" s="23" t="s">
        <v>11933</v>
      </c>
      <c r="S3993" s="23" t="s">
        <v>5849</v>
      </c>
      <c r="T3993" s="23" t="s">
        <v>4866</v>
      </c>
      <c r="U3993" s="3">
        <v>35</v>
      </c>
      <c r="W3993" s="45" t="str">
        <f>HYPERLINK("http://ictvonline.org/taxonomy/p/taxonomy-history?taxnode_id=201905195","ICTVonline=201905195")</f>
        <v>ICTVonline=201905195</v>
      </c>
      <c r="Y3993" s="1" t="s">
        <v>12741</v>
      </c>
      <c r="Z3993" s="1" t="s">
        <v>12079</v>
      </c>
      <c r="AA3993" s="1">
        <v>201900000</v>
      </c>
      <c r="AB3993" s="1">
        <v>35</v>
      </c>
    </row>
    <row r="3994" spans="1:28" x14ac:dyDescent="0.2">
      <c r="A3994" s="1">
        <v>10194</v>
      </c>
      <c r="B3994" s="1" t="s">
        <v>6839</v>
      </c>
      <c r="D3994" s="1" t="s">
        <v>11735</v>
      </c>
      <c r="F3994" s="1" t="s">
        <v>11930</v>
      </c>
      <c r="H3994" s="1" t="s">
        <v>12625</v>
      </c>
      <c r="J3994" s="1" t="s">
        <v>12626</v>
      </c>
      <c r="L3994" s="1" t="s">
        <v>777</v>
      </c>
      <c r="M3994" s="1" t="s">
        <v>6833</v>
      </c>
      <c r="N3994" s="1" t="s">
        <v>3957</v>
      </c>
      <c r="P3994" s="1" t="s">
        <v>203</v>
      </c>
      <c r="Q3994" s="3">
        <v>0</v>
      </c>
      <c r="R3994" s="23" t="s">
        <v>11933</v>
      </c>
      <c r="S3994" s="23" t="s">
        <v>5849</v>
      </c>
      <c r="T3994" s="23" t="s">
        <v>4866</v>
      </c>
      <c r="U3994" s="3">
        <v>35</v>
      </c>
      <c r="W3994" s="45" t="str">
        <f>HYPERLINK("http://ictvonline.org/taxonomy/p/taxonomy-history?taxnode_id=201905196","ICTVonline=201905196")</f>
        <v>ICTVonline=201905196</v>
      </c>
      <c r="Y3994" s="1" t="s">
        <v>12742</v>
      </c>
      <c r="Z3994" s="1" t="s">
        <v>12068</v>
      </c>
      <c r="AA3994" s="1">
        <v>201900000</v>
      </c>
      <c r="AB3994" s="1">
        <v>35</v>
      </c>
    </row>
    <row r="3995" spans="1:28" x14ac:dyDescent="0.2">
      <c r="A3995" s="1">
        <v>10196</v>
      </c>
      <c r="B3995" s="1" t="s">
        <v>6839</v>
      </c>
      <c r="D3995" s="1" t="s">
        <v>11735</v>
      </c>
      <c r="F3995" s="1" t="s">
        <v>11930</v>
      </c>
      <c r="H3995" s="1" t="s">
        <v>12625</v>
      </c>
      <c r="J3995" s="1" t="s">
        <v>12626</v>
      </c>
      <c r="L3995" s="1" t="s">
        <v>777</v>
      </c>
      <c r="M3995" s="1" t="s">
        <v>6833</v>
      </c>
      <c r="N3995" s="1" t="s">
        <v>3957</v>
      </c>
      <c r="P3995" s="1" t="s">
        <v>787</v>
      </c>
      <c r="Q3995" s="3">
        <v>1</v>
      </c>
      <c r="R3995" s="23" t="s">
        <v>11933</v>
      </c>
      <c r="S3995" s="23" t="s">
        <v>5849</v>
      </c>
      <c r="T3995" s="23" t="s">
        <v>4866</v>
      </c>
      <c r="U3995" s="3">
        <v>35</v>
      </c>
      <c r="W3995" s="45" t="str">
        <f>HYPERLINK("http://ictvonline.org/taxonomy/p/taxonomy-history?taxnode_id=201905197","ICTVonline=201905197")</f>
        <v>ICTVonline=201905197</v>
      </c>
      <c r="Y3995" s="1" t="s">
        <v>12743</v>
      </c>
      <c r="Z3995" s="1" t="s">
        <v>12744</v>
      </c>
      <c r="AA3995" s="1">
        <v>201900000</v>
      </c>
      <c r="AB3995" s="1">
        <v>35</v>
      </c>
    </row>
    <row r="3996" spans="1:28" x14ac:dyDescent="0.2">
      <c r="A3996" s="1">
        <v>10198</v>
      </c>
      <c r="B3996" s="1" t="s">
        <v>6839</v>
      </c>
      <c r="D3996" s="1" t="s">
        <v>11735</v>
      </c>
      <c r="F3996" s="1" t="s">
        <v>11930</v>
      </c>
      <c r="H3996" s="1" t="s">
        <v>12625</v>
      </c>
      <c r="J3996" s="1" t="s">
        <v>12626</v>
      </c>
      <c r="L3996" s="1" t="s">
        <v>777</v>
      </c>
      <c r="M3996" s="1" t="s">
        <v>6833</v>
      </c>
      <c r="N3996" s="1" t="s">
        <v>3957</v>
      </c>
      <c r="P3996" s="1" t="s">
        <v>204</v>
      </c>
      <c r="Q3996" s="3">
        <v>0</v>
      </c>
      <c r="R3996" s="23" t="s">
        <v>11933</v>
      </c>
      <c r="S3996" s="23" t="s">
        <v>5849</v>
      </c>
      <c r="T3996" s="23" t="s">
        <v>4866</v>
      </c>
      <c r="U3996" s="3">
        <v>35</v>
      </c>
      <c r="W3996" s="45" t="str">
        <f>HYPERLINK("http://ictvonline.org/taxonomy/p/taxonomy-history?taxnode_id=201905198","ICTVonline=201905198")</f>
        <v>ICTVonline=201905198</v>
      </c>
      <c r="Y3996" s="1" t="s">
        <v>12745</v>
      </c>
      <c r="Z3996" s="1" t="s">
        <v>12068</v>
      </c>
      <c r="AA3996" s="1">
        <v>201900000</v>
      </c>
      <c r="AB3996" s="1">
        <v>35</v>
      </c>
    </row>
    <row r="3997" spans="1:28" x14ac:dyDescent="0.2">
      <c r="A3997" s="1">
        <v>10200</v>
      </c>
      <c r="B3997" s="1" t="s">
        <v>6839</v>
      </c>
      <c r="D3997" s="1" t="s">
        <v>11735</v>
      </c>
      <c r="F3997" s="1" t="s">
        <v>11930</v>
      </c>
      <c r="H3997" s="1" t="s">
        <v>12625</v>
      </c>
      <c r="J3997" s="1" t="s">
        <v>12626</v>
      </c>
      <c r="L3997" s="1" t="s">
        <v>777</v>
      </c>
      <c r="M3997" s="1" t="s">
        <v>6833</v>
      </c>
      <c r="N3997" s="1" t="s">
        <v>3957</v>
      </c>
      <c r="P3997" s="1" t="s">
        <v>561</v>
      </c>
      <c r="Q3997" s="3">
        <v>0</v>
      </c>
      <c r="R3997" s="23" t="s">
        <v>11933</v>
      </c>
      <c r="S3997" s="23" t="s">
        <v>5849</v>
      </c>
      <c r="T3997" s="23" t="s">
        <v>4866</v>
      </c>
      <c r="U3997" s="3">
        <v>35</v>
      </c>
      <c r="W3997" s="45" t="str">
        <f>HYPERLINK("http://ictvonline.org/taxonomy/p/taxonomy-history?taxnode_id=201905199","ICTVonline=201905199")</f>
        <v>ICTVonline=201905199</v>
      </c>
      <c r="Y3997" s="1" t="s">
        <v>12746</v>
      </c>
      <c r="Z3997" s="1" t="s">
        <v>12747</v>
      </c>
      <c r="AA3997" s="1">
        <v>201900000</v>
      </c>
      <c r="AB3997" s="1">
        <v>35</v>
      </c>
    </row>
    <row r="3998" spans="1:28" x14ac:dyDescent="0.2">
      <c r="A3998" s="1">
        <v>10202</v>
      </c>
      <c r="B3998" s="1" t="s">
        <v>6839</v>
      </c>
      <c r="D3998" s="1" t="s">
        <v>11735</v>
      </c>
      <c r="F3998" s="1" t="s">
        <v>11930</v>
      </c>
      <c r="H3998" s="1" t="s">
        <v>12625</v>
      </c>
      <c r="J3998" s="1" t="s">
        <v>12626</v>
      </c>
      <c r="L3998" s="1" t="s">
        <v>777</v>
      </c>
      <c r="M3998" s="1" t="s">
        <v>6833</v>
      </c>
      <c r="N3998" s="1" t="s">
        <v>3957</v>
      </c>
      <c r="P3998" s="1" t="s">
        <v>1261</v>
      </c>
      <c r="Q3998" s="3">
        <v>0</v>
      </c>
      <c r="R3998" s="23" t="s">
        <v>11933</v>
      </c>
      <c r="S3998" s="23" t="s">
        <v>5849</v>
      </c>
      <c r="T3998" s="23" t="s">
        <v>4866</v>
      </c>
      <c r="U3998" s="3">
        <v>35</v>
      </c>
      <c r="W3998" s="45" t="str">
        <f>HYPERLINK("http://ictvonline.org/taxonomy/p/taxonomy-history?taxnode_id=201905200","ICTVonline=201905200")</f>
        <v>ICTVonline=201905200</v>
      </c>
      <c r="Y3998" s="1" t="s">
        <v>12748</v>
      </c>
      <c r="Z3998" s="1" t="s">
        <v>12749</v>
      </c>
      <c r="AA3998" s="1">
        <v>201900000</v>
      </c>
      <c r="AB3998" s="1">
        <v>35</v>
      </c>
    </row>
    <row r="3999" spans="1:28" x14ac:dyDescent="0.2">
      <c r="A3999" s="1">
        <v>10204</v>
      </c>
      <c r="B3999" s="1" t="s">
        <v>6839</v>
      </c>
      <c r="D3999" s="1" t="s">
        <v>11735</v>
      </c>
      <c r="F3999" s="1" t="s">
        <v>11930</v>
      </c>
      <c r="H3999" s="1" t="s">
        <v>12625</v>
      </c>
      <c r="J3999" s="1" t="s">
        <v>12626</v>
      </c>
      <c r="L3999" s="1" t="s">
        <v>777</v>
      </c>
      <c r="M3999" s="1" t="s">
        <v>6833</v>
      </c>
      <c r="N3999" s="1" t="s">
        <v>3957</v>
      </c>
      <c r="P3999" s="1" t="s">
        <v>1262</v>
      </c>
      <c r="Q3999" s="3">
        <v>0</v>
      </c>
      <c r="R3999" s="23" t="s">
        <v>11933</v>
      </c>
      <c r="S3999" s="23" t="s">
        <v>5849</v>
      </c>
      <c r="T3999" s="23" t="s">
        <v>4866</v>
      </c>
      <c r="U3999" s="3">
        <v>35</v>
      </c>
      <c r="W3999" s="45" t="str">
        <f>HYPERLINK("http://ictvonline.org/taxonomy/p/taxonomy-history?taxnode_id=201905201","ICTVonline=201905201")</f>
        <v>ICTVonline=201905201</v>
      </c>
      <c r="Y3999" s="1" t="s">
        <v>12750</v>
      </c>
      <c r="Z3999" s="1" t="s">
        <v>12751</v>
      </c>
      <c r="AA3999" s="1">
        <v>201900000</v>
      </c>
      <c r="AB3999" s="1">
        <v>35</v>
      </c>
    </row>
    <row r="4000" spans="1:28" x14ac:dyDescent="0.2">
      <c r="A4000" s="1">
        <v>10208</v>
      </c>
      <c r="B4000" s="1" t="s">
        <v>6839</v>
      </c>
      <c r="D4000" s="1" t="s">
        <v>11735</v>
      </c>
      <c r="F4000" s="1" t="s">
        <v>11930</v>
      </c>
      <c r="H4000" s="1" t="s">
        <v>12625</v>
      </c>
      <c r="J4000" s="1" t="s">
        <v>12626</v>
      </c>
      <c r="L4000" s="1" t="s">
        <v>777</v>
      </c>
      <c r="M4000" s="1" t="s">
        <v>6833</v>
      </c>
      <c r="N4000" s="1" t="s">
        <v>2262</v>
      </c>
      <c r="P4000" s="1" t="s">
        <v>868</v>
      </c>
      <c r="Q4000" s="3">
        <v>0</v>
      </c>
      <c r="R4000" s="23" t="s">
        <v>11933</v>
      </c>
      <c r="S4000" s="23" t="s">
        <v>5849</v>
      </c>
      <c r="T4000" s="23" t="s">
        <v>4866</v>
      </c>
      <c r="U4000" s="3">
        <v>35</v>
      </c>
      <c r="W4000" s="45" t="str">
        <f>HYPERLINK("http://ictvonline.org/taxonomy/p/taxonomy-history?taxnode_id=201905203","ICTVonline=201905203")</f>
        <v>ICTVonline=201905203</v>
      </c>
      <c r="Y4000" s="1" t="s">
        <v>12752</v>
      </c>
      <c r="Z4000" s="1" t="s">
        <v>12753</v>
      </c>
      <c r="AA4000" s="1">
        <v>201900000</v>
      </c>
      <c r="AB4000" s="1">
        <v>35</v>
      </c>
    </row>
    <row r="4001" spans="1:28" x14ac:dyDescent="0.2">
      <c r="A4001" s="1">
        <v>10210</v>
      </c>
      <c r="B4001" s="1" t="s">
        <v>6839</v>
      </c>
      <c r="D4001" s="1" t="s">
        <v>11735</v>
      </c>
      <c r="F4001" s="1" t="s">
        <v>11930</v>
      </c>
      <c r="H4001" s="1" t="s">
        <v>12625</v>
      </c>
      <c r="J4001" s="1" t="s">
        <v>12626</v>
      </c>
      <c r="L4001" s="1" t="s">
        <v>777</v>
      </c>
      <c r="M4001" s="1" t="s">
        <v>6833</v>
      </c>
      <c r="N4001" s="1" t="s">
        <v>2262</v>
      </c>
      <c r="P4001" s="1" t="s">
        <v>869</v>
      </c>
      <c r="Q4001" s="3">
        <v>0</v>
      </c>
      <c r="R4001" s="23" t="s">
        <v>11933</v>
      </c>
      <c r="S4001" s="23" t="s">
        <v>5849</v>
      </c>
      <c r="T4001" s="23" t="s">
        <v>4866</v>
      </c>
      <c r="U4001" s="3">
        <v>35</v>
      </c>
      <c r="W4001" s="45" t="str">
        <f>HYPERLINK("http://ictvonline.org/taxonomy/p/taxonomy-history?taxnode_id=201905204","ICTVonline=201905204")</f>
        <v>ICTVonline=201905204</v>
      </c>
      <c r="Y4001" s="1" t="s">
        <v>12754</v>
      </c>
      <c r="Z4001" s="1" t="s">
        <v>12755</v>
      </c>
      <c r="AA4001" s="1">
        <v>201900000</v>
      </c>
      <c r="AB4001" s="1">
        <v>35</v>
      </c>
    </row>
    <row r="4002" spans="1:28" x14ac:dyDescent="0.2">
      <c r="A4002" s="1">
        <v>10212</v>
      </c>
      <c r="B4002" s="1" t="s">
        <v>6839</v>
      </c>
      <c r="D4002" s="1" t="s">
        <v>11735</v>
      </c>
      <c r="F4002" s="1" t="s">
        <v>11930</v>
      </c>
      <c r="H4002" s="1" t="s">
        <v>12625</v>
      </c>
      <c r="J4002" s="1" t="s">
        <v>12626</v>
      </c>
      <c r="L4002" s="1" t="s">
        <v>777</v>
      </c>
      <c r="M4002" s="1" t="s">
        <v>6833</v>
      </c>
      <c r="N4002" s="1" t="s">
        <v>2262</v>
      </c>
      <c r="P4002" s="1" t="s">
        <v>6834</v>
      </c>
      <c r="Q4002" s="3">
        <v>0</v>
      </c>
      <c r="R4002" s="23" t="s">
        <v>11933</v>
      </c>
      <c r="S4002" s="23" t="s">
        <v>5849</v>
      </c>
      <c r="T4002" s="23" t="s">
        <v>4866</v>
      </c>
      <c r="U4002" s="3">
        <v>35</v>
      </c>
      <c r="W4002" s="45" t="str">
        <f>HYPERLINK("http://ictvonline.org/taxonomy/p/taxonomy-history?taxnode_id=201906636","ICTVonline=201906636")</f>
        <v>ICTVonline=201906636</v>
      </c>
      <c r="X4002" s="1" t="s">
        <v>12756</v>
      </c>
      <c r="Y4002" s="1" t="s">
        <v>12757</v>
      </c>
      <c r="Z4002" s="1" t="s">
        <v>12758</v>
      </c>
      <c r="AA4002" s="1">
        <v>201900000</v>
      </c>
      <c r="AB4002" s="1">
        <v>35</v>
      </c>
    </row>
    <row r="4003" spans="1:28" x14ac:dyDescent="0.2">
      <c r="A4003" s="1">
        <v>10214</v>
      </c>
      <c r="B4003" s="1" t="s">
        <v>6839</v>
      </c>
      <c r="D4003" s="1" t="s">
        <v>11735</v>
      </c>
      <c r="F4003" s="1" t="s">
        <v>11930</v>
      </c>
      <c r="H4003" s="1" t="s">
        <v>12625</v>
      </c>
      <c r="J4003" s="1" t="s">
        <v>12626</v>
      </c>
      <c r="L4003" s="1" t="s">
        <v>777</v>
      </c>
      <c r="M4003" s="1" t="s">
        <v>6833</v>
      </c>
      <c r="N4003" s="1" t="s">
        <v>2262</v>
      </c>
      <c r="P4003" s="1" t="s">
        <v>870</v>
      </c>
      <c r="Q4003" s="3">
        <v>1</v>
      </c>
      <c r="R4003" s="23" t="s">
        <v>11933</v>
      </c>
      <c r="S4003" s="23" t="s">
        <v>5849</v>
      </c>
      <c r="T4003" s="23" t="s">
        <v>4866</v>
      </c>
      <c r="U4003" s="3">
        <v>35</v>
      </c>
      <c r="W4003" s="45" t="str">
        <f>HYPERLINK("http://ictvonline.org/taxonomy/p/taxonomy-history?taxnode_id=201905205","ICTVonline=201905205")</f>
        <v>ICTVonline=201905205</v>
      </c>
      <c r="Y4003" s="1" t="s">
        <v>12759</v>
      </c>
      <c r="Z4003" s="1" t="s">
        <v>12760</v>
      </c>
      <c r="AA4003" s="1">
        <v>201900000</v>
      </c>
      <c r="AB4003" s="1">
        <v>35</v>
      </c>
    </row>
    <row r="4004" spans="1:28" x14ac:dyDescent="0.2">
      <c r="A4004" s="1">
        <v>10218</v>
      </c>
      <c r="B4004" s="1" t="s">
        <v>6839</v>
      </c>
      <c r="D4004" s="1" t="s">
        <v>11735</v>
      </c>
      <c r="F4004" s="1" t="s">
        <v>11930</v>
      </c>
      <c r="H4004" s="1" t="s">
        <v>12625</v>
      </c>
      <c r="J4004" s="1" t="s">
        <v>12626</v>
      </c>
      <c r="L4004" s="1" t="s">
        <v>777</v>
      </c>
      <c r="M4004" s="1" t="s">
        <v>6833</v>
      </c>
      <c r="N4004" s="1" t="s">
        <v>778</v>
      </c>
      <c r="P4004" s="1" t="s">
        <v>779</v>
      </c>
      <c r="Q4004" s="3">
        <v>0</v>
      </c>
      <c r="R4004" s="23" t="s">
        <v>11933</v>
      </c>
      <c r="S4004" s="23" t="s">
        <v>5849</v>
      </c>
      <c r="T4004" s="23" t="s">
        <v>4866</v>
      </c>
      <c r="U4004" s="3">
        <v>35</v>
      </c>
      <c r="W4004" s="45" t="str">
        <f>HYPERLINK("http://ictvonline.org/taxonomy/p/taxonomy-history?taxnode_id=201905207","ICTVonline=201905207")</f>
        <v>ICTVonline=201905207</v>
      </c>
      <c r="Y4004" s="1" t="s">
        <v>12761</v>
      </c>
      <c r="Z4004" s="1" t="s">
        <v>12762</v>
      </c>
      <c r="AA4004" s="1">
        <v>201900000</v>
      </c>
      <c r="AB4004" s="1">
        <v>35</v>
      </c>
    </row>
    <row r="4005" spans="1:28" x14ac:dyDescent="0.2">
      <c r="A4005" s="1">
        <v>10220</v>
      </c>
      <c r="B4005" s="1" t="s">
        <v>6839</v>
      </c>
      <c r="D4005" s="1" t="s">
        <v>11735</v>
      </c>
      <c r="F4005" s="1" t="s">
        <v>11930</v>
      </c>
      <c r="H4005" s="1" t="s">
        <v>12625</v>
      </c>
      <c r="J4005" s="1" t="s">
        <v>12626</v>
      </c>
      <c r="L4005" s="1" t="s">
        <v>777</v>
      </c>
      <c r="M4005" s="1" t="s">
        <v>6833</v>
      </c>
      <c r="N4005" s="1" t="s">
        <v>778</v>
      </c>
      <c r="P4005" s="1" t="s">
        <v>2108</v>
      </c>
      <c r="Q4005" s="3">
        <v>0</v>
      </c>
      <c r="R4005" s="23" t="s">
        <v>11933</v>
      </c>
      <c r="S4005" s="23" t="s">
        <v>5849</v>
      </c>
      <c r="T4005" s="23" t="s">
        <v>4866</v>
      </c>
      <c r="U4005" s="3">
        <v>35</v>
      </c>
      <c r="W4005" s="45" t="str">
        <f>HYPERLINK("http://ictvonline.org/taxonomy/p/taxonomy-history?taxnode_id=201905208","ICTVonline=201905208")</f>
        <v>ICTVonline=201905208</v>
      </c>
      <c r="Y4005" s="1" t="s">
        <v>12763</v>
      </c>
      <c r="Z4005" s="1" t="s">
        <v>12764</v>
      </c>
      <c r="AA4005" s="1">
        <v>201900000</v>
      </c>
      <c r="AB4005" s="1">
        <v>35</v>
      </c>
    </row>
    <row r="4006" spans="1:28" x14ac:dyDescent="0.2">
      <c r="A4006" s="1">
        <v>10222</v>
      </c>
      <c r="B4006" s="1" t="s">
        <v>6839</v>
      </c>
      <c r="D4006" s="1" t="s">
        <v>11735</v>
      </c>
      <c r="F4006" s="1" t="s">
        <v>11930</v>
      </c>
      <c r="H4006" s="1" t="s">
        <v>12625</v>
      </c>
      <c r="J4006" s="1" t="s">
        <v>12626</v>
      </c>
      <c r="L4006" s="1" t="s">
        <v>777</v>
      </c>
      <c r="M4006" s="1" t="s">
        <v>6833</v>
      </c>
      <c r="N4006" s="1" t="s">
        <v>778</v>
      </c>
      <c r="P4006" s="1" t="s">
        <v>1877</v>
      </c>
      <c r="Q4006" s="3">
        <v>0</v>
      </c>
      <c r="R4006" s="23" t="s">
        <v>11933</v>
      </c>
      <c r="S4006" s="23" t="s">
        <v>5849</v>
      </c>
      <c r="T4006" s="23" t="s">
        <v>4866</v>
      </c>
      <c r="U4006" s="3">
        <v>35</v>
      </c>
      <c r="W4006" s="45" t="str">
        <f>HYPERLINK("http://ictvonline.org/taxonomy/p/taxonomy-history?taxnode_id=201905209","ICTVonline=201905209")</f>
        <v>ICTVonline=201905209</v>
      </c>
      <c r="Y4006" s="1" t="s">
        <v>12765</v>
      </c>
      <c r="Z4006" s="1" t="s">
        <v>12027</v>
      </c>
      <c r="AA4006" s="1">
        <v>201900000</v>
      </c>
      <c r="AB4006" s="1">
        <v>35</v>
      </c>
    </row>
    <row r="4007" spans="1:28" x14ac:dyDescent="0.2">
      <c r="A4007" s="1">
        <v>10224</v>
      </c>
      <c r="B4007" s="1" t="s">
        <v>6839</v>
      </c>
      <c r="D4007" s="1" t="s">
        <v>11735</v>
      </c>
      <c r="F4007" s="1" t="s">
        <v>11930</v>
      </c>
      <c r="H4007" s="1" t="s">
        <v>12625</v>
      </c>
      <c r="J4007" s="1" t="s">
        <v>12626</v>
      </c>
      <c r="L4007" s="1" t="s">
        <v>777</v>
      </c>
      <c r="M4007" s="1" t="s">
        <v>6833</v>
      </c>
      <c r="N4007" s="1" t="s">
        <v>778</v>
      </c>
      <c r="P4007" s="1" t="s">
        <v>780</v>
      </c>
      <c r="Q4007" s="3">
        <v>1</v>
      </c>
      <c r="R4007" s="23" t="s">
        <v>11933</v>
      </c>
      <c r="S4007" s="23" t="s">
        <v>5849</v>
      </c>
      <c r="T4007" s="23" t="s">
        <v>4866</v>
      </c>
      <c r="U4007" s="3">
        <v>35</v>
      </c>
      <c r="W4007" s="45" t="str">
        <f>HYPERLINK("http://ictvonline.org/taxonomy/p/taxonomy-history?taxnode_id=201905210","ICTVonline=201905210")</f>
        <v>ICTVonline=201905210</v>
      </c>
      <c r="Y4007" s="1" t="s">
        <v>12766</v>
      </c>
      <c r="Z4007" s="1" t="s">
        <v>12767</v>
      </c>
      <c r="AA4007" s="1">
        <v>201900000</v>
      </c>
      <c r="AB4007" s="1">
        <v>35</v>
      </c>
    </row>
    <row r="4008" spans="1:28" x14ac:dyDescent="0.2">
      <c r="A4008" s="1">
        <v>10226</v>
      </c>
      <c r="B4008" s="1" t="s">
        <v>6839</v>
      </c>
      <c r="D4008" s="1" t="s">
        <v>11735</v>
      </c>
      <c r="F4008" s="1" t="s">
        <v>11930</v>
      </c>
      <c r="H4008" s="1" t="s">
        <v>12625</v>
      </c>
      <c r="J4008" s="1" t="s">
        <v>12626</v>
      </c>
      <c r="L4008" s="1" t="s">
        <v>777</v>
      </c>
      <c r="M4008" s="1" t="s">
        <v>6833</v>
      </c>
      <c r="N4008" s="1" t="s">
        <v>778</v>
      </c>
      <c r="P4008" s="1" t="s">
        <v>3958</v>
      </c>
      <c r="Q4008" s="3">
        <v>0</v>
      </c>
      <c r="R4008" s="23" t="s">
        <v>11933</v>
      </c>
      <c r="S4008" s="23" t="s">
        <v>5849</v>
      </c>
      <c r="T4008" s="23" t="s">
        <v>4866</v>
      </c>
      <c r="U4008" s="3">
        <v>35</v>
      </c>
      <c r="W4008" s="45" t="str">
        <f>HYPERLINK("http://ictvonline.org/taxonomy/p/taxonomy-history?taxnode_id=201905211","ICTVonline=201905211")</f>
        <v>ICTVonline=201905211</v>
      </c>
      <c r="Y4008" s="1" t="s">
        <v>12768</v>
      </c>
      <c r="Z4008" s="1" t="s">
        <v>12769</v>
      </c>
      <c r="AA4008" s="1">
        <v>201900000</v>
      </c>
      <c r="AB4008" s="1">
        <v>35</v>
      </c>
    </row>
    <row r="4009" spans="1:28" x14ac:dyDescent="0.2">
      <c r="A4009" s="1">
        <v>10230</v>
      </c>
      <c r="B4009" s="1" t="s">
        <v>6839</v>
      </c>
      <c r="D4009" s="1" t="s">
        <v>11735</v>
      </c>
      <c r="F4009" s="1" t="s">
        <v>11930</v>
      </c>
      <c r="H4009" s="1" t="s">
        <v>12625</v>
      </c>
      <c r="J4009" s="1" t="s">
        <v>12626</v>
      </c>
      <c r="L4009" s="1" t="s">
        <v>777</v>
      </c>
      <c r="M4009" s="1" t="s">
        <v>6833</v>
      </c>
      <c r="N4009" s="1" t="s">
        <v>781</v>
      </c>
      <c r="P4009" s="1" t="s">
        <v>782</v>
      </c>
      <c r="Q4009" s="3">
        <v>1</v>
      </c>
      <c r="R4009" s="23" t="s">
        <v>12770</v>
      </c>
      <c r="S4009" s="23" t="s">
        <v>6848</v>
      </c>
      <c r="T4009" s="23" t="s">
        <v>4866</v>
      </c>
      <c r="U4009" s="3">
        <v>35</v>
      </c>
      <c r="W4009" s="45" t="str">
        <f>HYPERLINK("http://ictvonline.org/taxonomy/p/taxonomy-history?taxnode_id=201905213","ICTVonline=201905213")</f>
        <v>ICTVonline=201905213</v>
      </c>
      <c r="Y4009" s="1" t="s">
        <v>12771</v>
      </c>
      <c r="Z4009" s="1" t="s">
        <v>12772</v>
      </c>
      <c r="AA4009" s="1">
        <v>201900000</v>
      </c>
      <c r="AB4009" s="1">
        <v>35</v>
      </c>
    </row>
    <row r="4010" spans="1:28" x14ac:dyDescent="0.2">
      <c r="A4010" s="1">
        <v>10234</v>
      </c>
      <c r="B4010" s="1" t="s">
        <v>6839</v>
      </c>
      <c r="D4010" s="1" t="s">
        <v>11735</v>
      </c>
      <c r="F4010" s="1" t="s">
        <v>11930</v>
      </c>
      <c r="H4010" s="1" t="s">
        <v>12625</v>
      </c>
      <c r="J4010" s="1" t="s">
        <v>12626</v>
      </c>
      <c r="L4010" s="1" t="s">
        <v>777</v>
      </c>
      <c r="M4010" s="1" t="s">
        <v>6833</v>
      </c>
      <c r="N4010" s="1" t="s">
        <v>3959</v>
      </c>
      <c r="P4010" s="1" t="s">
        <v>786</v>
      </c>
      <c r="Q4010" s="3">
        <v>0</v>
      </c>
      <c r="R4010" s="23" t="s">
        <v>11933</v>
      </c>
      <c r="S4010" s="23" t="s">
        <v>5849</v>
      </c>
      <c r="T4010" s="23" t="s">
        <v>4866</v>
      </c>
      <c r="U4010" s="3">
        <v>35</v>
      </c>
      <c r="W4010" s="45" t="str">
        <f>HYPERLINK("http://ictvonline.org/taxonomy/p/taxonomy-history?taxnode_id=201905215","ICTVonline=201905215")</f>
        <v>ICTVonline=201905215</v>
      </c>
      <c r="Y4010" s="1" t="s">
        <v>12773</v>
      </c>
      <c r="Z4010" s="1" t="s">
        <v>12774</v>
      </c>
      <c r="AA4010" s="1">
        <v>201900000</v>
      </c>
      <c r="AB4010" s="1">
        <v>35</v>
      </c>
    </row>
    <row r="4011" spans="1:28" x14ac:dyDescent="0.2">
      <c r="A4011" s="1">
        <v>10236</v>
      </c>
      <c r="B4011" s="1" t="s">
        <v>6839</v>
      </c>
      <c r="D4011" s="1" t="s">
        <v>11735</v>
      </c>
      <c r="F4011" s="1" t="s">
        <v>11930</v>
      </c>
      <c r="H4011" s="1" t="s">
        <v>12625</v>
      </c>
      <c r="J4011" s="1" t="s">
        <v>12626</v>
      </c>
      <c r="L4011" s="1" t="s">
        <v>777</v>
      </c>
      <c r="M4011" s="1" t="s">
        <v>6833</v>
      </c>
      <c r="N4011" s="1" t="s">
        <v>3959</v>
      </c>
      <c r="P4011" s="1" t="s">
        <v>1379</v>
      </c>
      <c r="Q4011" s="3">
        <v>0</v>
      </c>
      <c r="R4011" s="23" t="s">
        <v>11933</v>
      </c>
      <c r="S4011" s="23" t="s">
        <v>5849</v>
      </c>
      <c r="T4011" s="23" t="s">
        <v>4866</v>
      </c>
      <c r="U4011" s="3">
        <v>35</v>
      </c>
      <c r="W4011" s="45" t="str">
        <f>HYPERLINK("http://ictvonline.org/taxonomy/p/taxonomy-history?taxnode_id=201905216","ICTVonline=201905216")</f>
        <v>ICTVonline=201905216</v>
      </c>
      <c r="Y4011" s="1" t="s">
        <v>12775</v>
      </c>
      <c r="Z4011" s="1" t="s">
        <v>11842</v>
      </c>
      <c r="AA4011" s="1">
        <v>201900000</v>
      </c>
      <c r="AB4011" s="1">
        <v>35</v>
      </c>
    </row>
    <row r="4012" spans="1:28" x14ac:dyDescent="0.2">
      <c r="A4012" s="1">
        <v>10238</v>
      </c>
      <c r="B4012" s="1" t="s">
        <v>6839</v>
      </c>
      <c r="D4012" s="1" t="s">
        <v>11735</v>
      </c>
      <c r="F4012" s="1" t="s">
        <v>11930</v>
      </c>
      <c r="H4012" s="1" t="s">
        <v>12625</v>
      </c>
      <c r="J4012" s="1" t="s">
        <v>12626</v>
      </c>
      <c r="L4012" s="1" t="s">
        <v>777</v>
      </c>
      <c r="M4012" s="1" t="s">
        <v>6833</v>
      </c>
      <c r="N4012" s="1" t="s">
        <v>3959</v>
      </c>
      <c r="P4012" s="1" t="s">
        <v>680</v>
      </c>
      <c r="Q4012" s="3">
        <v>0</v>
      </c>
      <c r="R4012" s="23" t="s">
        <v>11933</v>
      </c>
      <c r="S4012" s="23" t="s">
        <v>5849</v>
      </c>
      <c r="T4012" s="23" t="s">
        <v>4866</v>
      </c>
      <c r="U4012" s="3">
        <v>35</v>
      </c>
      <c r="W4012" s="45" t="str">
        <f>HYPERLINK("http://ictvonline.org/taxonomy/p/taxonomy-history?taxnode_id=201905217","ICTVonline=201905217")</f>
        <v>ICTVonline=201905217</v>
      </c>
      <c r="Y4012" s="1" t="s">
        <v>12776</v>
      </c>
      <c r="Z4012" s="1" t="s">
        <v>12777</v>
      </c>
      <c r="AA4012" s="1">
        <v>201900000</v>
      </c>
      <c r="AB4012" s="1">
        <v>35</v>
      </c>
    </row>
    <row r="4013" spans="1:28" x14ac:dyDescent="0.2">
      <c r="A4013" s="1">
        <v>10240</v>
      </c>
      <c r="B4013" s="1" t="s">
        <v>6839</v>
      </c>
      <c r="D4013" s="1" t="s">
        <v>11735</v>
      </c>
      <c r="F4013" s="1" t="s">
        <v>11930</v>
      </c>
      <c r="H4013" s="1" t="s">
        <v>12625</v>
      </c>
      <c r="J4013" s="1" t="s">
        <v>12626</v>
      </c>
      <c r="L4013" s="1" t="s">
        <v>777</v>
      </c>
      <c r="M4013" s="1" t="s">
        <v>6833</v>
      </c>
      <c r="N4013" s="1" t="s">
        <v>3959</v>
      </c>
      <c r="P4013" s="1" t="s">
        <v>1263</v>
      </c>
      <c r="Q4013" s="3">
        <v>1</v>
      </c>
      <c r="R4013" s="23" t="s">
        <v>11933</v>
      </c>
      <c r="S4013" s="23" t="s">
        <v>5849</v>
      </c>
      <c r="T4013" s="23" t="s">
        <v>4866</v>
      </c>
      <c r="U4013" s="3">
        <v>35</v>
      </c>
      <c r="W4013" s="45" t="str">
        <f>HYPERLINK("http://ictvonline.org/taxonomy/p/taxonomy-history?taxnode_id=201905218","ICTVonline=201905218")</f>
        <v>ICTVonline=201905218</v>
      </c>
      <c r="Y4013" s="1" t="s">
        <v>12778</v>
      </c>
      <c r="Z4013" s="1" t="s">
        <v>12779</v>
      </c>
      <c r="AA4013" s="1">
        <v>201900000</v>
      </c>
      <c r="AB4013" s="1">
        <v>35</v>
      </c>
    </row>
    <row r="4014" spans="1:28" x14ac:dyDescent="0.2">
      <c r="A4014" s="1">
        <v>10244</v>
      </c>
      <c r="B4014" s="1" t="s">
        <v>6839</v>
      </c>
      <c r="D4014" s="1" t="s">
        <v>11735</v>
      </c>
      <c r="F4014" s="1" t="s">
        <v>11930</v>
      </c>
      <c r="H4014" s="1" t="s">
        <v>12625</v>
      </c>
      <c r="J4014" s="1" t="s">
        <v>12626</v>
      </c>
      <c r="L4014" s="1" t="s">
        <v>777</v>
      </c>
      <c r="M4014" s="1" t="s">
        <v>6833</v>
      </c>
      <c r="N4014" s="1" t="s">
        <v>2263</v>
      </c>
      <c r="P4014" s="1" t="s">
        <v>865</v>
      </c>
      <c r="Q4014" s="3">
        <v>0</v>
      </c>
      <c r="R4014" s="23" t="s">
        <v>11933</v>
      </c>
      <c r="S4014" s="23" t="s">
        <v>5849</v>
      </c>
      <c r="T4014" s="23" t="s">
        <v>4866</v>
      </c>
      <c r="U4014" s="3">
        <v>35</v>
      </c>
      <c r="W4014" s="45" t="str">
        <f>HYPERLINK("http://ictvonline.org/taxonomy/p/taxonomy-history?taxnode_id=201905220","ICTVonline=201905220")</f>
        <v>ICTVonline=201905220</v>
      </c>
      <c r="Y4014" s="1" t="s">
        <v>12780</v>
      </c>
      <c r="Z4014" s="1" t="s">
        <v>12781</v>
      </c>
      <c r="AA4014" s="1">
        <v>201900000</v>
      </c>
      <c r="AB4014" s="1">
        <v>35</v>
      </c>
    </row>
    <row r="4015" spans="1:28" x14ac:dyDescent="0.2">
      <c r="A4015" s="1">
        <v>10246</v>
      </c>
      <c r="B4015" s="1" t="s">
        <v>6839</v>
      </c>
      <c r="D4015" s="1" t="s">
        <v>11735</v>
      </c>
      <c r="F4015" s="1" t="s">
        <v>11930</v>
      </c>
      <c r="H4015" s="1" t="s">
        <v>12625</v>
      </c>
      <c r="J4015" s="1" t="s">
        <v>12626</v>
      </c>
      <c r="L4015" s="1" t="s">
        <v>777</v>
      </c>
      <c r="M4015" s="1" t="s">
        <v>6833</v>
      </c>
      <c r="N4015" s="1" t="s">
        <v>2263</v>
      </c>
      <c r="P4015" s="1" t="s">
        <v>867</v>
      </c>
      <c r="Q4015" s="3">
        <v>0</v>
      </c>
      <c r="R4015" s="23" t="s">
        <v>11933</v>
      </c>
      <c r="S4015" s="23" t="s">
        <v>5849</v>
      </c>
      <c r="T4015" s="23" t="s">
        <v>4866</v>
      </c>
      <c r="U4015" s="3">
        <v>35</v>
      </c>
      <c r="W4015" s="45" t="str">
        <f>HYPERLINK("http://ictvonline.org/taxonomy/p/taxonomy-history?taxnode_id=201905221","ICTVonline=201905221")</f>
        <v>ICTVonline=201905221</v>
      </c>
      <c r="Y4015" s="1" t="s">
        <v>12782</v>
      </c>
      <c r="Z4015" s="1" t="s">
        <v>12783</v>
      </c>
      <c r="AA4015" s="1">
        <v>201900000</v>
      </c>
      <c r="AB4015" s="1">
        <v>35</v>
      </c>
    </row>
    <row r="4016" spans="1:28" x14ac:dyDescent="0.2">
      <c r="A4016" s="1">
        <v>10248</v>
      </c>
      <c r="B4016" s="1" t="s">
        <v>6839</v>
      </c>
      <c r="D4016" s="1" t="s">
        <v>11735</v>
      </c>
      <c r="F4016" s="1" t="s">
        <v>11930</v>
      </c>
      <c r="H4016" s="1" t="s">
        <v>12625</v>
      </c>
      <c r="J4016" s="1" t="s">
        <v>12626</v>
      </c>
      <c r="L4016" s="1" t="s">
        <v>777</v>
      </c>
      <c r="M4016" s="1" t="s">
        <v>6833</v>
      </c>
      <c r="N4016" s="1" t="s">
        <v>2263</v>
      </c>
      <c r="P4016" s="1" t="s">
        <v>1882</v>
      </c>
      <c r="Q4016" s="3">
        <v>1</v>
      </c>
      <c r="R4016" s="23" t="s">
        <v>11933</v>
      </c>
      <c r="S4016" s="23" t="s">
        <v>5849</v>
      </c>
      <c r="T4016" s="23" t="s">
        <v>4866</v>
      </c>
      <c r="U4016" s="3">
        <v>35</v>
      </c>
      <c r="W4016" s="45" t="str">
        <f>HYPERLINK("http://ictvonline.org/taxonomy/p/taxonomy-history?taxnode_id=201905222","ICTVonline=201905222")</f>
        <v>ICTVonline=201905222</v>
      </c>
      <c r="Y4016" s="1" t="s">
        <v>12784</v>
      </c>
      <c r="Z4016" s="1" t="s">
        <v>12362</v>
      </c>
      <c r="AA4016" s="1">
        <v>201900000</v>
      </c>
      <c r="AB4016" s="1">
        <v>35</v>
      </c>
    </row>
    <row r="4017" spans="1:28" x14ac:dyDescent="0.2">
      <c r="A4017" s="1">
        <v>10252</v>
      </c>
      <c r="B4017" s="1" t="s">
        <v>6839</v>
      </c>
      <c r="D4017" s="1" t="s">
        <v>11735</v>
      </c>
      <c r="F4017" s="1" t="s">
        <v>11930</v>
      </c>
      <c r="H4017" s="1" t="s">
        <v>12625</v>
      </c>
      <c r="J4017" s="1" t="s">
        <v>12626</v>
      </c>
      <c r="L4017" s="1" t="s">
        <v>777</v>
      </c>
      <c r="M4017" s="1" t="s">
        <v>6833</v>
      </c>
      <c r="N4017" s="1" t="s">
        <v>2264</v>
      </c>
      <c r="P4017" s="1" t="s">
        <v>1378</v>
      </c>
      <c r="Q4017" s="3">
        <v>1</v>
      </c>
      <c r="R4017" s="23" t="s">
        <v>11933</v>
      </c>
      <c r="S4017" s="23" t="s">
        <v>5849</v>
      </c>
      <c r="T4017" s="23" t="s">
        <v>4866</v>
      </c>
      <c r="U4017" s="3">
        <v>35</v>
      </c>
      <c r="W4017" s="45" t="str">
        <f>HYPERLINK("http://ictvonline.org/taxonomy/p/taxonomy-history?taxnode_id=201905228","ICTVonline=201905228")</f>
        <v>ICTVonline=201905228</v>
      </c>
      <c r="Y4017" s="1" t="s">
        <v>12785</v>
      </c>
      <c r="Z4017" s="1" t="s">
        <v>12786</v>
      </c>
      <c r="AA4017" s="1">
        <v>201900000</v>
      </c>
      <c r="AB4017" s="1">
        <v>35</v>
      </c>
    </row>
    <row r="4018" spans="1:28" x14ac:dyDescent="0.2">
      <c r="A4018" s="1">
        <v>10256</v>
      </c>
      <c r="B4018" s="1" t="s">
        <v>6839</v>
      </c>
      <c r="D4018" s="1" t="s">
        <v>11735</v>
      </c>
      <c r="F4018" s="1" t="s">
        <v>11930</v>
      </c>
      <c r="H4018" s="1" t="s">
        <v>12625</v>
      </c>
      <c r="J4018" s="1" t="s">
        <v>12626</v>
      </c>
      <c r="L4018" s="1" t="s">
        <v>777</v>
      </c>
      <c r="M4018" s="1" t="s">
        <v>6833</v>
      </c>
      <c r="N4018" s="1" t="s">
        <v>3960</v>
      </c>
      <c r="P4018" s="1" t="s">
        <v>1376</v>
      </c>
      <c r="Q4018" s="3">
        <v>0</v>
      </c>
      <c r="R4018" s="23" t="s">
        <v>11933</v>
      </c>
      <c r="S4018" s="23" t="s">
        <v>5849</v>
      </c>
      <c r="T4018" s="23" t="s">
        <v>4866</v>
      </c>
      <c r="U4018" s="3">
        <v>35</v>
      </c>
      <c r="W4018" s="45" t="str">
        <f>HYPERLINK("http://ictvonline.org/taxonomy/p/taxonomy-history?taxnode_id=201905230","ICTVonline=201905230")</f>
        <v>ICTVonline=201905230</v>
      </c>
      <c r="Y4018" s="1" t="s">
        <v>12787</v>
      </c>
      <c r="Z4018" s="1" t="s">
        <v>12788</v>
      </c>
      <c r="AA4018" s="1">
        <v>201900000</v>
      </c>
      <c r="AB4018" s="1">
        <v>35</v>
      </c>
    </row>
    <row r="4019" spans="1:28" x14ac:dyDescent="0.2">
      <c r="A4019" s="1">
        <v>10258</v>
      </c>
      <c r="B4019" s="1" t="s">
        <v>6839</v>
      </c>
      <c r="D4019" s="1" t="s">
        <v>11735</v>
      </c>
      <c r="F4019" s="1" t="s">
        <v>11930</v>
      </c>
      <c r="H4019" s="1" t="s">
        <v>12625</v>
      </c>
      <c r="J4019" s="1" t="s">
        <v>12626</v>
      </c>
      <c r="L4019" s="1" t="s">
        <v>777</v>
      </c>
      <c r="M4019" s="1" t="s">
        <v>6833</v>
      </c>
      <c r="N4019" s="1" t="s">
        <v>3960</v>
      </c>
      <c r="P4019" s="1" t="s">
        <v>681</v>
      </c>
      <c r="Q4019" s="3">
        <v>1</v>
      </c>
      <c r="R4019" s="23" t="s">
        <v>11933</v>
      </c>
      <c r="S4019" s="23" t="s">
        <v>5849</v>
      </c>
      <c r="T4019" s="23" t="s">
        <v>4866</v>
      </c>
      <c r="U4019" s="3">
        <v>35</v>
      </c>
      <c r="W4019" s="45" t="str">
        <f>HYPERLINK("http://ictvonline.org/taxonomy/p/taxonomy-history?taxnode_id=201905231","ICTVonline=201905231")</f>
        <v>ICTVonline=201905231</v>
      </c>
      <c r="Y4019" s="1" t="s">
        <v>12789</v>
      </c>
      <c r="Z4019" s="1" t="s">
        <v>12790</v>
      </c>
      <c r="AA4019" s="1">
        <v>201900000</v>
      </c>
      <c r="AB4019" s="1">
        <v>35</v>
      </c>
    </row>
    <row r="4020" spans="1:28" x14ac:dyDescent="0.2">
      <c r="A4020" s="1">
        <v>10260</v>
      </c>
      <c r="B4020" s="1" t="s">
        <v>6839</v>
      </c>
      <c r="D4020" s="1" t="s">
        <v>11735</v>
      </c>
      <c r="F4020" s="1" t="s">
        <v>11930</v>
      </c>
      <c r="H4020" s="1" t="s">
        <v>12625</v>
      </c>
      <c r="J4020" s="1" t="s">
        <v>12626</v>
      </c>
      <c r="L4020" s="1" t="s">
        <v>777</v>
      </c>
      <c r="M4020" s="1" t="s">
        <v>6833</v>
      </c>
      <c r="N4020" s="1" t="s">
        <v>3960</v>
      </c>
      <c r="P4020" s="1" t="s">
        <v>1260</v>
      </c>
      <c r="Q4020" s="3">
        <v>0</v>
      </c>
      <c r="R4020" s="23" t="s">
        <v>11933</v>
      </c>
      <c r="S4020" s="23" t="s">
        <v>5849</v>
      </c>
      <c r="T4020" s="23" t="s">
        <v>4866</v>
      </c>
      <c r="U4020" s="3">
        <v>35</v>
      </c>
      <c r="W4020" s="45" t="str">
        <f>HYPERLINK("http://ictvonline.org/taxonomy/p/taxonomy-history?taxnode_id=201905232","ICTVonline=201905232")</f>
        <v>ICTVonline=201905232</v>
      </c>
      <c r="Y4020" s="1" t="s">
        <v>12791</v>
      </c>
      <c r="Z4020" s="1" t="s">
        <v>12238</v>
      </c>
      <c r="AA4020" s="1">
        <v>201900000</v>
      </c>
      <c r="AB4020" s="1">
        <v>35</v>
      </c>
    </row>
    <row r="4021" spans="1:28" x14ac:dyDescent="0.2">
      <c r="A4021" s="1">
        <v>10262</v>
      </c>
      <c r="B4021" s="1" t="s">
        <v>6839</v>
      </c>
      <c r="D4021" s="1" t="s">
        <v>11735</v>
      </c>
      <c r="F4021" s="1" t="s">
        <v>11930</v>
      </c>
      <c r="H4021" s="1" t="s">
        <v>12625</v>
      </c>
      <c r="J4021" s="1" t="s">
        <v>12626</v>
      </c>
      <c r="L4021" s="1" t="s">
        <v>777</v>
      </c>
      <c r="M4021" s="1" t="s">
        <v>6833</v>
      </c>
      <c r="N4021" s="1" t="s">
        <v>3960</v>
      </c>
      <c r="P4021" s="1" t="s">
        <v>205</v>
      </c>
      <c r="Q4021" s="3">
        <v>0</v>
      </c>
      <c r="R4021" s="23" t="s">
        <v>11933</v>
      </c>
      <c r="S4021" s="23" t="s">
        <v>5849</v>
      </c>
      <c r="T4021" s="23" t="s">
        <v>4866</v>
      </c>
      <c r="U4021" s="3">
        <v>35</v>
      </c>
      <c r="W4021" s="45" t="str">
        <f>HYPERLINK("http://ictvonline.org/taxonomy/p/taxonomy-history?taxnode_id=201905233","ICTVonline=201905233")</f>
        <v>ICTVonline=201905233</v>
      </c>
      <c r="Y4021" s="1" t="s">
        <v>12792</v>
      </c>
      <c r="Z4021" s="1" t="s">
        <v>12244</v>
      </c>
      <c r="AA4021" s="1">
        <v>201900000</v>
      </c>
      <c r="AB4021" s="1">
        <v>35</v>
      </c>
    </row>
    <row r="4022" spans="1:28" x14ac:dyDescent="0.2">
      <c r="A4022" s="1">
        <v>10266</v>
      </c>
      <c r="B4022" s="1" t="s">
        <v>6839</v>
      </c>
      <c r="D4022" s="1" t="s">
        <v>11735</v>
      </c>
      <c r="F4022" s="1" t="s">
        <v>11930</v>
      </c>
      <c r="H4022" s="1" t="s">
        <v>12625</v>
      </c>
      <c r="J4022" s="1" t="s">
        <v>12626</v>
      </c>
      <c r="L4022" s="1" t="s">
        <v>777</v>
      </c>
      <c r="M4022" s="1" t="s">
        <v>6833</v>
      </c>
      <c r="N4022" s="1" t="s">
        <v>2265</v>
      </c>
      <c r="P4022" s="1" t="s">
        <v>2266</v>
      </c>
      <c r="Q4022" s="3">
        <v>1</v>
      </c>
      <c r="R4022" s="23" t="s">
        <v>11933</v>
      </c>
      <c r="S4022" s="23" t="s">
        <v>5849</v>
      </c>
      <c r="T4022" s="23" t="s">
        <v>4866</v>
      </c>
      <c r="U4022" s="3">
        <v>35</v>
      </c>
      <c r="W4022" s="45" t="str">
        <f>HYPERLINK("http://ictvonline.org/taxonomy/p/taxonomy-history?taxnode_id=201905235","ICTVonline=201905235")</f>
        <v>ICTVonline=201905235</v>
      </c>
      <c r="Y4022" s="1" t="s">
        <v>12793</v>
      </c>
      <c r="Z4022" s="1" t="s">
        <v>12794</v>
      </c>
      <c r="AA4022" s="1">
        <v>201900000</v>
      </c>
      <c r="AB4022" s="1">
        <v>35</v>
      </c>
    </row>
    <row r="4023" spans="1:28" x14ac:dyDescent="0.2">
      <c r="A4023" s="1">
        <v>10270</v>
      </c>
      <c r="B4023" s="1" t="s">
        <v>6839</v>
      </c>
      <c r="D4023" s="1" t="s">
        <v>11735</v>
      </c>
      <c r="F4023" s="1" t="s">
        <v>11930</v>
      </c>
      <c r="H4023" s="1" t="s">
        <v>12625</v>
      </c>
      <c r="J4023" s="1" t="s">
        <v>12626</v>
      </c>
      <c r="L4023" s="1" t="s">
        <v>777</v>
      </c>
      <c r="M4023" s="1" t="s">
        <v>6833</v>
      </c>
      <c r="N4023" s="1" t="s">
        <v>1269</v>
      </c>
      <c r="P4023" s="1" t="s">
        <v>1270</v>
      </c>
      <c r="Q4023" s="3">
        <v>1</v>
      </c>
      <c r="R4023" s="23" t="s">
        <v>11933</v>
      </c>
      <c r="S4023" s="23" t="s">
        <v>5849</v>
      </c>
      <c r="T4023" s="23" t="s">
        <v>4866</v>
      </c>
      <c r="U4023" s="3">
        <v>35</v>
      </c>
      <c r="W4023" s="45" t="str">
        <f>HYPERLINK("http://ictvonline.org/taxonomy/p/taxonomy-history?taxnode_id=201905237","ICTVonline=201905237")</f>
        <v>ICTVonline=201905237</v>
      </c>
      <c r="Y4023" s="1" t="s">
        <v>12795</v>
      </c>
      <c r="Z4023" s="1" t="s">
        <v>12796</v>
      </c>
      <c r="AA4023" s="1">
        <v>201900000</v>
      </c>
      <c r="AB4023" s="1">
        <v>35</v>
      </c>
    </row>
    <row r="4024" spans="1:28" x14ac:dyDescent="0.2">
      <c r="A4024" s="1">
        <v>10274</v>
      </c>
      <c r="B4024" s="1" t="s">
        <v>6839</v>
      </c>
      <c r="D4024" s="1" t="s">
        <v>11735</v>
      </c>
      <c r="F4024" s="1" t="s">
        <v>11930</v>
      </c>
      <c r="H4024" s="1" t="s">
        <v>12625</v>
      </c>
      <c r="J4024" s="1" t="s">
        <v>12626</v>
      </c>
      <c r="L4024" s="1" t="s">
        <v>777</v>
      </c>
      <c r="M4024" s="1" t="s">
        <v>6833</v>
      </c>
      <c r="N4024" s="1" t="s">
        <v>1883</v>
      </c>
      <c r="P4024" s="1" t="s">
        <v>206</v>
      </c>
      <c r="Q4024" s="3">
        <v>0</v>
      </c>
      <c r="R4024" s="23" t="s">
        <v>11933</v>
      </c>
      <c r="S4024" s="23" t="s">
        <v>5849</v>
      </c>
      <c r="T4024" s="23" t="s">
        <v>4866</v>
      </c>
      <c r="U4024" s="3">
        <v>35</v>
      </c>
      <c r="W4024" s="45" t="str">
        <f>HYPERLINK("http://ictvonline.org/taxonomy/p/taxonomy-history?taxnode_id=201905239","ICTVonline=201905239")</f>
        <v>ICTVonline=201905239</v>
      </c>
      <c r="Y4024" s="1" t="s">
        <v>12797</v>
      </c>
      <c r="Z4024" s="1" t="s">
        <v>12798</v>
      </c>
      <c r="AA4024" s="1">
        <v>201900000</v>
      </c>
      <c r="AB4024" s="1">
        <v>35</v>
      </c>
    </row>
    <row r="4025" spans="1:28" x14ac:dyDescent="0.2">
      <c r="A4025" s="1">
        <v>10276</v>
      </c>
      <c r="B4025" s="1" t="s">
        <v>6839</v>
      </c>
      <c r="D4025" s="1" t="s">
        <v>11735</v>
      </c>
      <c r="F4025" s="1" t="s">
        <v>11930</v>
      </c>
      <c r="H4025" s="1" t="s">
        <v>12625</v>
      </c>
      <c r="J4025" s="1" t="s">
        <v>12626</v>
      </c>
      <c r="L4025" s="1" t="s">
        <v>777</v>
      </c>
      <c r="M4025" s="1" t="s">
        <v>6833</v>
      </c>
      <c r="N4025" s="1" t="s">
        <v>1883</v>
      </c>
      <c r="P4025" s="1" t="s">
        <v>1884</v>
      </c>
      <c r="Q4025" s="3">
        <v>1</v>
      </c>
      <c r="R4025" s="23" t="s">
        <v>11933</v>
      </c>
      <c r="S4025" s="23" t="s">
        <v>5849</v>
      </c>
      <c r="T4025" s="23" t="s">
        <v>4866</v>
      </c>
      <c r="U4025" s="3">
        <v>35</v>
      </c>
      <c r="W4025" s="45" t="str">
        <f>HYPERLINK("http://ictvonline.org/taxonomy/p/taxonomy-history?taxnode_id=201905240","ICTVonline=201905240")</f>
        <v>ICTVonline=201905240</v>
      </c>
      <c r="Y4025" s="1" t="s">
        <v>12799</v>
      </c>
      <c r="Z4025" s="1" t="s">
        <v>12800</v>
      </c>
      <c r="AA4025" s="1">
        <v>201900000</v>
      </c>
      <c r="AB4025" s="1">
        <v>35</v>
      </c>
    </row>
    <row r="4026" spans="1:28" x14ac:dyDescent="0.2">
      <c r="A4026" s="1">
        <v>10278</v>
      </c>
      <c r="B4026" s="1" t="s">
        <v>6839</v>
      </c>
      <c r="D4026" s="1" t="s">
        <v>11735</v>
      </c>
      <c r="F4026" s="1" t="s">
        <v>11930</v>
      </c>
      <c r="H4026" s="1" t="s">
        <v>12625</v>
      </c>
      <c r="J4026" s="1" t="s">
        <v>12626</v>
      </c>
      <c r="L4026" s="1" t="s">
        <v>777</v>
      </c>
      <c r="M4026" s="1" t="s">
        <v>6833</v>
      </c>
      <c r="N4026" s="1" t="s">
        <v>1883</v>
      </c>
      <c r="P4026" s="1" t="s">
        <v>2710</v>
      </c>
      <c r="Q4026" s="3">
        <v>0</v>
      </c>
      <c r="R4026" s="23" t="s">
        <v>11933</v>
      </c>
      <c r="S4026" s="23" t="s">
        <v>5849</v>
      </c>
      <c r="T4026" s="23" t="s">
        <v>4866</v>
      </c>
      <c r="U4026" s="3">
        <v>35</v>
      </c>
      <c r="W4026" s="45" t="str">
        <f>HYPERLINK("http://ictvonline.org/taxonomy/p/taxonomy-history?taxnode_id=201905241","ICTVonline=201905241")</f>
        <v>ICTVonline=201905241</v>
      </c>
      <c r="X4026" s="1" t="s">
        <v>12801</v>
      </c>
      <c r="Y4026" s="1" t="s">
        <v>12802</v>
      </c>
      <c r="Z4026" s="1" t="s">
        <v>12803</v>
      </c>
      <c r="AA4026" s="1">
        <v>201900000</v>
      </c>
      <c r="AB4026" s="1">
        <v>35</v>
      </c>
    </row>
    <row r="4027" spans="1:28" x14ac:dyDescent="0.2">
      <c r="A4027" s="1">
        <v>10282</v>
      </c>
      <c r="B4027" s="1" t="s">
        <v>6839</v>
      </c>
      <c r="D4027" s="1" t="s">
        <v>11735</v>
      </c>
      <c r="F4027" s="1" t="s">
        <v>11930</v>
      </c>
      <c r="H4027" s="1" t="s">
        <v>12625</v>
      </c>
      <c r="J4027" s="1" t="s">
        <v>12626</v>
      </c>
      <c r="L4027" s="1" t="s">
        <v>777</v>
      </c>
      <c r="M4027" s="1" t="s">
        <v>6833</v>
      </c>
      <c r="N4027" s="1" t="s">
        <v>3961</v>
      </c>
      <c r="P4027" s="1" t="s">
        <v>6835</v>
      </c>
      <c r="Q4027" s="3">
        <v>0</v>
      </c>
      <c r="R4027" s="23" t="s">
        <v>11933</v>
      </c>
      <c r="S4027" s="23" t="s">
        <v>5849</v>
      </c>
      <c r="T4027" s="23" t="s">
        <v>4866</v>
      </c>
      <c r="U4027" s="3">
        <v>35</v>
      </c>
      <c r="W4027" s="45" t="str">
        <f>HYPERLINK("http://ictvonline.org/taxonomy/p/taxonomy-history?taxnode_id=201906290","ICTVonline=201906290")</f>
        <v>ICTVonline=201906290</v>
      </c>
      <c r="X4027" s="1" t="s">
        <v>12804</v>
      </c>
      <c r="Y4027" s="1" t="s">
        <v>12805</v>
      </c>
      <c r="Z4027" s="1" t="s">
        <v>12806</v>
      </c>
      <c r="AA4027" s="1">
        <v>201900000</v>
      </c>
      <c r="AB4027" s="1">
        <v>35</v>
      </c>
    </row>
    <row r="4028" spans="1:28" x14ac:dyDescent="0.2">
      <c r="A4028" s="1">
        <v>10284</v>
      </c>
      <c r="B4028" s="1" t="s">
        <v>6839</v>
      </c>
      <c r="D4028" s="1" t="s">
        <v>11735</v>
      </c>
      <c r="F4028" s="1" t="s">
        <v>11930</v>
      </c>
      <c r="H4028" s="1" t="s">
        <v>12625</v>
      </c>
      <c r="J4028" s="1" t="s">
        <v>12626</v>
      </c>
      <c r="L4028" s="1" t="s">
        <v>777</v>
      </c>
      <c r="M4028" s="1" t="s">
        <v>6833</v>
      </c>
      <c r="N4028" s="1" t="s">
        <v>3961</v>
      </c>
      <c r="P4028" s="1" t="s">
        <v>2711</v>
      </c>
      <c r="Q4028" s="3">
        <v>0</v>
      </c>
      <c r="R4028" s="23" t="s">
        <v>11933</v>
      </c>
      <c r="S4028" s="23" t="s">
        <v>5849</v>
      </c>
      <c r="T4028" s="23" t="s">
        <v>4866</v>
      </c>
      <c r="U4028" s="3">
        <v>35</v>
      </c>
      <c r="W4028" s="45" t="str">
        <f>HYPERLINK("http://ictvonline.org/taxonomy/p/taxonomy-history?taxnode_id=201905243","ICTVonline=201905243")</f>
        <v>ICTVonline=201905243</v>
      </c>
      <c r="X4028" s="1" t="s">
        <v>12807</v>
      </c>
      <c r="Y4028" s="1" t="s">
        <v>12808</v>
      </c>
      <c r="Z4028" s="1" t="s">
        <v>12809</v>
      </c>
      <c r="AA4028" s="1">
        <v>201900000</v>
      </c>
      <c r="AB4028" s="1">
        <v>35</v>
      </c>
    </row>
    <row r="4029" spans="1:28" x14ac:dyDescent="0.2">
      <c r="A4029" s="1">
        <v>10286</v>
      </c>
      <c r="B4029" s="1" t="s">
        <v>6839</v>
      </c>
      <c r="D4029" s="1" t="s">
        <v>11735</v>
      </c>
      <c r="F4029" s="1" t="s">
        <v>11930</v>
      </c>
      <c r="H4029" s="1" t="s">
        <v>12625</v>
      </c>
      <c r="J4029" s="1" t="s">
        <v>12626</v>
      </c>
      <c r="L4029" s="1" t="s">
        <v>777</v>
      </c>
      <c r="M4029" s="1" t="s">
        <v>6833</v>
      </c>
      <c r="N4029" s="1" t="s">
        <v>3961</v>
      </c>
      <c r="P4029" s="1" t="s">
        <v>2712</v>
      </c>
      <c r="Q4029" s="3">
        <v>0</v>
      </c>
      <c r="R4029" s="23" t="s">
        <v>11933</v>
      </c>
      <c r="S4029" s="23" t="s">
        <v>5849</v>
      </c>
      <c r="T4029" s="23" t="s">
        <v>4866</v>
      </c>
      <c r="U4029" s="3">
        <v>35</v>
      </c>
      <c r="W4029" s="45" t="str">
        <f>HYPERLINK("http://ictvonline.org/taxonomy/p/taxonomy-history?taxnode_id=201905244","ICTVonline=201905244")</f>
        <v>ICTVonline=201905244</v>
      </c>
      <c r="X4029" s="1" t="s">
        <v>12810</v>
      </c>
      <c r="Y4029" s="1" t="s">
        <v>12811</v>
      </c>
      <c r="Z4029" s="1" t="s">
        <v>12810</v>
      </c>
      <c r="AA4029" s="1">
        <v>201900000</v>
      </c>
      <c r="AB4029" s="1">
        <v>35</v>
      </c>
    </row>
    <row r="4030" spans="1:28" x14ac:dyDescent="0.2">
      <c r="A4030" s="1">
        <v>10288</v>
      </c>
      <c r="B4030" s="1" t="s">
        <v>6839</v>
      </c>
      <c r="D4030" s="1" t="s">
        <v>11735</v>
      </c>
      <c r="F4030" s="1" t="s">
        <v>11930</v>
      </c>
      <c r="H4030" s="1" t="s">
        <v>12625</v>
      </c>
      <c r="J4030" s="1" t="s">
        <v>12626</v>
      </c>
      <c r="L4030" s="1" t="s">
        <v>777</v>
      </c>
      <c r="M4030" s="1" t="s">
        <v>6833</v>
      </c>
      <c r="N4030" s="1" t="s">
        <v>3961</v>
      </c>
      <c r="P4030" s="1" t="s">
        <v>1988</v>
      </c>
      <c r="Q4030" s="3">
        <v>1</v>
      </c>
      <c r="R4030" s="23" t="s">
        <v>11933</v>
      </c>
      <c r="S4030" s="23" t="s">
        <v>5849</v>
      </c>
      <c r="T4030" s="23" t="s">
        <v>4866</v>
      </c>
      <c r="U4030" s="3">
        <v>35</v>
      </c>
      <c r="W4030" s="45" t="str">
        <f>HYPERLINK("http://ictvonline.org/taxonomy/p/taxonomy-history?taxnode_id=201905245","ICTVonline=201905245")</f>
        <v>ICTVonline=201905245</v>
      </c>
      <c r="Y4030" s="1" t="s">
        <v>12812</v>
      </c>
      <c r="Z4030" s="1" t="s">
        <v>12813</v>
      </c>
      <c r="AA4030" s="1">
        <v>201900000</v>
      </c>
      <c r="AB4030" s="1">
        <v>35</v>
      </c>
    </row>
    <row r="4031" spans="1:28" x14ac:dyDescent="0.2">
      <c r="A4031" s="1">
        <v>10290</v>
      </c>
      <c r="B4031" s="1" t="s">
        <v>6839</v>
      </c>
      <c r="D4031" s="1" t="s">
        <v>11735</v>
      </c>
      <c r="F4031" s="1" t="s">
        <v>11930</v>
      </c>
      <c r="H4031" s="1" t="s">
        <v>12625</v>
      </c>
      <c r="J4031" s="1" t="s">
        <v>12626</v>
      </c>
      <c r="L4031" s="1" t="s">
        <v>777</v>
      </c>
      <c r="M4031" s="1" t="s">
        <v>6833</v>
      </c>
      <c r="N4031" s="1" t="s">
        <v>3961</v>
      </c>
      <c r="P4031" s="1" t="s">
        <v>2713</v>
      </c>
      <c r="Q4031" s="3">
        <v>0</v>
      </c>
      <c r="R4031" s="23" t="s">
        <v>11933</v>
      </c>
      <c r="S4031" s="23" t="s">
        <v>5849</v>
      </c>
      <c r="T4031" s="23" t="s">
        <v>4866</v>
      </c>
      <c r="U4031" s="3">
        <v>35</v>
      </c>
      <c r="W4031" s="45" t="str">
        <f>HYPERLINK("http://ictvonline.org/taxonomy/p/taxonomy-history?taxnode_id=201905246","ICTVonline=201905246")</f>
        <v>ICTVonline=201905246</v>
      </c>
      <c r="X4031" s="1" t="s">
        <v>12814</v>
      </c>
      <c r="Y4031" s="1" t="s">
        <v>12815</v>
      </c>
      <c r="Z4031" s="1" t="s">
        <v>12816</v>
      </c>
      <c r="AA4031" s="1">
        <v>201900000</v>
      </c>
      <c r="AB4031" s="1">
        <v>35</v>
      </c>
    </row>
    <row r="4032" spans="1:28" x14ac:dyDescent="0.2">
      <c r="A4032" s="1">
        <v>10292</v>
      </c>
      <c r="B4032" s="1" t="s">
        <v>6839</v>
      </c>
      <c r="D4032" s="1" t="s">
        <v>11735</v>
      </c>
      <c r="F4032" s="1" t="s">
        <v>11930</v>
      </c>
      <c r="H4032" s="1" t="s">
        <v>12625</v>
      </c>
      <c r="J4032" s="1" t="s">
        <v>12626</v>
      </c>
      <c r="L4032" s="1" t="s">
        <v>777</v>
      </c>
      <c r="M4032" s="1" t="s">
        <v>6833</v>
      </c>
      <c r="N4032" s="1" t="s">
        <v>3961</v>
      </c>
      <c r="P4032" s="1" t="s">
        <v>2714</v>
      </c>
      <c r="Q4032" s="3">
        <v>0</v>
      </c>
      <c r="R4032" s="23" t="s">
        <v>11933</v>
      </c>
      <c r="S4032" s="23" t="s">
        <v>5849</v>
      </c>
      <c r="T4032" s="23" t="s">
        <v>4866</v>
      </c>
      <c r="U4032" s="3">
        <v>35</v>
      </c>
      <c r="W4032" s="45" t="str">
        <f>HYPERLINK("http://ictvonline.org/taxonomy/p/taxonomy-history?taxnode_id=201905247","ICTVonline=201905247")</f>
        <v>ICTVonline=201905247</v>
      </c>
      <c r="X4032" s="1" t="s">
        <v>12817</v>
      </c>
      <c r="Y4032" s="1" t="s">
        <v>12818</v>
      </c>
      <c r="Z4032" s="1" t="s">
        <v>12819</v>
      </c>
      <c r="AA4032" s="1">
        <v>201900000</v>
      </c>
      <c r="AB4032" s="1">
        <v>35</v>
      </c>
    </row>
    <row r="4033" spans="1:28" x14ac:dyDescent="0.2">
      <c r="A4033" s="1">
        <v>10296</v>
      </c>
      <c r="B4033" s="1" t="s">
        <v>6839</v>
      </c>
      <c r="D4033" s="1" t="s">
        <v>11735</v>
      </c>
      <c r="F4033" s="1" t="s">
        <v>11930</v>
      </c>
      <c r="H4033" s="1" t="s">
        <v>12625</v>
      </c>
      <c r="J4033" s="1" t="s">
        <v>12626</v>
      </c>
      <c r="L4033" s="1" t="s">
        <v>777</v>
      </c>
      <c r="M4033" s="1" t="s">
        <v>6833</v>
      </c>
      <c r="N4033" s="1" t="s">
        <v>1885</v>
      </c>
      <c r="P4033" s="1" t="s">
        <v>1886</v>
      </c>
      <c r="Q4033" s="3">
        <v>0</v>
      </c>
      <c r="R4033" s="23" t="s">
        <v>11933</v>
      </c>
      <c r="S4033" s="23" t="s">
        <v>5849</v>
      </c>
      <c r="T4033" s="23" t="s">
        <v>4866</v>
      </c>
      <c r="U4033" s="3">
        <v>35</v>
      </c>
      <c r="W4033" s="45" t="str">
        <f>HYPERLINK("http://ictvonline.org/taxonomy/p/taxonomy-history?taxnode_id=201905249","ICTVonline=201905249")</f>
        <v>ICTVonline=201905249</v>
      </c>
      <c r="Y4033" s="1" t="s">
        <v>12820</v>
      </c>
      <c r="Z4033" s="1" t="s">
        <v>12821</v>
      </c>
      <c r="AA4033" s="1">
        <v>201900000</v>
      </c>
      <c r="AB4033" s="1">
        <v>35</v>
      </c>
    </row>
    <row r="4034" spans="1:28" x14ac:dyDescent="0.2">
      <c r="A4034" s="1">
        <v>10298</v>
      </c>
      <c r="B4034" s="1" t="s">
        <v>6839</v>
      </c>
      <c r="D4034" s="1" t="s">
        <v>11735</v>
      </c>
      <c r="F4034" s="1" t="s">
        <v>11930</v>
      </c>
      <c r="H4034" s="1" t="s">
        <v>12625</v>
      </c>
      <c r="J4034" s="1" t="s">
        <v>12626</v>
      </c>
      <c r="L4034" s="1" t="s">
        <v>777</v>
      </c>
      <c r="M4034" s="1" t="s">
        <v>6833</v>
      </c>
      <c r="N4034" s="1" t="s">
        <v>1885</v>
      </c>
      <c r="P4034" s="1" t="s">
        <v>1887</v>
      </c>
      <c r="Q4034" s="3">
        <v>0</v>
      </c>
      <c r="R4034" s="23" t="s">
        <v>11933</v>
      </c>
      <c r="S4034" s="23" t="s">
        <v>5849</v>
      </c>
      <c r="T4034" s="23" t="s">
        <v>4866</v>
      </c>
      <c r="U4034" s="3">
        <v>35</v>
      </c>
      <c r="W4034" s="45" t="str">
        <f>HYPERLINK("http://ictvonline.org/taxonomy/p/taxonomy-history?taxnode_id=201905250","ICTVonline=201905250")</f>
        <v>ICTVonline=201905250</v>
      </c>
      <c r="Y4034" s="1" t="s">
        <v>12822</v>
      </c>
      <c r="Z4034" s="1" t="s">
        <v>12823</v>
      </c>
      <c r="AA4034" s="1">
        <v>201900000</v>
      </c>
      <c r="AB4034" s="1">
        <v>35</v>
      </c>
    </row>
    <row r="4035" spans="1:28" x14ac:dyDescent="0.2">
      <c r="A4035" s="1">
        <v>10300</v>
      </c>
      <c r="B4035" s="1" t="s">
        <v>6839</v>
      </c>
      <c r="D4035" s="1" t="s">
        <v>11735</v>
      </c>
      <c r="F4035" s="1" t="s">
        <v>11930</v>
      </c>
      <c r="H4035" s="1" t="s">
        <v>12625</v>
      </c>
      <c r="J4035" s="1" t="s">
        <v>12626</v>
      </c>
      <c r="L4035" s="1" t="s">
        <v>777</v>
      </c>
      <c r="M4035" s="1" t="s">
        <v>6833</v>
      </c>
      <c r="N4035" s="1" t="s">
        <v>1885</v>
      </c>
      <c r="P4035" s="1" t="s">
        <v>6836</v>
      </c>
      <c r="Q4035" s="3">
        <v>0</v>
      </c>
      <c r="R4035" s="23" t="s">
        <v>11933</v>
      </c>
      <c r="S4035" s="23" t="s">
        <v>5849</v>
      </c>
      <c r="T4035" s="23" t="s">
        <v>4866</v>
      </c>
      <c r="U4035" s="3">
        <v>35</v>
      </c>
      <c r="W4035" s="45" t="str">
        <f>HYPERLINK("http://ictvonline.org/taxonomy/p/taxonomy-history?taxnode_id=201905251","ICTVonline=201905251")</f>
        <v>ICTVonline=201905251</v>
      </c>
      <c r="X4035" s="1" t="s">
        <v>12824</v>
      </c>
      <c r="Y4035" s="1" t="s">
        <v>12825</v>
      </c>
      <c r="Z4035" s="1" t="s">
        <v>12826</v>
      </c>
      <c r="AA4035" s="1">
        <v>201900000</v>
      </c>
      <c r="AB4035" s="1">
        <v>35</v>
      </c>
    </row>
    <row r="4036" spans="1:28" x14ac:dyDescent="0.2">
      <c r="A4036" s="1">
        <v>10302</v>
      </c>
      <c r="B4036" s="1" t="s">
        <v>6839</v>
      </c>
      <c r="D4036" s="1" t="s">
        <v>11735</v>
      </c>
      <c r="F4036" s="1" t="s">
        <v>11930</v>
      </c>
      <c r="H4036" s="1" t="s">
        <v>12625</v>
      </c>
      <c r="J4036" s="1" t="s">
        <v>12626</v>
      </c>
      <c r="L4036" s="1" t="s">
        <v>777</v>
      </c>
      <c r="M4036" s="1" t="s">
        <v>6833</v>
      </c>
      <c r="N4036" s="1" t="s">
        <v>1885</v>
      </c>
      <c r="P4036" s="1" t="s">
        <v>1888</v>
      </c>
      <c r="Q4036" s="3">
        <v>0</v>
      </c>
      <c r="R4036" s="23" t="s">
        <v>11933</v>
      </c>
      <c r="S4036" s="23" t="s">
        <v>5849</v>
      </c>
      <c r="T4036" s="23" t="s">
        <v>4866</v>
      </c>
      <c r="U4036" s="3">
        <v>35</v>
      </c>
      <c r="W4036" s="45" t="str">
        <f>HYPERLINK("http://ictvonline.org/taxonomy/p/taxonomy-history?taxnode_id=201905252","ICTVonline=201905252")</f>
        <v>ICTVonline=201905252</v>
      </c>
      <c r="Y4036" s="1" t="s">
        <v>12827</v>
      </c>
      <c r="Z4036" s="1" t="s">
        <v>12828</v>
      </c>
      <c r="AA4036" s="1">
        <v>201900000</v>
      </c>
      <c r="AB4036" s="1">
        <v>35</v>
      </c>
    </row>
    <row r="4037" spans="1:28" x14ac:dyDescent="0.2">
      <c r="A4037" s="1">
        <v>10304</v>
      </c>
      <c r="B4037" s="1" t="s">
        <v>6839</v>
      </c>
      <c r="D4037" s="1" t="s">
        <v>11735</v>
      </c>
      <c r="F4037" s="1" t="s">
        <v>11930</v>
      </c>
      <c r="H4037" s="1" t="s">
        <v>12625</v>
      </c>
      <c r="J4037" s="1" t="s">
        <v>12626</v>
      </c>
      <c r="L4037" s="1" t="s">
        <v>777</v>
      </c>
      <c r="M4037" s="1" t="s">
        <v>6833</v>
      </c>
      <c r="N4037" s="1" t="s">
        <v>1885</v>
      </c>
      <c r="P4037" s="1" t="s">
        <v>1889</v>
      </c>
      <c r="Q4037" s="3">
        <v>0</v>
      </c>
      <c r="R4037" s="23" t="s">
        <v>11933</v>
      </c>
      <c r="S4037" s="23" t="s">
        <v>5849</v>
      </c>
      <c r="T4037" s="23" t="s">
        <v>4866</v>
      </c>
      <c r="U4037" s="3">
        <v>35</v>
      </c>
      <c r="W4037" s="45" t="str">
        <f>HYPERLINK("http://ictvonline.org/taxonomy/p/taxonomy-history?taxnode_id=201905253","ICTVonline=201905253")</f>
        <v>ICTVonline=201905253</v>
      </c>
      <c r="Y4037" s="1" t="s">
        <v>12829</v>
      </c>
      <c r="Z4037" s="1" t="s">
        <v>12006</v>
      </c>
      <c r="AA4037" s="1">
        <v>201900000</v>
      </c>
      <c r="AB4037" s="1">
        <v>35</v>
      </c>
    </row>
    <row r="4038" spans="1:28" x14ac:dyDescent="0.2">
      <c r="A4038" s="1">
        <v>10306</v>
      </c>
      <c r="B4038" s="1" t="s">
        <v>6839</v>
      </c>
      <c r="D4038" s="1" t="s">
        <v>11735</v>
      </c>
      <c r="F4038" s="1" t="s">
        <v>11930</v>
      </c>
      <c r="H4038" s="1" t="s">
        <v>12625</v>
      </c>
      <c r="J4038" s="1" t="s">
        <v>12626</v>
      </c>
      <c r="L4038" s="1" t="s">
        <v>777</v>
      </c>
      <c r="M4038" s="1" t="s">
        <v>6833</v>
      </c>
      <c r="N4038" s="1" t="s">
        <v>1885</v>
      </c>
      <c r="P4038" s="1" t="s">
        <v>1890</v>
      </c>
      <c r="Q4038" s="3">
        <v>0</v>
      </c>
      <c r="R4038" s="23" t="s">
        <v>11933</v>
      </c>
      <c r="S4038" s="23" t="s">
        <v>5849</v>
      </c>
      <c r="T4038" s="23" t="s">
        <v>4866</v>
      </c>
      <c r="U4038" s="3">
        <v>35</v>
      </c>
      <c r="W4038" s="45" t="str">
        <f>HYPERLINK("http://ictvonline.org/taxonomy/p/taxonomy-history?taxnode_id=201905254","ICTVonline=201905254")</f>
        <v>ICTVonline=201905254</v>
      </c>
      <c r="Y4038" s="1" t="s">
        <v>12830</v>
      </c>
      <c r="Z4038" s="1" t="s">
        <v>12831</v>
      </c>
      <c r="AA4038" s="1">
        <v>201900000</v>
      </c>
      <c r="AB4038" s="1">
        <v>35</v>
      </c>
    </row>
    <row r="4039" spans="1:28" x14ac:dyDescent="0.2">
      <c r="A4039" s="1">
        <v>10308</v>
      </c>
      <c r="B4039" s="1" t="s">
        <v>6839</v>
      </c>
      <c r="D4039" s="1" t="s">
        <v>11735</v>
      </c>
      <c r="F4039" s="1" t="s">
        <v>11930</v>
      </c>
      <c r="H4039" s="1" t="s">
        <v>12625</v>
      </c>
      <c r="J4039" s="1" t="s">
        <v>12626</v>
      </c>
      <c r="L4039" s="1" t="s">
        <v>777</v>
      </c>
      <c r="M4039" s="1" t="s">
        <v>6833</v>
      </c>
      <c r="N4039" s="1" t="s">
        <v>1885</v>
      </c>
      <c r="P4039" s="1" t="s">
        <v>1917</v>
      </c>
      <c r="Q4039" s="3">
        <v>0</v>
      </c>
      <c r="R4039" s="23" t="s">
        <v>11933</v>
      </c>
      <c r="S4039" s="23" t="s">
        <v>5849</v>
      </c>
      <c r="T4039" s="23" t="s">
        <v>4866</v>
      </c>
      <c r="U4039" s="3">
        <v>35</v>
      </c>
      <c r="W4039" s="45" t="str">
        <f>HYPERLINK("http://ictvonline.org/taxonomy/p/taxonomy-history?taxnode_id=201905255","ICTVonline=201905255")</f>
        <v>ICTVonline=201905255</v>
      </c>
      <c r="Y4039" s="1" t="s">
        <v>12832</v>
      </c>
      <c r="Z4039" s="1" t="s">
        <v>12833</v>
      </c>
      <c r="AA4039" s="1">
        <v>201900000</v>
      </c>
      <c r="AB4039" s="1">
        <v>35</v>
      </c>
    </row>
    <row r="4040" spans="1:28" x14ac:dyDescent="0.2">
      <c r="A4040" s="1">
        <v>10310</v>
      </c>
      <c r="B4040" s="1" t="s">
        <v>6839</v>
      </c>
      <c r="D4040" s="1" t="s">
        <v>11735</v>
      </c>
      <c r="F4040" s="1" t="s">
        <v>11930</v>
      </c>
      <c r="H4040" s="1" t="s">
        <v>12625</v>
      </c>
      <c r="J4040" s="1" t="s">
        <v>12626</v>
      </c>
      <c r="L4040" s="1" t="s">
        <v>777</v>
      </c>
      <c r="M4040" s="1" t="s">
        <v>6833</v>
      </c>
      <c r="N4040" s="1" t="s">
        <v>1885</v>
      </c>
      <c r="P4040" s="1" t="s">
        <v>1918</v>
      </c>
      <c r="Q4040" s="3">
        <v>0</v>
      </c>
      <c r="R4040" s="23" t="s">
        <v>11933</v>
      </c>
      <c r="S4040" s="23" t="s">
        <v>5849</v>
      </c>
      <c r="T4040" s="23" t="s">
        <v>4866</v>
      </c>
      <c r="U4040" s="3">
        <v>35</v>
      </c>
      <c r="W4040" s="45" t="str">
        <f>HYPERLINK("http://ictvonline.org/taxonomy/p/taxonomy-history?taxnode_id=201905256","ICTVonline=201905256")</f>
        <v>ICTVonline=201905256</v>
      </c>
      <c r="AA4040" s="1">
        <v>201900000</v>
      </c>
      <c r="AB4040" s="1">
        <v>35</v>
      </c>
    </row>
    <row r="4041" spans="1:28" x14ac:dyDescent="0.2">
      <c r="A4041" s="1">
        <v>10312</v>
      </c>
      <c r="B4041" s="1" t="s">
        <v>6839</v>
      </c>
      <c r="D4041" s="1" t="s">
        <v>11735</v>
      </c>
      <c r="F4041" s="1" t="s">
        <v>11930</v>
      </c>
      <c r="H4041" s="1" t="s">
        <v>12625</v>
      </c>
      <c r="J4041" s="1" t="s">
        <v>12626</v>
      </c>
      <c r="L4041" s="1" t="s">
        <v>777</v>
      </c>
      <c r="M4041" s="1" t="s">
        <v>6833</v>
      </c>
      <c r="N4041" s="1" t="s">
        <v>1885</v>
      </c>
      <c r="P4041" s="1" t="s">
        <v>1919</v>
      </c>
      <c r="Q4041" s="3">
        <v>0</v>
      </c>
      <c r="R4041" s="23" t="s">
        <v>11933</v>
      </c>
      <c r="S4041" s="23" t="s">
        <v>5849</v>
      </c>
      <c r="T4041" s="23" t="s">
        <v>4866</v>
      </c>
      <c r="U4041" s="3">
        <v>35</v>
      </c>
      <c r="W4041" s="45" t="str">
        <f>HYPERLINK("http://ictvonline.org/taxonomy/p/taxonomy-history?taxnode_id=201905257","ICTVonline=201905257")</f>
        <v>ICTVonline=201905257</v>
      </c>
      <c r="AA4041" s="1">
        <v>201900000</v>
      </c>
      <c r="AB4041" s="1">
        <v>35</v>
      </c>
    </row>
    <row r="4042" spans="1:28" x14ac:dyDescent="0.2">
      <c r="A4042" s="1">
        <v>10314</v>
      </c>
      <c r="B4042" s="1" t="s">
        <v>6839</v>
      </c>
      <c r="D4042" s="1" t="s">
        <v>11735</v>
      </c>
      <c r="F4042" s="1" t="s">
        <v>11930</v>
      </c>
      <c r="H4042" s="1" t="s">
        <v>12625</v>
      </c>
      <c r="J4042" s="1" t="s">
        <v>12626</v>
      </c>
      <c r="L4042" s="1" t="s">
        <v>777</v>
      </c>
      <c r="M4042" s="1" t="s">
        <v>6833</v>
      </c>
      <c r="N4042" s="1" t="s">
        <v>1885</v>
      </c>
      <c r="P4042" s="1" t="s">
        <v>1920</v>
      </c>
      <c r="Q4042" s="3">
        <v>0</v>
      </c>
      <c r="R4042" s="23" t="s">
        <v>11933</v>
      </c>
      <c r="S4042" s="23" t="s">
        <v>5849</v>
      </c>
      <c r="T4042" s="23" t="s">
        <v>4866</v>
      </c>
      <c r="U4042" s="3">
        <v>35</v>
      </c>
      <c r="W4042" s="45" t="str">
        <f>HYPERLINK("http://ictvonline.org/taxonomy/p/taxonomy-history?taxnode_id=201905258","ICTVonline=201905258")</f>
        <v>ICTVonline=201905258</v>
      </c>
      <c r="AA4042" s="1">
        <v>201900000</v>
      </c>
      <c r="AB4042" s="1">
        <v>35</v>
      </c>
    </row>
    <row r="4043" spans="1:28" x14ac:dyDescent="0.2">
      <c r="A4043" s="1">
        <v>10316</v>
      </c>
      <c r="B4043" s="1" t="s">
        <v>6839</v>
      </c>
      <c r="D4043" s="1" t="s">
        <v>11735</v>
      </c>
      <c r="F4043" s="1" t="s">
        <v>11930</v>
      </c>
      <c r="H4043" s="1" t="s">
        <v>12625</v>
      </c>
      <c r="J4043" s="1" t="s">
        <v>12626</v>
      </c>
      <c r="L4043" s="1" t="s">
        <v>777</v>
      </c>
      <c r="M4043" s="1" t="s">
        <v>6833</v>
      </c>
      <c r="N4043" s="1" t="s">
        <v>1885</v>
      </c>
      <c r="P4043" s="1" t="s">
        <v>1921</v>
      </c>
      <c r="Q4043" s="3">
        <v>0</v>
      </c>
      <c r="R4043" s="23" t="s">
        <v>11933</v>
      </c>
      <c r="S4043" s="23" t="s">
        <v>5849</v>
      </c>
      <c r="T4043" s="23" t="s">
        <v>4866</v>
      </c>
      <c r="U4043" s="3">
        <v>35</v>
      </c>
      <c r="W4043" s="45" t="str">
        <f>HYPERLINK("http://ictvonline.org/taxonomy/p/taxonomy-history?taxnode_id=201905259","ICTVonline=201905259")</f>
        <v>ICTVonline=201905259</v>
      </c>
      <c r="Y4043" s="1" t="s">
        <v>12834</v>
      </c>
      <c r="Z4043" s="1" t="s">
        <v>12835</v>
      </c>
      <c r="AA4043" s="1">
        <v>201900000</v>
      </c>
      <c r="AB4043" s="1">
        <v>35</v>
      </c>
    </row>
    <row r="4044" spans="1:28" x14ac:dyDescent="0.2">
      <c r="A4044" s="1">
        <v>10318</v>
      </c>
      <c r="B4044" s="1" t="s">
        <v>6839</v>
      </c>
      <c r="D4044" s="1" t="s">
        <v>11735</v>
      </c>
      <c r="F4044" s="1" t="s">
        <v>11930</v>
      </c>
      <c r="H4044" s="1" t="s">
        <v>12625</v>
      </c>
      <c r="J4044" s="1" t="s">
        <v>12626</v>
      </c>
      <c r="L4044" s="1" t="s">
        <v>777</v>
      </c>
      <c r="M4044" s="1" t="s">
        <v>6833</v>
      </c>
      <c r="N4044" s="1" t="s">
        <v>1885</v>
      </c>
      <c r="P4044" s="1" t="s">
        <v>1922</v>
      </c>
      <c r="Q4044" s="3">
        <v>0</v>
      </c>
      <c r="R4044" s="23" t="s">
        <v>11933</v>
      </c>
      <c r="S4044" s="23" t="s">
        <v>5849</v>
      </c>
      <c r="T4044" s="23" t="s">
        <v>4866</v>
      </c>
      <c r="U4044" s="3">
        <v>35</v>
      </c>
      <c r="W4044" s="45" t="str">
        <f>HYPERLINK("http://ictvonline.org/taxonomy/p/taxonomy-history?taxnode_id=201905260","ICTVonline=201905260")</f>
        <v>ICTVonline=201905260</v>
      </c>
      <c r="AA4044" s="1">
        <v>201900000</v>
      </c>
      <c r="AB4044" s="1">
        <v>35</v>
      </c>
    </row>
    <row r="4045" spans="1:28" x14ac:dyDescent="0.2">
      <c r="A4045" s="1">
        <v>10320</v>
      </c>
      <c r="B4045" s="1" t="s">
        <v>6839</v>
      </c>
      <c r="D4045" s="1" t="s">
        <v>11735</v>
      </c>
      <c r="F4045" s="1" t="s">
        <v>11930</v>
      </c>
      <c r="H4045" s="1" t="s">
        <v>12625</v>
      </c>
      <c r="J4045" s="1" t="s">
        <v>12626</v>
      </c>
      <c r="L4045" s="1" t="s">
        <v>777</v>
      </c>
      <c r="M4045" s="1" t="s">
        <v>6833</v>
      </c>
      <c r="N4045" s="1" t="s">
        <v>1885</v>
      </c>
      <c r="P4045" s="1" t="s">
        <v>1923</v>
      </c>
      <c r="Q4045" s="3">
        <v>0</v>
      </c>
      <c r="R4045" s="23" t="s">
        <v>11933</v>
      </c>
      <c r="S4045" s="23" t="s">
        <v>5849</v>
      </c>
      <c r="T4045" s="23" t="s">
        <v>4866</v>
      </c>
      <c r="U4045" s="3">
        <v>35</v>
      </c>
      <c r="W4045" s="45" t="str">
        <f>HYPERLINK("http://ictvonline.org/taxonomy/p/taxonomy-history?taxnode_id=201905261","ICTVonline=201905261")</f>
        <v>ICTVonline=201905261</v>
      </c>
      <c r="AA4045" s="1">
        <v>201900000</v>
      </c>
      <c r="AB4045" s="1">
        <v>35</v>
      </c>
    </row>
    <row r="4046" spans="1:28" x14ac:dyDescent="0.2">
      <c r="A4046" s="1">
        <v>10322</v>
      </c>
      <c r="B4046" s="1" t="s">
        <v>6839</v>
      </c>
      <c r="D4046" s="1" t="s">
        <v>11735</v>
      </c>
      <c r="F4046" s="1" t="s">
        <v>11930</v>
      </c>
      <c r="H4046" s="1" t="s">
        <v>12625</v>
      </c>
      <c r="J4046" s="1" t="s">
        <v>12626</v>
      </c>
      <c r="L4046" s="1" t="s">
        <v>777</v>
      </c>
      <c r="M4046" s="1" t="s">
        <v>6833</v>
      </c>
      <c r="N4046" s="1" t="s">
        <v>1885</v>
      </c>
      <c r="P4046" s="1" t="s">
        <v>1924</v>
      </c>
      <c r="Q4046" s="3">
        <v>0</v>
      </c>
      <c r="R4046" s="23" t="s">
        <v>11933</v>
      </c>
      <c r="S4046" s="23" t="s">
        <v>5849</v>
      </c>
      <c r="T4046" s="23" t="s">
        <v>4866</v>
      </c>
      <c r="U4046" s="3">
        <v>35</v>
      </c>
      <c r="W4046" s="45" t="str">
        <f>HYPERLINK("http://ictvonline.org/taxonomy/p/taxonomy-history?taxnode_id=201905262","ICTVonline=201905262")</f>
        <v>ICTVonline=201905262</v>
      </c>
      <c r="Y4046" s="1" t="s">
        <v>12836</v>
      </c>
      <c r="Z4046" s="1" t="s">
        <v>12837</v>
      </c>
      <c r="AA4046" s="1">
        <v>201900000</v>
      </c>
      <c r="AB4046" s="1">
        <v>35</v>
      </c>
    </row>
    <row r="4047" spans="1:28" x14ac:dyDescent="0.2">
      <c r="A4047" s="1">
        <v>10324</v>
      </c>
      <c r="B4047" s="1" t="s">
        <v>6839</v>
      </c>
      <c r="D4047" s="1" t="s">
        <v>11735</v>
      </c>
      <c r="F4047" s="1" t="s">
        <v>11930</v>
      </c>
      <c r="H4047" s="1" t="s">
        <v>12625</v>
      </c>
      <c r="J4047" s="1" t="s">
        <v>12626</v>
      </c>
      <c r="L4047" s="1" t="s">
        <v>777</v>
      </c>
      <c r="M4047" s="1" t="s">
        <v>6833</v>
      </c>
      <c r="N4047" s="1" t="s">
        <v>1885</v>
      </c>
      <c r="P4047" s="1" t="s">
        <v>879</v>
      </c>
      <c r="Q4047" s="3">
        <v>0</v>
      </c>
      <c r="R4047" s="23" t="s">
        <v>11933</v>
      </c>
      <c r="S4047" s="23" t="s">
        <v>5849</v>
      </c>
      <c r="T4047" s="23" t="s">
        <v>4866</v>
      </c>
      <c r="U4047" s="3">
        <v>35</v>
      </c>
      <c r="W4047" s="45" t="str">
        <f>HYPERLINK("http://ictvonline.org/taxonomy/p/taxonomy-history?taxnode_id=201905263","ICTVonline=201905263")</f>
        <v>ICTVonline=201905263</v>
      </c>
      <c r="AA4047" s="1">
        <v>201900000</v>
      </c>
      <c r="AB4047" s="1">
        <v>35</v>
      </c>
    </row>
    <row r="4048" spans="1:28" x14ac:dyDescent="0.2">
      <c r="A4048" s="1">
        <v>10326</v>
      </c>
      <c r="B4048" s="1" t="s">
        <v>6839</v>
      </c>
      <c r="D4048" s="1" t="s">
        <v>11735</v>
      </c>
      <c r="F4048" s="1" t="s">
        <v>11930</v>
      </c>
      <c r="H4048" s="1" t="s">
        <v>12625</v>
      </c>
      <c r="J4048" s="1" t="s">
        <v>12626</v>
      </c>
      <c r="L4048" s="1" t="s">
        <v>777</v>
      </c>
      <c r="M4048" s="1" t="s">
        <v>6833</v>
      </c>
      <c r="N4048" s="1" t="s">
        <v>1885</v>
      </c>
      <c r="P4048" s="1" t="s">
        <v>1891</v>
      </c>
      <c r="Q4048" s="3">
        <v>0</v>
      </c>
      <c r="R4048" s="23" t="s">
        <v>11933</v>
      </c>
      <c r="S4048" s="23" t="s">
        <v>5849</v>
      </c>
      <c r="T4048" s="23" t="s">
        <v>4866</v>
      </c>
      <c r="U4048" s="3">
        <v>35</v>
      </c>
      <c r="W4048" s="45" t="str">
        <f>HYPERLINK("http://ictvonline.org/taxonomy/p/taxonomy-history?taxnode_id=201905264","ICTVonline=201905264")</f>
        <v>ICTVonline=201905264</v>
      </c>
      <c r="AA4048" s="1">
        <v>201900000</v>
      </c>
      <c r="AB4048" s="1">
        <v>35</v>
      </c>
    </row>
    <row r="4049" spans="1:28" x14ac:dyDescent="0.2">
      <c r="A4049" s="1">
        <v>10328</v>
      </c>
      <c r="B4049" s="1" t="s">
        <v>6839</v>
      </c>
      <c r="D4049" s="1" t="s">
        <v>11735</v>
      </c>
      <c r="F4049" s="1" t="s">
        <v>11930</v>
      </c>
      <c r="H4049" s="1" t="s">
        <v>12625</v>
      </c>
      <c r="J4049" s="1" t="s">
        <v>12626</v>
      </c>
      <c r="L4049" s="1" t="s">
        <v>777</v>
      </c>
      <c r="M4049" s="1" t="s">
        <v>6833</v>
      </c>
      <c r="N4049" s="1" t="s">
        <v>1885</v>
      </c>
      <c r="P4049" s="1" t="s">
        <v>1897</v>
      </c>
      <c r="Q4049" s="3">
        <v>1</v>
      </c>
      <c r="R4049" s="23" t="s">
        <v>11933</v>
      </c>
      <c r="S4049" s="23" t="s">
        <v>5849</v>
      </c>
      <c r="T4049" s="23" t="s">
        <v>4866</v>
      </c>
      <c r="U4049" s="3">
        <v>35</v>
      </c>
      <c r="W4049" s="45" t="str">
        <f>HYPERLINK("http://ictvonline.org/taxonomy/p/taxonomy-history?taxnode_id=201905265","ICTVonline=201905265")</f>
        <v>ICTVonline=201905265</v>
      </c>
      <c r="Y4049" s="1" t="s">
        <v>12838</v>
      </c>
      <c r="Z4049" s="1" t="s">
        <v>12839</v>
      </c>
      <c r="AA4049" s="1">
        <v>201900000</v>
      </c>
      <c r="AB4049" s="1">
        <v>35</v>
      </c>
    </row>
    <row r="4050" spans="1:28" x14ac:dyDescent="0.2">
      <c r="A4050" s="1">
        <v>10332</v>
      </c>
      <c r="B4050" s="1" t="s">
        <v>6839</v>
      </c>
      <c r="D4050" s="1" t="s">
        <v>11735</v>
      </c>
      <c r="F4050" s="1" t="s">
        <v>11930</v>
      </c>
      <c r="H4050" s="1" t="s">
        <v>12625</v>
      </c>
      <c r="J4050" s="1" t="s">
        <v>12626</v>
      </c>
      <c r="L4050" s="1" t="s">
        <v>777</v>
      </c>
      <c r="M4050" s="1" t="s">
        <v>6833</v>
      </c>
      <c r="N4050" s="1" t="s">
        <v>2267</v>
      </c>
      <c r="P4050" s="1" t="s">
        <v>1987</v>
      </c>
      <c r="Q4050" s="3">
        <v>1</v>
      </c>
      <c r="R4050" s="23" t="s">
        <v>11933</v>
      </c>
      <c r="S4050" s="23" t="s">
        <v>5849</v>
      </c>
      <c r="T4050" s="23" t="s">
        <v>4866</v>
      </c>
      <c r="U4050" s="3">
        <v>35</v>
      </c>
      <c r="W4050" s="45" t="str">
        <f>HYPERLINK("http://ictvonline.org/taxonomy/p/taxonomy-history?taxnode_id=201905284","ICTVonline=201905284")</f>
        <v>ICTVonline=201905284</v>
      </c>
      <c r="Y4050" s="1" t="s">
        <v>12840</v>
      </c>
      <c r="Z4050" s="1" t="s">
        <v>12841</v>
      </c>
      <c r="AA4050" s="1">
        <v>201900000</v>
      </c>
      <c r="AB4050" s="1">
        <v>35</v>
      </c>
    </row>
    <row r="4051" spans="1:28" x14ac:dyDescent="0.2">
      <c r="A4051" s="1">
        <v>10335</v>
      </c>
      <c r="B4051" s="1" t="s">
        <v>6839</v>
      </c>
      <c r="D4051" s="1" t="s">
        <v>11735</v>
      </c>
      <c r="F4051" s="1" t="s">
        <v>11930</v>
      </c>
      <c r="H4051" s="1" t="s">
        <v>12625</v>
      </c>
      <c r="J4051" s="1" t="s">
        <v>12626</v>
      </c>
      <c r="L4051" s="1" t="s">
        <v>777</v>
      </c>
      <c r="M4051" s="1" t="s">
        <v>6833</v>
      </c>
      <c r="P4051" s="1" t="s">
        <v>783</v>
      </c>
      <c r="Q4051" s="3">
        <v>0</v>
      </c>
      <c r="R4051" s="23" t="s">
        <v>11933</v>
      </c>
      <c r="S4051" s="23" t="s">
        <v>5849</v>
      </c>
      <c r="T4051" s="23" t="s">
        <v>4866</v>
      </c>
      <c r="U4051" s="3">
        <v>35</v>
      </c>
      <c r="W4051" s="45" t="str">
        <f>HYPERLINK("http://ictvonline.org/taxonomy/p/taxonomy-history?taxnode_id=201905277","ICTVonline=201905277")</f>
        <v>ICTVonline=201905277</v>
      </c>
      <c r="AA4051" s="1">
        <v>201900000</v>
      </c>
      <c r="AB4051" s="1">
        <v>35</v>
      </c>
    </row>
    <row r="4052" spans="1:28" x14ac:dyDescent="0.2">
      <c r="A4052" s="1">
        <v>10337</v>
      </c>
      <c r="B4052" s="1" t="s">
        <v>6839</v>
      </c>
      <c r="D4052" s="1" t="s">
        <v>11735</v>
      </c>
      <c r="F4052" s="1" t="s">
        <v>11930</v>
      </c>
      <c r="H4052" s="1" t="s">
        <v>12625</v>
      </c>
      <c r="J4052" s="1" t="s">
        <v>12626</v>
      </c>
      <c r="L4052" s="1" t="s">
        <v>777</v>
      </c>
      <c r="M4052" s="1" t="s">
        <v>6833</v>
      </c>
      <c r="P4052" s="1" t="s">
        <v>785</v>
      </c>
      <c r="Q4052" s="3">
        <v>0</v>
      </c>
      <c r="R4052" s="23" t="s">
        <v>11933</v>
      </c>
      <c r="S4052" s="23" t="s">
        <v>5849</v>
      </c>
      <c r="T4052" s="23" t="s">
        <v>4866</v>
      </c>
      <c r="U4052" s="3">
        <v>35</v>
      </c>
      <c r="W4052" s="45" t="str">
        <f>HYPERLINK("http://ictvonline.org/taxonomy/p/taxonomy-history?taxnode_id=201905278","ICTVonline=201905278")</f>
        <v>ICTVonline=201905278</v>
      </c>
      <c r="AA4052" s="1">
        <v>201900000</v>
      </c>
      <c r="AB4052" s="1">
        <v>35</v>
      </c>
    </row>
    <row r="4053" spans="1:28" x14ac:dyDescent="0.2">
      <c r="A4053" s="1">
        <v>10339</v>
      </c>
      <c r="B4053" s="1" t="s">
        <v>6839</v>
      </c>
      <c r="D4053" s="1" t="s">
        <v>11735</v>
      </c>
      <c r="F4053" s="1" t="s">
        <v>11930</v>
      </c>
      <c r="H4053" s="1" t="s">
        <v>12625</v>
      </c>
      <c r="J4053" s="1" t="s">
        <v>12626</v>
      </c>
      <c r="L4053" s="1" t="s">
        <v>777</v>
      </c>
      <c r="M4053" s="1" t="s">
        <v>6833</v>
      </c>
      <c r="P4053" s="1" t="s">
        <v>866</v>
      </c>
      <c r="Q4053" s="3">
        <v>0</v>
      </c>
      <c r="R4053" s="23" t="s">
        <v>11933</v>
      </c>
      <c r="S4053" s="23" t="s">
        <v>5849</v>
      </c>
      <c r="T4053" s="23" t="s">
        <v>4866</v>
      </c>
      <c r="U4053" s="3">
        <v>35</v>
      </c>
      <c r="W4053" s="45" t="str">
        <f>HYPERLINK("http://ictvonline.org/taxonomy/p/taxonomy-history?taxnode_id=201905279","ICTVonline=201905279")</f>
        <v>ICTVonline=201905279</v>
      </c>
      <c r="AA4053" s="1">
        <v>201900000</v>
      </c>
      <c r="AB4053" s="1">
        <v>35</v>
      </c>
    </row>
    <row r="4054" spans="1:28" x14ac:dyDescent="0.2">
      <c r="A4054" s="1">
        <v>10341</v>
      </c>
      <c r="B4054" s="1" t="s">
        <v>6839</v>
      </c>
      <c r="D4054" s="1" t="s">
        <v>11735</v>
      </c>
      <c r="F4054" s="1" t="s">
        <v>11930</v>
      </c>
      <c r="H4054" s="1" t="s">
        <v>12625</v>
      </c>
      <c r="J4054" s="1" t="s">
        <v>12626</v>
      </c>
      <c r="L4054" s="1" t="s">
        <v>777</v>
      </c>
      <c r="M4054" s="1" t="s">
        <v>6833</v>
      </c>
      <c r="P4054" s="1" t="s">
        <v>1377</v>
      </c>
      <c r="Q4054" s="3">
        <v>0</v>
      </c>
      <c r="R4054" s="23" t="s">
        <v>11933</v>
      </c>
      <c r="S4054" s="23" t="s">
        <v>5849</v>
      </c>
      <c r="T4054" s="23" t="s">
        <v>4866</v>
      </c>
      <c r="U4054" s="3">
        <v>35</v>
      </c>
      <c r="W4054" s="45" t="str">
        <f>HYPERLINK("http://ictvonline.org/taxonomy/p/taxonomy-history?taxnode_id=201905280","ICTVonline=201905280")</f>
        <v>ICTVonline=201905280</v>
      </c>
      <c r="AA4054" s="1">
        <v>201900000</v>
      </c>
      <c r="AB4054" s="1">
        <v>35</v>
      </c>
    </row>
    <row r="4055" spans="1:28" x14ac:dyDescent="0.2">
      <c r="A4055" s="1">
        <v>10343</v>
      </c>
      <c r="B4055" s="1" t="s">
        <v>6839</v>
      </c>
      <c r="D4055" s="1" t="s">
        <v>11735</v>
      </c>
      <c r="F4055" s="1" t="s">
        <v>11930</v>
      </c>
      <c r="H4055" s="1" t="s">
        <v>12625</v>
      </c>
      <c r="J4055" s="1" t="s">
        <v>12626</v>
      </c>
      <c r="L4055" s="1" t="s">
        <v>777</v>
      </c>
      <c r="M4055" s="1" t="s">
        <v>6833</v>
      </c>
      <c r="P4055" s="1" t="s">
        <v>2715</v>
      </c>
      <c r="Q4055" s="3">
        <v>0</v>
      </c>
      <c r="R4055" s="23" t="s">
        <v>11933</v>
      </c>
      <c r="S4055" s="23" t="s">
        <v>5849</v>
      </c>
      <c r="T4055" s="23" t="s">
        <v>4866</v>
      </c>
      <c r="U4055" s="3">
        <v>35</v>
      </c>
      <c r="W4055" s="45" t="str">
        <f>HYPERLINK("http://ictvonline.org/taxonomy/p/taxonomy-history?taxnode_id=201905281","ICTVonline=201905281")</f>
        <v>ICTVonline=201905281</v>
      </c>
      <c r="AA4055" s="1">
        <v>201900000</v>
      </c>
      <c r="AB4055" s="1">
        <v>35</v>
      </c>
    </row>
    <row r="4056" spans="1:28" x14ac:dyDescent="0.2">
      <c r="A4056" s="1">
        <v>10345</v>
      </c>
      <c r="B4056" s="1" t="s">
        <v>6839</v>
      </c>
      <c r="D4056" s="1" t="s">
        <v>11735</v>
      </c>
      <c r="F4056" s="1" t="s">
        <v>11930</v>
      </c>
      <c r="H4056" s="1" t="s">
        <v>12625</v>
      </c>
      <c r="J4056" s="1" t="s">
        <v>12626</v>
      </c>
      <c r="L4056" s="1" t="s">
        <v>777</v>
      </c>
      <c r="M4056" s="1" t="s">
        <v>6833</v>
      </c>
      <c r="P4056" s="1" t="s">
        <v>1264</v>
      </c>
      <c r="Q4056" s="3">
        <v>0</v>
      </c>
      <c r="R4056" s="23" t="s">
        <v>11933</v>
      </c>
      <c r="S4056" s="23" t="s">
        <v>5849</v>
      </c>
      <c r="T4056" s="23" t="s">
        <v>4866</v>
      </c>
      <c r="U4056" s="3">
        <v>35</v>
      </c>
      <c r="W4056" s="45" t="str">
        <f>HYPERLINK("http://ictvonline.org/taxonomy/p/taxonomy-history?taxnode_id=201905282","ICTVonline=201905282")</f>
        <v>ICTVonline=201905282</v>
      </c>
      <c r="AA4056" s="1">
        <v>201900000</v>
      </c>
      <c r="AB4056" s="1">
        <v>35</v>
      </c>
    </row>
    <row r="4057" spans="1:28" x14ac:dyDescent="0.2">
      <c r="A4057" s="1">
        <v>10350</v>
      </c>
      <c r="B4057" s="1" t="s">
        <v>6839</v>
      </c>
      <c r="D4057" s="1" t="s">
        <v>11735</v>
      </c>
      <c r="F4057" s="1" t="s">
        <v>11930</v>
      </c>
      <c r="H4057" s="1" t="s">
        <v>12625</v>
      </c>
      <c r="J4057" s="1" t="s">
        <v>12626</v>
      </c>
      <c r="L4057" s="1" t="s">
        <v>777</v>
      </c>
      <c r="M4057" s="1" t="s">
        <v>6837</v>
      </c>
      <c r="N4057" s="1" t="s">
        <v>1265</v>
      </c>
      <c r="P4057" s="1" t="s">
        <v>1266</v>
      </c>
      <c r="Q4057" s="3">
        <v>1</v>
      </c>
      <c r="R4057" s="23" t="s">
        <v>11933</v>
      </c>
      <c r="S4057" s="23" t="s">
        <v>5849</v>
      </c>
      <c r="T4057" s="23" t="s">
        <v>4866</v>
      </c>
      <c r="U4057" s="3">
        <v>35</v>
      </c>
      <c r="W4057" s="45" t="str">
        <f>HYPERLINK("http://ictvonline.org/taxonomy/p/taxonomy-history?taxnode_id=201905224","ICTVonline=201905224")</f>
        <v>ICTVonline=201905224</v>
      </c>
      <c r="Y4057" s="1" t="s">
        <v>12842</v>
      </c>
      <c r="Z4057" s="1" t="s">
        <v>12843</v>
      </c>
      <c r="AA4057" s="1">
        <v>201900000</v>
      </c>
      <c r="AB4057" s="1">
        <v>35</v>
      </c>
    </row>
    <row r="4058" spans="1:28" x14ac:dyDescent="0.2">
      <c r="A4058" s="1">
        <v>10352</v>
      </c>
      <c r="B4058" s="1" t="s">
        <v>6839</v>
      </c>
      <c r="D4058" s="1" t="s">
        <v>11735</v>
      </c>
      <c r="F4058" s="1" t="s">
        <v>11930</v>
      </c>
      <c r="H4058" s="1" t="s">
        <v>12625</v>
      </c>
      <c r="J4058" s="1" t="s">
        <v>12626</v>
      </c>
      <c r="L4058" s="1" t="s">
        <v>777</v>
      </c>
      <c r="M4058" s="1" t="s">
        <v>6837</v>
      </c>
      <c r="N4058" s="1" t="s">
        <v>1265</v>
      </c>
      <c r="P4058" s="1" t="s">
        <v>1267</v>
      </c>
      <c r="Q4058" s="3">
        <v>0</v>
      </c>
      <c r="R4058" s="23" t="s">
        <v>11933</v>
      </c>
      <c r="S4058" s="23" t="s">
        <v>5849</v>
      </c>
      <c r="T4058" s="23" t="s">
        <v>4866</v>
      </c>
      <c r="U4058" s="3">
        <v>35</v>
      </c>
      <c r="W4058" s="45" t="str">
        <f>HYPERLINK("http://ictvonline.org/taxonomy/p/taxonomy-history?taxnode_id=201905225","ICTVonline=201905225")</f>
        <v>ICTVonline=201905225</v>
      </c>
      <c r="Y4058" s="1" t="s">
        <v>12844</v>
      </c>
      <c r="Z4058" s="1" t="s">
        <v>11206</v>
      </c>
      <c r="AA4058" s="1">
        <v>201900000</v>
      </c>
      <c r="AB4058" s="1">
        <v>35</v>
      </c>
    </row>
    <row r="4059" spans="1:28" x14ac:dyDescent="0.2">
      <c r="A4059" s="1">
        <v>10354</v>
      </c>
      <c r="B4059" s="1" t="s">
        <v>6839</v>
      </c>
      <c r="D4059" s="1" t="s">
        <v>11735</v>
      </c>
      <c r="F4059" s="1" t="s">
        <v>11930</v>
      </c>
      <c r="H4059" s="1" t="s">
        <v>12625</v>
      </c>
      <c r="J4059" s="1" t="s">
        <v>12626</v>
      </c>
      <c r="L4059" s="1" t="s">
        <v>777</v>
      </c>
      <c r="M4059" s="1" t="s">
        <v>6837</v>
      </c>
      <c r="N4059" s="1" t="s">
        <v>1265</v>
      </c>
      <c r="P4059" s="1" t="s">
        <v>1268</v>
      </c>
      <c r="Q4059" s="3">
        <v>0</v>
      </c>
      <c r="R4059" s="23" t="s">
        <v>11933</v>
      </c>
      <c r="S4059" s="23" t="s">
        <v>5849</v>
      </c>
      <c r="T4059" s="23" t="s">
        <v>4866</v>
      </c>
      <c r="U4059" s="3">
        <v>35</v>
      </c>
      <c r="W4059" s="45" t="str">
        <f>HYPERLINK("http://ictvonline.org/taxonomy/p/taxonomy-history?taxnode_id=201905226","ICTVonline=201905226")</f>
        <v>ICTVonline=201905226</v>
      </c>
      <c r="Y4059" s="1" t="s">
        <v>12845</v>
      </c>
      <c r="Z4059" s="1">
        <v>59</v>
      </c>
      <c r="AA4059" s="1">
        <v>201900000</v>
      </c>
      <c r="AB4059" s="1">
        <v>35</v>
      </c>
    </row>
    <row r="4060" spans="1:28" x14ac:dyDescent="0.2">
      <c r="A4060" s="1">
        <v>10367</v>
      </c>
      <c r="B4060" s="1" t="s">
        <v>6839</v>
      </c>
      <c r="D4060" s="1" t="s">
        <v>11735</v>
      </c>
      <c r="F4060" s="1" t="s">
        <v>12846</v>
      </c>
      <c r="H4060" s="1" t="s">
        <v>12847</v>
      </c>
      <c r="J4060" s="1" t="s">
        <v>12848</v>
      </c>
      <c r="L4060" s="1" t="s">
        <v>1100</v>
      </c>
      <c r="N4060" s="1" t="s">
        <v>1101</v>
      </c>
      <c r="P4060" s="1" t="s">
        <v>3796</v>
      </c>
      <c r="Q4060" s="3">
        <v>0</v>
      </c>
      <c r="R4060" s="23" t="s">
        <v>11933</v>
      </c>
      <c r="S4060" s="23" t="s">
        <v>5849</v>
      </c>
      <c r="T4060" s="23" t="s">
        <v>4866</v>
      </c>
      <c r="U4060" s="3">
        <v>35</v>
      </c>
      <c r="W4060" s="45" t="str">
        <f>HYPERLINK("http://ictvonline.org/taxonomy/p/taxonomy-history?taxnode_id=201903754","ICTVonline=201903754")</f>
        <v>ICTVonline=201903754</v>
      </c>
      <c r="AA4060" s="1">
        <v>201900000</v>
      </c>
      <c r="AB4060" s="1">
        <v>35</v>
      </c>
    </row>
    <row r="4061" spans="1:28" x14ac:dyDescent="0.2">
      <c r="A4061" s="1">
        <v>10369</v>
      </c>
      <c r="B4061" s="1" t="s">
        <v>6839</v>
      </c>
      <c r="D4061" s="1" t="s">
        <v>11735</v>
      </c>
      <c r="F4061" s="1" t="s">
        <v>12846</v>
      </c>
      <c r="H4061" s="1" t="s">
        <v>12847</v>
      </c>
      <c r="J4061" s="1" t="s">
        <v>12848</v>
      </c>
      <c r="L4061" s="1" t="s">
        <v>1100</v>
      </c>
      <c r="N4061" s="1" t="s">
        <v>1101</v>
      </c>
      <c r="P4061" s="1" t="s">
        <v>3797</v>
      </c>
      <c r="Q4061" s="3">
        <v>1</v>
      </c>
      <c r="R4061" s="23" t="s">
        <v>11933</v>
      </c>
      <c r="S4061" s="23" t="s">
        <v>5849</v>
      </c>
      <c r="T4061" s="23" t="s">
        <v>4866</v>
      </c>
      <c r="U4061" s="3">
        <v>35</v>
      </c>
      <c r="W4061" s="45" t="str">
        <f>HYPERLINK("http://ictvonline.org/taxonomy/p/taxonomy-history?taxnode_id=201903755","ICTVonline=201903755")</f>
        <v>ICTVonline=201903755</v>
      </c>
      <c r="AA4061" s="1">
        <v>201900000</v>
      </c>
      <c r="AB4061" s="1">
        <v>35</v>
      </c>
    </row>
    <row r="4062" spans="1:28" x14ac:dyDescent="0.2">
      <c r="A4062" s="1">
        <v>10373</v>
      </c>
      <c r="B4062" s="1" t="s">
        <v>6839</v>
      </c>
      <c r="D4062" s="1" t="s">
        <v>11735</v>
      </c>
      <c r="F4062" s="1" t="s">
        <v>12846</v>
      </c>
      <c r="H4062" s="1" t="s">
        <v>12847</v>
      </c>
      <c r="J4062" s="1" t="s">
        <v>12848</v>
      </c>
      <c r="L4062" s="1" t="s">
        <v>1100</v>
      </c>
      <c r="N4062" s="1" t="s">
        <v>1613</v>
      </c>
      <c r="P4062" s="1" t="s">
        <v>3798</v>
      </c>
      <c r="Q4062" s="3">
        <v>0</v>
      </c>
      <c r="R4062" s="23" t="s">
        <v>11933</v>
      </c>
      <c r="S4062" s="23" t="s">
        <v>5849</v>
      </c>
      <c r="T4062" s="23" t="s">
        <v>4866</v>
      </c>
      <c r="U4062" s="3">
        <v>35</v>
      </c>
      <c r="W4062" s="45" t="str">
        <f>HYPERLINK("http://ictvonline.org/taxonomy/p/taxonomy-history?taxnode_id=201903757","ICTVonline=201903757")</f>
        <v>ICTVonline=201903757</v>
      </c>
      <c r="AA4062" s="1">
        <v>201900000</v>
      </c>
      <c r="AB4062" s="1">
        <v>35</v>
      </c>
    </row>
    <row r="4063" spans="1:28" x14ac:dyDescent="0.2">
      <c r="A4063" s="1">
        <v>10375</v>
      </c>
      <c r="B4063" s="1" t="s">
        <v>6839</v>
      </c>
      <c r="D4063" s="1" t="s">
        <v>11735</v>
      </c>
      <c r="F4063" s="1" t="s">
        <v>12846</v>
      </c>
      <c r="H4063" s="1" t="s">
        <v>12847</v>
      </c>
      <c r="J4063" s="1" t="s">
        <v>12848</v>
      </c>
      <c r="L4063" s="1" t="s">
        <v>1100</v>
      </c>
      <c r="N4063" s="1" t="s">
        <v>1613</v>
      </c>
      <c r="P4063" s="1" t="s">
        <v>3799</v>
      </c>
      <c r="Q4063" s="3">
        <v>1</v>
      </c>
      <c r="R4063" s="23" t="s">
        <v>11933</v>
      </c>
      <c r="S4063" s="23" t="s">
        <v>5849</v>
      </c>
      <c r="T4063" s="23" t="s">
        <v>4866</v>
      </c>
      <c r="U4063" s="3">
        <v>35</v>
      </c>
      <c r="W4063" s="45" t="str">
        <f>HYPERLINK("http://ictvonline.org/taxonomy/p/taxonomy-history?taxnode_id=201903758","ICTVonline=201903758")</f>
        <v>ICTVonline=201903758</v>
      </c>
      <c r="AA4063" s="1">
        <v>201900000</v>
      </c>
      <c r="AB4063" s="1">
        <v>35</v>
      </c>
    </row>
    <row r="4064" spans="1:28" x14ac:dyDescent="0.2">
      <c r="A4064" s="1">
        <v>10385</v>
      </c>
      <c r="B4064" s="1" t="s">
        <v>6839</v>
      </c>
      <c r="D4064" s="1" t="s">
        <v>11735</v>
      </c>
      <c r="F4064" s="1" t="s">
        <v>12846</v>
      </c>
      <c r="H4064" s="1" t="s">
        <v>12849</v>
      </c>
      <c r="J4064" s="1" t="s">
        <v>12850</v>
      </c>
      <c r="L4064" s="1" t="s">
        <v>1082</v>
      </c>
      <c r="N4064" s="1" t="s">
        <v>1014</v>
      </c>
      <c r="P4064" s="1" t="s">
        <v>1015</v>
      </c>
      <c r="Q4064" s="3">
        <v>1</v>
      </c>
      <c r="R4064" s="23" t="s">
        <v>11933</v>
      </c>
      <c r="S4064" s="23" t="s">
        <v>5849</v>
      </c>
      <c r="T4064" s="23" t="s">
        <v>4866</v>
      </c>
      <c r="U4064" s="3">
        <v>35</v>
      </c>
      <c r="W4064" s="45" t="str">
        <f>HYPERLINK("http://ictvonline.org/taxonomy/p/taxonomy-history?taxnode_id=201903917","ICTVonline=201903917")</f>
        <v>ICTVonline=201903917</v>
      </c>
      <c r="Y4064" s="1" t="s">
        <v>12851</v>
      </c>
      <c r="Z4064" s="1" t="s">
        <v>12852</v>
      </c>
      <c r="AA4064" s="1">
        <v>201900000</v>
      </c>
      <c r="AB4064" s="1">
        <v>35</v>
      </c>
    </row>
    <row r="4065" spans="1:28" x14ac:dyDescent="0.2">
      <c r="A4065" s="1">
        <v>10387</v>
      </c>
      <c r="B4065" s="1" t="s">
        <v>6839</v>
      </c>
      <c r="D4065" s="1" t="s">
        <v>11735</v>
      </c>
      <c r="F4065" s="1" t="s">
        <v>12846</v>
      </c>
      <c r="H4065" s="1" t="s">
        <v>12849</v>
      </c>
      <c r="J4065" s="1" t="s">
        <v>12850</v>
      </c>
      <c r="L4065" s="1" t="s">
        <v>1082</v>
      </c>
      <c r="N4065" s="1" t="s">
        <v>1014</v>
      </c>
      <c r="P4065" s="1" t="s">
        <v>1084</v>
      </c>
      <c r="Q4065" s="3">
        <v>0</v>
      </c>
      <c r="R4065" s="23" t="s">
        <v>11933</v>
      </c>
      <c r="S4065" s="23" t="s">
        <v>5849</v>
      </c>
      <c r="T4065" s="23" t="s">
        <v>4866</v>
      </c>
      <c r="U4065" s="3">
        <v>35</v>
      </c>
      <c r="W4065" s="45" t="str">
        <f>HYPERLINK("http://ictvonline.org/taxonomy/p/taxonomy-history?taxnode_id=201903918","ICTVonline=201903918")</f>
        <v>ICTVonline=201903918</v>
      </c>
      <c r="Y4065" s="1" t="s">
        <v>12853</v>
      </c>
      <c r="Z4065" s="1" t="s">
        <v>12852</v>
      </c>
      <c r="AA4065" s="1">
        <v>201900000</v>
      </c>
      <c r="AB4065" s="1">
        <v>35</v>
      </c>
    </row>
    <row r="4066" spans="1:28" x14ac:dyDescent="0.2">
      <c r="A4066" s="1">
        <v>10397</v>
      </c>
      <c r="B4066" s="1" t="s">
        <v>6839</v>
      </c>
      <c r="D4066" s="1" t="s">
        <v>11735</v>
      </c>
      <c r="F4066" s="1" t="s">
        <v>12846</v>
      </c>
      <c r="H4066" s="1" t="s">
        <v>12854</v>
      </c>
      <c r="J4066" s="1" t="s">
        <v>12855</v>
      </c>
      <c r="L4066" s="1" t="s">
        <v>12856</v>
      </c>
      <c r="N4066" s="1" t="s">
        <v>1083</v>
      </c>
      <c r="P4066" s="1" t="s">
        <v>1009</v>
      </c>
      <c r="Q4066" s="3">
        <v>1</v>
      </c>
      <c r="R4066" s="23" t="s">
        <v>11933</v>
      </c>
      <c r="S4066" s="23" t="s">
        <v>5849</v>
      </c>
      <c r="T4066" s="23" t="s">
        <v>4866</v>
      </c>
      <c r="U4066" s="3">
        <v>35</v>
      </c>
      <c r="W4066" s="45" t="str">
        <f>HYPERLINK("http://ictvonline.org/taxonomy/p/taxonomy-history?taxnode_id=201903911","ICTVonline=201903911")</f>
        <v>ICTVonline=201903911</v>
      </c>
      <c r="Y4066" s="1" t="s">
        <v>12857</v>
      </c>
      <c r="Z4066" s="1" t="s">
        <v>12858</v>
      </c>
      <c r="AA4066" s="1">
        <v>201900000</v>
      </c>
      <c r="AB4066" s="1">
        <v>35</v>
      </c>
    </row>
    <row r="4067" spans="1:28" x14ac:dyDescent="0.2">
      <c r="A4067" s="1">
        <v>10399</v>
      </c>
      <c r="B4067" s="1" t="s">
        <v>6839</v>
      </c>
      <c r="D4067" s="1" t="s">
        <v>11735</v>
      </c>
      <c r="F4067" s="1" t="s">
        <v>12846</v>
      </c>
      <c r="H4067" s="1" t="s">
        <v>12854</v>
      </c>
      <c r="J4067" s="1" t="s">
        <v>12855</v>
      </c>
      <c r="L4067" s="1" t="s">
        <v>12856</v>
      </c>
      <c r="N4067" s="1" t="s">
        <v>1083</v>
      </c>
      <c r="P4067" s="1" t="s">
        <v>1011</v>
      </c>
      <c r="Q4067" s="3">
        <v>0</v>
      </c>
      <c r="R4067" s="23" t="s">
        <v>11933</v>
      </c>
      <c r="S4067" s="23" t="s">
        <v>5849</v>
      </c>
      <c r="T4067" s="23" t="s">
        <v>4866</v>
      </c>
      <c r="U4067" s="3">
        <v>35</v>
      </c>
      <c r="W4067" s="45" t="str">
        <f>HYPERLINK("http://ictvonline.org/taxonomy/p/taxonomy-history?taxnode_id=201903912","ICTVonline=201903912")</f>
        <v>ICTVonline=201903912</v>
      </c>
      <c r="Y4067" s="1" t="s">
        <v>12859</v>
      </c>
      <c r="Z4067" s="1" t="s">
        <v>12860</v>
      </c>
      <c r="AA4067" s="1">
        <v>201900000</v>
      </c>
      <c r="AB4067" s="1">
        <v>35</v>
      </c>
    </row>
    <row r="4068" spans="1:28" x14ac:dyDescent="0.2">
      <c r="A4068" s="1">
        <v>10401</v>
      </c>
      <c r="B4068" s="1" t="s">
        <v>6839</v>
      </c>
      <c r="D4068" s="1" t="s">
        <v>11735</v>
      </c>
      <c r="F4068" s="1" t="s">
        <v>12846</v>
      </c>
      <c r="H4068" s="1" t="s">
        <v>12854</v>
      </c>
      <c r="J4068" s="1" t="s">
        <v>12855</v>
      </c>
      <c r="L4068" s="1" t="s">
        <v>12856</v>
      </c>
      <c r="N4068" s="1" t="s">
        <v>1083</v>
      </c>
      <c r="P4068" s="1" t="s">
        <v>1012</v>
      </c>
      <c r="Q4068" s="3">
        <v>0</v>
      </c>
      <c r="R4068" s="23" t="s">
        <v>11933</v>
      </c>
      <c r="S4068" s="23" t="s">
        <v>5849</v>
      </c>
      <c r="T4068" s="23" t="s">
        <v>4866</v>
      </c>
      <c r="U4068" s="3">
        <v>35</v>
      </c>
      <c r="W4068" s="45" t="str">
        <f>HYPERLINK("http://ictvonline.org/taxonomy/p/taxonomy-history?taxnode_id=201903913","ICTVonline=201903913")</f>
        <v>ICTVonline=201903913</v>
      </c>
      <c r="Y4068" s="1" t="s">
        <v>12861</v>
      </c>
      <c r="Z4068" s="1" t="s">
        <v>12860</v>
      </c>
      <c r="AA4068" s="1">
        <v>201900000</v>
      </c>
      <c r="AB4068" s="1">
        <v>35</v>
      </c>
    </row>
    <row r="4069" spans="1:28" x14ac:dyDescent="0.2">
      <c r="A4069" s="1">
        <v>10403</v>
      </c>
      <c r="B4069" s="1" t="s">
        <v>6839</v>
      </c>
      <c r="D4069" s="1" t="s">
        <v>11735</v>
      </c>
      <c r="F4069" s="1" t="s">
        <v>12846</v>
      </c>
      <c r="H4069" s="1" t="s">
        <v>12854</v>
      </c>
      <c r="J4069" s="1" t="s">
        <v>12855</v>
      </c>
      <c r="L4069" s="1" t="s">
        <v>12856</v>
      </c>
      <c r="N4069" s="1" t="s">
        <v>1083</v>
      </c>
      <c r="P4069" s="1" t="s">
        <v>1013</v>
      </c>
      <c r="Q4069" s="3">
        <v>0</v>
      </c>
      <c r="R4069" s="23" t="s">
        <v>11933</v>
      </c>
      <c r="S4069" s="23" t="s">
        <v>5849</v>
      </c>
      <c r="T4069" s="23" t="s">
        <v>4866</v>
      </c>
      <c r="U4069" s="3">
        <v>35</v>
      </c>
      <c r="W4069" s="45" t="str">
        <f>HYPERLINK("http://ictvonline.org/taxonomy/p/taxonomy-history?taxnode_id=201903914","ICTVonline=201903914")</f>
        <v>ICTVonline=201903914</v>
      </c>
      <c r="Y4069" s="1" t="s">
        <v>12862</v>
      </c>
      <c r="Z4069" s="1" t="s">
        <v>12860</v>
      </c>
      <c r="AA4069" s="1">
        <v>201900000</v>
      </c>
      <c r="AB4069" s="1">
        <v>35</v>
      </c>
    </row>
    <row r="4070" spans="1:28" x14ac:dyDescent="0.2">
      <c r="A4070" s="1">
        <v>10405</v>
      </c>
      <c r="B4070" s="1" t="s">
        <v>6839</v>
      </c>
      <c r="D4070" s="1" t="s">
        <v>11735</v>
      </c>
      <c r="F4070" s="1" t="s">
        <v>12846</v>
      </c>
      <c r="H4070" s="1" t="s">
        <v>12854</v>
      </c>
      <c r="J4070" s="1" t="s">
        <v>12855</v>
      </c>
      <c r="L4070" s="1" t="s">
        <v>12856</v>
      </c>
      <c r="N4070" s="1" t="s">
        <v>1083</v>
      </c>
      <c r="P4070" s="1" t="s">
        <v>1010</v>
      </c>
      <c r="Q4070" s="3">
        <v>0</v>
      </c>
      <c r="R4070" s="23" t="s">
        <v>11933</v>
      </c>
      <c r="S4070" s="23" t="s">
        <v>5849</v>
      </c>
      <c r="T4070" s="23" t="s">
        <v>4866</v>
      </c>
      <c r="U4070" s="3">
        <v>35</v>
      </c>
      <c r="W4070" s="45" t="str">
        <f>HYPERLINK("http://ictvonline.org/taxonomy/p/taxonomy-history?taxnode_id=201903915","ICTVonline=201903915")</f>
        <v>ICTVonline=201903915</v>
      </c>
      <c r="Y4070" s="1" t="s">
        <v>12863</v>
      </c>
      <c r="Z4070" s="1" t="s">
        <v>12860</v>
      </c>
      <c r="AA4070" s="1">
        <v>201900000</v>
      </c>
      <c r="AB4070" s="1">
        <v>35</v>
      </c>
    </row>
    <row r="4071" spans="1:28" x14ac:dyDescent="0.2">
      <c r="A4071" s="1">
        <v>10415</v>
      </c>
      <c r="B4071" s="1" t="s">
        <v>6839</v>
      </c>
      <c r="D4071" s="1" t="s">
        <v>11735</v>
      </c>
      <c r="F4071" s="1" t="s">
        <v>12846</v>
      </c>
      <c r="H4071" s="1" t="s">
        <v>12864</v>
      </c>
      <c r="J4071" s="1" t="s">
        <v>12865</v>
      </c>
      <c r="L4071" s="1" t="s">
        <v>6688</v>
      </c>
      <c r="N4071" s="1" t="s">
        <v>6689</v>
      </c>
      <c r="P4071" s="1" t="s">
        <v>6690</v>
      </c>
      <c r="Q4071" s="3">
        <v>1</v>
      </c>
      <c r="R4071" s="23" t="s">
        <v>11933</v>
      </c>
      <c r="S4071" s="23" t="s">
        <v>5849</v>
      </c>
      <c r="T4071" s="23" t="s">
        <v>4866</v>
      </c>
      <c r="U4071" s="3">
        <v>35</v>
      </c>
      <c r="W4071" s="45" t="str">
        <f>HYPERLINK("http://ictvonline.org/taxonomy/p/taxonomy-history?taxnode_id=201906575","ICTVonline=201906575")</f>
        <v>ICTVonline=201906575</v>
      </c>
      <c r="X4071" s="1" t="s">
        <v>12866</v>
      </c>
      <c r="Y4071" s="1" t="s">
        <v>12867</v>
      </c>
      <c r="Z4071" s="1" t="s">
        <v>12868</v>
      </c>
      <c r="AA4071" s="1">
        <v>201900000</v>
      </c>
      <c r="AB4071" s="1">
        <v>35</v>
      </c>
    </row>
    <row r="4072" spans="1:28" x14ac:dyDescent="0.2">
      <c r="A4072" s="1">
        <v>10417</v>
      </c>
      <c r="B4072" s="1" t="s">
        <v>6839</v>
      </c>
      <c r="D4072" s="1" t="s">
        <v>11735</v>
      </c>
      <c r="F4072" s="1" t="s">
        <v>12846</v>
      </c>
      <c r="H4072" s="1" t="s">
        <v>12864</v>
      </c>
      <c r="J4072" s="1" t="s">
        <v>12865</v>
      </c>
      <c r="L4072" s="1" t="s">
        <v>6688</v>
      </c>
      <c r="N4072" s="1" t="s">
        <v>6689</v>
      </c>
      <c r="P4072" s="1" t="s">
        <v>6691</v>
      </c>
      <c r="Q4072" s="3">
        <v>0</v>
      </c>
      <c r="R4072" s="23" t="s">
        <v>11933</v>
      </c>
      <c r="S4072" s="23" t="s">
        <v>5849</v>
      </c>
      <c r="T4072" s="23" t="s">
        <v>4866</v>
      </c>
      <c r="U4072" s="3">
        <v>35</v>
      </c>
      <c r="W4072" s="45" t="str">
        <f>HYPERLINK("http://ictvonline.org/taxonomy/p/taxonomy-history?taxnode_id=201906576","ICTVonline=201906576")</f>
        <v>ICTVonline=201906576</v>
      </c>
      <c r="X4072" s="1" t="s">
        <v>12869</v>
      </c>
      <c r="Y4072" s="1" t="s">
        <v>12870</v>
      </c>
      <c r="Z4072" s="1" t="s">
        <v>12871</v>
      </c>
      <c r="AA4072" s="1">
        <v>201900000</v>
      </c>
      <c r="AB4072" s="1">
        <v>35</v>
      </c>
    </row>
    <row r="4073" spans="1:28" x14ac:dyDescent="0.2">
      <c r="A4073" s="1">
        <v>10421</v>
      </c>
      <c r="B4073" s="1" t="s">
        <v>6839</v>
      </c>
      <c r="D4073" s="1" t="s">
        <v>11735</v>
      </c>
      <c r="F4073" s="1" t="s">
        <v>12846</v>
      </c>
      <c r="H4073" s="1" t="s">
        <v>12864</v>
      </c>
      <c r="J4073" s="1" t="s">
        <v>12865</v>
      </c>
      <c r="L4073" s="1" t="s">
        <v>6688</v>
      </c>
      <c r="N4073" s="1" t="s">
        <v>6692</v>
      </c>
      <c r="P4073" s="1" t="s">
        <v>6693</v>
      </c>
      <c r="Q4073" s="3">
        <v>1</v>
      </c>
      <c r="R4073" s="23" t="s">
        <v>11933</v>
      </c>
      <c r="S4073" s="23" t="s">
        <v>5849</v>
      </c>
      <c r="T4073" s="23" t="s">
        <v>4866</v>
      </c>
      <c r="U4073" s="3">
        <v>35</v>
      </c>
      <c r="W4073" s="45" t="str">
        <f>HYPERLINK("http://ictvonline.org/taxonomy/p/taxonomy-history?taxnode_id=201906578","ICTVonline=201906578")</f>
        <v>ICTVonline=201906578</v>
      </c>
      <c r="X4073" s="1" t="s">
        <v>12872</v>
      </c>
      <c r="Y4073" s="1" t="s">
        <v>12873</v>
      </c>
      <c r="Z4073" s="1" t="s">
        <v>12874</v>
      </c>
      <c r="AA4073" s="1">
        <v>201900000</v>
      </c>
      <c r="AB4073" s="1">
        <v>35</v>
      </c>
    </row>
    <row r="4074" spans="1:28" x14ac:dyDescent="0.2">
      <c r="A4074" s="1">
        <v>10423</v>
      </c>
      <c r="B4074" s="1" t="s">
        <v>6839</v>
      </c>
      <c r="D4074" s="1" t="s">
        <v>11735</v>
      </c>
      <c r="F4074" s="1" t="s">
        <v>12846</v>
      </c>
      <c r="H4074" s="1" t="s">
        <v>12864</v>
      </c>
      <c r="J4074" s="1" t="s">
        <v>12865</v>
      </c>
      <c r="L4074" s="1" t="s">
        <v>6688</v>
      </c>
      <c r="N4074" s="1" t="s">
        <v>6692</v>
      </c>
      <c r="P4074" s="1" t="s">
        <v>6694</v>
      </c>
      <c r="Q4074" s="3">
        <v>0</v>
      </c>
      <c r="R4074" s="23" t="s">
        <v>11933</v>
      </c>
      <c r="S4074" s="23" t="s">
        <v>5849</v>
      </c>
      <c r="T4074" s="23" t="s">
        <v>4866</v>
      </c>
      <c r="U4074" s="3">
        <v>35</v>
      </c>
      <c r="W4074" s="45" t="str">
        <f>HYPERLINK("http://ictvonline.org/taxonomy/p/taxonomy-history?taxnode_id=201906579","ICTVonline=201906579")</f>
        <v>ICTVonline=201906579</v>
      </c>
      <c r="X4074" s="1" t="s">
        <v>12875</v>
      </c>
      <c r="Y4074" s="1" t="s">
        <v>12876</v>
      </c>
      <c r="Z4074" s="1" t="s">
        <v>12877</v>
      </c>
      <c r="AA4074" s="1">
        <v>201900000</v>
      </c>
      <c r="AB4074" s="1">
        <v>35</v>
      </c>
    </row>
    <row r="4075" spans="1:28" x14ac:dyDescent="0.2">
      <c r="A4075" s="1">
        <v>10427</v>
      </c>
      <c r="B4075" s="1" t="s">
        <v>6839</v>
      </c>
      <c r="D4075" s="1" t="s">
        <v>11735</v>
      </c>
      <c r="F4075" s="1" t="s">
        <v>12846</v>
      </c>
      <c r="H4075" s="1" t="s">
        <v>12864</v>
      </c>
      <c r="J4075" s="1" t="s">
        <v>12865</v>
      </c>
      <c r="L4075" s="1" t="s">
        <v>6688</v>
      </c>
      <c r="N4075" s="1" t="s">
        <v>265</v>
      </c>
      <c r="P4075" s="1" t="s">
        <v>266</v>
      </c>
      <c r="Q4075" s="3">
        <v>0</v>
      </c>
      <c r="R4075" s="23" t="s">
        <v>11933</v>
      </c>
      <c r="S4075" s="23" t="s">
        <v>5849</v>
      </c>
      <c r="T4075" s="23" t="s">
        <v>4866</v>
      </c>
      <c r="U4075" s="3">
        <v>35</v>
      </c>
      <c r="W4075" s="45" t="str">
        <f>HYPERLINK("http://ictvonline.org/taxonomy/p/taxonomy-history?taxnode_id=201905356","ICTVonline=201905356")</f>
        <v>ICTVonline=201905356</v>
      </c>
      <c r="Y4075" s="1" t="s">
        <v>12878</v>
      </c>
      <c r="Z4075" s="1" t="s">
        <v>12879</v>
      </c>
      <c r="AA4075" s="1">
        <v>201900000</v>
      </c>
      <c r="AB4075" s="1">
        <v>35</v>
      </c>
    </row>
    <row r="4076" spans="1:28" x14ac:dyDescent="0.2">
      <c r="A4076" s="1">
        <v>10429</v>
      </c>
      <c r="B4076" s="1" t="s">
        <v>6839</v>
      </c>
      <c r="D4076" s="1" t="s">
        <v>11735</v>
      </c>
      <c r="F4076" s="1" t="s">
        <v>12846</v>
      </c>
      <c r="H4076" s="1" t="s">
        <v>12864</v>
      </c>
      <c r="J4076" s="1" t="s">
        <v>12865</v>
      </c>
      <c r="L4076" s="1" t="s">
        <v>6688</v>
      </c>
      <c r="N4076" s="1" t="s">
        <v>265</v>
      </c>
      <c r="P4076" s="1" t="s">
        <v>267</v>
      </c>
      <c r="Q4076" s="3">
        <v>0</v>
      </c>
      <c r="R4076" s="23" t="s">
        <v>11933</v>
      </c>
      <c r="S4076" s="23" t="s">
        <v>5849</v>
      </c>
      <c r="T4076" s="23" t="s">
        <v>4866</v>
      </c>
      <c r="U4076" s="3">
        <v>35</v>
      </c>
      <c r="W4076" s="45" t="str">
        <f>HYPERLINK("http://ictvonline.org/taxonomy/p/taxonomy-history?taxnode_id=201905357","ICTVonline=201905357")</f>
        <v>ICTVonline=201905357</v>
      </c>
      <c r="Y4076" s="1" t="s">
        <v>12880</v>
      </c>
      <c r="Z4076" s="1" t="s">
        <v>12881</v>
      </c>
      <c r="AA4076" s="1">
        <v>201900000</v>
      </c>
      <c r="AB4076" s="1">
        <v>35</v>
      </c>
    </row>
    <row r="4077" spans="1:28" x14ac:dyDescent="0.2">
      <c r="A4077" s="1">
        <v>10431</v>
      </c>
      <c r="B4077" s="1" t="s">
        <v>6839</v>
      </c>
      <c r="D4077" s="1" t="s">
        <v>11735</v>
      </c>
      <c r="F4077" s="1" t="s">
        <v>12846</v>
      </c>
      <c r="H4077" s="1" t="s">
        <v>12864</v>
      </c>
      <c r="J4077" s="1" t="s">
        <v>12865</v>
      </c>
      <c r="L4077" s="1" t="s">
        <v>6688</v>
      </c>
      <c r="N4077" s="1" t="s">
        <v>265</v>
      </c>
      <c r="P4077" s="1" t="s">
        <v>268</v>
      </c>
      <c r="Q4077" s="3">
        <v>1</v>
      </c>
      <c r="R4077" s="23" t="s">
        <v>11933</v>
      </c>
      <c r="S4077" s="23" t="s">
        <v>5849</v>
      </c>
      <c r="T4077" s="23" t="s">
        <v>4866</v>
      </c>
      <c r="U4077" s="3">
        <v>35</v>
      </c>
      <c r="W4077" s="45" t="str">
        <f>HYPERLINK("http://ictvonline.org/taxonomy/p/taxonomy-history?taxnode_id=201905358","ICTVonline=201905358")</f>
        <v>ICTVonline=201905358</v>
      </c>
      <c r="Y4077" s="1" t="s">
        <v>12882</v>
      </c>
      <c r="Z4077" s="1" t="s">
        <v>12883</v>
      </c>
      <c r="AA4077" s="1">
        <v>201900000</v>
      </c>
      <c r="AB4077" s="1">
        <v>35</v>
      </c>
    </row>
    <row r="4078" spans="1:28" x14ac:dyDescent="0.2">
      <c r="A4078" s="1">
        <v>10435</v>
      </c>
      <c r="B4078" s="1" t="s">
        <v>6839</v>
      </c>
      <c r="D4078" s="1" t="s">
        <v>11735</v>
      </c>
      <c r="F4078" s="1" t="s">
        <v>12846</v>
      </c>
      <c r="H4078" s="1" t="s">
        <v>12864</v>
      </c>
      <c r="J4078" s="1" t="s">
        <v>12865</v>
      </c>
      <c r="L4078" s="1" t="s">
        <v>6688</v>
      </c>
      <c r="N4078" s="1" t="s">
        <v>6695</v>
      </c>
      <c r="P4078" s="1" t="s">
        <v>6696</v>
      </c>
      <c r="Q4078" s="3">
        <v>1</v>
      </c>
      <c r="R4078" s="23" t="s">
        <v>11933</v>
      </c>
      <c r="S4078" s="23" t="s">
        <v>5849</v>
      </c>
      <c r="T4078" s="23" t="s">
        <v>4866</v>
      </c>
      <c r="U4078" s="3">
        <v>35</v>
      </c>
      <c r="W4078" s="45" t="str">
        <f>HYPERLINK("http://ictvonline.org/taxonomy/p/taxonomy-history?taxnode_id=201906284","ICTVonline=201906284")</f>
        <v>ICTVonline=201906284</v>
      </c>
      <c r="X4078" s="1" t="s">
        <v>12884</v>
      </c>
      <c r="Y4078" s="1" t="s">
        <v>12885</v>
      </c>
      <c r="Z4078" s="1" t="s">
        <v>12886</v>
      </c>
      <c r="AA4078" s="1">
        <v>201900000</v>
      </c>
      <c r="AB4078" s="1">
        <v>35</v>
      </c>
    </row>
    <row r="4079" spans="1:28" x14ac:dyDescent="0.2">
      <c r="A4079" s="1">
        <v>10437</v>
      </c>
      <c r="B4079" s="1" t="s">
        <v>6839</v>
      </c>
      <c r="D4079" s="1" t="s">
        <v>11735</v>
      </c>
      <c r="F4079" s="1" t="s">
        <v>12846</v>
      </c>
      <c r="H4079" s="1" t="s">
        <v>12864</v>
      </c>
      <c r="J4079" s="1" t="s">
        <v>12865</v>
      </c>
      <c r="L4079" s="1" t="s">
        <v>6688</v>
      </c>
      <c r="N4079" s="1" t="s">
        <v>6695</v>
      </c>
      <c r="P4079" s="1" t="s">
        <v>6697</v>
      </c>
      <c r="Q4079" s="3">
        <v>0</v>
      </c>
      <c r="R4079" s="23" t="s">
        <v>11933</v>
      </c>
      <c r="S4079" s="23" t="s">
        <v>5849</v>
      </c>
      <c r="T4079" s="23" t="s">
        <v>4866</v>
      </c>
      <c r="U4079" s="3">
        <v>35</v>
      </c>
      <c r="W4079" s="45" t="str">
        <f>HYPERLINK("http://ictvonline.org/taxonomy/p/taxonomy-history?taxnode_id=201906285","ICTVonline=201906285")</f>
        <v>ICTVonline=201906285</v>
      </c>
      <c r="X4079" s="1" t="s">
        <v>12887</v>
      </c>
      <c r="Y4079" s="1" t="s">
        <v>12888</v>
      </c>
      <c r="Z4079" s="1" t="s">
        <v>12889</v>
      </c>
      <c r="AA4079" s="1">
        <v>201900000</v>
      </c>
      <c r="AB4079" s="1">
        <v>35</v>
      </c>
    </row>
    <row r="4080" spans="1:28" x14ac:dyDescent="0.2">
      <c r="A4080" s="1">
        <v>10439</v>
      </c>
      <c r="B4080" s="1" t="s">
        <v>6839</v>
      </c>
      <c r="D4080" s="1" t="s">
        <v>11735</v>
      </c>
      <c r="F4080" s="1" t="s">
        <v>12846</v>
      </c>
      <c r="H4080" s="1" t="s">
        <v>12864</v>
      </c>
      <c r="J4080" s="1" t="s">
        <v>12865</v>
      </c>
      <c r="L4080" s="1" t="s">
        <v>6688</v>
      </c>
      <c r="N4080" s="1" t="s">
        <v>6695</v>
      </c>
      <c r="P4080" s="1" t="s">
        <v>6698</v>
      </c>
      <c r="Q4080" s="3">
        <v>0</v>
      </c>
      <c r="R4080" s="23" t="s">
        <v>11933</v>
      </c>
      <c r="S4080" s="23" t="s">
        <v>5849</v>
      </c>
      <c r="T4080" s="23" t="s">
        <v>4866</v>
      </c>
      <c r="U4080" s="3">
        <v>35</v>
      </c>
      <c r="W4080" s="45" t="str">
        <f>HYPERLINK("http://ictvonline.org/taxonomy/p/taxonomy-history?taxnode_id=201906286","ICTVonline=201906286")</f>
        <v>ICTVonline=201906286</v>
      </c>
      <c r="X4080" s="1" t="s">
        <v>12890</v>
      </c>
      <c r="Y4080" s="1" t="s">
        <v>12891</v>
      </c>
      <c r="Z4080" s="1" t="s">
        <v>12892</v>
      </c>
      <c r="AA4080" s="1">
        <v>201900000</v>
      </c>
      <c r="AB4080" s="1">
        <v>35</v>
      </c>
    </row>
    <row r="4081" spans="1:28" x14ac:dyDescent="0.2">
      <c r="A4081" s="1">
        <v>10452</v>
      </c>
      <c r="B4081" s="1" t="s">
        <v>6839</v>
      </c>
      <c r="D4081" s="1" t="s">
        <v>11735</v>
      </c>
      <c r="F4081" s="1" t="s">
        <v>5540</v>
      </c>
      <c r="G4081" s="1" t="s">
        <v>5541</v>
      </c>
      <c r="H4081" s="1" t="s">
        <v>5542</v>
      </c>
      <c r="J4081" s="1" t="s">
        <v>5543</v>
      </c>
      <c r="L4081" s="1" t="s">
        <v>5544</v>
      </c>
      <c r="N4081" s="1" t="s">
        <v>5545</v>
      </c>
      <c r="P4081" s="1" t="s">
        <v>5546</v>
      </c>
      <c r="Q4081" s="3">
        <v>0</v>
      </c>
      <c r="R4081" s="23" t="s">
        <v>12893</v>
      </c>
      <c r="S4081" s="23" t="s">
        <v>6846</v>
      </c>
      <c r="T4081" s="23" t="s">
        <v>4866</v>
      </c>
      <c r="U4081" s="3">
        <v>35</v>
      </c>
      <c r="W4081" s="45" t="str">
        <f>HYPERLINK("http://ictvonline.org/taxonomy/p/taxonomy-history?taxnode_id=201906030","ICTVonline=201906030")</f>
        <v>ICTVonline=201906030</v>
      </c>
      <c r="X4081" s="1" t="s">
        <v>12894</v>
      </c>
      <c r="Y4081" s="1" t="s">
        <v>12895</v>
      </c>
      <c r="Z4081" s="1" t="s">
        <v>12896</v>
      </c>
      <c r="AA4081" s="1">
        <v>201900000</v>
      </c>
      <c r="AB4081" s="1">
        <v>35</v>
      </c>
    </row>
    <row r="4082" spans="1:28" x14ac:dyDescent="0.2">
      <c r="A4082" s="1">
        <v>10454</v>
      </c>
      <c r="B4082" s="1" t="s">
        <v>6839</v>
      </c>
      <c r="D4082" s="1" t="s">
        <v>11735</v>
      </c>
      <c r="F4082" s="1" t="s">
        <v>5540</v>
      </c>
      <c r="G4082" s="1" t="s">
        <v>5541</v>
      </c>
      <c r="H4082" s="1" t="s">
        <v>5542</v>
      </c>
      <c r="J4082" s="1" t="s">
        <v>5543</v>
      </c>
      <c r="L4082" s="1" t="s">
        <v>5544</v>
      </c>
      <c r="N4082" s="1" t="s">
        <v>5545</v>
      </c>
      <c r="P4082" s="1" t="s">
        <v>5547</v>
      </c>
      <c r="Q4082" s="3">
        <v>0</v>
      </c>
      <c r="R4082" s="23" t="s">
        <v>12893</v>
      </c>
      <c r="S4082" s="23" t="s">
        <v>6846</v>
      </c>
      <c r="T4082" s="23" t="s">
        <v>4866</v>
      </c>
      <c r="U4082" s="3">
        <v>35</v>
      </c>
      <c r="W4082" s="45" t="str">
        <f>HYPERLINK("http://ictvonline.org/taxonomy/p/taxonomy-history?taxnode_id=201906031","ICTVonline=201906031")</f>
        <v>ICTVonline=201906031</v>
      </c>
      <c r="X4082" s="1" t="s">
        <v>12897</v>
      </c>
      <c r="Y4082" s="1" t="s">
        <v>12898</v>
      </c>
      <c r="Z4082" s="1" t="s">
        <v>12899</v>
      </c>
      <c r="AA4082" s="1">
        <v>201900000</v>
      </c>
      <c r="AB4082" s="1">
        <v>35</v>
      </c>
    </row>
    <row r="4083" spans="1:28" x14ac:dyDescent="0.2">
      <c r="A4083" s="1">
        <v>10456</v>
      </c>
      <c r="B4083" s="1" t="s">
        <v>6839</v>
      </c>
      <c r="D4083" s="1" t="s">
        <v>11735</v>
      </c>
      <c r="F4083" s="1" t="s">
        <v>5540</v>
      </c>
      <c r="G4083" s="1" t="s">
        <v>5541</v>
      </c>
      <c r="H4083" s="1" t="s">
        <v>5542</v>
      </c>
      <c r="J4083" s="1" t="s">
        <v>5543</v>
      </c>
      <c r="L4083" s="1" t="s">
        <v>5544</v>
      </c>
      <c r="N4083" s="1" t="s">
        <v>5545</v>
      </c>
      <c r="P4083" s="1" t="s">
        <v>5548</v>
      </c>
      <c r="Q4083" s="3">
        <v>0</v>
      </c>
      <c r="R4083" s="23" t="s">
        <v>12893</v>
      </c>
      <c r="S4083" s="23" t="s">
        <v>6846</v>
      </c>
      <c r="T4083" s="23" t="s">
        <v>4866</v>
      </c>
      <c r="U4083" s="3">
        <v>35</v>
      </c>
      <c r="W4083" s="45" t="str">
        <f>HYPERLINK("http://ictvonline.org/taxonomy/p/taxonomy-history?taxnode_id=201906032","ICTVonline=201906032")</f>
        <v>ICTVonline=201906032</v>
      </c>
      <c r="X4083" s="1" t="s">
        <v>12900</v>
      </c>
      <c r="Y4083" s="1" t="s">
        <v>12901</v>
      </c>
      <c r="Z4083" s="1" t="s">
        <v>12902</v>
      </c>
      <c r="AA4083" s="1">
        <v>201900000</v>
      </c>
      <c r="AB4083" s="1">
        <v>35</v>
      </c>
    </row>
    <row r="4084" spans="1:28" x14ac:dyDescent="0.2">
      <c r="A4084" s="1">
        <v>10458</v>
      </c>
      <c r="B4084" s="1" t="s">
        <v>6839</v>
      </c>
      <c r="D4084" s="1" t="s">
        <v>11735</v>
      </c>
      <c r="F4084" s="1" t="s">
        <v>5540</v>
      </c>
      <c r="G4084" s="1" t="s">
        <v>5541</v>
      </c>
      <c r="H4084" s="1" t="s">
        <v>5542</v>
      </c>
      <c r="J4084" s="1" t="s">
        <v>5543</v>
      </c>
      <c r="L4084" s="1" t="s">
        <v>5544</v>
      </c>
      <c r="N4084" s="1" t="s">
        <v>5545</v>
      </c>
      <c r="P4084" s="1" t="s">
        <v>5549</v>
      </c>
      <c r="Q4084" s="3">
        <v>0</v>
      </c>
      <c r="R4084" s="23" t="s">
        <v>12893</v>
      </c>
      <c r="S4084" s="23" t="s">
        <v>6846</v>
      </c>
      <c r="T4084" s="23" t="s">
        <v>4866</v>
      </c>
      <c r="U4084" s="3">
        <v>35</v>
      </c>
      <c r="W4084" s="45" t="str">
        <f>HYPERLINK("http://ictvonline.org/taxonomy/p/taxonomy-history?taxnode_id=201906033","ICTVonline=201906033")</f>
        <v>ICTVonline=201906033</v>
      </c>
      <c r="X4084" s="1" t="s">
        <v>12903</v>
      </c>
      <c r="Y4084" s="1" t="s">
        <v>12904</v>
      </c>
      <c r="Z4084" s="1" t="s">
        <v>12905</v>
      </c>
      <c r="AA4084" s="1">
        <v>201900000</v>
      </c>
      <c r="AB4084" s="1">
        <v>35</v>
      </c>
    </row>
    <row r="4085" spans="1:28" x14ac:dyDescent="0.2">
      <c r="A4085" s="1">
        <v>10460</v>
      </c>
      <c r="B4085" s="1" t="s">
        <v>6839</v>
      </c>
      <c r="D4085" s="1" t="s">
        <v>11735</v>
      </c>
      <c r="F4085" s="1" t="s">
        <v>5540</v>
      </c>
      <c r="G4085" s="1" t="s">
        <v>5541</v>
      </c>
      <c r="H4085" s="1" t="s">
        <v>5542</v>
      </c>
      <c r="J4085" s="1" t="s">
        <v>5543</v>
      </c>
      <c r="L4085" s="1" t="s">
        <v>5544</v>
      </c>
      <c r="N4085" s="1" t="s">
        <v>5545</v>
      </c>
      <c r="P4085" s="1" t="s">
        <v>5550</v>
      </c>
      <c r="Q4085" s="3">
        <v>0</v>
      </c>
      <c r="R4085" s="23" t="s">
        <v>12893</v>
      </c>
      <c r="S4085" s="23" t="s">
        <v>6846</v>
      </c>
      <c r="T4085" s="23" t="s">
        <v>4866</v>
      </c>
      <c r="U4085" s="3">
        <v>35</v>
      </c>
      <c r="W4085" s="45" t="str">
        <f>HYPERLINK("http://ictvonline.org/taxonomy/p/taxonomy-history?taxnode_id=201906034","ICTVonline=201906034")</f>
        <v>ICTVonline=201906034</v>
      </c>
      <c r="X4085" s="1" t="s">
        <v>12906</v>
      </c>
      <c r="Y4085" s="1" t="s">
        <v>12907</v>
      </c>
      <c r="Z4085" s="1" t="s">
        <v>12908</v>
      </c>
      <c r="AA4085" s="1">
        <v>201900000</v>
      </c>
      <c r="AB4085" s="1">
        <v>35</v>
      </c>
    </row>
    <row r="4086" spans="1:28" x14ac:dyDescent="0.2">
      <c r="A4086" s="1">
        <v>10462</v>
      </c>
      <c r="B4086" s="1" t="s">
        <v>6839</v>
      </c>
      <c r="D4086" s="1" t="s">
        <v>11735</v>
      </c>
      <c r="F4086" s="1" t="s">
        <v>5540</v>
      </c>
      <c r="G4086" s="1" t="s">
        <v>5541</v>
      </c>
      <c r="H4086" s="1" t="s">
        <v>5542</v>
      </c>
      <c r="J4086" s="1" t="s">
        <v>5543</v>
      </c>
      <c r="L4086" s="1" t="s">
        <v>5544</v>
      </c>
      <c r="N4086" s="1" t="s">
        <v>5545</v>
      </c>
      <c r="P4086" s="1" t="s">
        <v>5551</v>
      </c>
      <c r="Q4086" s="3">
        <v>0</v>
      </c>
      <c r="R4086" s="23" t="s">
        <v>12893</v>
      </c>
      <c r="S4086" s="23" t="s">
        <v>6846</v>
      </c>
      <c r="T4086" s="23" t="s">
        <v>4866</v>
      </c>
      <c r="U4086" s="3">
        <v>35</v>
      </c>
      <c r="W4086" s="45" t="str">
        <f>HYPERLINK("http://ictvonline.org/taxonomy/p/taxonomy-history?taxnode_id=201906035","ICTVonline=201906035")</f>
        <v>ICTVonline=201906035</v>
      </c>
      <c r="X4086" s="1" t="s">
        <v>12909</v>
      </c>
      <c r="Y4086" s="1" t="s">
        <v>12910</v>
      </c>
      <c r="Z4086" s="1" t="s">
        <v>12911</v>
      </c>
      <c r="AA4086" s="1">
        <v>201900000</v>
      </c>
      <c r="AB4086" s="1">
        <v>35</v>
      </c>
    </row>
    <row r="4087" spans="1:28" x14ac:dyDescent="0.2">
      <c r="A4087" s="1">
        <v>10464</v>
      </c>
      <c r="B4087" s="1" t="s">
        <v>6839</v>
      </c>
      <c r="D4087" s="1" t="s">
        <v>11735</v>
      </c>
      <c r="F4087" s="1" t="s">
        <v>5540</v>
      </c>
      <c r="G4087" s="1" t="s">
        <v>5541</v>
      </c>
      <c r="H4087" s="1" t="s">
        <v>5542</v>
      </c>
      <c r="J4087" s="1" t="s">
        <v>5543</v>
      </c>
      <c r="L4087" s="1" t="s">
        <v>5544</v>
      </c>
      <c r="N4087" s="1" t="s">
        <v>5545</v>
      </c>
      <c r="P4087" s="1" t="s">
        <v>5552</v>
      </c>
      <c r="Q4087" s="3">
        <v>1</v>
      </c>
      <c r="R4087" s="23" t="s">
        <v>12893</v>
      </c>
      <c r="S4087" s="23" t="s">
        <v>6846</v>
      </c>
      <c r="T4087" s="23" t="s">
        <v>4866</v>
      </c>
      <c r="U4087" s="3">
        <v>35</v>
      </c>
      <c r="W4087" s="45" t="str">
        <f>HYPERLINK("http://ictvonline.org/taxonomy/p/taxonomy-history?taxnode_id=201906036","ICTVonline=201906036")</f>
        <v>ICTVonline=201906036</v>
      </c>
      <c r="X4087" s="1" t="s">
        <v>12912</v>
      </c>
      <c r="Y4087" s="1" t="s">
        <v>12913</v>
      </c>
      <c r="Z4087" s="1" t="s">
        <v>12914</v>
      </c>
      <c r="AA4087" s="1">
        <v>201900000</v>
      </c>
      <c r="AB4087" s="1">
        <v>35</v>
      </c>
    </row>
    <row r="4088" spans="1:28" x14ac:dyDescent="0.2">
      <c r="A4088" s="1">
        <v>10466</v>
      </c>
      <c r="B4088" s="1" t="s">
        <v>6839</v>
      </c>
      <c r="D4088" s="1" t="s">
        <v>11735</v>
      </c>
      <c r="F4088" s="1" t="s">
        <v>5540</v>
      </c>
      <c r="G4088" s="1" t="s">
        <v>5541</v>
      </c>
      <c r="H4088" s="1" t="s">
        <v>5542</v>
      </c>
      <c r="J4088" s="1" t="s">
        <v>5543</v>
      </c>
      <c r="L4088" s="1" t="s">
        <v>5544</v>
      </c>
      <c r="N4088" s="1" t="s">
        <v>5545</v>
      </c>
      <c r="P4088" s="1" t="s">
        <v>5553</v>
      </c>
      <c r="Q4088" s="3">
        <v>0</v>
      </c>
      <c r="R4088" s="23" t="s">
        <v>12893</v>
      </c>
      <c r="S4088" s="23" t="s">
        <v>6846</v>
      </c>
      <c r="T4088" s="23" t="s">
        <v>4866</v>
      </c>
      <c r="U4088" s="3">
        <v>35</v>
      </c>
      <c r="W4088" s="45" t="str">
        <f>HYPERLINK("http://ictvonline.org/taxonomy/p/taxonomy-history?taxnode_id=201906037","ICTVonline=201906037")</f>
        <v>ICTVonline=201906037</v>
      </c>
      <c r="X4088" s="1" t="s">
        <v>12915</v>
      </c>
      <c r="Y4088" s="1" t="s">
        <v>12916</v>
      </c>
      <c r="Z4088" s="1" t="s">
        <v>12917</v>
      </c>
      <c r="AA4088" s="1">
        <v>201900000</v>
      </c>
      <c r="AB4088" s="1">
        <v>35</v>
      </c>
    </row>
    <row r="4089" spans="1:28" x14ac:dyDescent="0.2">
      <c r="A4089" s="1">
        <v>10476</v>
      </c>
      <c r="B4089" s="1" t="s">
        <v>6839</v>
      </c>
      <c r="D4089" s="1" t="s">
        <v>11735</v>
      </c>
      <c r="F4089" s="1" t="s">
        <v>5540</v>
      </c>
      <c r="G4089" s="1" t="s">
        <v>5541</v>
      </c>
      <c r="H4089" s="1" t="s">
        <v>5554</v>
      </c>
      <c r="J4089" s="1" t="s">
        <v>5555</v>
      </c>
      <c r="L4089" s="1" t="s">
        <v>5244</v>
      </c>
      <c r="N4089" s="1" t="s">
        <v>1611</v>
      </c>
      <c r="P4089" s="1" t="s">
        <v>5245</v>
      </c>
      <c r="Q4089" s="3">
        <v>0</v>
      </c>
      <c r="R4089" s="23" t="s">
        <v>12893</v>
      </c>
      <c r="S4089" s="23" t="s">
        <v>6846</v>
      </c>
      <c r="T4089" s="23" t="s">
        <v>4866</v>
      </c>
      <c r="U4089" s="3">
        <v>35</v>
      </c>
      <c r="W4089" s="45" t="str">
        <f>HYPERLINK("http://ictvonline.org/taxonomy/p/taxonomy-history?taxnode_id=201903946","ICTVonline=201903946")</f>
        <v>ICTVonline=201903946</v>
      </c>
      <c r="Y4089" s="1" t="s">
        <v>12918</v>
      </c>
      <c r="Z4089" s="1" t="s">
        <v>12919</v>
      </c>
      <c r="AA4089" s="1">
        <v>201900000</v>
      </c>
      <c r="AB4089" s="1">
        <v>35</v>
      </c>
    </row>
    <row r="4090" spans="1:28" x14ac:dyDescent="0.2">
      <c r="A4090" s="1">
        <v>10478</v>
      </c>
      <c r="B4090" s="1" t="s">
        <v>6839</v>
      </c>
      <c r="D4090" s="1" t="s">
        <v>11735</v>
      </c>
      <c r="F4090" s="1" t="s">
        <v>5540</v>
      </c>
      <c r="G4090" s="1" t="s">
        <v>5541</v>
      </c>
      <c r="H4090" s="1" t="s">
        <v>5554</v>
      </c>
      <c r="J4090" s="1" t="s">
        <v>5555</v>
      </c>
      <c r="L4090" s="1" t="s">
        <v>5244</v>
      </c>
      <c r="N4090" s="1" t="s">
        <v>1611</v>
      </c>
      <c r="P4090" s="1" t="s">
        <v>5246</v>
      </c>
      <c r="Q4090" s="3">
        <v>1</v>
      </c>
      <c r="R4090" s="23" t="s">
        <v>12893</v>
      </c>
      <c r="S4090" s="23" t="s">
        <v>6846</v>
      </c>
      <c r="T4090" s="23" t="s">
        <v>4866</v>
      </c>
      <c r="U4090" s="3">
        <v>35</v>
      </c>
      <c r="W4090" s="45" t="str">
        <f>HYPERLINK("http://ictvonline.org/taxonomy/p/taxonomy-history?taxnode_id=201903947","ICTVonline=201903947")</f>
        <v>ICTVonline=201903947</v>
      </c>
      <c r="Y4090" s="1" t="s">
        <v>12920</v>
      </c>
      <c r="Z4090" s="1" t="s">
        <v>12921</v>
      </c>
      <c r="AA4090" s="1">
        <v>201900000</v>
      </c>
      <c r="AB4090" s="1">
        <v>35</v>
      </c>
    </row>
    <row r="4091" spans="1:28" x14ac:dyDescent="0.2">
      <c r="A4091" s="1">
        <v>10480</v>
      </c>
      <c r="B4091" s="1" t="s">
        <v>6839</v>
      </c>
      <c r="D4091" s="1" t="s">
        <v>11735</v>
      </c>
      <c r="F4091" s="1" t="s">
        <v>5540</v>
      </c>
      <c r="G4091" s="1" t="s">
        <v>5541</v>
      </c>
      <c r="H4091" s="1" t="s">
        <v>5554</v>
      </c>
      <c r="J4091" s="1" t="s">
        <v>5555</v>
      </c>
      <c r="L4091" s="1" t="s">
        <v>5244</v>
      </c>
      <c r="N4091" s="1" t="s">
        <v>1611</v>
      </c>
      <c r="P4091" s="1" t="s">
        <v>5247</v>
      </c>
      <c r="Q4091" s="3">
        <v>0</v>
      </c>
      <c r="R4091" s="23" t="s">
        <v>12893</v>
      </c>
      <c r="S4091" s="23" t="s">
        <v>6846</v>
      </c>
      <c r="T4091" s="23" t="s">
        <v>4866</v>
      </c>
      <c r="U4091" s="3">
        <v>35</v>
      </c>
      <c r="W4091" s="45" t="str">
        <f>HYPERLINK("http://ictvonline.org/taxonomy/p/taxonomy-history?taxnode_id=201903948","ICTVonline=201903948")</f>
        <v>ICTVonline=201903948</v>
      </c>
      <c r="Y4091" s="1" t="s">
        <v>12922</v>
      </c>
      <c r="Z4091" s="1" t="s">
        <v>12923</v>
      </c>
      <c r="AA4091" s="1">
        <v>201900000</v>
      </c>
      <c r="AB4091" s="1">
        <v>35</v>
      </c>
    </row>
    <row r="4092" spans="1:28" x14ac:dyDescent="0.2">
      <c r="A4092" s="1">
        <v>10482</v>
      </c>
      <c r="B4092" s="1" t="s">
        <v>6839</v>
      </c>
      <c r="D4092" s="1" t="s">
        <v>11735</v>
      </c>
      <c r="F4092" s="1" t="s">
        <v>5540</v>
      </c>
      <c r="G4092" s="1" t="s">
        <v>5541</v>
      </c>
      <c r="H4092" s="1" t="s">
        <v>5554</v>
      </c>
      <c r="J4092" s="1" t="s">
        <v>5555</v>
      </c>
      <c r="L4092" s="1" t="s">
        <v>5244</v>
      </c>
      <c r="N4092" s="1" t="s">
        <v>1611</v>
      </c>
      <c r="P4092" s="1" t="s">
        <v>5248</v>
      </c>
      <c r="Q4092" s="3">
        <v>0</v>
      </c>
      <c r="R4092" s="23" t="s">
        <v>12893</v>
      </c>
      <c r="S4092" s="23" t="s">
        <v>6846</v>
      </c>
      <c r="T4092" s="23" t="s">
        <v>4866</v>
      </c>
      <c r="U4092" s="3">
        <v>35</v>
      </c>
      <c r="W4092" s="45" t="str">
        <f>HYPERLINK("http://ictvonline.org/taxonomy/p/taxonomy-history?taxnode_id=201903949","ICTVonline=201903949")</f>
        <v>ICTVonline=201903949</v>
      </c>
      <c r="Y4092" s="1" t="s">
        <v>12924</v>
      </c>
      <c r="Z4092" s="1" t="s">
        <v>12925</v>
      </c>
      <c r="AA4092" s="1">
        <v>201900000</v>
      </c>
      <c r="AB4092" s="1">
        <v>35</v>
      </c>
    </row>
    <row r="4093" spans="1:28" x14ac:dyDescent="0.2">
      <c r="A4093" s="1">
        <v>10484</v>
      </c>
      <c r="B4093" s="1" t="s">
        <v>6839</v>
      </c>
      <c r="D4093" s="1" t="s">
        <v>11735</v>
      </c>
      <c r="F4093" s="1" t="s">
        <v>5540</v>
      </c>
      <c r="G4093" s="1" t="s">
        <v>5541</v>
      </c>
      <c r="H4093" s="1" t="s">
        <v>5554</v>
      </c>
      <c r="J4093" s="1" t="s">
        <v>5555</v>
      </c>
      <c r="L4093" s="1" t="s">
        <v>5244</v>
      </c>
      <c r="N4093" s="1" t="s">
        <v>1611</v>
      </c>
      <c r="P4093" s="1" t="s">
        <v>5249</v>
      </c>
      <c r="Q4093" s="3">
        <v>0</v>
      </c>
      <c r="R4093" s="23" t="s">
        <v>12893</v>
      </c>
      <c r="S4093" s="23" t="s">
        <v>6846</v>
      </c>
      <c r="T4093" s="23" t="s">
        <v>4866</v>
      </c>
      <c r="U4093" s="3">
        <v>35</v>
      </c>
      <c r="W4093" s="45" t="str">
        <f>HYPERLINK("http://ictvonline.org/taxonomy/p/taxonomy-history?taxnode_id=201903950","ICTVonline=201903950")</f>
        <v>ICTVonline=201903950</v>
      </c>
      <c r="Y4093" s="1" t="s">
        <v>12926</v>
      </c>
      <c r="Z4093" s="1" t="s">
        <v>12927</v>
      </c>
      <c r="AA4093" s="1">
        <v>201900000</v>
      </c>
      <c r="AB4093" s="1">
        <v>35</v>
      </c>
    </row>
    <row r="4094" spans="1:28" x14ac:dyDescent="0.2">
      <c r="A4094" s="1">
        <v>10486</v>
      </c>
      <c r="B4094" s="1" t="s">
        <v>6839</v>
      </c>
      <c r="D4094" s="1" t="s">
        <v>11735</v>
      </c>
      <c r="F4094" s="1" t="s">
        <v>5540</v>
      </c>
      <c r="G4094" s="1" t="s">
        <v>5541</v>
      </c>
      <c r="H4094" s="1" t="s">
        <v>5554</v>
      </c>
      <c r="J4094" s="1" t="s">
        <v>5555</v>
      </c>
      <c r="L4094" s="1" t="s">
        <v>5244</v>
      </c>
      <c r="N4094" s="1" t="s">
        <v>1611</v>
      </c>
      <c r="P4094" s="1" t="s">
        <v>5250</v>
      </c>
      <c r="Q4094" s="3">
        <v>0</v>
      </c>
      <c r="R4094" s="23" t="s">
        <v>12893</v>
      </c>
      <c r="S4094" s="23" t="s">
        <v>6846</v>
      </c>
      <c r="T4094" s="23" t="s">
        <v>4866</v>
      </c>
      <c r="U4094" s="3">
        <v>35</v>
      </c>
      <c r="W4094" s="45" t="str">
        <f>HYPERLINK("http://ictvonline.org/taxonomy/p/taxonomy-history?taxnode_id=201903951","ICTVonline=201903951")</f>
        <v>ICTVonline=201903951</v>
      </c>
      <c r="AA4094" s="1">
        <v>201900000</v>
      </c>
      <c r="AB4094" s="1">
        <v>35</v>
      </c>
    </row>
    <row r="4095" spans="1:28" x14ac:dyDescent="0.2">
      <c r="A4095" s="1">
        <v>10488</v>
      </c>
      <c r="B4095" s="1" t="s">
        <v>6839</v>
      </c>
      <c r="D4095" s="1" t="s">
        <v>11735</v>
      </c>
      <c r="F4095" s="1" t="s">
        <v>5540</v>
      </c>
      <c r="G4095" s="1" t="s">
        <v>5541</v>
      </c>
      <c r="H4095" s="1" t="s">
        <v>5554</v>
      </c>
      <c r="J4095" s="1" t="s">
        <v>5555</v>
      </c>
      <c r="L4095" s="1" t="s">
        <v>5244</v>
      </c>
      <c r="N4095" s="1" t="s">
        <v>1611</v>
      </c>
      <c r="P4095" s="1" t="s">
        <v>5251</v>
      </c>
      <c r="Q4095" s="3">
        <v>0</v>
      </c>
      <c r="R4095" s="23" t="s">
        <v>12893</v>
      </c>
      <c r="S4095" s="23" t="s">
        <v>6846</v>
      </c>
      <c r="T4095" s="23" t="s">
        <v>4866</v>
      </c>
      <c r="U4095" s="3">
        <v>35</v>
      </c>
      <c r="W4095" s="45" t="str">
        <f>HYPERLINK("http://ictvonline.org/taxonomy/p/taxonomy-history?taxnode_id=201903952","ICTVonline=201903952")</f>
        <v>ICTVonline=201903952</v>
      </c>
      <c r="AA4095" s="1">
        <v>201900000</v>
      </c>
      <c r="AB4095" s="1">
        <v>35</v>
      </c>
    </row>
    <row r="4096" spans="1:28" x14ac:dyDescent="0.2">
      <c r="A4096" s="1">
        <v>10498</v>
      </c>
      <c r="B4096" s="1" t="s">
        <v>6839</v>
      </c>
      <c r="D4096" s="1" t="s">
        <v>11735</v>
      </c>
      <c r="F4096" s="1" t="s">
        <v>5540</v>
      </c>
      <c r="G4096" s="1" t="s">
        <v>5541</v>
      </c>
      <c r="H4096" s="1" t="s">
        <v>5556</v>
      </c>
      <c r="J4096" s="1" t="s">
        <v>5557</v>
      </c>
      <c r="L4096" s="1" t="s">
        <v>5558</v>
      </c>
      <c r="N4096" s="1" t="s">
        <v>5559</v>
      </c>
      <c r="P4096" s="1" t="s">
        <v>5560</v>
      </c>
      <c r="Q4096" s="3">
        <v>0</v>
      </c>
      <c r="R4096" s="23" t="s">
        <v>12893</v>
      </c>
      <c r="S4096" s="23" t="s">
        <v>6846</v>
      </c>
      <c r="T4096" s="23" t="s">
        <v>4866</v>
      </c>
      <c r="U4096" s="3">
        <v>35</v>
      </c>
      <c r="W4096" s="45" t="str">
        <f>HYPERLINK("http://ictvonline.org/taxonomy/p/taxonomy-history?taxnode_id=201906041","ICTVonline=201906041")</f>
        <v>ICTVonline=201906041</v>
      </c>
      <c r="X4096" s="1" t="s">
        <v>12928</v>
      </c>
      <c r="Y4096" s="1" t="s">
        <v>12929</v>
      </c>
      <c r="Z4096" s="1" t="s">
        <v>12930</v>
      </c>
      <c r="AA4096" s="1">
        <v>201900000</v>
      </c>
      <c r="AB4096" s="1">
        <v>35</v>
      </c>
    </row>
    <row r="4097" spans="1:28" x14ac:dyDescent="0.2">
      <c r="A4097" s="1">
        <v>10500</v>
      </c>
      <c r="B4097" s="1" t="s">
        <v>6839</v>
      </c>
      <c r="D4097" s="1" t="s">
        <v>11735</v>
      </c>
      <c r="F4097" s="1" t="s">
        <v>5540</v>
      </c>
      <c r="G4097" s="1" t="s">
        <v>5541</v>
      </c>
      <c r="H4097" s="1" t="s">
        <v>5556</v>
      </c>
      <c r="J4097" s="1" t="s">
        <v>5557</v>
      </c>
      <c r="L4097" s="1" t="s">
        <v>5558</v>
      </c>
      <c r="N4097" s="1" t="s">
        <v>5559</v>
      </c>
      <c r="P4097" s="1" t="s">
        <v>5561</v>
      </c>
      <c r="Q4097" s="3">
        <v>1</v>
      </c>
      <c r="R4097" s="23" t="s">
        <v>12893</v>
      </c>
      <c r="S4097" s="23" t="s">
        <v>6846</v>
      </c>
      <c r="T4097" s="23" t="s">
        <v>4866</v>
      </c>
      <c r="U4097" s="3">
        <v>35</v>
      </c>
      <c r="W4097" s="45" t="str">
        <f>HYPERLINK("http://ictvonline.org/taxonomy/p/taxonomy-history?taxnode_id=201906042","ICTVonline=201906042")</f>
        <v>ICTVonline=201906042</v>
      </c>
      <c r="X4097" s="1" t="s">
        <v>12931</v>
      </c>
      <c r="Y4097" s="1" t="s">
        <v>12932</v>
      </c>
      <c r="Z4097" s="1" t="s">
        <v>12933</v>
      </c>
      <c r="AA4097" s="1">
        <v>201900000</v>
      </c>
      <c r="AB4097" s="1">
        <v>35</v>
      </c>
    </row>
    <row r="4098" spans="1:28" x14ac:dyDescent="0.2">
      <c r="A4098" s="1">
        <v>10502</v>
      </c>
      <c r="B4098" s="1" t="s">
        <v>6839</v>
      </c>
      <c r="D4098" s="1" t="s">
        <v>11735</v>
      </c>
      <c r="F4098" s="1" t="s">
        <v>5540</v>
      </c>
      <c r="G4098" s="1" t="s">
        <v>5541</v>
      </c>
      <c r="H4098" s="1" t="s">
        <v>5556</v>
      </c>
      <c r="J4098" s="1" t="s">
        <v>5557</v>
      </c>
      <c r="L4098" s="1" t="s">
        <v>5558</v>
      </c>
      <c r="N4098" s="1" t="s">
        <v>5559</v>
      </c>
      <c r="P4098" s="1" t="s">
        <v>5562</v>
      </c>
      <c r="Q4098" s="3">
        <v>0</v>
      </c>
      <c r="R4098" s="23" t="s">
        <v>12893</v>
      </c>
      <c r="S4098" s="23" t="s">
        <v>6846</v>
      </c>
      <c r="T4098" s="23" t="s">
        <v>4866</v>
      </c>
      <c r="U4098" s="3">
        <v>35</v>
      </c>
      <c r="W4098" s="45" t="str">
        <f>HYPERLINK("http://ictvonline.org/taxonomy/p/taxonomy-history?taxnode_id=201906043","ICTVonline=201906043")</f>
        <v>ICTVonline=201906043</v>
      </c>
      <c r="X4098" s="1" t="s">
        <v>12934</v>
      </c>
      <c r="Y4098" s="1" t="s">
        <v>12935</v>
      </c>
      <c r="Z4098" s="1" t="s">
        <v>12936</v>
      </c>
      <c r="AA4098" s="1">
        <v>201900000</v>
      </c>
      <c r="AB4098" s="1">
        <v>35</v>
      </c>
    </row>
    <row r="4099" spans="1:28" x14ac:dyDescent="0.2">
      <c r="A4099" s="1">
        <v>10504</v>
      </c>
      <c r="B4099" s="1" t="s">
        <v>6839</v>
      </c>
      <c r="D4099" s="1" t="s">
        <v>11735</v>
      </c>
      <c r="F4099" s="1" t="s">
        <v>5540</v>
      </c>
      <c r="G4099" s="1" t="s">
        <v>5541</v>
      </c>
      <c r="H4099" s="1" t="s">
        <v>5556</v>
      </c>
      <c r="J4099" s="1" t="s">
        <v>5557</v>
      </c>
      <c r="L4099" s="1" t="s">
        <v>5558</v>
      </c>
      <c r="N4099" s="1" t="s">
        <v>5559</v>
      </c>
      <c r="P4099" s="1" t="s">
        <v>5563</v>
      </c>
      <c r="Q4099" s="3">
        <v>0</v>
      </c>
      <c r="R4099" s="23" t="s">
        <v>12893</v>
      </c>
      <c r="S4099" s="23" t="s">
        <v>6846</v>
      </c>
      <c r="T4099" s="23" t="s">
        <v>4866</v>
      </c>
      <c r="U4099" s="3">
        <v>35</v>
      </c>
      <c r="W4099" s="45" t="str">
        <f>HYPERLINK("http://ictvonline.org/taxonomy/p/taxonomy-history?taxnode_id=201906044","ICTVonline=201906044")</f>
        <v>ICTVonline=201906044</v>
      </c>
      <c r="X4099" s="1" t="s">
        <v>12937</v>
      </c>
      <c r="Y4099" s="1" t="s">
        <v>12938</v>
      </c>
      <c r="Z4099" s="1" t="s">
        <v>12939</v>
      </c>
      <c r="AA4099" s="1">
        <v>201900000</v>
      </c>
      <c r="AB4099" s="1">
        <v>35</v>
      </c>
    </row>
    <row r="4100" spans="1:28" x14ac:dyDescent="0.2">
      <c r="A4100" s="1">
        <v>10506</v>
      </c>
      <c r="B4100" s="1" t="s">
        <v>6839</v>
      </c>
      <c r="D4100" s="1" t="s">
        <v>11735</v>
      </c>
      <c r="F4100" s="1" t="s">
        <v>5540</v>
      </c>
      <c r="G4100" s="1" t="s">
        <v>5541</v>
      </c>
      <c r="H4100" s="1" t="s">
        <v>5556</v>
      </c>
      <c r="J4100" s="1" t="s">
        <v>5557</v>
      </c>
      <c r="L4100" s="1" t="s">
        <v>5558</v>
      </c>
      <c r="N4100" s="1" t="s">
        <v>5559</v>
      </c>
      <c r="P4100" s="1" t="s">
        <v>5564</v>
      </c>
      <c r="Q4100" s="3">
        <v>0</v>
      </c>
      <c r="R4100" s="23" t="s">
        <v>12893</v>
      </c>
      <c r="S4100" s="23" t="s">
        <v>6846</v>
      </c>
      <c r="T4100" s="23" t="s">
        <v>4866</v>
      </c>
      <c r="U4100" s="3">
        <v>35</v>
      </c>
      <c r="W4100" s="45" t="str">
        <f>HYPERLINK("http://ictvonline.org/taxonomy/p/taxonomy-history?taxnode_id=201906045","ICTVonline=201906045")</f>
        <v>ICTVonline=201906045</v>
      </c>
      <c r="X4100" s="1" t="s">
        <v>12940</v>
      </c>
      <c r="Y4100" s="1" t="s">
        <v>12941</v>
      </c>
      <c r="Z4100" s="1" t="s">
        <v>12942</v>
      </c>
      <c r="AA4100" s="1">
        <v>201900000</v>
      </c>
      <c r="AB4100" s="1">
        <v>35</v>
      </c>
    </row>
    <row r="4101" spans="1:28" x14ac:dyDescent="0.2">
      <c r="A4101" s="1">
        <v>10508</v>
      </c>
      <c r="B4101" s="1" t="s">
        <v>6839</v>
      </c>
      <c r="D4101" s="1" t="s">
        <v>11735</v>
      </c>
      <c r="F4101" s="1" t="s">
        <v>5540</v>
      </c>
      <c r="G4101" s="1" t="s">
        <v>5541</v>
      </c>
      <c r="H4101" s="1" t="s">
        <v>5556</v>
      </c>
      <c r="J4101" s="1" t="s">
        <v>5557</v>
      </c>
      <c r="L4101" s="1" t="s">
        <v>5558</v>
      </c>
      <c r="N4101" s="1" t="s">
        <v>5559</v>
      </c>
      <c r="P4101" s="1" t="s">
        <v>5565</v>
      </c>
      <c r="Q4101" s="3">
        <v>0</v>
      </c>
      <c r="R4101" s="23" t="s">
        <v>12893</v>
      </c>
      <c r="S4101" s="23" t="s">
        <v>6846</v>
      </c>
      <c r="T4101" s="23" t="s">
        <v>4866</v>
      </c>
      <c r="U4101" s="3">
        <v>35</v>
      </c>
      <c r="W4101" s="45" t="str">
        <f>HYPERLINK("http://ictvonline.org/taxonomy/p/taxonomy-history?taxnode_id=201906046","ICTVonline=201906046")</f>
        <v>ICTVonline=201906046</v>
      </c>
      <c r="X4101" s="1" t="s">
        <v>12943</v>
      </c>
      <c r="Y4101" s="1" t="s">
        <v>12944</v>
      </c>
      <c r="Z4101" s="1" t="s">
        <v>12945</v>
      </c>
      <c r="AA4101" s="1">
        <v>201900000</v>
      </c>
      <c r="AB4101" s="1">
        <v>35</v>
      </c>
    </row>
    <row r="4102" spans="1:28" x14ac:dyDescent="0.2">
      <c r="A4102" s="1">
        <v>10510</v>
      </c>
      <c r="B4102" s="1" t="s">
        <v>6839</v>
      </c>
      <c r="D4102" s="1" t="s">
        <v>11735</v>
      </c>
      <c r="F4102" s="1" t="s">
        <v>5540</v>
      </c>
      <c r="G4102" s="1" t="s">
        <v>5541</v>
      </c>
      <c r="H4102" s="1" t="s">
        <v>5556</v>
      </c>
      <c r="J4102" s="1" t="s">
        <v>5557</v>
      </c>
      <c r="L4102" s="1" t="s">
        <v>5558</v>
      </c>
      <c r="N4102" s="1" t="s">
        <v>5559</v>
      </c>
      <c r="P4102" s="1" t="s">
        <v>5566</v>
      </c>
      <c r="Q4102" s="3">
        <v>0</v>
      </c>
      <c r="R4102" s="23" t="s">
        <v>12893</v>
      </c>
      <c r="S4102" s="23" t="s">
        <v>6846</v>
      </c>
      <c r="T4102" s="23" t="s">
        <v>4866</v>
      </c>
      <c r="U4102" s="3">
        <v>35</v>
      </c>
      <c r="W4102" s="45" t="str">
        <f>HYPERLINK("http://ictvonline.org/taxonomy/p/taxonomy-history?taxnode_id=201906047","ICTVonline=201906047")</f>
        <v>ICTVonline=201906047</v>
      </c>
      <c r="X4102" s="1" t="s">
        <v>12946</v>
      </c>
      <c r="Y4102" s="1" t="s">
        <v>12947</v>
      </c>
      <c r="Z4102" s="1" t="s">
        <v>12948</v>
      </c>
      <c r="AA4102" s="1">
        <v>201900000</v>
      </c>
      <c r="AB4102" s="1">
        <v>35</v>
      </c>
    </row>
    <row r="4103" spans="1:28" x14ac:dyDescent="0.2">
      <c r="A4103" s="1">
        <v>10512</v>
      </c>
      <c r="B4103" s="1" t="s">
        <v>6839</v>
      </c>
      <c r="D4103" s="1" t="s">
        <v>11735</v>
      </c>
      <c r="F4103" s="1" t="s">
        <v>5540</v>
      </c>
      <c r="G4103" s="1" t="s">
        <v>5541</v>
      </c>
      <c r="H4103" s="1" t="s">
        <v>5556</v>
      </c>
      <c r="J4103" s="1" t="s">
        <v>5557</v>
      </c>
      <c r="L4103" s="1" t="s">
        <v>5558</v>
      </c>
      <c r="N4103" s="1" t="s">
        <v>5559</v>
      </c>
      <c r="P4103" s="1" t="s">
        <v>5567</v>
      </c>
      <c r="Q4103" s="3">
        <v>0</v>
      </c>
      <c r="R4103" s="23" t="s">
        <v>12893</v>
      </c>
      <c r="S4103" s="23" t="s">
        <v>6846</v>
      </c>
      <c r="T4103" s="23" t="s">
        <v>4866</v>
      </c>
      <c r="U4103" s="3">
        <v>35</v>
      </c>
      <c r="W4103" s="45" t="str">
        <f>HYPERLINK("http://ictvonline.org/taxonomy/p/taxonomy-history?taxnode_id=201906048","ICTVonline=201906048")</f>
        <v>ICTVonline=201906048</v>
      </c>
      <c r="X4103" s="1" t="s">
        <v>12949</v>
      </c>
      <c r="Y4103" s="1" t="s">
        <v>12950</v>
      </c>
      <c r="Z4103" s="1" t="s">
        <v>12951</v>
      </c>
      <c r="AA4103" s="1">
        <v>201900000</v>
      </c>
      <c r="AB4103" s="1">
        <v>35</v>
      </c>
    </row>
    <row r="4104" spans="1:28" x14ac:dyDescent="0.2">
      <c r="A4104" s="1">
        <v>10514</v>
      </c>
      <c r="B4104" s="1" t="s">
        <v>6839</v>
      </c>
      <c r="D4104" s="1" t="s">
        <v>11735</v>
      </c>
      <c r="F4104" s="1" t="s">
        <v>5540</v>
      </c>
      <c r="G4104" s="1" t="s">
        <v>5541</v>
      </c>
      <c r="H4104" s="1" t="s">
        <v>5556</v>
      </c>
      <c r="J4104" s="1" t="s">
        <v>5557</v>
      </c>
      <c r="L4104" s="1" t="s">
        <v>5558</v>
      </c>
      <c r="N4104" s="1" t="s">
        <v>5559</v>
      </c>
      <c r="P4104" s="1" t="s">
        <v>5568</v>
      </c>
      <c r="Q4104" s="3">
        <v>0</v>
      </c>
      <c r="R4104" s="23" t="s">
        <v>12893</v>
      </c>
      <c r="S4104" s="23" t="s">
        <v>6846</v>
      </c>
      <c r="T4104" s="23" t="s">
        <v>4866</v>
      </c>
      <c r="U4104" s="3">
        <v>35</v>
      </c>
      <c r="W4104" s="45" t="str">
        <f>HYPERLINK("http://ictvonline.org/taxonomy/p/taxonomy-history?taxnode_id=201906049","ICTVonline=201906049")</f>
        <v>ICTVonline=201906049</v>
      </c>
      <c r="X4104" s="1" t="s">
        <v>12952</v>
      </c>
      <c r="Y4104" s="1" t="s">
        <v>12953</v>
      </c>
      <c r="Z4104" s="1" t="s">
        <v>12954</v>
      </c>
      <c r="AA4104" s="1">
        <v>201900000</v>
      </c>
      <c r="AB4104" s="1">
        <v>35</v>
      </c>
    </row>
    <row r="4105" spans="1:28" x14ac:dyDescent="0.2">
      <c r="A4105" s="1">
        <v>10516</v>
      </c>
      <c r="B4105" s="1" t="s">
        <v>6839</v>
      </c>
      <c r="D4105" s="1" t="s">
        <v>11735</v>
      </c>
      <c r="F4105" s="1" t="s">
        <v>5540</v>
      </c>
      <c r="G4105" s="1" t="s">
        <v>5541</v>
      </c>
      <c r="H4105" s="1" t="s">
        <v>5556</v>
      </c>
      <c r="J4105" s="1" t="s">
        <v>5557</v>
      </c>
      <c r="L4105" s="1" t="s">
        <v>5558</v>
      </c>
      <c r="N4105" s="1" t="s">
        <v>5559</v>
      </c>
      <c r="P4105" s="1" t="s">
        <v>5569</v>
      </c>
      <c r="Q4105" s="3">
        <v>0</v>
      </c>
      <c r="R4105" s="23" t="s">
        <v>12893</v>
      </c>
      <c r="S4105" s="23" t="s">
        <v>6846</v>
      </c>
      <c r="T4105" s="23" t="s">
        <v>4866</v>
      </c>
      <c r="U4105" s="3">
        <v>35</v>
      </c>
      <c r="W4105" s="45" t="str">
        <f>HYPERLINK("http://ictvonline.org/taxonomy/p/taxonomy-history?taxnode_id=201906050","ICTVonline=201906050")</f>
        <v>ICTVonline=201906050</v>
      </c>
      <c r="X4105" s="1" t="s">
        <v>12955</v>
      </c>
      <c r="Y4105" s="1" t="s">
        <v>12956</v>
      </c>
      <c r="Z4105" s="1" t="s">
        <v>12957</v>
      </c>
      <c r="AA4105" s="1">
        <v>201900000</v>
      </c>
      <c r="AB4105" s="1">
        <v>35</v>
      </c>
    </row>
    <row r="4106" spans="1:28" x14ac:dyDescent="0.2">
      <c r="A4106" s="1">
        <v>10518</v>
      </c>
      <c r="B4106" s="1" t="s">
        <v>6839</v>
      </c>
      <c r="D4106" s="1" t="s">
        <v>11735</v>
      </c>
      <c r="F4106" s="1" t="s">
        <v>5540</v>
      </c>
      <c r="G4106" s="1" t="s">
        <v>5541</v>
      </c>
      <c r="H4106" s="1" t="s">
        <v>5556</v>
      </c>
      <c r="J4106" s="1" t="s">
        <v>5557</v>
      </c>
      <c r="L4106" s="1" t="s">
        <v>5558</v>
      </c>
      <c r="N4106" s="1" t="s">
        <v>5559</v>
      </c>
      <c r="P4106" s="1" t="s">
        <v>5570</v>
      </c>
      <c r="Q4106" s="3">
        <v>0</v>
      </c>
      <c r="R4106" s="23" t="s">
        <v>12893</v>
      </c>
      <c r="S4106" s="23" t="s">
        <v>6846</v>
      </c>
      <c r="T4106" s="23" t="s">
        <v>4866</v>
      </c>
      <c r="U4106" s="3">
        <v>35</v>
      </c>
      <c r="W4106" s="45" t="str">
        <f>HYPERLINK("http://ictvonline.org/taxonomy/p/taxonomy-history?taxnode_id=201906051","ICTVonline=201906051")</f>
        <v>ICTVonline=201906051</v>
      </c>
      <c r="X4106" s="1" t="s">
        <v>12958</v>
      </c>
      <c r="Y4106" s="1" t="s">
        <v>12959</v>
      </c>
      <c r="Z4106" s="1" t="s">
        <v>12960</v>
      </c>
      <c r="AA4106" s="1">
        <v>201900000</v>
      </c>
      <c r="AB4106" s="1">
        <v>35</v>
      </c>
    </row>
    <row r="4107" spans="1:28" x14ac:dyDescent="0.2">
      <c r="A4107" s="1">
        <v>10520</v>
      </c>
      <c r="B4107" s="1" t="s">
        <v>6839</v>
      </c>
      <c r="D4107" s="1" t="s">
        <v>11735</v>
      </c>
      <c r="F4107" s="1" t="s">
        <v>5540</v>
      </c>
      <c r="G4107" s="1" t="s">
        <v>5541</v>
      </c>
      <c r="H4107" s="1" t="s">
        <v>5556</v>
      </c>
      <c r="J4107" s="1" t="s">
        <v>5557</v>
      </c>
      <c r="L4107" s="1" t="s">
        <v>5558</v>
      </c>
      <c r="N4107" s="1" t="s">
        <v>5559</v>
      </c>
      <c r="P4107" s="1" t="s">
        <v>5571</v>
      </c>
      <c r="Q4107" s="3">
        <v>0</v>
      </c>
      <c r="R4107" s="23" t="s">
        <v>12893</v>
      </c>
      <c r="S4107" s="23" t="s">
        <v>6846</v>
      </c>
      <c r="T4107" s="23" t="s">
        <v>4866</v>
      </c>
      <c r="U4107" s="3">
        <v>35</v>
      </c>
      <c r="W4107" s="45" t="str">
        <f>HYPERLINK("http://ictvonline.org/taxonomy/p/taxonomy-history?taxnode_id=201906053","ICTVonline=201906053")</f>
        <v>ICTVonline=201906053</v>
      </c>
      <c r="X4107" s="1" t="s">
        <v>12961</v>
      </c>
      <c r="Y4107" s="1" t="s">
        <v>12962</v>
      </c>
      <c r="Z4107" s="1" t="s">
        <v>12963</v>
      </c>
      <c r="AA4107" s="1">
        <v>201900000</v>
      </c>
      <c r="AB4107" s="1">
        <v>35</v>
      </c>
    </row>
    <row r="4108" spans="1:28" x14ac:dyDescent="0.2">
      <c r="A4108" s="1">
        <v>10522</v>
      </c>
      <c r="B4108" s="1" t="s">
        <v>6839</v>
      </c>
      <c r="D4108" s="1" t="s">
        <v>11735</v>
      </c>
      <c r="F4108" s="1" t="s">
        <v>5540</v>
      </c>
      <c r="G4108" s="1" t="s">
        <v>5541</v>
      </c>
      <c r="H4108" s="1" t="s">
        <v>5556</v>
      </c>
      <c r="J4108" s="1" t="s">
        <v>5557</v>
      </c>
      <c r="L4108" s="1" t="s">
        <v>5558</v>
      </c>
      <c r="N4108" s="1" t="s">
        <v>5559</v>
      </c>
      <c r="P4108" s="1" t="s">
        <v>5572</v>
      </c>
      <c r="Q4108" s="3">
        <v>0</v>
      </c>
      <c r="R4108" s="23" t="s">
        <v>12893</v>
      </c>
      <c r="S4108" s="23" t="s">
        <v>6846</v>
      </c>
      <c r="T4108" s="23" t="s">
        <v>4866</v>
      </c>
      <c r="U4108" s="3">
        <v>35</v>
      </c>
      <c r="W4108" s="45" t="str">
        <f>HYPERLINK("http://ictvonline.org/taxonomy/p/taxonomy-history?taxnode_id=201906054","ICTVonline=201906054")</f>
        <v>ICTVonline=201906054</v>
      </c>
      <c r="X4108" s="1" t="s">
        <v>12964</v>
      </c>
      <c r="Y4108" s="1" t="s">
        <v>12965</v>
      </c>
      <c r="Z4108" s="1" t="s">
        <v>12966</v>
      </c>
      <c r="AA4108" s="1">
        <v>201900000</v>
      </c>
      <c r="AB4108" s="1">
        <v>35</v>
      </c>
    </row>
    <row r="4109" spans="1:28" x14ac:dyDescent="0.2">
      <c r="A4109" s="1">
        <v>10524</v>
      </c>
      <c r="B4109" s="1" t="s">
        <v>6839</v>
      </c>
      <c r="D4109" s="1" t="s">
        <v>11735</v>
      </c>
      <c r="F4109" s="1" t="s">
        <v>5540</v>
      </c>
      <c r="G4109" s="1" t="s">
        <v>5541</v>
      </c>
      <c r="H4109" s="1" t="s">
        <v>5556</v>
      </c>
      <c r="J4109" s="1" t="s">
        <v>5557</v>
      </c>
      <c r="L4109" s="1" t="s">
        <v>5558</v>
      </c>
      <c r="N4109" s="1" t="s">
        <v>5559</v>
      </c>
      <c r="P4109" s="1" t="s">
        <v>5573</v>
      </c>
      <c r="Q4109" s="3">
        <v>0</v>
      </c>
      <c r="R4109" s="23" t="s">
        <v>12893</v>
      </c>
      <c r="S4109" s="23" t="s">
        <v>6846</v>
      </c>
      <c r="T4109" s="23" t="s">
        <v>4866</v>
      </c>
      <c r="U4109" s="3">
        <v>35</v>
      </c>
      <c r="W4109" s="45" t="str">
        <f>HYPERLINK("http://ictvonline.org/taxonomy/p/taxonomy-history?taxnode_id=201906055","ICTVonline=201906055")</f>
        <v>ICTVonline=201906055</v>
      </c>
      <c r="X4109" s="1" t="s">
        <v>12967</v>
      </c>
      <c r="Y4109" s="1" t="s">
        <v>12968</v>
      </c>
      <c r="Z4109" s="1" t="s">
        <v>12969</v>
      </c>
      <c r="AA4109" s="1">
        <v>201900000</v>
      </c>
      <c r="AB4109" s="1">
        <v>35</v>
      </c>
    </row>
    <row r="4110" spans="1:28" x14ac:dyDescent="0.2">
      <c r="A4110" s="1">
        <v>10526</v>
      </c>
      <c r="B4110" s="1" t="s">
        <v>6839</v>
      </c>
      <c r="D4110" s="1" t="s">
        <v>11735</v>
      </c>
      <c r="F4110" s="1" t="s">
        <v>5540</v>
      </c>
      <c r="G4110" s="1" t="s">
        <v>5541</v>
      </c>
      <c r="H4110" s="1" t="s">
        <v>5556</v>
      </c>
      <c r="J4110" s="1" t="s">
        <v>5557</v>
      </c>
      <c r="L4110" s="1" t="s">
        <v>5558</v>
      </c>
      <c r="N4110" s="1" t="s">
        <v>5559</v>
      </c>
      <c r="P4110" s="1" t="s">
        <v>5574</v>
      </c>
      <c r="Q4110" s="3">
        <v>0</v>
      </c>
      <c r="R4110" s="23" t="s">
        <v>12893</v>
      </c>
      <c r="S4110" s="23" t="s">
        <v>6846</v>
      </c>
      <c r="T4110" s="23" t="s">
        <v>4866</v>
      </c>
      <c r="U4110" s="3">
        <v>35</v>
      </c>
      <c r="W4110" s="45" t="str">
        <f>HYPERLINK("http://ictvonline.org/taxonomy/p/taxonomy-history?taxnode_id=201906056","ICTVonline=201906056")</f>
        <v>ICTVonline=201906056</v>
      </c>
      <c r="X4110" s="1" t="s">
        <v>12970</v>
      </c>
      <c r="Y4110" s="1" t="s">
        <v>12971</v>
      </c>
      <c r="Z4110" s="1" t="s">
        <v>12972</v>
      </c>
      <c r="AA4110" s="1">
        <v>201900000</v>
      </c>
      <c r="AB4110" s="1">
        <v>35</v>
      </c>
    </row>
    <row r="4111" spans="1:28" x14ac:dyDescent="0.2">
      <c r="A4111" s="1">
        <v>10528</v>
      </c>
      <c r="B4111" s="1" t="s">
        <v>6839</v>
      </c>
      <c r="D4111" s="1" t="s">
        <v>11735</v>
      </c>
      <c r="F4111" s="1" t="s">
        <v>5540</v>
      </c>
      <c r="G4111" s="1" t="s">
        <v>5541</v>
      </c>
      <c r="H4111" s="1" t="s">
        <v>5556</v>
      </c>
      <c r="J4111" s="1" t="s">
        <v>5557</v>
      </c>
      <c r="L4111" s="1" t="s">
        <v>5558</v>
      </c>
      <c r="N4111" s="1" t="s">
        <v>5559</v>
      </c>
      <c r="P4111" s="1" t="s">
        <v>5575</v>
      </c>
      <c r="Q4111" s="3">
        <v>0</v>
      </c>
      <c r="R4111" s="23" t="s">
        <v>12893</v>
      </c>
      <c r="S4111" s="23" t="s">
        <v>6846</v>
      </c>
      <c r="T4111" s="23" t="s">
        <v>4866</v>
      </c>
      <c r="U4111" s="3">
        <v>35</v>
      </c>
      <c r="W4111" s="45" t="str">
        <f>HYPERLINK("http://ictvonline.org/taxonomy/p/taxonomy-history?taxnode_id=201906057","ICTVonline=201906057")</f>
        <v>ICTVonline=201906057</v>
      </c>
      <c r="X4111" s="1" t="s">
        <v>12973</v>
      </c>
      <c r="Y4111" s="1" t="s">
        <v>12974</v>
      </c>
      <c r="Z4111" s="1" t="s">
        <v>12975</v>
      </c>
      <c r="AA4111" s="1">
        <v>201900000</v>
      </c>
      <c r="AB4111" s="1">
        <v>35</v>
      </c>
    </row>
    <row r="4112" spans="1:28" x14ac:dyDescent="0.2">
      <c r="A4112" s="1">
        <v>10530</v>
      </c>
      <c r="B4112" s="1" t="s">
        <v>6839</v>
      </c>
      <c r="D4112" s="1" t="s">
        <v>11735</v>
      </c>
      <c r="F4112" s="1" t="s">
        <v>5540</v>
      </c>
      <c r="G4112" s="1" t="s">
        <v>5541</v>
      </c>
      <c r="H4112" s="1" t="s">
        <v>5556</v>
      </c>
      <c r="J4112" s="1" t="s">
        <v>5557</v>
      </c>
      <c r="L4112" s="1" t="s">
        <v>5558</v>
      </c>
      <c r="N4112" s="1" t="s">
        <v>5559</v>
      </c>
      <c r="P4112" s="1" t="s">
        <v>5576</v>
      </c>
      <c r="Q4112" s="3">
        <v>0</v>
      </c>
      <c r="R4112" s="23" t="s">
        <v>12893</v>
      </c>
      <c r="S4112" s="23" t="s">
        <v>6846</v>
      </c>
      <c r="T4112" s="23" t="s">
        <v>4866</v>
      </c>
      <c r="U4112" s="3">
        <v>35</v>
      </c>
      <c r="W4112" s="45" t="str">
        <f>HYPERLINK("http://ictvonline.org/taxonomy/p/taxonomy-history?taxnode_id=201906058","ICTVonline=201906058")</f>
        <v>ICTVonline=201906058</v>
      </c>
      <c r="X4112" s="1" t="s">
        <v>12976</v>
      </c>
      <c r="Y4112" s="1" t="s">
        <v>12977</v>
      </c>
      <c r="Z4112" s="1" t="s">
        <v>12978</v>
      </c>
      <c r="AA4112" s="1">
        <v>201900000</v>
      </c>
      <c r="AB4112" s="1">
        <v>35</v>
      </c>
    </row>
    <row r="4113" spans="1:28" x14ac:dyDescent="0.2">
      <c r="A4113" s="1">
        <v>10532</v>
      </c>
      <c r="B4113" s="1" t="s">
        <v>6839</v>
      </c>
      <c r="D4113" s="1" t="s">
        <v>11735</v>
      </c>
      <c r="F4113" s="1" t="s">
        <v>5540</v>
      </c>
      <c r="G4113" s="1" t="s">
        <v>5541</v>
      </c>
      <c r="H4113" s="1" t="s">
        <v>5556</v>
      </c>
      <c r="J4113" s="1" t="s">
        <v>5557</v>
      </c>
      <c r="L4113" s="1" t="s">
        <v>5558</v>
      </c>
      <c r="N4113" s="1" t="s">
        <v>5559</v>
      </c>
      <c r="P4113" s="1" t="s">
        <v>5577</v>
      </c>
      <c r="Q4113" s="3">
        <v>0</v>
      </c>
      <c r="R4113" s="23" t="s">
        <v>12893</v>
      </c>
      <c r="S4113" s="23" t="s">
        <v>6846</v>
      </c>
      <c r="T4113" s="23" t="s">
        <v>4866</v>
      </c>
      <c r="U4113" s="3">
        <v>35</v>
      </c>
      <c r="W4113" s="45" t="str">
        <f>HYPERLINK("http://ictvonline.org/taxonomy/p/taxonomy-history?taxnode_id=201906059","ICTVonline=201906059")</f>
        <v>ICTVonline=201906059</v>
      </c>
      <c r="X4113" s="1" t="s">
        <v>12979</v>
      </c>
      <c r="Y4113" s="1" t="s">
        <v>12980</v>
      </c>
      <c r="Z4113" s="1" t="s">
        <v>12981</v>
      </c>
      <c r="AA4113" s="1">
        <v>201900000</v>
      </c>
      <c r="AB4113" s="1">
        <v>35</v>
      </c>
    </row>
    <row r="4114" spans="1:28" x14ac:dyDescent="0.2">
      <c r="A4114" s="1">
        <v>10534</v>
      </c>
      <c r="B4114" s="1" t="s">
        <v>6839</v>
      </c>
      <c r="D4114" s="1" t="s">
        <v>11735</v>
      </c>
      <c r="F4114" s="1" t="s">
        <v>5540</v>
      </c>
      <c r="G4114" s="1" t="s">
        <v>5541</v>
      </c>
      <c r="H4114" s="1" t="s">
        <v>5556</v>
      </c>
      <c r="J4114" s="1" t="s">
        <v>5557</v>
      </c>
      <c r="L4114" s="1" t="s">
        <v>5558</v>
      </c>
      <c r="N4114" s="1" t="s">
        <v>5559</v>
      </c>
      <c r="P4114" s="1" t="s">
        <v>5578</v>
      </c>
      <c r="Q4114" s="3">
        <v>0</v>
      </c>
      <c r="R4114" s="23" t="s">
        <v>12893</v>
      </c>
      <c r="S4114" s="23" t="s">
        <v>6846</v>
      </c>
      <c r="T4114" s="23" t="s">
        <v>4866</v>
      </c>
      <c r="U4114" s="3">
        <v>35</v>
      </c>
      <c r="W4114" s="45" t="str">
        <f>HYPERLINK("http://ictvonline.org/taxonomy/p/taxonomy-history?taxnode_id=201906060","ICTVonline=201906060")</f>
        <v>ICTVonline=201906060</v>
      </c>
      <c r="X4114" s="1" t="s">
        <v>12982</v>
      </c>
      <c r="Y4114" s="1" t="s">
        <v>12983</v>
      </c>
      <c r="Z4114" s="1" t="s">
        <v>12984</v>
      </c>
      <c r="AA4114" s="1">
        <v>201900000</v>
      </c>
      <c r="AB4114" s="1">
        <v>35</v>
      </c>
    </row>
    <row r="4115" spans="1:28" x14ac:dyDescent="0.2">
      <c r="A4115" s="1">
        <v>10536</v>
      </c>
      <c r="B4115" s="1" t="s">
        <v>6839</v>
      </c>
      <c r="D4115" s="1" t="s">
        <v>11735</v>
      </c>
      <c r="F4115" s="1" t="s">
        <v>5540</v>
      </c>
      <c r="G4115" s="1" t="s">
        <v>5541</v>
      </c>
      <c r="H4115" s="1" t="s">
        <v>5556</v>
      </c>
      <c r="J4115" s="1" t="s">
        <v>5557</v>
      </c>
      <c r="L4115" s="1" t="s">
        <v>5558</v>
      </c>
      <c r="N4115" s="1" t="s">
        <v>5559</v>
      </c>
      <c r="P4115" s="1" t="s">
        <v>5579</v>
      </c>
      <c r="Q4115" s="3">
        <v>0</v>
      </c>
      <c r="R4115" s="23" t="s">
        <v>12893</v>
      </c>
      <c r="S4115" s="23" t="s">
        <v>6846</v>
      </c>
      <c r="T4115" s="23" t="s">
        <v>4866</v>
      </c>
      <c r="U4115" s="3">
        <v>35</v>
      </c>
      <c r="W4115" s="45" t="str">
        <f>HYPERLINK("http://ictvonline.org/taxonomy/p/taxonomy-history?taxnode_id=201906061","ICTVonline=201906061")</f>
        <v>ICTVonline=201906061</v>
      </c>
      <c r="X4115" s="1" t="s">
        <v>12985</v>
      </c>
      <c r="Y4115" s="1" t="s">
        <v>12986</v>
      </c>
      <c r="Z4115" s="1" t="s">
        <v>12987</v>
      </c>
      <c r="AA4115" s="1">
        <v>201900000</v>
      </c>
      <c r="AB4115" s="1">
        <v>35</v>
      </c>
    </row>
    <row r="4116" spans="1:28" x14ac:dyDescent="0.2">
      <c r="A4116" s="1">
        <v>10538</v>
      </c>
      <c r="B4116" s="1" t="s">
        <v>6839</v>
      </c>
      <c r="D4116" s="1" t="s">
        <v>11735</v>
      </c>
      <c r="F4116" s="1" t="s">
        <v>5540</v>
      </c>
      <c r="G4116" s="1" t="s">
        <v>5541</v>
      </c>
      <c r="H4116" s="1" t="s">
        <v>5556</v>
      </c>
      <c r="J4116" s="1" t="s">
        <v>5557</v>
      </c>
      <c r="L4116" s="1" t="s">
        <v>5558</v>
      </c>
      <c r="N4116" s="1" t="s">
        <v>5559</v>
      </c>
      <c r="P4116" s="1" t="s">
        <v>5580</v>
      </c>
      <c r="Q4116" s="3">
        <v>0</v>
      </c>
      <c r="R4116" s="23" t="s">
        <v>12893</v>
      </c>
      <c r="S4116" s="23" t="s">
        <v>6846</v>
      </c>
      <c r="T4116" s="23" t="s">
        <v>4866</v>
      </c>
      <c r="U4116" s="3">
        <v>35</v>
      </c>
      <c r="W4116" s="45" t="str">
        <f>HYPERLINK("http://ictvonline.org/taxonomy/p/taxonomy-history?taxnode_id=201906062","ICTVonline=201906062")</f>
        <v>ICTVonline=201906062</v>
      </c>
      <c r="X4116" s="1" t="s">
        <v>12988</v>
      </c>
      <c r="Y4116" s="1" t="s">
        <v>12989</v>
      </c>
      <c r="Z4116" s="1" t="s">
        <v>12990</v>
      </c>
      <c r="AA4116" s="1">
        <v>201900000</v>
      </c>
      <c r="AB4116" s="1">
        <v>35</v>
      </c>
    </row>
    <row r="4117" spans="1:28" x14ac:dyDescent="0.2">
      <c r="A4117" s="1">
        <v>10540</v>
      </c>
      <c r="B4117" s="1" t="s">
        <v>6839</v>
      </c>
      <c r="D4117" s="1" t="s">
        <v>11735</v>
      </c>
      <c r="F4117" s="1" t="s">
        <v>5540</v>
      </c>
      <c r="G4117" s="1" t="s">
        <v>5541</v>
      </c>
      <c r="H4117" s="1" t="s">
        <v>5556</v>
      </c>
      <c r="J4117" s="1" t="s">
        <v>5557</v>
      </c>
      <c r="L4117" s="1" t="s">
        <v>5558</v>
      </c>
      <c r="N4117" s="1" t="s">
        <v>5559</v>
      </c>
      <c r="P4117" s="1" t="s">
        <v>5581</v>
      </c>
      <c r="Q4117" s="3">
        <v>0</v>
      </c>
      <c r="R4117" s="23" t="s">
        <v>12893</v>
      </c>
      <c r="S4117" s="23" t="s">
        <v>6846</v>
      </c>
      <c r="T4117" s="23" t="s">
        <v>4866</v>
      </c>
      <c r="U4117" s="3">
        <v>35</v>
      </c>
      <c r="W4117" s="45" t="str">
        <f>HYPERLINK("http://ictvonline.org/taxonomy/p/taxonomy-history?taxnode_id=201906063","ICTVonline=201906063")</f>
        <v>ICTVonline=201906063</v>
      </c>
      <c r="X4117" s="1" t="s">
        <v>12991</v>
      </c>
      <c r="Y4117" s="1" t="s">
        <v>12992</v>
      </c>
      <c r="Z4117" s="1" t="s">
        <v>12993</v>
      </c>
      <c r="AA4117" s="1">
        <v>201900000</v>
      </c>
      <c r="AB4117" s="1">
        <v>35</v>
      </c>
    </row>
    <row r="4118" spans="1:28" x14ac:dyDescent="0.2">
      <c r="A4118" s="1">
        <v>10542</v>
      </c>
      <c r="B4118" s="1" t="s">
        <v>6839</v>
      </c>
      <c r="D4118" s="1" t="s">
        <v>11735</v>
      </c>
      <c r="F4118" s="1" t="s">
        <v>5540</v>
      </c>
      <c r="G4118" s="1" t="s">
        <v>5541</v>
      </c>
      <c r="H4118" s="1" t="s">
        <v>5556</v>
      </c>
      <c r="J4118" s="1" t="s">
        <v>5557</v>
      </c>
      <c r="L4118" s="1" t="s">
        <v>5558</v>
      </c>
      <c r="N4118" s="1" t="s">
        <v>5559</v>
      </c>
      <c r="P4118" s="1" t="s">
        <v>5582</v>
      </c>
      <c r="Q4118" s="3">
        <v>0</v>
      </c>
      <c r="R4118" s="23" t="s">
        <v>12893</v>
      </c>
      <c r="S4118" s="23" t="s">
        <v>6846</v>
      </c>
      <c r="T4118" s="23" t="s">
        <v>4866</v>
      </c>
      <c r="U4118" s="3">
        <v>35</v>
      </c>
      <c r="W4118" s="45" t="str">
        <f>HYPERLINK("http://ictvonline.org/taxonomy/p/taxonomy-history?taxnode_id=201906064","ICTVonline=201906064")</f>
        <v>ICTVonline=201906064</v>
      </c>
      <c r="X4118" s="1" t="s">
        <v>12994</v>
      </c>
      <c r="Y4118" s="1" t="s">
        <v>12995</v>
      </c>
      <c r="Z4118" s="1" t="s">
        <v>12996</v>
      </c>
      <c r="AA4118" s="1">
        <v>201900000</v>
      </c>
      <c r="AB4118" s="1">
        <v>35</v>
      </c>
    </row>
    <row r="4119" spans="1:28" x14ac:dyDescent="0.2">
      <c r="A4119" s="1">
        <v>10544</v>
      </c>
      <c r="B4119" s="1" t="s">
        <v>6839</v>
      </c>
      <c r="D4119" s="1" t="s">
        <v>11735</v>
      </c>
      <c r="F4119" s="1" t="s">
        <v>5540</v>
      </c>
      <c r="G4119" s="1" t="s">
        <v>5541</v>
      </c>
      <c r="H4119" s="1" t="s">
        <v>5556</v>
      </c>
      <c r="J4119" s="1" t="s">
        <v>5557</v>
      </c>
      <c r="L4119" s="1" t="s">
        <v>5558</v>
      </c>
      <c r="N4119" s="1" t="s">
        <v>5559</v>
      </c>
      <c r="P4119" s="1" t="s">
        <v>5583</v>
      </c>
      <c r="Q4119" s="3">
        <v>0</v>
      </c>
      <c r="R4119" s="23" t="s">
        <v>12893</v>
      </c>
      <c r="S4119" s="23" t="s">
        <v>6846</v>
      </c>
      <c r="T4119" s="23" t="s">
        <v>4866</v>
      </c>
      <c r="U4119" s="3">
        <v>35</v>
      </c>
      <c r="W4119" s="45" t="str">
        <f>HYPERLINK("http://ictvonline.org/taxonomy/p/taxonomy-history?taxnode_id=201906065","ICTVonline=201906065")</f>
        <v>ICTVonline=201906065</v>
      </c>
      <c r="X4119" s="1" t="s">
        <v>12997</v>
      </c>
      <c r="Y4119" s="1" t="s">
        <v>12998</v>
      </c>
      <c r="Z4119" s="1" t="s">
        <v>12999</v>
      </c>
      <c r="AA4119" s="1">
        <v>201900000</v>
      </c>
      <c r="AB4119" s="1">
        <v>35</v>
      </c>
    </row>
    <row r="4120" spans="1:28" x14ac:dyDescent="0.2">
      <c r="A4120" s="1">
        <v>10546</v>
      </c>
      <c r="B4120" s="1" t="s">
        <v>6839</v>
      </c>
      <c r="D4120" s="1" t="s">
        <v>11735</v>
      </c>
      <c r="F4120" s="1" t="s">
        <v>5540</v>
      </c>
      <c r="G4120" s="1" t="s">
        <v>5541</v>
      </c>
      <c r="H4120" s="1" t="s">
        <v>5556</v>
      </c>
      <c r="J4120" s="1" t="s">
        <v>5557</v>
      </c>
      <c r="L4120" s="1" t="s">
        <v>5558</v>
      </c>
      <c r="N4120" s="1" t="s">
        <v>5559</v>
      </c>
      <c r="P4120" s="1" t="s">
        <v>5584</v>
      </c>
      <c r="Q4120" s="3">
        <v>0</v>
      </c>
      <c r="R4120" s="23" t="s">
        <v>12893</v>
      </c>
      <c r="S4120" s="23" t="s">
        <v>6846</v>
      </c>
      <c r="T4120" s="23" t="s">
        <v>4866</v>
      </c>
      <c r="U4120" s="3">
        <v>35</v>
      </c>
      <c r="W4120" s="45" t="str">
        <f>HYPERLINK("http://ictvonline.org/taxonomy/p/taxonomy-history?taxnode_id=201906066","ICTVonline=201906066")</f>
        <v>ICTVonline=201906066</v>
      </c>
      <c r="X4120" s="1" t="s">
        <v>13000</v>
      </c>
      <c r="Y4120" s="1" t="s">
        <v>13001</v>
      </c>
      <c r="Z4120" s="1" t="s">
        <v>13002</v>
      </c>
      <c r="AA4120" s="1">
        <v>201900000</v>
      </c>
      <c r="AB4120" s="1">
        <v>35</v>
      </c>
    </row>
    <row r="4121" spans="1:28" x14ac:dyDescent="0.2">
      <c r="A4121" s="1">
        <v>10548</v>
      </c>
      <c r="B4121" s="1" t="s">
        <v>6839</v>
      </c>
      <c r="D4121" s="1" t="s">
        <v>11735</v>
      </c>
      <c r="F4121" s="1" t="s">
        <v>5540</v>
      </c>
      <c r="G4121" s="1" t="s">
        <v>5541</v>
      </c>
      <c r="H4121" s="1" t="s">
        <v>5556</v>
      </c>
      <c r="J4121" s="1" t="s">
        <v>5557</v>
      </c>
      <c r="L4121" s="1" t="s">
        <v>5558</v>
      </c>
      <c r="N4121" s="1" t="s">
        <v>5559</v>
      </c>
      <c r="P4121" s="1" t="s">
        <v>5585</v>
      </c>
      <c r="Q4121" s="3">
        <v>0</v>
      </c>
      <c r="R4121" s="23" t="s">
        <v>12893</v>
      </c>
      <c r="S4121" s="23" t="s">
        <v>6846</v>
      </c>
      <c r="T4121" s="23" t="s">
        <v>4866</v>
      </c>
      <c r="U4121" s="3">
        <v>35</v>
      </c>
      <c r="W4121" s="45" t="str">
        <f>HYPERLINK("http://ictvonline.org/taxonomy/p/taxonomy-history?taxnode_id=201906067","ICTVonline=201906067")</f>
        <v>ICTVonline=201906067</v>
      </c>
      <c r="X4121" s="1" t="s">
        <v>13003</v>
      </c>
      <c r="Y4121" s="1" t="s">
        <v>13004</v>
      </c>
      <c r="Z4121" s="1" t="s">
        <v>13005</v>
      </c>
      <c r="AA4121" s="1">
        <v>201900000</v>
      </c>
      <c r="AB4121" s="1">
        <v>35</v>
      </c>
    </row>
    <row r="4122" spans="1:28" x14ac:dyDescent="0.2">
      <c r="A4122" s="1">
        <v>10550</v>
      </c>
      <c r="B4122" s="1" t="s">
        <v>6839</v>
      </c>
      <c r="D4122" s="1" t="s">
        <v>11735</v>
      </c>
      <c r="F4122" s="1" t="s">
        <v>5540</v>
      </c>
      <c r="G4122" s="1" t="s">
        <v>5541</v>
      </c>
      <c r="H4122" s="1" t="s">
        <v>5556</v>
      </c>
      <c r="J4122" s="1" t="s">
        <v>5557</v>
      </c>
      <c r="L4122" s="1" t="s">
        <v>5558</v>
      </c>
      <c r="N4122" s="1" t="s">
        <v>5559</v>
      </c>
      <c r="P4122" s="1" t="s">
        <v>13006</v>
      </c>
      <c r="Q4122" s="3">
        <v>0</v>
      </c>
      <c r="R4122" s="23" t="s">
        <v>12893</v>
      </c>
      <c r="S4122" s="23" t="s">
        <v>6846</v>
      </c>
      <c r="T4122" s="23" t="s">
        <v>4864</v>
      </c>
      <c r="U4122" s="3">
        <v>35</v>
      </c>
      <c r="V4122" s="3" t="s">
        <v>13007</v>
      </c>
      <c r="W4122" s="45" t="str">
        <f>HYPERLINK("http://ictvonline.org/taxonomy/p/taxonomy-history?taxnode_id=201907449","ICTVonline=201907449")</f>
        <v>ICTVonline=201907449</v>
      </c>
      <c r="X4122" s="1" t="s">
        <v>13008</v>
      </c>
      <c r="Y4122" s="1" t="s">
        <v>13009</v>
      </c>
      <c r="Z4122" s="1" t="s">
        <v>13010</v>
      </c>
      <c r="AA4122" s="1">
        <v>201900000</v>
      </c>
      <c r="AB4122" s="1">
        <v>35</v>
      </c>
    </row>
    <row r="4123" spans="1:28" x14ac:dyDescent="0.2">
      <c r="A4123" s="1">
        <v>10552</v>
      </c>
      <c r="B4123" s="1" t="s">
        <v>6839</v>
      </c>
      <c r="D4123" s="1" t="s">
        <v>11735</v>
      </c>
      <c r="F4123" s="1" t="s">
        <v>5540</v>
      </c>
      <c r="G4123" s="1" t="s">
        <v>5541</v>
      </c>
      <c r="H4123" s="1" t="s">
        <v>5556</v>
      </c>
      <c r="J4123" s="1" t="s">
        <v>5557</v>
      </c>
      <c r="L4123" s="1" t="s">
        <v>5558</v>
      </c>
      <c r="N4123" s="1" t="s">
        <v>5559</v>
      </c>
      <c r="P4123" s="1" t="s">
        <v>5586</v>
      </c>
      <c r="Q4123" s="3">
        <v>0</v>
      </c>
      <c r="R4123" s="23" t="s">
        <v>12893</v>
      </c>
      <c r="S4123" s="23" t="s">
        <v>6846</v>
      </c>
      <c r="T4123" s="23" t="s">
        <v>4866</v>
      </c>
      <c r="U4123" s="3">
        <v>35</v>
      </c>
      <c r="W4123" s="45" t="str">
        <f>HYPERLINK("http://ictvonline.org/taxonomy/p/taxonomy-history?taxnode_id=201906068","ICTVonline=201906068")</f>
        <v>ICTVonline=201906068</v>
      </c>
      <c r="X4123" s="1" t="s">
        <v>13011</v>
      </c>
      <c r="Y4123" s="1" t="s">
        <v>13012</v>
      </c>
      <c r="Z4123" s="1" t="s">
        <v>13013</v>
      </c>
      <c r="AA4123" s="1">
        <v>201900000</v>
      </c>
      <c r="AB4123" s="1">
        <v>35</v>
      </c>
    </row>
    <row r="4124" spans="1:28" x14ac:dyDescent="0.2">
      <c r="A4124" s="1">
        <v>10554</v>
      </c>
      <c r="B4124" s="1" t="s">
        <v>6839</v>
      </c>
      <c r="D4124" s="1" t="s">
        <v>11735</v>
      </c>
      <c r="F4124" s="1" t="s">
        <v>5540</v>
      </c>
      <c r="G4124" s="1" t="s">
        <v>5541</v>
      </c>
      <c r="H4124" s="1" t="s">
        <v>5556</v>
      </c>
      <c r="J4124" s="1" t="s">
        <v>5557</v>
      </c>
      <c r="L4124" s="1" t="s">
        <v>5558</v>
      </c>
      <c r="N4124" s="1" t="s">
        <v>5559</v>
      </c>
      <c r="P4124" s="1" t="s">
        <v>5587</v>
      </c>
      <c r="Q4124" s="3">
        <v>0</v>
      </c>
      <c r="R4124" s="23" t="s">
        <v>12893</v>
      </c>
      <c r="S4124" s="23" t="s">
        <v>6846</v>
      </c>
      <c r="T4124" s="23" t="s">
        <v>4866</v>
      </c>
      <c r="U4124" s="3">
        <v>35</v>
      </c>
      <c r="W4124" s="45" t="str">
        <f>HYPERLINK("http://ictvonline.org/taxonomy/p/taxonomy-history?taxnode_id=201906069","ICTVonline=201906069")</f>
        <v>ICTVonline=201906069</v>
      </c>
      <c r="X4124" s="1" t="s">
        <v>13014</v>
      </c>
      <c r="Y4124" s="1" t="s">
        <v>13015</v>
      </c>
      <c r="Z4124" s="1" t="s">
        <v>13016</v>
      </c>
      <c r="AA4124" s="1">
        <v>201900000</v>
      </c>
      <c r="AB4124" s="1">
        <v>35</v>
      </c>
    </row>
    <row r="4125" spans="1:28" x14ac:dyDescent="0.2">
      <c r="A4125" s="1">
        <v>10556</v>
      </c>
      <c r="B4125" s="1" t="s">
        <v>6839</v>
      </c>
      <c r="D4125" s="1" t="s">
        <v>11735</v>
      </c>
      <c r="F4125" s="1" t="s">
        <v>5540</v>
      </c>
      <c r="G4125" s="1" t="s">
        <v>5541</v>
      </c>
      <c r="H4125" s="1" t="s">
        <v>5556</v>
      </c>
      <c r="J4125" s="1" t="s">
        <v>5557</v>
      </c>
      <c r="L4125" s="1" t="s">
        <v>5558</v>
      </c>
      <c r="N4125" s="1" t="s">
        <v>5559</v>
      </c>
      <c r="P4125" s="1" t="s">
        <v>5588</v>
      </c>
      <c r="Q4125" s="3">
        <v>0</v>
      </c>
      <c r="R4125" s="23" t="s">
        <v>12893</v>
      </c>
      <c r="S4125" s="23" t="s">
        <v>6846</v>
      </c>
      <c r="T4125" s="23" t="s">
        <v>4866</v>
      </c>
      <c r="U4125" s="3">
        <v>35</v>
      </c>
      <c r="W4125" s="45" t="str">
        <f>HYPERLINK("http://ictvonline.org/taxonomy/p/taxonomy-history?taxnode_id=201906070","ICTVonline=201906070")</f>
        <v>ICTVonline=201906070</v>
      </c>
      <c r="X4125" s="1" t="s">
        <v>13017</v>
      </c>
      <c r="Y4125" s="1" t="s">
        <v>13018</v>
      </c>
      <c r="Z4125" s="1" t="s">
        <v>13019</v>
      </c>
      <c r="AA4125" s="1">
        <v>201900000</v>
      </c>
      <c r="AB4125" s="1">
        <v>35</v>
      </c>
    </row>
    <row r="4126" spans="1:28" x14ac:dyDescent="0.2">
      <c r="A4126" s="1">
        <v>10564</v>
      </c>
      <c r="B4126" s="1" t="s">
        <v>6839</v>
      </c>
      <c r="D4126" s="1" t="s">
        <v>11735</v>
      </c>
      <c r="F4126" s="1" t="s">
        <v>5540</v>
      </c>
      <c r="G4126" s="1" t="s">
        <v>5541</v>
      </c>
      <c r="H4126" s="1" t="s">
        <v>5556</v>
      </c>
      <c r="J4126" s="1" t="s">
        <v>999</v>
      </c>
      <c r="L4126" s="1" t="s">
        <v>5589</v>
      </c>
      <c r="N4126" s="1" t="s">
        <v>13020</v>
      </c>
      <c r="P4126" s="1" t="s">
        <v>13021</v>
      </c>
      <c r="Q4126" s="3">
        <v>0</v>
      </c>
      <c r="R4126" s="23" t="s">
        <v>12893</v>
      </c>
      <c r="S4126" s="23" t="s">
        <v>6846</v>
      </c>
      <c r="T4126" s="23" t="s">
        <v>4865</v>
      </c>
      <c r="U4126" s="3">
        <v>35</v>
      </c>
      <c r="V4126" s="3" t="s">
        <v>13022</v>
      </c>
      <c r="W4126" s="45" t="str">
        <f>HYPERLINK("http://ictvonline.org/taxonomy/p/taxonomy-history?taxnode_id=201906269","ICTVonline=201906269")</f>
        <v>ICTVonline=201906269</v>
      </c>
      <c r="X4126" s="1" t="s">
        <v>13023</v>
      </c>
      <c r="Y4126" s="1" t="s">
        <v>13024</v>
      </c>
      <c r="AA4126" s="1">
        <v>201900000</v>
      </c>
      <c r="AB4126" s="1">
        <v>35</v>
      </c>
    </row>
    <row r="4127" spans="1:28" x14ac:dyDescent="0.2">
      <c r="A4127" s="1">
        <v>10566</v>
      </c>
      <c r="B4127" s="1" t="s">
        <v>6839</v>
      </c>
      <c r="D4127" s="1" t="s">
        <v>11735</v>
      </c>
      <c r="F4127" s="1" t="s">
        <v>5540</v>
      </c>
      <c r="G4127" s="1" t="s">
        <v>5541</v>
      </c>
      <c r="H4127" s="1" t="s">
        <v>5556</v>
      </c>
      <c r="J4127" s="1" t="s">
        <v>999</v>
      </c>
      <c r="L4127" s="1" t="s">
        <v>5589</v>
      </c>
      <c r="N4127" s="1" t="s">
        <v>13020</v>
      </c>
      <c r="P4127" s="1" t="s">
        <v>13025</v>
      </c>
      <c r="Q4127" s="3">
        <v>1</v>
      </c>
      <c r="R4127" s="23" t="s">
        <v>12893</v>
      </c>
      <c r="S4127" s="23" t="s">
        <v>6846</v>
      </c>
      <c r="T4127" s="23" t="s">
        <v>4864</v>
      </c>
      <c r="U4127" s="3">
        <v>35</v>
      </c>
      <c r="V4127" s="3" t="s">
        <v>13022</v>
      </c>
      <c r="W4127" s="45" t="str">
        <f>HYPERLINK("http://ictvonline.org/taxonomy/p/taxonomy-history?taxnode_id=201907514","ICTVonline=201907514")</f>
        <v>ICTVonline=201907514</v>
      </c>
      <c r="X4127" s="1" t="s">
        <v>13026</v>
      </c>
      <c r="Y4127" s="1" t="s">
        <v>13027</v>
      </c>
      <c r="AA4127" s="1">
        <v>201900000</v>
      </c>
      <c r="AB4127" s="1">
        <v>35</v>
      </c>
    </row>
    <row r="4128" spans="1:28" x14ac:dyDescent="0.2">
      <c r="A4128" s="1">
        <v>10570</v>
      </c>
      <c r="B4128" s="1" t="s">
        <v>6839</v>
      </c>
      <c r="D4128" s="1" t="s">
        <v>11735</v>
      </c>
      <c r="F4128" s="1" t="s">
        <v>5540</v>
      </c>
      <c r="G4128" s="1" t="s">
        <v>5541</v>
      </c>
      <c r="H4128" s="1" t="s">
        <v>5556</v>
      </c>
      <c r="J4128" s="1" t="s">
        <v>999</v>
      </c>
      <c r="L4128" s="1" t="s">
        <v>5589</v>
      </c>
      <c r="N4128" s="1" t="s">
        <v>4457</v>
      </c>
      <c r="P4128" s="1" t="s">
        <v>5590</v>
      </c>
      <c r="Q4128" s="3">
        <v>0</v>
      </c>
      <c r="R4128" s="23" t="s">
        <v>12893</v>
      </c>
      <c r="S4128" s="23" t="s">
        <v>6846</v>
      </c>
      <c r="T4128" s="23" t="s">
        <v>4866</v>
      </c>
      <c r="U4128" s="3">
        <v>35</v>
      </c>
      <c r="W4128" s="45" t="str">
        <f>HYPERLINK("http://ictvonline.org/taxonomy/p/taxonomy-history?taxnode_id=201906272","ICTVonline=201906272")</f>
        <v>ICTVonline=201906272</v>
      </c>
      <c r="X4128" s="1" t="s">
        <v>13028</v>
      </c>
      <c r="Y4128" s="1" t="s">
        <v>13029</v>
      </c>
      <c r="Z4128" s="1" t="s">
        <v>13030</v>
      </c>
      <c r="AA4128" s="1">
        <v>201900000</v>
      </c>
      <c r="AB4128" s="1">
        <v>35</v>
      </c>
    </row>
    <row r="4129" spans="1:28" x14ac:dyDescent="0.2">
      <c r="A4129" s="1">
        <v>10572</v>
      </c>
      <c r="B4129" s="1" t="s">
        <v>6839</v>
      </c>
      <c r="D4129" s="1" t="s">
        <v>11735</v>
      </c>
      <c r="F4129" s="1" t="s">
        <v>5540</v>
      </c>
      <c r="G4129" s="1" t="s">
        <v>5541</v>
      </c>
      <c r="H4129" s="1" t="s">
        <v>5556</v>
      </c>
      <c r="J4129" s="1" t="s">
        <v>999</v>
      </c>
      <c r="L4129" s="1" t="s">
        <v>5589</v>
      </c>
      <c r="N4129" s="1" t="s">
        <v>4457</v>
      </c>
      <c r="P4129" s="1" t="s">
        <v>5591</v>
      </c>
      <c r="Q4129" s="3">
        <v>0</v>
      </c>
      <c r="R4129" s="23" t="s">
        <v>12893</v>
      </c>
      <c r="S4129" s="23" t="s">
        <v>6846</v>
      </c>
      <c r="T4129" s="23" t="s">
        <v>4866</v>
      </c>
      <c r="U4129" s="3">
        <v>35</v>
      </c>
      <c r="W4129" s="45" t="str">
        <f>HYPERLINK("http://ictvonline.org/taxonomy/p/taxonomy-history?taxnode_id=201906271","ICTVonline=201906271")</f>
        <v>ICTVonline=201906271</v>
      </c>
      <c r="X4129" s="1" t="s">
        <v>13031</v>
      </c>
      <c r="Y4129" s="1" t="s">
        <v>13032</v>
      </c>
      <c r="Z4129" s="1" t="s">
        <v>13033</v>
      </c>
      <c r="AA4129" s="1">
        <v>201900000</v>
      </c>
      <c r="AB4129" s="1">
        <v>35</v>
      </c>
    </row>
    <row r="4130" spans="1:28" x14ac:dyDescent="0.2">
      <c r="A4130" s="1">
        <v>10574</v>
      </c>
      <c r="B4130" s="1" t="s">
        <v>6839</v>
      </c>
      <c r="D4130" s="1" t="s">
        <v>11735</v>
      </c>
      <c r="F4130" s="1" t="s">
        <v>5540</v>
      </c>
      <c r="G4130" s="1" t="s">
        <v>5541</v>
      </c>
      <c r="H4130" s="1" t="s">
        <v>5556</v>
      </c>
      <c r="J4130" s="1" t="s">
        <v>999</v>
      </c>
      <c r="L4130" s="1" t="s">
        <v>5589</v>
      </c>
      <c r="N4130" s="1" t="s">
        <v>4457</v>
      </c>
      <c r="P4130" s="1" t="s">
        <v>5592</v>
      </c>
      <c r="Q4130" s="3">
        <v>0</v>
      </c>
      <c r="R4130" s="23" t="s">
        <v>12893</v>
      </c>
      <c r="S4130" s="23" t="s">
        <v>6846</v>
      </c>
      <c r="T4130" s="23" t="s">
        <v>4866</v>
      </c>
      <c r="U4130" s="3">
        <v>35</v>
      </c>
      <c r="W4130" s="45" t="str">
        <f>HYPERLINK("http://ictvonline.org/taxonomy/p/taxonomy-history?taxnode_id=201906270","ICTVonline=201906270")</f>
        <v>ICTVonline=201906270</v>
      </c>
      <c r="X4130" s="1" t="s">
        <v>13034</v>
      </c>
      <c r="Y4130" s="1" t="s">
        <v>13035</v>
      </c>
      <c r="Z4130" s="1" t="s">
        <v>13036</v>
      </c>
      <c r="AA4130" s="1">
        <v>201900000</v>
      </c>
      <c r="AB4130" s="1">
        <v>35</v>
      </c>
    </row>
    <row r="4131" spans="1:28" x14ac:dyDescent="0.2">
      <c r="A4131" s="1">
        <v>10576</v>
      </c>
      <c r="B4131" s="1" t="s">
        <v>6839</v>
      </c>
      <c r="D4131" s="1" t="s">
        <v>11735</v>
      </c>
      <c r="F4131" s="1" t="s">
        <v>5540</v>
      </c>
      <c r="G4131" s="1" t="s">
        <v>5541</v>
      </c>
      <c r="H4131" s="1" t="s">
        <v>5556</v>
      </c>
      <c r="J4131" s="1" t="s">
        <v>999</v>
      </c>
      <c r="L4131" s="1" t="s">
        <v>5589</v>
      </c>
      <c r="N4131" s="1" t="s">
        <v>4457</v>
      </c>
      <c r="P4131" s="1" t="s">
        <v>5593</v>
      </c>
      <c r="Q4131" s="3">
        <v>0</v>
      </c>
      <c r="R4131" s="23" t="s">
        <v>12893</v>
      </c>
      <c r="S4131" s="23" t="s">
        <v>6846</v>
      </c>
      <c r="T4131" s="23" t="s">
        <v>4866</v>
      </c>
      <c r="U4131" s="3">
        <v>35</v>
      </c>
      <c r="W4131" s="45" t="str">
        <f>HYPERLINK("http://ictvonline.org/taxonomy/p/taxonomy-history?taxnode_id=201906274","ICTVonline=201906274")</f>
        <v>ICTVonline=201906274</v>
      </c>
      <c r="X4131" s="1" t="s">
        <v>13037</v>
      </c>
      <c r="Y4131" s="1" t="s">
        <v>13038</v>
      </c>
      <c r="Z4131" s="1" t="s">
        <v>13039</v>
      </c>
      <c r="AA4131" s="1">
        <v>201900000</v>
      </c>
      <c r="AB4131" s="1">
        <v>35</v>
      </c>
    </row>
    <row r="4132" spans="1:28" x14ac:dyDescent="0.2">
      <c r="A4132" s="1">
        <v>10578</v>
      </c>
      <c r="B4132" s="1" t="s">
        <v>6839</v>
      </c>
      <c r="D4132" s="1" t="s">
        <v>11735</v>
      </c>
      <c r="F4132" s="1" t="s">
        <v>5540</v>
      </c>
      <c r="G4132" s="1" t="s">
        <v>5541</v>
      </c>
      <c r="H4132" s="1" t="s">
        <v>5556</v>
      </c>
      <c r="J4132" s="1" t="s">
        <v>999</v>
      </c>
      <c r="L4132" s="1" t="s">
        <v>5589</v>
      </c>
      <c r="N4132" s="1" t="s">
        <v>4457</v>
      </c>
      <c r="P4132" s="1" t="s">
        <v>4458</v>
      </c>
      <c r="Q4132" s="3">
        <v>1</v>
      </c>
      <c r="R4132" s="23" t="s">
        <v>12893</v>
      </c>
      <c r="S4132" s="23" t="s">
        <v>6846</v>
      </c>
      <c r="T4132" s="23" t="s">
        <v>4866</v>
      </c>
      <c r="U4132" s="3">
        <v>35</v>
      </c>
      <c r="W4132" s="45" t="str">
        <f>HYPERLINK("http://ictvonline.org/taxonomy/p/taxonomy-history?taxnode_id=201901583","ICTVonline=201901583")</f>
        <v>ICTVonline=201901583</v>
      </c>
      <c r="Y4132" s="1" t="s">
        <v>13040</v>
      </c>
      <c r="Z4132" s="1" t="s">
        <v>13041</v>
      </c>
      <c r="AA4132" s="1">
        <v>201900000</v>
      </c>
      <c r="AB4132" s="1">
        <v>35</v>
      </c>
    </row>
    <row r="4133" spans="1:28" x14ac:dyDescent="0.2">
      <c r="A4133" s="1">
        <v>10580</v>
      </c>
      <c r="B4133" s="1" t="s">
        <v>6839</v>
      </c>
      <c r="D4133" s="1" t="s">
        <v>11735</v>
      </c>
      <c r="F4133" s="1" t="s">
        <v>5540</v>
      </c>
      <c r="G4133" s="1" t="s">
        <v>5541</v>
      </c>
      <c r="H4133" s="1" t="s">
        <v>5556</v>
      </c>
      <c r="J4133" s="1" t="s">
        <v>999</v>
      </c>
      <c r="L4133" s="1" t="s">
        <v>5589</v>
      </c>
      <c r="N4133" s="1" t="s">
        <v>4457</v>
      </c>
      <c r="P4133" s="1" t="s">
        <v>5594</v>
      </c>
      <c r="Q4133" s="3">
        <v>0</v>
      </c>
      <c r="R4133" s="23" t="s">
        <v>12893</v>
      </c>
      <c r="S4133" s="23" t="s">
        <v>6846</v>
      </c>
      <c r="T4133" s="23" t="s">
        <v>4866</v>
      </c>
      <c r="U4133" s="3">
        <v>35</v>
      </c>
      <c r="W4133" s="45" t="str">
        <f>HYPERLINK("http://ictvonline.org/taxonomy/p/taxonomy-history?taxnode_id=201906273","ICTVonline=201906273")</f>
        <v>ICTVonline=201906273</v>
      </c>
      <c r="X4133" s="1" t="s">
        <v>13042</v>
      </c>
      <c r="Y4133" s="1" t="s">
        <v>13043</v>
      </c>
      <c r="Z4133" s="1" t="s">
        <v>13044</v>
      </c>
      <c r="AA4133" s="1">
        <v>201900000</v>
      </c>
      <c r="AB4133" s="1">
        <v>35</v>
      </c>
    </row>
    <row r="4134" spans="1:28" x14ac:dyDescent="0.2">
      <c r="A4134" s="1">
        <v>10586</v>
      </c>
      <c r="B4134" s="1" t="s">
        <v>6839</v>
      </c>
      <c r="D4134" s="1" t="s">
        <v>11735</v>
      </c>
      <c r="F4134" s="1" t="s">
        <v>5540</v>
      </c>
      <c r="G4134" s="1" t="s">
        <v>5541</v>
      </c>
      <c r="H4134" s="1" t="s">
        <v>5556</v>
      </c>
      <c r="J4134" s="1" t="s">
        <v>999</v>
      </c>
      <c r="L4134" s="1" t="s">
        <v>1394</v>
      </c>
      <c r="N4134" s="1" t="s">
        <v>5025</v>
      </c>
      <c r="P4134" s="1" t="s">
        <v>5026</v>
      </c>
      <c r="Q4134" s="3">
        <v>1</v>
      </c>
      <c r="R4134" s="23" t="s">
        <v>12893</v>
      </c>
      <c r="S4134" s="23" t="s">
        <v>6846</v>
      </c>
      <c r="T4134" s="23" t="s">
        <v>4866</v>
      </c>
      <c r="U4134" s="3">
        <v>35</v>
      </c>
      <c r="W4134" s="45" t="str">
        <f>HYPERLINK("http://ictvonline.org/taxonomy/p/taxonomy-history?taxnode_id=201905571","ICTVonline=201905571")</f>
        <v>ICTVonline=201905571</v>
      </c>
      <c r="AA4134" s="1">
        <v>201900000</v>
      </c>
      <c r="AB4134" s="1">
        <v>35</v>
      </c>
    </row>
    <row r="4135" spans="1:28" x14ac:dyDescent="0.2">
      <c r="A4135" s="1">
        <v>10588</v>
      </c>
      <c r="B4135" s="1" t="s">
        <v>6839</v>
      </c>
      <c r="D4135" s="1" t="s">
        <v>11735</v>
      </c>
      <c r="F4135" s="1" t="s">
        <v>5540</v>
      </c>
      <c r="G4135" s="1" t="s">
        <v>5541</v>
      </c>
      <c r="H4135" s="1" t="s">
        <v>5556</v>
      </c>
      <c r="J4135" s="1" t="s">
        <v>999</v>
      </c>
      <c r="L4135" s="1" t="s">
        <v>1394</v>
      </c>
      <c r="N4135" s="1" t="s">
        <v>5025</v>
      </c>
      <c r="P4135" s="1" t="s">
        <v>5027</v>
      </c>
      <c r="Q4135" s="3">
        <v>0</v>
      </c>
      <c r="R4135" s="23" t="s">
        <v>12893</v>
      </c>
      <c r="S4135" s="23" t="s">
        <v>6846</v>
      </c>
      <c r="T4135" s="23" t="s">
        <v>4866</v>
      </c>
      <c r="U4135" s="3">
        <v>35</v>
      </c>
      <c r="W4135" s="45" t="str">
        <f>HYPERLINK("http://ictvonline.org/taxonomy/p/taxonomy-history?taxnode_id=201905572","ICTVonline=201905572")</f>
        <v>ICTVonline=201905572</v>
      </c>
      <c r="AA4135" s="1">
        <v>201900000</v>
      </c>
      <c r="AB4135" s="1">
        <v>35</v>
      </c>
    </row>
    <row r="4136" spans="1:28" x14ac:dyDescent="0.2">
      <c r="A4136" s="1">
        <v>10592</v>
      </c>
      <c r="B4136" s="1" t="s">
        <v>6839</v>
      </c>
      <c r="D4136" s="1" t="s">
        <v>11735</v>
      </c>
      <c r="F4136" s="1" t="s">
        <v>5540</v>
      </c>
      <c r="G4136" s="1" t="s">
        <v>5541</v>
      </c>
      <c r="H4136" s="1" t="s">
        <v>5556</v>
      </c>
      <c r="J4136" s="1" t="s">
        <v>999</v>
      </c>
      <c r="L4136" s="1" t="s">
        <v>1394</v>
      </c>
      <c r="N4136" s="1" t="s">
        <v>5850</v>
      </c>
      <c r="P4136" s="1" t="s">
        <v>13045</v>
      </c>
      <c r="Q4136" s="3">
        <v>1</v>
      </c>
      <c r="R4136" s="23" t="s">
        <v>12893</v>
      </c>
      <c r="S4136" s="23" t="s">
        <v>6846</v>
      </c>
      <c r="T4136" s="23" t="s">
        <v>4866</v>
      </c>
      <c r="U4136" s="3">
        <v>35</v>
      </c>
      <c r="W4136" s="45" t="str">
        <f>HYPERLINK("http://ictvonline.org/taxonomy/p/taxonomy-history?taxnode_id=201906589","ICTVonline=201906589")</f>
        <v>ICTVonline=201906589</v>
      </c>
      <c r="X4136" s="1" t="s">
        <v>13046</v>
      </c>
      <c r="Y4136" s="1" t="s">
        <v>13047</v>
      </c>
      <c r="Z4136" s="1" t="s">
        <v>13048</v>
      </c>
      <c r="AA4136" s="1">
        <v>201900000</v>
      </c>
      <c r="AB4136" s="1">
        <v>35</v>
      </c>
    </row>
    <row r="4137" spans="1:28" x14ac:dyDescent="0.2">
      <c r="A4137" s="1">
        <v>10596</v>
      </c>
      <c r="B4137" s="1" t="s">
        <v>6839</v>
      </c>
      <c r="D4137" s="1" t="s">
        <v>11735</v>
      </c>
      <c r="F4137" s="1" t="s">
        <v>5540</v>
      </c>
      <c r="G4137" s="1" t="s">
        <v>5541</v>
      </c>
      <c r="H4137" s="1" t="s">
        <v>5556</v>
      </c>
      <c r="J4137" s="1" t="s">
        <v>999</v>
      </c>
      <c r="L4137" s="1" t="s">
        <v>1394</v>
      </c>
      <c r="N4137" s="1" t="s">
        <v>5028</v>
      </c>
      <c r="P4137" s="1" t="s">
        <v>5029</v>
      </c>
      <c r="Q4137" s="3">
        <v>0</v>
      </c>
      <c r="R4137" s="23" t="s">
        <v>12893</v>
      </c>
      <c r="S4137" s="23" t="s">
        <v>6846</v>
      </c>
      <c r="T4137" s="23" t="s">
        <v>4866</v>
      </c>
      <c r="U4137" s="3">
        <v>35</v>
      </c>
      <c r="W4137" s="45" t="str">
        <f>HYPERLINK("http://ictvonline.org/taxonomy/p/taxonomy-history?taxnode_id=201901552","ICTVonline=201901552")</f>
        <v>ICTVonline=201901552</v>
      </c>
      <c r="X4137" s="1" t="s">
        <v>13049</v>
      </c>
      <c r="Y4137" s="1" t="s">
        <v>13050</v>
      </c>
      <c r="Z4137" s="1" t="s">
        <v>13051</v>
      </c>
      <c r="AA4137" s="1">
        <v>201900000</v>
      </c>
      <c r="AB4137" s="1">
        <v>35</v>
      </c>
    </row>
    <row r="4138" spans="1:28" x14ac:dyDescent="0.2">
      <c r="A4138" s="1">
        <v>10598</v>
      </c>
      <c r="B4138" s="1" t="s">
        <v>6839</v>
      </c>
      <c r="D4138" s="1" t="s">
        <v>11735</v>
      </c>
      <c r="F4138" s="1" t="s">
        <v>5540</v>
      </c>
      <c r="G4138" s="1" t="s">
        <v>5541</v>
      </c>
      <c r="H4138" s="1" t="s">
        <v>5556</v>
      </c>
      <c r="J4138" s="1" t="s">
        <v>999</v>
      </c>
      <c r="L4138" s="1" t="s">
        <v>1394</v>
      </c>
      <c r="N4138" s="1" t="s">
        <v>5028</v>
      </c>
      <c r="P4138" s="1" t="s">
        <v>5030</v>
      </c>
      <c r="Q4138" s="3">
        <v>1</v>
      </c>
      <c r="R4138" s="23" t="s">
        <v>12893</v>
      </c>
      <c r="S4138" s="23" t="s">
        <v>6846</v>
      </c>
      <c r="T4138" s="23" t="s">
        <v>4866</v>
      </c>
      <c r="U4138" s="3">
        <v>35</v>
      </c>
      <c r="W4138" s="45" t="str">
        <f>HYPERLINK("http://ictvonline.org/taxonomy/p/taxonomy-history?taxnode_id=201901553","ICTVonline=201901553")</f>
        <v>ICTVonline=201901553</v>
      </c>
      <c r="AA4138" s="1">
        <v>201900000</v>
      </c>
      <c r="AB4138" s="1">
        <v>35</v>
      </c>
    </row>
    <row r="4139" spans="1:28" x14ac:dyDescent="0.2">
      <c r="A4139" s="1">
        <v>10600</v>
      </c>
      <c r="B4139" s="1" t="s">
        <v>6839</v>
      </c>
      <c r="D4139" s="1" t="s">
        <v>11735</v>
      </c>
      <c r="F4139" s="1" t="s">
        <v>5540</v>
      </c>
      <c r="G4139" s="1" t="s">
        <v>5541</v>
      </c>
      <c r="H4139" s="1" t="s">
        <v>5556</v>
      </c>
      <c r="J4139" s="1" t="s">
        <v>999</v>
      </c>
      <c r="L4139" s="1" t="s">
        <v>1394</v>
      </c>
      <c r="N4139" s="1" t="s">
        <v>5028</v>
      </c>
      <c r="P4139" s="1" t="s">
        <v>5031</v>
      </c>
      <c r="Q4139" s="3">
        <v>0</v>
      </c>
      <c r="R4139" s="23" t="s">
        <v>12893</v>
      </c>
      <c r="S4139" s="23" t="s">
        <v>6846</v>
      </c>
      <c r="T4139" s="23" t="s">
        <v>4866</v>
      </c>
      <c r="U4139" s="3">
        <v>35</v>
      </c>
      <c r="W4139" s="45" t="str">
        <f>HYPERLINK("http://ictvonline.org/taxonomy/p/taxonomy-history?taxnode_id=201901554","ICTVonline=201901554")</f>
        <v>ICTVonline=201901554</v>
      </c>
      <c r="Y4139" s="1" t="s">
        <v>13052</v>
      </c>
      <c r="Z4139" s="1" t="s">
        <v>13053</v>
      </c>
      <c r="AA4139" s="1">
        <v>201900000</v>
      </c>
      <c r="AB4139" s="1">
        <v>35</v>
      </c>
    </row>
    <row r="4140" spans="1:28" x14ac:dyDescent="0.2">
      <c r="A4140" s="1">
        <v>10602</v>
      </c>
      <c r="B4140" s="1" t="s">
        <v>6839</v>
      </c>
      <c r="D4140" s="1" t="s">
        <v>11735</v>
      </c>
      <c r="F4140" s="1" t="s">
        <v>5540</v>
      </c>
      <c r="G4140" s="1" t="s">
        <v>5541</v>
      </c>
      <c r="H4140" s="1" t="s">
        <v>5556</v>
      </c>
      <c r="J4140" s="1" t="s">
        <v>999</v>
      </c>
      <c r="L4140" s="1" t="s">
        <v>1394</v>
      </c>
      <c r="N4140" s="1" t="s">
        <v>5028</v>
      </c>
      <c r="P4140" s="1" t="s">
        <v>5032</v>
      </c>
      <c r="Q4140" s="3">
        <v>0</v>
      </c>
      <c r="R4140" s="23" t="s">
        <v>12893</v>
      </c>
      <c r="S4140" s="23" t="s">
        <v>6846</v>
      </c>
      <c r="T4140" s="23" t="s">
        <v>4866</v>
      </c>
      <c r="U4140" s="3">
        <v>35</v>
      </c>
      <c r="W4140" s="45" t="str">
        <f>HYPERLINK("http://ictvonline.org/taxonomy/p/taxonomy-history?taxnode_id=201901555","ICTVonline=201901555")</f>
        <v>ICTVonline=201901555</v>
      </c>
      <c r="Y4140" s="1" t="s">
        <v>13054</v>
      </c>
      <c r="Z4140" s="1" t="s">
        <v>13055</v>
      </c>
      <c r="AA4140" s="1">
        <v>201900000</v>
      </c>
      <c r="AB4140" s="1">
        <v>35</v>
      </c>
    </row>
    <row r="4141" spans="1:28" x14ac:dyDescent="0.2">
      <c r="A4141" s="1">
        <v>10604</v>
      </c>
      <c r="B4141" s="1" t="s">
        <v>6839</v>
      </c>
      <c r="D4141" s="1" t="s">
        <v>11735</v>
      </c>
      <c r="F4141" s="1" t="s">
        <v>5540</v>
      </c>
      <c r="G4141" s="1" t="s">
        <v>5541</v>
      </c>
      <c r="H4141" s="1" t="s">
        <v>5556</v>
      </c>
      <c r="J4141" s="1" t="s">
        <v>999</v>
      </c>
      <c r="L4141" s="1" t="s">
        <v>1394</v>
      </c>
      <c r="N4141" s="1" t="s">
        <v>5028</v>
      </c>
      <c r="P4141" s="1" t="s">
        <v>5033</v>
      </c>
      <c r="Q4141" s="3">
        <v>0</v>
      </c>
      <c r="R4141" s="23" t="s">
        <v>12893</v>
      </c>
      <c r="S4141" s="23" t="s">
        <v>6846</v>
      </c>
      <c r="T4141" s="23" t="s">
        <v>4866</v>
      </c>
      <c r="U4141" s="3">
        <v>35</v>
      </c>
      <c r="W4141" s="45" t="str">
        <f>HYPERLINK("http://ictvonline.org/taxonomy/p/taxonomy-history?taxnode_id=201901556","ICTVonline=201901556")</f>
        <v>ICTVonline=201901556</v>
      </c>
      <c r="Y4141" s="1" t="s">
        <v>13056</v>
      </c>
      <c r="Z4141" s="1" t="s">
        <v>13057</v>
      </c>
      <c r="AA4141" s="1">
        <v>201900000</v>
      </c>
      <c r="AB4141" s="1">
        <v>35</v>
      </c>
    </row>
    <row r="4142" spans="1:28" x14ac:dyDescent="0.2">
      <c r="A4142" s="1">
        <v>10606</v>
      </c>
      <c r="B4142" s="1" t="s">
        <v>6839</v>
      </c>
      <c r="D4142" s="1" t="s">
        <v>11735</v>
      </c>
      <c r="F4142" s="1" t="s">
        <v>5540</v>
      </c>
      <c r="G4142" s="1" t="s">
        <v>5541</v>
      </c>
      <c r="H4142" s="1" t="s">
        <v>5556</v>
      </c>
      <c r="J4142" s="1" t="s">
        <v>999</v>
      </c>
      <c r="L4142" s="1" t="s">
        <v>1394</v>
      </c>
      <c r="N4142" s="1" t="s">
        <v>5028</v>
      </c>
      <c r="P4142" s="1" t="s">
        <v>5034</v>
      </c>
      <c r="Q4142" s="3">
        <v>0</v>
      </c>
      <c r="R4142" s="23" t="s">
        <v>12893</v>
      </c>
      <c r="S4142" s="23" t="s">
        <v>6846</v>
      </c>
      <c r="T4142" s="23" t="s">
        <v>4866</v>
      </c>
      <c r="U4142" s="3">
        <v>35</v>
      </c>
      <c r="W4142" s="45" t="str">
        <f>HYPERLINK("http://ictvonline.org/taxonomy/p/taxonomy-history?taxnode_id=201901557","ICTVonline=201901557")</f>
        <v>ICTVonline=201901557</v>
      </c>
      <c r="Y4142" s="1" t="s">
        <v>13058</v>
      </c>
      <c r="Z4142" s="1" t="s">
        <v>13059</v>
      </c>
      <c r="AA4142" s="1">
        <v>201900000</v>
      </c>
      <c r="AB4142" s="1">
        <v>35</v>
      </c>
    </row>
    <row r="4143" spans="1:28" x14ac:dyDescent="0.2">
      <c r="A4143" s="1">
        <v>10608</v>
      </c>
      <c r="B4143" s="1" t="s">
        <v>6839</v>
      </c>
      <c r="D4143" s="1" t="s">
        <v>11735</v>
      </c>
      <c r="F4143" s="1" t="s">
        <v>5540</v>
      </c>
      <c r="G4143" s="1" t="s">
        <v>5541</v>
      </c>
      <c r="H4143" s="1" t="s">
        <v>5556</v>
      </c>
      <c r="J4143" s="1" t="s">
        <v>999</v>
      </c>
      <c r="L4143" s="1" t="s">
        <v>1394</v>
      </c>
      <c r="N4143" s="1" t="s">
        <v>5028</v>
      </c>
      <c r="P4143" s="1" t="s">
        <v>5035</v>
      </c>
      <c r="Q4143" s="3">
        <v>0</v>
      </c>
      <c r="R4143" s="23" t="s">
        <v>12893</v>
      </c>
      <c r="S4143" s="23" t="s">
        <v>6846</v>
      </c>
      <c r="T4143" s="23" t="s">
        <v>4866</v>
      </c>
      <c r="U4143" s="3">
        <v>35</v>
      </c>
      <c r="W4143" s="45" t="str">
        <f>HYPERLINK("http://ictvonline.org/taxonomy/p/taxonomy-history?taxnode_id=201901558","ICTVonline=201901558")</f>
        <v>ICTVonline=201901558</v>
      </c>
      <c r="X4143" s="1" t="s">
        <v>13060</v>
      </c>
      <c r="Y4143" s="1" t="s">
        <v>13061</v>
      </c>
      <c r="Z4143" s="1" t="s">
        <v>13062</v>
      </c>
      <c r="AA4143" s="1">
        <v>201900000</v>
      </c>
      <c r="AB4143" s="1">
        <v>35</v>
      </c>
    </row>
    <row r="4144" spans="1:28" x14ac:dyDescent="0.2">
      <c r="A4144" s="1">
        <v>10610</v>
      </c>
      <c r="B4144" s="1" t="s">
        <v>6839</v>
      </c>
      <c r="D4144" s="1" t="s">
        <v>11735</v>
      </c>
      <c r="F4144" s="1" t="s">
        <v>5540</v>
      </c>
      <c r="G4144" s="1" t="s">
        <v>5541</v>
      </c>
      <c r="H4144" s="1" t="s">
        <v>5556</v>
      </c>
      <c r="J4144" s="1" t="s">
        <v>999</v>
      </c>
      <c r="L4144" s="1" t="s">
        <v>1394</v>
      </c>
      <c r="N4144" s="1" t="s">
        <v>5028</v>
      </c>
      <c r="P4144" s="1" t="s">
        <v>5036</v>
      </c>
      <c r="Q4144" s="3">
        <v>0</v>
      </c>
      <c r="R4144" s="23" t="s">
        <v>12893</v>
      </c>
      <c r="S4144" s="23" t="s">
        <v>6846</v>
      </c>
      <c r="T4144" s="23" t="s">
        <v>4866</v>
      </c>
      <c r="U4144" s="3">
        <v>35</v>
      </c>
      <c r="W4144" s="45" t="str">
        <f>HYPERLINK("http://ictvonline.org/taxonomy/p/taxonomy-history?taxnode_id=201901559","ICTVonline=201901559")</f>
        <v>ICTVonline=201901559</v>
      </c>
      <c r="Y4144" s="1" t="s">
        <v>13063</v>
      </c>
      <c r="Z4144" s="1" t="s">
        <v>13064</v>
      </c>
      <c r="AA4144" s="1">
        <v>201900000</v>
      </c>
      <c r="AB4144" s="1">
        <v>35</v>
      </c>
    </row>
    <row r="4145" spans="1:28" x14ac:dyDescent="0.2">
      <c r="A4145" s="1">
        <v>10616</v>
      </c>
      <c r="B4145" s="1" t="s">
        <v>6839</v>
      </c>
      <c r="D4145" s="1" t="s">
        <v>11735</v>
      </c>
      <c r="F4145" s="1" t="s">
        <v>5540</v>
      </c>
      <c r="G4145" s="1" t="s">
        <v>5541</v>
      </c>
      <c r="H4145" s="1" t="s">
        <v>5556</v>
      </c>
      <c r="J4145" s="1" t="s">
        <v>999</v>
      </c>
      <c r="L4145" s="1" t="s">
        <v>1395</v>
      </c>
      <c r="N4145" s="1" t="s">
        <v>2278</v>
      </c>
      <c r="P4145" s="1" t="s">
        <v>2279</v>
      </c>
      <c r="Q4145" s="3">
        <v>1</v>
      </c>
      <c r="R4145" s="23" t="s">
        <v>12893</v>
      </c>
      <c r="S4145" s="23" t="s">
        <v>6846</v>
      </c>
      <c r="T4145" s="23" t="s">
        <v>4866</v>
      </c>
      <c r="U4145" s="3">
        <v>35</v>
      </c>
      <c r="W4145" s="45" t="str">
        <f>HYPERLINK("http://ictvonline.org/taxonomy/p/taxonomy-history?taxnode_id=201901563","ICTVonline=201901563")</f>
        <v>ICTVonline=201901563</v>
      </c>
      <c r="Z4145" s="1" t="s">
        <v>13065</v>
      </c>
      <c r="AA4145" s="1">
        <v>201900000</v>
      </c>
      <c r="AB4145" s="1">
        <v>35</v>
      </c>
    </row>
    <row r="4146" spans="1:28" x14ac:dyDescent="0.2">
      <c r="A4146" s="1">
        <v>10620</v>
      </c>
      <c r="B4146" s="1" t="s">
        <v>6839</v>
      </c>
      <c r="D4146" s="1" t="s">
        <v>11735</v>
      </c>
      <c r="F4146" s="1" t="s">
        <v>5540</v>
      </c>
      <c r="G4146" s="1" t="s">
        <v>5541</v>
      </c>
      <c r="H4146" s="1" t="s">
        <v>5556</v>
      </c>
      <c r="J4146" s="1" t="s">
        <v>999</v>
      </c>
      <c r="L4146" s="1" t="s">
        <v>1395</v>
      </c>
      <c r="N4146" s="1" t="s">
        <v>13066</v>
      </c>
      <c r="P4146" s="1" t="s">
        <v>13067</v>
      </c>
      <c r="Q4146" s="3">
        <v>1</v>
      </c>
      <c r="R4146" s="23" t="s">
        <v>12893</v>
      </c>
      <c r="S4146" s="23" t="s">
        <v>6846</v>
      </c>
      <c r="T4146" s="23" t="s">
        <v>4864</v>
      </c>
      <c r="U4146" s="3">
        <v>35</v>
      </c>
      <c r="V4146" s="3" t="s">
        <v>13068</v>
      </c>
      <c r="W4146" s="45" t="str">
        <f>HYPERLINK("http://ictvonline.org/taxonomy/p/taxonomy-history?taxnode_id=201907367","ICTVonline=201907367")</f>
        <v>ICTVonline=201907367</v>
      </c>
      <c r="X4146" s="1" t="s">
        <v>13069</v>
      </c>
      <c r="Y4146" s="1" t="s">
        <v>13070</v>
      </c>
      <c r="Z4146" s="1" t="s">
        <v>13071</v>
      </c>
      <c r="AA4146" s="1">
        <v>201900000</v>
      </c>
      <c r="AB4146" s="1">
        <v>35</v>
      </c>
    </row>
    <row r="4147" spans="1:28" x14ac:dyDescent="0.2">
      <c r="A4147" s="1">
        <v>10624</v>
      </c>
      <c r="B4147" s="1" t="s">
        <v>6839</v>
      </c>
      <c r="D4147" s="1" t="s">
        <v>11735</v>
      </c>
      <c r="F4147" s="1" t="s">
        <v>5540</v>
      </c>
      <c r="G4147" s="1" t="s">
        <v>5541</v>
      </c>
      <c r="H4147" s="1" t="s">
        <v>5556</v>
      </c>
      <c r="J4147" s="1" t="s">
        <v>999</v>
      </c>
      <c r="L4147" s="1" t="s">
        <v>1395</v>
      </c>
      <c r="N4147" s="1" t="s">
        <v>1396</v>
      </c>
      <c r="P4147" s="1" t="s">
        <v>13072</v>
      </c>
      <c r="Q4147" s="3">
        <v>0</v>
      </c>
      <c r="R4147" s="23" t="s">
        <v>12893</v>
      </c>
      <c r="S4147" s="23" t="s">
        <v>6846</v>
      </c>
      <c r="T4147" s="23" t="s">
        <v>4864</v>
      </c>
      <c r="U4147" s="3">
        <v>35</v>
      </c>
      <c r="V4147" s="3" t="s">
        <v>13073</v>
      </c>
      <c r="W4147" s="45" t="str">
        <f>HYPERLINK("http://ictvonline.org/taxonomy/p/taxonomy-history?taxnode_id=201907261","ICTVonline=201907261")</f>
        <v>ICTVonline=201907261</v>
      </c>
      <c r="X4147" s="1" t="s">
        <v>13074</v>
      </c>
      <c r="Y4147" s="1" t="s">
        <v>13075</v>
      </c>
      <c r="Z4147" s="1" t="s">
        <v>13076</v>
      </c>
      <c r="AA4147" s="1">
        <v>201900000</v>
      </c>
      <c r="AB4147" s="1">
        <v>35</v>
      </c>
    </row>
    <row r="4148" spans="1:28" x14ac:dyDescent="0.2">
      <c r="A4148" s="1">
        <v>10626</v>
      </c>
      <c r="B4148" s="1" t="s">
        <v>6839</v>
      </c>
      <c r="D4148" s="1" t="s">
        <v>11735</v>
      </c>
      <c r="F4148" s="1" t="s">
        <v>5540</v>
      </c>
      <c r="G4148" s="1" t="s">
        <v>5541</v>
      </c>
      <c r="H4148" s="1" t="s">
        <v>5556</v>
      </c>
      <c r="J4148" s="1" t="s">
        <v>999</v>
      </c>
      <c r="L4148" s="1" t="s">
        <v>1395</v>
      </c>
      <c r="N4148" s="1" t="s">
        <v>1396</v>
      </c>
      <c r="P4148" s="1" t="s">
        <v>1337</v>
      </c>
      <c r="Q4148" s="3">
        <v>0</v>
      </c>
      <c r="R4148" s="23" t="s">
        <v>12893</v>
      </c>
      <c r="S4148" s="23" t="s">
        <v>6846</v>
      </c>
      <c r="T4148" s="23" t="s">
        <v>4866</v>
      </c>
      <c r="U4148" s="3">
        <v>35</v>
      </c>
      <c r="W4148" s="45" t="str">
        <f>HYPERLINK("http://ictvonline.org/taxonomy/p/taxonomy-history?taxnode_id=201901565","ICTVonline=201901565")</f>
        <v>ICTVonline=201901565</v>
      </c>
      <c r="Z4148" s="1" t="s">
        <v>13077</v>
      </c>
      <c r="AA4148" s="1">
        <v>201900000</v>
      </c>
      <c r="AB4148" s="1">
        <v>35</v>
      </c>
    </row>
    <row r="4149" spans="1:28" x14ac:dyDescent="0.2">
      <c r="A4149" s="1">
        <v>10628</v>
      </c>
      <c r="B4149" s="1" t="s">
        <v>6839</v>
      </c>
      <c r="D4149" s="1" t="s">
        <v>11735</v>
      </c>
      <c r="F4149" s="1" t="s">
        <v>5540</v>
      </c>
      <c r="G4149" s="1" t="s">
        <v>5541</v>
      </c>
      <c r="H4149" s="1" t="s">
        <v>5556</v>
      </c>
      <c r="J4149" s="1" t="s">
        <v>999</v>
      </c>
      <c r="L4149" s="1" t="s">
        <v>1395</v>
      </c>
      <c r="N4149" s="1" t="s">
        <v>1396</v>
      </c>
      <c r="P4149" s="1" t="s">
        <v>1397</v>
      </c>
      <c r="Q4149" s="3">
        <v>0</v>
      </c>
      <c r="R4149" s="23" t="s">
        <v>12893</v>
      </c>
      <c r="S4149" s="23" t="s">
        <v>6846</v>
      </c>
      <c r="T4149" s="23" t="s">
        <v>4866</v>
      </c>
      <c r="U4149" s="3">
        <v>35</v>
      </c>
      <c r="W4149" s="45" t="str">
        <f>HYPERLINK("http://ictvonline.org/taxonomy/p/taxonomy-history?taxnode_id=201901566","ICTVonline=201901566")</f>
        <v>ICTVonline=201901566</v>
      </c>
      <c r="Z4149" s="1" t="s">
        <v>13078</v>
      </c>
      <c r="AA4149" s="1">
        <v>201900000</v>
      </c>
      <c r="AB4149" s="1">
        <v>35</v>
      </c>
    </row>
    <row r="4150" spans="1:28" x14ac:dyDescent="0.2">
      <c r="A4150" s="1">
        <v>10630</v>
      </c>
      <c r="B4150" s="1" t="s">
        <v>6839</v>
      </c>
      <c r="D4150" s="1" t="s">
        <v>11735</v>
      </c>
      <c r="F4150" s="1" t="s">
        <v>5540</v>
      </c>
      <c r="G4150" s="1" t="s">
        <v>5541</v>
      </c>
      <c r="H4150" s="1" t="s">
        <v>5556</v>
      </c>
      <c r="J4150" s="1" t="s">
        <v>999</v>
      </c>
      <c r="L4150" s="1" t="s">
        <v>1395</v>
      </c>
      <c r="N4150" s="1" t="s">
        <v>1396</v>
      </c>
      <c r="P4150" s="1" t="s">
        <v>1398</v>
      </c>
      <c r="Q4150" s="3">
        <v>0</v>
      </c>
      <c r="R4150" s="23" t="s">
        <v>12893</v>
      </c>
      <c r="S4150" s="23" t="s">
        <v>6846</v>
      </c>
      <c r="T4150" s="23" t="s">
        <v>4866</v>
      </c>
      <c r="U4150" s="3">
        <v>35</v>
      </c>
      <c r="W4150" s="45" t="str">
        <f>HYPERLINK("http://ictvonline.org/taxonomy/p/taxonomy-history?taxnode_id=201901567","ICTVonline=201901567")</f>
        <v>ICTVonline=201901567</v>
      </c>
      <c r="Z4150" s="1" t="s">
        <v>13079</v>
      </c>
      <c r="AA4150" s="1">
        <v>201900000</v>
      </c>
      <c r="AB4150" s="1">
        <v>35</v>
      </c>
    </row>
    <row r="4151" spans="1:28" x14ac:dyDescent="0.2">
      <c r="A4151" s="1">
        <v>10632</v>
      </c>
      <c r="B4151" s="1" t="s">
        <v>6839</v>
      </c>
      <c r="D4151" s="1" t="s">
        <v>11735</v>
      </c>
      <c r="F4151" s="1" t="s">
        <v>5540</v>
      </c>
      <c r="G4151" s="1" t="s">
        <v>5541</v>
      </c>
      <c r="H4151" s="1" t="s">
        <v>5556</v>
      </c>
      <c r="J4151" s="1" t="s">
        <v>999</v>
      </c>
      <c r="L4151" s="1" t="s">
        <v>1395</v>
      </c>
      <c r="N4151" s="1" t="s">
        <v>1396</v>
      </c>
      <c r="P4151" s="1" t="s">
        <v>5037</v>
      </c>
      <c r="Q4151" s="3">
        <v>0</v>
      </c>
      <c r="R4151" s="23" t="s">
        <v>12893</v>
      </c>
      <c r="S4151" s="23" t="s">
        <v>6846</v>
      </c>
      <c r="T4151" s="23" t="s">
        <v>4866</v>
      </c>
      <c r="U4151" s="3">
        <v>35</v>
      </c>
      <c r="W4151" s="45" t="str">
        <f>HYPERLINK("http://ictvonline.org/taxonomy/p/taxonomy-history?taxnode_id=201901568","ICTVonline=201901568")</f>
        <v>ICTVonline=201901568</v>
      </c>
      <c r="Z4151" s="1" t="s">
        <v>13080</v>
      </c>
      <c r="AA4151" s="1">
        <v>201900000</v>
      </c>
      <c r="AB4151" s="1">
        <v>35</v>
      </c>
    </row>
    <row r="4152" spans="1:28" x14ac:dyDescent="0.2">
      <c r="A4152" s="1">
        <v>10634</v>
      </c>
      <c r="B4152" s="1" t="s">
        <v>6839</v>
      </c>
      <c r="D4152" s="1" t="s">
        <v>11735</v>
      </c>
      <c r="F4152" s="1" t="s">
        <v>5540</v>
      </c>
      <c r="G4152" s="1" t="s">
        <v>5541</v>
      </c>
      <c r="H4152" s="1" t="s">
        <v>5556</v>
      </c>
      <c r="J4152" s="1" t="s">
        <v>999</v>
      </c>
      <c r="L4152" s="1" t="s">
        <v>1395</v>
      </c>
      <c r="N4152" s="1" t="s">
        <v>1396</v>
      </c>
      <c r="P4152" s="1" t="s">
        <v>1399</v>
      </c>
      <c r="Q4152" s="3">
        <v>1</v>
      </c>
      <c r="R4152" s="23" t="s">
        <v>12893</v>
      </c>
      <c r="S4152" s="23" t="s">
        <v>6846</v>
      </c>
      <c r="T4152" s="23" t="s">
        <v>4866</v>
      </c>
      <c r="U4152" s="3">
        <v>35</v>
      </c>
      <c r="W4152" s="45" t="str">
        <f>HYPERLINK("http://ictvonline.org/taxonomy/p/taxonomy-history?taxnode_id=201901569","ICTVonline=201901569")</f>
        <v>ICTVonline=201901569</v>
      </c>
      <c r="Z4152" s="1" t="s">
        <v>13081</v>
      </c>
      <c r="AA4152" s="1">
        <v>201900000</v>
      </c>
      <c r="AB4152" s="1">
        <v>35</v>
      </c>
    </row>
    <row r="4153" spans="1:28" x14ac:dyDescent="0.2">
      <c r="A4153" s="1">
        <v>10638</v>
      </c>
      <c r="B4153" s="1" t="s">
        <v>6839</v>
      </c>
      <c r="D4153" s="1" t="s">
        <v>11735</v>
      </c>
      <c r="F4153" s="1" t="s">
        <v>5540</v>
      </c>
      <c r="G4153" s="1" t="s">
        <v>5541</v>
      </c>
      <c r="H4153" s="1" t="s">
        <v>5556</v>
      </c>
      <c r="J4153" s="1" t="s">
        <v>999</v>
      </c>
      <c r="L4153" s="1" t="s">
        <v>1395</v>
      </c>
      <c r="N4153" s="1" t="s">
        <v>1400</v>
      </c>
      <c r="P4153" s="1" t="s">
        <v>1338</v>
      </c>
      <c r="Q4153" s="3">
        <v>1</v>
      </c>
      <c r="R4153" s="23" t="s">
        <v>12893</v>
      </c>
      <c r="S4153" s="23" t="s">
        <v>6846</v>
      </c>
      <c r="T4153" s="23" t="s">
        <v>4866</v>
      </c>
      <c r="U4153" s="3">
        <v>35</v>
      </c>
      <c r="W4153" s="45" t="str">
        <f>HYPERLINK("http://ictvonline.org/taxonomy/p/taxonomy-history?taxnode_id=201901571","ICTVonline=201901571")</f>
        <v>ICTVonline=201901571</v>
      </c>
      <c r="Z4153" s="1" t="s">
        <v>13082</v>
      </c>
      <c r="AA4153" s="1">
        <v>201900000</v>
      </c>
      <c r="AB4153" s="1">
        <v>35</v>
      </c>
    </row>
    <row r="4154" spans="1:28" x14ac:dyDescent="0.2">
      <c r="A4154" s="1">
        <v>10642</v>
      </c>
      <c r="B4154" s="1" t="s">
        <v>6839</v>
      </c>
      <c r="D4154" s="1" t="s">
        <v>11735</v>
      </c>
      <c r="F4154" s="1" t="s">
        <v>5540</v>
      </c>
      <c r="G4154" s="1" t="s">
        <v>5541</v>
      </c>
      <c r="H4154" s="1" t="s">
        <v>5556</v>
      </c>
      <c r="J4154" s="1" t="s">
        <v>999</v>
      </c>
      <c r="L4154" s="1" t="s">
        <v>1395</v>
      </c>
      <c r="N4154" s="1" t="s">
        <v>5851</v>
      </c>
      <c r="P4154" s="1" t="s">
        <v>5852</v>
      </c>
      <c r="Q4154" s="3">
        <v>1</v>
      </c>
      <c r="R4154" s="23" t="s">
        <v>12893</v>
      </c>
      <c r="S4154" s="23" t="s">
        <v>6846</v>
      </c>
      <c r="T4154" s="23" t="s">
        <v>4866</v>
      </c>
      <c r="U4154" s="3">
        <v>35</v>
      </c>
      <c r="W4154" s="45" t="str">
        <f>HYPERLINK("http://ictvonline.org/taxonomy/p/taxonomy-history?taxnode_id=201906582","ICTVonline=201906582")</f>
        <v>ICTVonline=201906582</v>
      </c>
      <c r="X4154" s="1" t="s">
        <v>13083</v>
      </c>
      <c r="Y4154" s="1" t="s">
        <v>13084</v>
      </c>
      <c r="Z4154" s="1" t="s">
        <v>13085</v>
      </c>
      <c r="AA4154" s="1">
        <v>201900000</v>
      </c>
      <c r="AB4154" s="1">
        <v>35</v>
      </c>
    </row>
    <row r="4155" spans="1:28" x14ac:dyDescent="0.2">
      <c r="A4155" s="1">
        <v>10646</v>
      </c>
      <c r="B4155" s="1" t="s">
        <v>6839</v>
      </c>
      <c r="D4155" s="1" t="s">
        <v>11735</v>
      </c>
      <c r="F4155" s="1" t="s">
        <v>5540</v>
      </c>
      <c r="G4155" s="1" t="s">
        <v>5541</v>
      </c>
      <c r="H4155" s="1" t="s">
        <v>5556</v>
      </c>
      <c r="J4155" s="1" t="s">
        <v>999</v>
      </c>
      <c r="L4155" s="1" t="s">
        <v>1395</v>
      </c>
      <c r="N4155" s="1" t="s">
        <v>5853</v>
      </c>
      <c r="P4155" s="1" t="s">
        <v>5854</v>
      </c>
      <c r="Q4155" s="3">
        <v>1</v>
      </c>
      <c r="R4155" s="23" t="s">
        <v>12893</v>
      </c>
      <c r="S4155" s="23" t="s">
        <v>6846</v>
      </c>
      <c r="T4155" s="23" t="s">
        <v>4866</v>
      </c>
      <c r="U4155" s="3">
        <v>35</v>
      </c>
      <c r="W4155" s="45" t="str">
        <f>HYPERLINK("http://ictvonline.org/taxonomy/p/taxonomy-history?taxnode_id=201906584","ICTVonline=201906584")</f>
        <v>ICTVonline=201906584</v>
      </c>
      <c r="X4155" s="1" t="s">
        <v>13086</v>
      </c>
      <c r="Y4155" s="1" t="s">
        <v>13087</v>
      </c>
      <c r="Z4155" s="1" t="s">
        <v>13088</v>
      </c>
      <c r="AA4155" s="1">
        <v>201900000</v>
      </c>
      <c r="AB4155" s="1">
        <v>35</v>
      </c>
    </row>
    <row r="4156" spans="1:28" x14ac:dyDescent="0.2">
      <c r="A4156" s="1">
        <v>10652</v>
      </c>
      <c r="B4156" s="1" t="s">
        <v>6839</v>
      </c>
      <c r="D4156" s="1" t="s">
        <v>11735</v>
      </c>
      <c r="F4156" s="1" t="s">
        <v>5540</v>
      </c>
      <c r="G4156" s="1" t="s">
        <v>5541</v>
      </c>
      <c r="H4156" s="1" t="s">
        <v>5556</v>
      </c>
      <c r="J4156" s="1" t="s">
        <v>999</v>
      </c>
      <c r="L4156" s="1" t="s">
        <v>5595</v>
      </c>
      <c r="N4156" s="1" t="s">
        <v>3566</v>
      </c>
      <c r="P4156" s="1" t="s">
        <v>5596</v>
      </c>
      <c r="Q4156" s="3">
        <v>0</v>
      </c>
      <c r="R4156" s="23" t="s">
        <v>12893</v>
      </c>
      <c r="S4156" s="23" t="s">
        <v>6846</v>
      </c>
      <c r="T4156" s="23" t="s">
        <v>4866</v>
      </c>
      <c r="U4156" s="3">
        <v>35</v>
      </c>
      <c r="W4156" s="45" t="str">
        <f>HYPERLINK("http://ictvonline.org/taxonomy/p/taxonomy-history?taxnode_id=201901820","ICTVonline=201901820")</f>
        <v>ICTVonline=201901820</v>
      </c>
      <c r="X4156" s="1" t="s">
        <v>13089</v>
      </c>
      <c r="Y4156" s="1" t="s">
        <v>13090</v>
      </c>
      <c r="Z4156" s="1" t="s">
        <v>13091</v>
      </c>
      <c r="AA4156" s="1">
        <v>201900000</v>
      </c>
      <c r="AB4156" s="1">
        <v>35</v>
      </c>
    </row>
    <row r="4157" spans="1:28" x14ac:dyDescent="0.2">
      <c r="A4157" s="1">
        <v>10654</v>
      </c>
      <c r="B4157" s="1" t="s">
        <v>6839</v>
      </c>
      <c r="D4157" s="1" t="s">
        <v>11735</v>
      </c>
      <c r="F4157" s="1" t="s">
        <v>5540</v>
      </c>
      <c r="G4157" s="1" t="s">
        <v>5541</v>
      </c>
      <c r="H4157" s="1" t="s">
        <v>5556</v>
      </c>
      <c r="J4157" s="1" t="s">
        <v>999</v>
      </c>
      <c r="L4157" s="1" t="s">
        <v>5595</v>
      </c>
      <c r="N4157" s="1" t="s">
        <v>3566</v>
      </c>
      <c r="P4157" s="1" t="s">
        <v>5597</v>
      </c>
      <c r="Q4157" s="3">
        <v>0</v>
      </c>
      <c r="R4157" s="23" t="s">
        <v>12893</v>
      </c>
      <c r="S4157" s="23" t="s">
        <v>6846</v>
      </c>
      <c r="T4157" s="23" t="s">
        <v>4866</v>
      </c>
      <c r="U4157" s="3">
        <v>35</v>
      </c>
      <c r="W4157" s="45" t="str">
        <f>HYPERLINK("http://ictvonline.org/taxonomy/p/taxonomy-history?taxnode_id=201906266","ICTVonline=201906266")</f>
        <v>ICTVonline=201906266</v>
      </c>
      <c r="X4157" s="1" t="s">
        <v>13092</v>
      </c>
      <c r="Y4157" s="1" t="s">
        <v>13093</v>
      </c>
      <c r="Z4157" s="1" t="s">
        <v>13094</v>
      </c>
      <c r="AA4157" s="1">
        <v>201900000</v>
      </c>
      <c r="AB4157" s="1">
        <v>35</v>
      </c>
    </row>
    <row r="4158" spans="1:28" x14ac:dyDescent="0.2">
      <c r="A4158" s="1">
        <v>10656</v>
      </c>
      <c r="B4158" s="1" t="s">
        <v>6839</v>
      </c>
      <c r="D4158" s="1" t="s">
        <v>11735</v>
      </c>
      <c r="F4158" s="1" t="s">
        <v>5540</v>
      </c>
      <c r="G4158" s="1" t="s">
        <v>5541</v>
      </c>
      <c r="H4158" s="1" t="s">
        <v>5556</v>
      </c>
      <c r="J4158" s="1" t="s">
        <v>999</v>
      </c>
      <c r="L4158" s="1" t="s">
        <v>5595</v>
      </c>
      <c r="N4158" s="1" t="s">
        <v>3566</v>
      </c>
      <c r="P4158" s="1" t="s">
        <v>3567</v>
      </c>
      <c r="Q4158" s="3">
        <v>1</v>
      </c>
      <c r="R4158" s="23" t="s">
        <v>12893</v>
      </c>
      <c r="S4158" s="23" t="s">
        <v>6846</v>
      </c>
      <c r="T4158" s="23" t="s">
        <v>4866</v>
      </c>
      <c r="U4158" s="3">
        <v>35</v>
      </c>
      <c r="W4158" s="45" t="str">
        <f>HYPERLINK("http://ictvonline.org/taxonomy/p/taxonomy-history?taxnode_id=201901814","ICTVonline=201901814")</f>
        <v>ICTVonline=201901814</v>
      </c>
      <c r="X4158" s="1" t="s">
        <v>13095</v>
      </c>
      <c r="Y4158" s="1" t="s">
        <v>13096</v>
      </c>
      <c r="Z4158" s="1" t="s">
        <v>13097</v>
      </c>
      <c r="AA4158" s="1">
        <v>201900000</v>
      </c>
      <c r="AB4158" s="1">
        <v>35</v>
      </c>
    </row>
    <row r="4159" spans="1:28" x14ac:dyDescent="0.2">
      <c r="A4159" s="1">
        <v>10658</v>
      </c>
      <c r="B4159" s="1" t="s">
        <v>6839</v>
      </c>
      <c r="D4159" s="1" t="s">
        <v>11735</v>
      </c>
      <c r="F4159" s="1" t="s">
        <v>5540</v>
      </c>
      <c r="G4159" s="1" t="s">
        <v>5541</v>
      </c>
      <c r="H4159" s="1" t="s">
        <v>5556</v>
      </c>
      <c r="J4159" s="1" t="s">
        <v>999</v>
      </c>
      <c r="L4159" s="1" t="s">
        <v>5595</v>
      </c>
      <c r="N4159" s="1" t="s">
        <v>3566</v>
      </c>
      <c r="P4159" s="1" t="s">
        <v>5598</v>
      </c>
      <c r="Q4159" s="3">
        <v>0</v>
      </c>
      <c r="R4159" s="23" t="s">
        <v>12893</v>
      </c>
      <c r="S4159" s="23" t="s">
        <v>6846</v>
      </c>
      <c r="T4159" s="23" t="s">
        <v>4866</v>
      </c>
      <c r="U4159" s="3">
        <v>35</v>
      </c>
      <c r="W4159" s="45" t="str">
        <f>HYPERLINK("http://ictvonline.org/taxonomy/p/taxonomy-history?taxnode_id=201906268","ICTVonline=201906268")</f>
        <v>ICTVonline=201906268</v>
      </c>
      <c r="X4159" s="1" t="s">
        <v>13098</v>
      </c>
      <c r="Y4159" s="1" t="s">
        <v>13099</v>
      </c>
      <c r="Z4159" s="1" t="s">
        <v>13100</v>
      </c>
      <c r="AA4159" s="1">
        <v>201900000</v>
      </c>
      <c r="AB4159" s="1">
        <v>35</v>
      </c>
    </row>
    <row r="4160" spans="1:28" x14ac:dyDescent="0.2">
      <c r="A4160" s="1">
        <v>10660</v>
      </c>
      <c r="B4160" s="1" t="s">
        <v>6839</v>
      </c>
      <c r="D4160" s="1" t="s">
        <v>11735</v>
      </c>
      <c r="F4160" s="1" t="s">
        <v>5540</v>
      </c>
      <c r="G4160" s="1" t="s">
        <v>5541</v>
      </c>
      <c r="H4160" s="1" t="s">
        <v>5556</v>
      </c>
      <c r="J4160" s="1" t="s">
        <v>999</v>
      </c>
      <c r="L4160" s="1" t="s">
        <v>5595</v>
      </c>
      <c r="N4160" s="1" t="s">
        <v>3566</v>
      </c>
      <c r="P4160" s="1" t="s">
        <v>5599</v>
      </c>
      <c r="Q4160" s="3">
        <v>0</v>
      </c>
      <c r="R4160" s="23" t="s">
        <v>12893</v>
      </c>
      <c r="S4160" s="23" t="s">
        <v>6846</v>
      </c>
      <c r="T4160" s="23" t="s">
        <v>4866</v>
      </c>
      <c r="U4160" s="3">
        <v>35</v>
      </c>
      <c r="W4160" s="45" t="str">
        <f>HYPERLINK("http://ictvonline.org/taxonomy/p/taxonomy-history?taxnode_id=201901816","ICTVonline=201901816")</f>
        <v>ICTVonline=201901816</v>
      </c>
      <c r="X4160" s="1" t="s">
        <v>13101</v>
      </c>
      <c r="Y4160" s="1" t="s">
        <v>13102</v>
      </c>
      <c r="Z4160" s="1" t="s">
        <v>13103</v>
      </c>
      <c r="AA4160" s="1">
        <v>201900000</v>
      </c>
      <c r="AB4160" s="1">
        <v>35</v>
      </c>
    </row>
    <row r="4161" spans="1:28" x14ac:dyDescent="0.2">
      <c r="A4161" s="1">
        <v>10662</v>
      </c>
      <c r="B4161" s="1" t="s">
        <v>6839</v>
      </c>
      <c r="D4161" s="1" t="s">
        <v>11735</v>
      </c>
      <c r="F4161" s="1" t="s">
        <v>5540</v>
      </c>
      <c r="G4161" s="1" t="s">
        <v>5541</v>
      </c>
      <c r="H4161" s="1" t="s">
        <v>5556</v>
      </c>
      <c r="J4161" s="1" t="s">
        <v>999</v>
      </c>
      <c r="L4161" s="1" t="s">
        <v>5595</v>
      </c>
      <c r="N4161" s="1" t="s">
        <v>3566</v>
      </c>
      <c r="P4161" s="1" t="s">
        <v>5600</v>
      </c>
      <c r="Q4161" s="3">
        <v>0</v>
      </c>
      <c r="R4161" s="23" t="s">
        <v>12893</v>
      </c>
      <c r="S4161" s="23" t="s">
        <v>6846</v>
      </c>
      <c r="T4161" s="23" t="s">
        <v>4866</v>
      </c>
      <c r="U4161" s="3">
        <v>35</v>
      </c>
      <c r="W4161" s="45" t="str">
        <f>HYPERLINK("http://ictvonline.org/taxonomy/p/taxonomy-history?taxnode_id=201906267","ICTVonline=201906267")</f>
        <v>ICTVonline=201906267</v>
      </c>
      <c r="X4161" s="1" t="s">
        <v>13104</v>
      </c>
      <c r="Y4161" s="1" t="s">
        <v>13105</v>
      </c>
      <c r="Z4161" s="1" t="s">
        <v>13106</v>
      </c>
      <c r="AA4161" s="1">
        <v>201900000</v>
      </c>
      <c r="AB4161" s="1">
        <v>35</v>
      </c>
    </row>
    <row r="4162" spans="1:28" x14ac:dyDescent="0.2">
      <c r="A4162" s="1">
        <v>10668</v>
      </c>
      <c r="B4162" s="1" t="s">
        <v>6839</v>
      </c>
      <c r="D4162" s="1" t="s">
        <v>11735</v>
      </c>
      <c r="F4162" s="1" t="s">
        <v>5540</v>
      </c>
      <c r="G4162" s="1" t="s">
        <v>5541</v>
      </c>
      <c r="H4162" s="1" t="s">
        <v>5556</v>
      </c>
      <c r="J4162" s="1" t="s">
        <v>999</v>
      </c>
      <c r="L4162" s="1" t="s">
        <v>3501</v>
      </c>
      <c r="N4162" s="1" t="s">
        <v>13107</v>
      </c>
      <c r="P4162" s="1" t="s">
        <v>13108</v>
      </c>
      <c r="Q4162" s="3">
        <v>1</v>
      </c>
      <c r="R4162" s="23" t="s">
        <v>12893</v>
      </c>
      <c r="S4162" s="23" t="s">
        <v>6846</v>
      </c>
      <c r="T4162" s="23" t="s">
        <v>4864</v>
      </c>
      <c r="U4162" s="3">
        <v>35</v>
      </c>
      <c r="V4162" s="3" t="s">
        <v>13109</v>
      </c>
      <c r="W4162" s="45" t="str">
        <f>HYPERLINK("http://ictvonline.org/taxonomy/p/taxonomy-history?taxnode_id=201908670","ICTVonline=201908670")</f>
        <v>ICTVonline=201908670</v>
      </c>
      <c r="X4162" s="1" t="s">
        <v>13110</v>
      </c>
      <c r="Y4162" s="1" t="s">
        <v>13111</v>
      </c>
      <c r="Z4162" s="1" t="s">
        <v>13112</v>
      </c>
      <c r="AA4162" s="1">
        <v>201900000</v>
      </c>
      <c r="AB4162" s="1">
        <v>35</v>
      </c>
    </row>
    <row r="4163" spans="1:28" x14ac:dyDescent="0.2">
      <c r="A4163" s="1">
        <v>10670</v>
      </c>
      <c r="B4163" s="1" t="s">
        <v>6839</v>
      </c>
      <c r="D4163" s="1" t="s">
        <v>11735</v>
      </c>
      <c r="F4163" s="1" t="s">
        <v>5540</v>
      </c>
      <c r="G4163" s="1" t="s">
        <v>5541</v>
      </c>
      <c r="H4163" s="1" t="s">
        <v>5556</v>
      </c>
      <c r="J4163" s="1" t="s">
        <v>999</v>
      </c>
      <c r="L4163" s="1" t="s">
        <v>3501</v>
      </c>
      <c r="N4163" s="1" t="s">
        <v>13107</v>
      </c>
      <c r="P4163" s="1" t="s">
        <v>13113</v>
      </c>
      <c r="Q4163" s="3">
        <v>0</v>
      </c>
      <c r="R4163" s="23" t="s">
        <v>12893</v>
      </c>
      <c r="S4163" s="23" t="s">
        <v>6846</v>
      </c>
      <c r="T4163" s="23" t="s">
        <v>4864</v>
      </c>
      <c r="U4163" s="3">
        <v>35</v>
      </c>
      <c r="V4163" s="3" t="s">
        <v>13109</v>
      </c>
      <c r="W4163" s="45" t="str">
        <f>HYPERLINK("http://ictvonline.org/taxonomy/p/taxonomy-history?taxnode_id=201908671","ICTVonline=201908671")</f>
        <v>ICTVonline=201908671</v>
      </c>
      <c r="X4163" s="1" t="s">
        <v>13114</v>
      </c>
      <c r="Y4163" s="1" t="s">
        <v>13115</v>
      </c>
      <c r="Z4163" s="1" t="s">
        <v>13116</v>
      </c>
      <c r="AA4163" s="1">
        <v>201900000</v>
      </c>
      <c r="AB4163" s="1">
        <v>35</v>
      </c>
    </row>
    <row r="4164" spans="1:28" x14ac:dyDescent="0.2">
      <c r="A4164" s="1">
        <v>10674</v>
      </c>
      <c r="B4164" s="1" t="s">
        <v>6839</v>
      </c>
      <c r="D4164" s="1" t="s">
        <v>11735</v>
      </c>
      <c r="F4164" s="1" t="s">
        <v>5540</v>
      </c>
      <c r="G4164" s="1" t="s">
        <v>5541</v>
      </c>
      <c r="H4164" s="1" t="s">
        <v>5556</v>
      </c>
      <c r="J4164" s="1" t="s">
        <v>999</v>
      </c>
      <c r="L4164" s="1" t="s">
        <v>3501</v>
      </c>
      <c r="N4164" s="1" t="s">
        <v>3502</v>
      </c>
      <c r="P4164" s="1" t="s">
        <v>5601</v>
      </c>
      <c r="Q4164" s="3">
        <v>0</v>
      </c>
      <c r="R4164" s="23" t="s">
        <v>12893</v>
      </c>
      <c r="S4164" s="23" t="s">
        <v>6846</v>
      </c>
      <c r="T4164" s="23" t="s">
        <v>4866</v>
      </c>
      <c r="U4164" s="3">
        <v>35</v>
      </c>
      <c r="W4164" s="45" t="str">
        <f>HYPERLINK("http://ictvonline.org/taxonomy/p/taxonomy-history?taxnode_id=201906247","ICTVonline=201906247")</f>
        <v>ICTVonline=201906247</v>
      </c>
      <c r="X4164" s="1" t="s">
        <v>13117</v>
      </c>
      <c r="Y4164" s="1" t="s">
        <v>13118</v>
      </c>
      <c r="Z4164" s="1" t="s">
        <v>13119</v>
      </c>
      <c r="AA4164" s="1">
        <v>201900000</v>
      </c>
      <c r="AB4164" s="1">
        <v>35</v>
      </c>
    </row>
    <row r="4165" spans="1:28" x14ac:dyDescent="0.2">
      <c r="A4165" s="1">
        <v>10676</v>
      </c>
      <c r="B4165" s="1" t="s">
        <v>6839</v>
      </c>
      <c r="D4165" s="1" t="s">
        <v>11735</v>
      </c>
      <c r="F4165" s="1" t="s">
        <v>5540</v>
      </c>
      <c r="G4165" s="1" t="s">
        <v>5541</v>
      </c>
      <c r="H4165" s="1" t="s">
        <v>5556</v>
      </c>
      <c r="J4165" s="1" t="s">
        <v>999</v>
      </c>
      <c r="L4165" s="1" t="s">
        <v>3501</v>
      </c>
      <c r="N4165" s="1" t="s">
        <v>3502</v>
      </c>
      <c r="P4165" s="1" t="s">
        <v>5602</v>
      </c>
      <c r="Q4165" s="3">
        <v>0</v>
      </c>
      <c r="R4165" s="23" t="s">
        <v>12893</v>
      </c>
      <c r="S4165" s="23" t="s">
        <v>6846</v>
      </c>
      <c r="T4165" s="23" t="s">
        <v>4866</v>
      </c>
      <c r="U4165" s="3">
        <v>35</v>
      </c>
      <c r="W4165" s="45" t="str">
        <f>HYPERLINK("http://ictvonline.org/taxonomy/p/taxonomy-history?taxnode_id=201906248","ICTVonline=201906248")</f>
        <v>ICTVonline=201906248</v>
      </c>
      <c r="X4165" s="1" t="s">
        <v>13120</v>
      </c>
      <c r="Y4165" s="1" t="s">
        <v>13121</v>
      </c>
      <c r="Z4165" s="1" t="s">
        <v>13122</v>
      </c>
      <c r="AA4165" s="1">
        <v>201900000</v>
      </c>
      <c r="AB4165" s="1">
        <v>35</v>
      </c>
    </row>
    <row r="4166" spans="1:28" x14ac:dyDescent="0.2">
      <c r="A4166" s="1">
        <v>10678</v>
      </c>
      <c r="B4166" s="1" t="s">
        <v>6839</v>
      </c>
      <c r="D4166" s="1" t="s">
        <v>11735</v>
      </c>
      <c r="F4166" s="1" t="s">
        <v>5540</v>
      </c>
      <c r="G4166" s="1" t="s">
        <v>5541</v>
      </c>
      <c r="H4166" s="1" t="s">
        <v>5556</v>
      </c>
      <c r="J4166" s="1" t="s">
        <v>999</v>
      </c>
      <c r="L4166" s="1" t="s">
        <v>3501</v>
      </c>
      <c r="N4166" s="1" t="s">
        <v>3502</v>
      </c>
      <c r="P4166" s="1" t="s">
        <v>5603</v>
      </c>
      <c r="Q4166" s="3">
        <v>0</v>
      </c>
      <c r="R4166" s="23" t="s">
        <v>12893</v>
      </c>
      <c r="S4166" s="23" t="s">
        <v>6846</v>
      </c>
      <c r="T4166" s="23" t="s">
        <v>4866</v>
      </c>
      <c r="U4166" s="3">
        <v>35</v>
      </c>
      <c r="W4166" s="45" t="str">
        <f>HYPERLINK("http://ictvonline.org/taxonomy/p/taxonomy-history?taxnode_id=201906243","ICTVonline=201906243")</f>
        <v>ICTVonline=201906243</v>
      </c>
      <c r="X4166" s="1" t="s">
        <v>13123</v>
      </c>
      <c r="Y4166" s="1" t="s">
        <v>13124</v>
      </c>
      <c r="Z4166" s="1" t="s">
        <v>13125</v>
      </c>
      <c r="AA4166" s="1">
        <v>201900000</v>
      </c>
      <c r="AB4166" s="1">
        <v>35</v>
      </c>
    </row>
    <row r="4167" spans="1:28" x14ac:dyDescent="0.2">
      <c r="A4167" s="1">
        <v>10680</v>
      </c>
      <c r="B4167" s="1" t="s">
        <v>6839</v>
      </c>
      <c r="D4167" s="1" t="s">
        <v>11735</v>
      </c>
      <c r="F4167" s="1" t="s">
        <v>5540</v>
      </c>
      <c r="G4167" s="1" t="s">
        <v>5541</v>
      </c>
      <c r="H4167" s="1" t="s">
        <v>5556</v>
      </c>
      <c r="J4167" s="1" t="s">
        <v>999</v>
      </c>
      <c r="L4167" s="1" t="s">
        <v>3501</v>
      </c>
      <c r="N4167" s="1" t="s">
        <v>3502</v>
      </c>
      <c r="P4167" s="1" t="s">
        <v>5604</v>
      </c>
      <c r="Q4167" s="3">
        <v>0</v>
      </c>
      <c r="R4167" s="23" t="s">
        <v>12893</v>
      </c>
      <c r="S4167" s="23" t="s">
        <v>6846</v>
      </c>
      <c r="T4167" s="23" t="s">
        <v>4866</v>
      </c>
      <c r="U4167" s="3">
        <v>35</v>
      </c>
      <c r="W4167" s="45" t="str">
        <f>HYPERLINK("http://ictvonline.org/taxonomy/p/taxonomy-history?taxnode_id=201906246","ICTVonline=201906246")</f>
        <v>ICTVonline=201906246</v>
      </c>
      <c r="X4167" s="1" t="s">
        <v>13110</v>
      </c>
      <c r="Y4167" s="1" t="s">
        <v>13111</v>
      </c>
      <c r="Z4167" s="1" t="s">
        <v>13126</v>
      </c>
      <c r="AA4167" s="1">
        <v>201900000</v>
      </c>
      <c r="AB4167" s="1">
        <v>35</v>
      </c>
    </row>
    <row r="4168" spans="1:28" x14ac:dyDescent="0.2">
      <c r="A4168" s="1">
        <v>10682</v>
      </c>
      <c r="B4168" s="1" t="s">
        <v>6839</v>
      </c>
      <c r="D4168" s="1" t="s">
        <v>11735</v>
      </c>
      <c r="F4168" s="1" t="s">
        <v>5540</v>
      </c>
      <c r="G4168" s="1" t="s">
        <v>5541</v>
      </c>
      <c r="H4168" s="1" t="s">
        <v>5556</v>
      </c>
      <c r="J4168" s="1" t="s">
        <v>999</v>
      </c>
      <c r="L4168" s="1" t="s">
        <v>3501</v>
      </c>
      <c r="N4168" s="1" t="s">
        <v>3502</v>
      </c>
      <c r="P4168" s="1" t="s">
        <v>5605</v>
      </c>
      <c r="Q4168" s="3">
        <v>0</v>
      </c>
      <c r="R4168" s="23" t="s">
        <v>12893</v>
      </c>
      <c r="S4168" s="23" t="s">
        <v>6846</v>
      </c>
      <c r="T4168" s="23" t="s">
        <v>4866</v>
      </c>
      <c r="U4168" s="3">
        <v>35</v>
      </c>
      <c r="W4168" s="45" t="str">
        <f>HYPERLINK("http://ictvonline.org/taxonomy/p/taxonomy-history?taxnode_id=201906244","ICTVonline=201906244")</f>
        <v>ICTVonline=201906244</v>
      </c>
      <c r="X4168" s="1" t="s">
        <v>13127</v>
      </c>
      <c r="Y4168" s="1" t="s">
        <v>13128</v>
      </c>
      <c r="Z4168" s="1" t="s">
        <v>13129</v>
      </c>
      <c r="AA4168" s="1">
        <v>201900000</v>
      </c>
      <c r="AB4168" s="1">
        <v>35</v>
      </c>
    </row>
    <row r="4169" spans="1:28" x14ac:dyDescent="0.2">
      <c r="A4169" s="1">
        <v>10684</v>
      </c>
      <c r="B4169" s="1" t="s">
        <v>6839</v>
      </c>
      <c r="D4169" s="1" t="s">
        <v>11735</v>
      </c>
      <c r="F4169" s="1" t="s">
        <v>5540</v>
      </c>
      <c r="G4169" s="1" t="s">
        <v>5541</v>
      </c>
      <c r="H4169" s="1" t="s">
        <v>5556</v>
      </c>
      <c r="J4169" s="1" t="s">
        <v>999</v>
      </c>
      <c r="L4169" s="1" t="s">
        <v>3501</v>
      </c>
      <c r="N4169" s="1" t="s">
        <v>3502</v>
      </c>
      <c r="P4169" s="1" t="s">
        <v>5606</v>
      </c>
      <c r="Q4169" s="3">
        <v>0</v>
      </c>
      <c r="R4169" s="23" t="s">
        <v>12893</v>
      </c>
      <c r="S4169" s="23" t="s">
        <v>6846</v>
      </c>
      <c r="T4169" s="23" t="s">
        <v>4866</v>
      </c>
      <c r="U4169" s="3">
        <v>35</v>
      </c>
      <c r="W4169" s="45" t="str">
        <f>HYPERLINK("http://ictvonline.org/taxonomy/p/taxonomy-history?taxnode_id=201906245","ICTVonline=201906245")</f>
        <v>ICTVonline=201906245</v>
      </c>
      <c r="X4169" s="1" t="s">
        <v>13130</v>
      </c>
      <c r="Y4169" s="1" t="s">
        <v>13131</v>
      </c>
      <c r="Z4169" s="1" t="s">
        <v>13132</v>
      </c>
      <c r="AA4169" s="1">
        <v>201900000</v>
      </c>
      <c r="AB4169" s="1">
        <v>35</v>
      </c>
    </row>
    <row r="4170" spans="1:28" x14ac:dyDescent="0.2">
      <c r="A4170" s="1">
        <v>10686</v>
      </c>
      <c r="B4170" s="1" t="s">
        <v>6839</v>
      </c>
      <c r="D4170" s="1" t="s">
        <v>11735</v>
      </c>
      <c r="F4170" s="1" t="s">
        <v>5540</v>
      </c>
      <c r="G4170" s="1" t="s">
        <v>5541</v>
      </c>
      <c r="H4170" s="1" t="s">
        <v>5556</v>
      </c>
      <c r="J4170" s="1" t="s">
        <v>999</v>
      </c>
      <c r="L4170" s="1" t="s">
        <v>3501</v>
      </c>
      <c r="N4170" s="1" t="s">
        <v>3502</v>
      </c>
      <c r="P4170" s="1" t="s">
        <v>3503</v>
      </c>
      <c r="Q4170" s="3">
        <v>1</v>
      </c>
      <c r="R4170" s="23" t="s">
        <v>12893</v>
      </c>
      <c r="S4170" s="23" t="s">
        <v>6846</v>
      </c>
      <c r="T4170" s="23" t="s">
        <v>4866</v>
      </c>
      <c r="U4170" s="3">
        <v>35</v>
      </c>
      <c r="W4170" s="45" t="str">
        <f>HYPERLINK("http://ictvonline.org/taxonomy/p/taxonomy-history?taxnode_id=201901575","ICTVonline=201901575")</f>
        <v>ICTVonline=201901575</v>
      </c>
      <c r="X4170" s="1" t="s">
        <v>13133</v>
      </c>
      <c r="Y4170" s="1" t="s">
        <v>13134</v>
      </c>
      <c r="Z4170" s="1" t="s">
        <v>13135</v>
      </c>
      <c r="AA4170" s="1">
        <v>201900000</v>
      </c>
      <c r="AB4170" s="1">
        <v>35</v>
      </c>
    </row>
    <row r="4171" spans="1:28" x14ac:dyDescent="0.2">
      <c r="A4171" s="1">
        <v>10692</v>
      </c>
      <c r="B4171" s="1" t="s">
        <v>6839</v>
      </c>
      <c r="D4171" s="1" t="s">
        <v>11735</v>
      </c>
      <c r="F4171" s="1" t="s">
        <v>5540</v>
      </c>
      <c r="G4171" s="1" t="s">
        <v>5541</v>
      </c>
      <c r="H4171" s="1" t="s">
        <v>5556</v>
      </c>
      <c r="J4171" s="1" t="s">
        <v>999</v>
      </c>
      <c r="L4171" s="1" t="s">
        <v>2280</v>
      </c>
      <c r="N4171" s="1" t="s">
        <v>5607</v>
      </c>
      <c r="P4171" s="1" t="s">
        <v>5608</v>
      </c>
      <c r="Q4171" s="3">
        <v>0</v>
      </c>
      <c r="R4171" s="23" t="s">
        <v>12893</v>
      </c>
      <c r="S4171" s="23" t="s">
        <v>6846</v>
      </c>
      <c r="T4171" s="23" t="s">
        <v>4866</v>
      </c>
      <c r="U4171" s="3">
        <v>35</v>
      </c>
      <c r="W4171" s="45" t="str">
        <f>HYPERLINK("http://ictvonline.org/taxonomy/p/taxonomy-history?taxnode_id=201906257","ICTVonline=201906257")</f>
        <v>ICTVonline=201906257</v>
      </c>
      <c r="X4171" s="1" t="s">
        <v>13136</v>
      </c>
      <c r="Y4171" s="1" t="s">
        <v>13137</v>
      </c>
      <c r="Z4171" s="1" t="s">
        <v>13138</v>
      </c>
      <c r="AA4171" s="1">
        <v>201900000</v>
      </c>
      <c r="AB4171" s="1">
        <v>35</v>
      </c>
    </row>
    <row r="4172" spans="1:28" x14ac:dyDescent="0.2">
      <c r="A4172" s="1">
        <v>10694</v>
      </c>
      <c r="B4172" s="1" t="s">
        <v>6839</v>
      </c>
      <c r="D4172" s="1" t="s">
        <v>11735</v>
      </c>
      <c r="F4172" s="1" t="s">
        <v>5540</v>
      </c>
      <c r="G4172" s="1" t="s">
        <v>5541</v>
      </c>
      <c r="H4172" s="1" t="s">
        <v>5556</v>
      </c>
      <c r="J4172" s="1" t="s">
        <v>999</v>
      </c>
      <c r="L4172" s="1" t="s">
        <v>2280</v>
      </c>
      <c r="N4172" s="1" t="s">
        <v>5607</v>
      </c>
      <c r="P4172" s="1" t="s">
        <v>5609</v>
      </c>
      <c r="Q4172" s="3">
        <v>0</v>
      </c>
      <c r="R4172" s="23" t="s">
        <v>12893</v>
      </c>
      <c r="S4172" s="23" t="s">
        <v>6846</v>
      </c>
      <c r="T4172" s="23" t="s">
        <v>4866</v>
      </c>
      <c r="U4172" s="3">
        <v>35</v>
      </c>
      <c r="W4172" s="45" t="str">
        <f>HYPERLINK("http://ictvonline.org/taxonomy/p/taxonomy-history?taxnode_id=201906258","ICTVonline=201906258")</f>
        <v>ICTVonline=201906258</v>
      </c>
      <c r="X4172" s="1" t="s">
        <v>13139</v>
      </c>
      <c r="Y4172" s="1" t="s">
        <v>13140</v>
      </c>
      <c r="Z4172" s="1" t="s">
        <v>13141</v>
      </c>
      <c r="AA4172" s="1">
        <v>201900000</v>
      </c>
      <c r="AB4172" s="1">
        <v>35</v>
      </c>
    </row>
    <row r="4173" spans="1:28" x14ac:dyDescent="0.2">
      <c r="A4173" s="1">
        <v>10696</v>
      </c>
      <c r="B4173" s="1" t="s">
        <v>6839</v>
      </c>
      <c r="D4173" s="1" t="s">
        <v>11735</v>
      </c>
      <c r="F4173" s="1" t="s">
        <v>5540</v>
      </c>
      <c r="G4173" s="1" t="s">
        <v>5541</v>
      </c>
      <c r="H4173" s="1" t="s">
        <v>5556</v>
      </c>
      <c r="J4173" s="1" t="s">
        <v>999</v>
      </c>
      <c r="L4173" s="1" t="s">
        <v>2280</v>
      </c>
      <c r="N4173" s="1" t="s">
        <v>5607</v>
      </c>
      <c r="P4173" s="1" t="s">
        <v>5610</v>
      </c>
      <c r="Q4173" s="3">
        <v>1</v>
      </c>
      <c r="R4173" s="23" t="s">
        <v>12893</v>
      </c>
      <c r="S4173" s="23" t="s">
        <v>6846</v>
      </c>
      <c r="T4173" s="23" t="s">
        <v>4866</v>
      </c>
      <c r="U4173" s="3">
        <v>35</v>
      </c>
      <c r="W4173" s="45" t="str">
        <f>HYPERLINK("http://ictvonline.org/taxonomy/p/taxonomy-history?taxnode_id=201906256","ICTVonline=201906256")</f>
        <v>ICTVonline=201906256</v>
      </c>
      <c r="X4173" s="1" t="s">
        <v>13142</v>
      </c>
      <c r="Y4173" s="1" t="s">
        <v>13143</v>
      </c>
      <c r="Z4173" s="1" t="s">
        <v>13144</v>
      </c>
      <c r="AA4173" s="1">
        <v>201900000</v>
      </c>
      <c r="AB4173" s="1">
        <v>35</v>
      </c>
    </row>
    <row r="4174" spans="1:28" x14ac:dyDescent="0.2">
      <c r="A4174" s="1">
        <v>10700</v>
      </c>
      <c r="B4174" s="1" t="s">
        <v>6839</v>
      </c>
      <c r="D4174" s="1" t="s">
        <v>11735</v>
      </c>
      <c r="F4174" s="1" t="s">
        <v>5540</v>
      </c>
      <c r="G4174" s="1" t="s">
        <v>5541</v>
      </c>
      <c r="H4174" s="1" t="s">
        <v>5556</v>
      </c>
      <c r="J4174" s="1" t="s">
        <v>999</v>
      </c>
      <c r="L4174" s="1" t="s">
        <v>2280</v>
      </c>
      <c r="N4174" s="1" t="s">
        <v>3568</v>
      </c>
      <c r="P4174" s="1" t="s">
        <v>5611</v>
      </c>
      <c r="Q4174" s="3">
        <v>0</v>
      </c>
      <c r="R4174" s="23" t="s">
        <v>12893</v>
      </c>
      <c r="S4174" s="23" t="s">
        <v>6846</v>
      </c>
      <c r="T4174" s="23" t="s">
        <v>4866</v>
      </c>
      <c r="U4174" s="3">
        <v>35</v>
      </c>
      <c r="W4174" s="45" t="str">
        <f>HYPERLINK("http://ictvonline.org/taxonomy/p/taxonomy-history?taxnode_id=201906250","ICTVonline=201906250")</f>
        <v>ICTVonline=201906250</v>
      </c>
      <c r="X4174" s="1" t="s">
        <v>13145</v>
      </c>
      <c r="Y4174" s="1" t="s">
        <v>13146</v>
      </c>
      <c r="Z4174" s="1" t="s">
        <v>13147</v>
      </c>
      <c r="AA4174" s="1">
        <v>201900000</v>
      </c>
      <c r="AB4174" s="1">
        <v>35</v>
      </c>
    </row>
    <row r="4175" spans="1:28" x14ac:dyDescent="0.2">
      <c r="A4175" s="1">
        <v>10702</v>
      </c>
      <c r="B4175" s="1" t="s">
        <v>6839</v>
      </c>
      <c r="D4175" s="1" t="s">
        <v>11735</v>
      </c>
      <c r="F4175" s="1" t="s">
        <v>5540</v>
      </c>
      <c r="G4175" s="1" t="s">
        <v>5541</v>
      </c>
      <c r="H4175" s="1" t="s">
        <v>5556</v>
      </c>
      <c r="J4175" s="1" t="s">
        <v>999</v>
      </c>
      <c r="L4175" s="1" t="s">
        <v>2280</v>
      </c>
      <c r="N4175" s="1" t="s">
        <v>3568</v>
      </c>
      <c r="P4175" s="1" t="s">
        <v>5612</v>
      </c>
      <c r="Q4175" s="3">
        <v>0</v>
      </c>
      <c r="R4175" s="23" t="s">
        <v>12893</v>
      </c>
      <c r="S4175" s="23" t="s">
        <v>6846</v>
      </c>
      <c r="T4175" s="23" t="s">
        <v>4866</v>
      </c>
      <c r="U4175" s="3">
        <v>35</v>
      </c>
      <c r="W4175" s="45" t="str">
        <f>HYPERLINK("http://ictvonline.org/taxonomy/p/taxonomy-history?taxnode_id=201906249","ICTVonline=201906249")</f>
        <v>ICTVonline=201906249</v>
      </c>
      <c r="X4175" s="1" t="s">
        <v>13148</v>
      </c>
      <c r="Y4175" s="1" t="s">
        <v>13149</v>
      </c>
      <c r="Z4175" s="1" t="s">
        <v>13150</v>
      </c>
      <c r="AA4175" s="1">
        <v>201900000</v>
      </c>
      <c r="AB4175" s="1">
        <v>35</v>
      </c>
    </row>
    <row r="4176" spans="1:28" x14ac:dyDescent="0.2">
      <c r="A4176" s="1">
        <v>10704</v>
      </c>
      <c r="B4176" s="1" t="s">
        <v>6839</v>
      </c>
      <c r="D4176" s="1" t="s">
        <v>11735</v>
      </c>
      <c r="F4176" s="1" t="s">
        <v>5540</v>
      </c>
      <c r="G4176" s="1" t="s">
        <v>5541</v>
      </c>
      <c r="H4176" s="1" t="s">
        <v>5556</v>
      </c>
      <c r="J4176" s="1" t="s">
        <v>999</v>
      </c>
      <c r="L4176" s="1" t="s">
        <v>2280</v>
      </c>
      <c r="N4176" s="1" t="s">
        <v>3568</v>
      </c>
      <c r="P4176" s="1" t="s">
        <v>3569</v>
      </c>
      <c r="Q4176" s="3">
        <v>1</v>
      </c>
      <c r="R4176" s="23" t="s">
        <v>12893</v>
      </c>
      <c r="S4176" s="23" t="s">
        <v>6846</v>
      </c>
      <c r="T4176" s="23" t="s">
        <v>4866</v>
      </c>
      <c r="U4176" s="3">
        <v>35</v>
      </c>
      <c r="W4176" s="45" t="str">
        <f>HYPERLINK("http://ictvonline.org/taxonomy/p/taxonomy-history?taxnode_id=201901818","ICTVonline=201901818")</f>
        <v>ICTVonline=201901818</v>
      </c>
      <c r="X4176" s="1" t="s">
        <v>13151</v>
      </c>
      <c r="Y4176" s="1" t="s">
        <v>13152</v>
      </c>
      <c r="Z4176" s="1" t="s">
        <v>13153</v>
      </c>
      <c r="AA4176" s="1">
        <v>201900000</v>
      </c>
      <c r="AB4176" s="1">
        <v>35</v>
      </c>
    </row>
    <row r="4177" spans="1:28" x14ac:dyDescent="0.2">
      <c r="A4177" s="1">
        <v>10708</v>
      </c>
      <c r="B4177" s="1" t="s">
        <v>6839</v>
      </c>
      <c r="D4177" s="1" t="s">
        <v>11735</v>
      </c>
      <c r="F4177" s="1" t="s">
        <v>5540</v>
      </c>
      <c r="G4177" s="1" t="s">
        <v>5541</v>
      </c>
      <c r="H4177" s="1" t="s">
        <v>5556</v>
      </c>
      <c r="J4177" s="1" t="s">
        <v>999</v>
      </c>
      <c r="L4177" s="1" t="s">
        <v>2280</v>
      </c>
      <c r="N4177" s="1" t="s">
        <v>2281</v>
      </c>
      <c r="P4177" s="1" t="s">
        <v>2282</v>
      </c>
      <c r="Q4177" s="3">
        <v>0</v>
      </c>
      <c r="R4177" s="23" t="s">
        <v>12893</v>
      </c>
      <c r="S4177" s="23" t="s">
        <v>6846</v>
      </c>
      <c r="T4177" s="23" t="s">
        <v>4866</v>
      </c>
      <c r="U4177" s="3">
        <v>35</v>
      </c>
      <c r="W4177" s="45" t="str">
        <f>HYPERLINK("http://ictvonline.org/taxonomy/p/taxonomy-history?taxnode_id=201901579","ICTVonline=201901579")</f>
        <v>ICTVonline=201901579</v>
      </c>
      <c r="AA4177" s="1">
        <v>201900000</v>
      </c>
      <c r="AB4177" s="1">
        <v>35</v>
      </c>
    </row>
    <row r="4178" spans="1:28" x14ac:dyDescent="0.2">
      <c r="A4178" s="1">
        <v>10710</v>
      </c>
      <c r="B4178" s="1" t="s">
        <v>6839</v>
      </c>
      <c r="D4178" s="1" t="s">
        <v>11735</v>
      </c>
      <c r="F4178" s="1" t="s">
        <v>5540</v>
      </c>
      <c r="G4178" s="1" t="s">
        <v>5541</v>
      </c>
      <c r="H4178" s="1" t="s">
        <v>5556</v>
      </c>
      <c r="J4178" s="1" t="s">
        <v>999</v>
      </c>
      <c r="L4178" s="1" t="s">
        <v>2280</v>
      </c>
      <c r="N4178" s="1" t="s">
        <v>2281</v>
      </c>
      <c r="P4178" s="1" t="s">
        <v>2283</v>
      </c>
      <c r="Q4178" s="3">
        <v>1</v>
      </c>
      <c r="R4178" s="23" t="s">
        <v>12893</v>
      </c>
      <c r="S4178" s="23" t="s">
        <v>6846</v>
      </c>
      <c r="T4178" s="23" t="s">
        <v>4866</v>
      </c>
      <c r="U4178" s="3">
        <v>35</v>
      </c>
      <c r="W4178" s="45" t="str">
        <f>HYPERLINK("http://ictvonline.org/taxonomy/p/taxonomy-history?taxnode_id=201901580","ICTVonline=201901580")</f>
        <v>ICTVonline=201901580</v>
      </c>
      <c r="AA4178" s="1">
        <v>201900000</v>
      </c>
      <c r="AB4178" s="1">
        <v>35</v>
      </c>
    </row>
    <row r="4179" spans="1:28" x14ac:dyDescent="0.2">
      <c r="A4179" s="1">
        <v>10712</v>
      </c>
      <c r="B4179" s="1" t="s">
        <v>6839</v>
      </c>
      <c r="D4179" s="1" t="s">
        <v>11735</v>
      </c>
      <c r="F4179" s="1" t="s">
        <v>5540</v>
      </c>
      <c r="G4179" s="1" t="s">
        <v>5541</v>
      </c>
      <c r="H4179" s="1" t="s">
        <v>5556</v>
      </c>
      <c r="J4179" s="1" t="s">
        <v>999</v>
      </c>
      <c r="L4179" s="1" t="s">
        <v>2280</v>
      </c>
      <c r="N4179" s="1" t="s">
        <v>2281</v>
      </c>
      <c r="P4179" s="1" t="s">
        <v>2601</v>
      </c>
      <c r="Q4179" s="3">
        <v>0</v>
      </c>
      <c r="R4179" s="23" t="s">
        <v>12893</v>
      </c>
      <c r="S4179" s="23" t="s">
        <v>6846</v>
      </c>
      <c r="T4179" s="23" t="s">
        <v>4866</v>
      </c>
      <c r="U4179" s="3">
        <v>35</v>
      </c>
      <c r="W4179" s="45" t="str">
        <f>HYPERLINK("http://ictvonline.org/taxonomy/p/taxonomy-history?taxnode_id=201901581","ICTVonline=201901581")</f>
        <v>ICTVonline=201901581</v>
      </c>
      <c r="X4179" s="1" t="s">
        <v>13154</v>
      </c>
      <c r="Y4179" s="1" t="s">
        <v>13155</v>
      </c>
      <c r="Z4179" s="1" t="s">
        <v>13156</v>
      </c>
      <c r="AA4179" s="1">
        <v>201900000</v>
      </c>
      <c r="AB4179" s="1">
        <v>35</v>
      </c>
    </row>
    <row r="4180" spans="1:28" x14ac:dyDescent="0.2">
      <c r="A4180" s="1">
        <v>10716</v>
      </c>
      <c r="B4180" s="1" t="s">
        <v>6839</v>
      </c>
      <c r="D4180" s="1" t="s">
        <v>11735</v>
      </c>
      <c r="F4180" s="1" t="s">
        <v>5540</v>
      </c>
      <c r="G4180" s="1" t="s">
        <v>5541</v>
      </c>
      <c r="H4180" s="1" t="s">
        <v>5556</v>
      </c>
      <c r="J4180" s="1" t="s">
        <v>999</v>
      </c>
      <c r="L4180" s="1" t="s">
        <v>2280</v>
      </c>
      <c r="N4180" s="1" t="s">
        <v>5613</v>
      </c>
      <c r="P4180" s="1" t="s">
        <v>5614</v>
      </c>
      <c r="Q4180" s="3">
        <v>1</v>
      </c>
      <c r="R4180" s="23" t="s">
        <v>12893</v>
      </c>
      <c r="S4180" s="23" t="s">
        <v>6846</v>
      </c>
      <c r="T4180" s="23" t="s">
        <v>4866</v>
      </c>
      <c r="U4180" s="3">
        <v>35</v>
      </c>
      <c r="W4180" s="45" t="str">
        <f>HYPERLINK("http://ictvonline.org/taxonomy/p/taxonomy-history?taxnode_id=201906252","ICTVonline=201906252")</f>
        <v>ICTVonline=201906252</v>
      </c>
      <c r="X4180" s="1" t="s">
        <v>13157</v>
      </c>
      <c r="Y4180" s="1" t="s">
        <v>13158</v>
      </c>
      <c r="Z4180" s="1" t="s">
        <v>13159</v>
      </c>
      <c r="AA4180" s="1">
        <v>201900000</v>
      </c>
      <c r="AB4180" s="1">
        <v>35</v>
      </c>
    </row>
    <row r="4181" spans="1:28" x14ac:dyDescent="0.2">
      <c r="A4181" s="1">
        <v>10720</v>
      </c>
      <c r="B4181" s="1" t="s">
        <v>6839</v>
      </c>
      <c r="D4181" s="1" t="s">
        <v>11735</v>
      </c>
      <c r="F4181" s="1" t="s">
        <v>5540</v>
      </c>
      <c r="G4181" s="1" t="s">
        <v>5541</v>
      </c>
      <c r="H4181" s="1" t="s">
        <v>5556</v>
      </c>
      <c r="J4181" s="1" t="s">
        <v>999</v>
      </c>
      <c r="L4181" s="1" t="s">
        <v>2280</v>
      </c>
      <c r="N4181" s="1" t="s">
        <v>3504</v>
      </c>
      <c r="P4181" s="1" t="s">
        <v>3505</v>
      </c>
      <c r="Q4181" s="3">
        <v>1</v>
      </c>
      <c r="R4181" s="23" t="s">
        <v>12893</v>
      </c>
      <c r="S4181" s="23" t="s">
        <v>6846</v>
      </c>
      <c r="T4181" s="23" t="s">
        <v>4866</v>
      </c>
      <c r="U4181" s="3">
        <v>35</v>
      </c>
      <c r="W4181" s="45" t="str">
        <f>HYPERLINK("http://ictvonline.org/taxonomy/p/taxonomy-history?taxnode_id=201901585","ICTVonline=201901585")</f>
        <v>ICTVonline=201901585</v>
      </c>
      <c r="AA4181" s="1">
        <v>201900000</v>
      </c>
      <c r="AB4181" s="1">
        <v>35</v>
      </c>
    </row>
    <row r="4182" spans="1:28" x14ac:dyDescent="0.2">
      <c r="A4182" s="1">
        <v>10724</v>
      </c>
      <c r="B4182" s="1" t="s">
        <v>6839</v>
      </c>
      <c r="D4182" s="1" t="s">
        <v>11735</v>
      </c>
      <c r="F4182" s="1" t="s">
        <v>5540</v>
      </c>
      <c r="G4182" s="1" t="s">
        <v>5541</v>
      </c>
      <c r="H4182" s="1" t="s">
        <v>5556</v>
      </c>
      <c r="J4182" s="1" t="s">
        <v>999</v>
      </c>
      <c r="L4182" s="1" t="s">
        <v>2280</v>
      </c>
      <c r="N4182" s="1" t="s">
        <v>5615</v>
      </c>
      <c r="P4182" s="1" t="s">
        <v>5616</v>
      </c>
      <c r="Q4182" s="3">
        <v>1</v>
      </c>
      <c r="R4182" s="23" t="s">
        <v>12893</v>
      </c>
      <c r="S4182" s="23" t="s">
        <v>6846</v>
      </c>
      <c r="T4182" s="23" t="s">
        <v>4866</v>
      </c>
      <c r="U4182" s="3">
        <v>35</v>
      </c>
      <c r="W4182" s="45" t="str">
        <f>HYPERLINK("http://ictvonline.org/taxonomy/p/taxonomy-history?taxnode_id=201906254","ICTVonline=201906254")</f>
        <v>ICTVonline=201906254</v>
      </c>
      <c r="X4182" s="1" t="s">
        <v>13160</v>
      </c>
      <c r="Y4182" s="1" t="s">
        <v>13161</v>
      </c>
      <c r="Z4182" s="1" t="s">
        <v>13162</v>
      </c>
      <c r="AA4182" s="1">
        <v>201900000</v>
      </c>
      <c r="AB4182" s="1">
        <v>35</v>
      </c>
    </row>
    <row r="4183" spans="1:28" x14ac:dyDescent="0.2">
      <c r="A4183" s="1">
        <v>10731</v>
      </c>
      <c r="B4183" s="1" t="s">
        <v>6839</v>
      </c>
      <c r="D4183" s="1" t="s">
        <v>11735</v>
      </c>
      <c r="F4183" s="1" t="s">
        <v>5540</v>
      </c>
      <c r="G4183" s="1" t="s">
        <v>5541</v>
      </c>
      <c r="H4183" s="1" t="s">
        <v>5556</v>
      </c>
      <c r="J4183" s="1" t="s">
        <v>999</v>
      </c>
      <c r="L4183" s="1" t="s">
        <v>1401</v>
      </c>
      <c r="M4183" s="1" t="s">
        <v>5855</v>
      </c>
      <c r="N4183" s="1" t="s">
        <v>5856</v>
      </c>
      <c r="P4183" s="1" t="s">
        <v>5857</v>
      </c>
      <c r="Q4183" s="3">
        <v>1</v>
      </c>
      <c r="R4183" s="23" t="s">
        <v>12893</v>
      </c>
      <c r="S4183" s="23" t="s">
        <v>6846</v>
      </c>
      <c r="T4183" s="23" t="s">
        <v>4866</v>
      </c>
      <c r="U4183" s="3">
        <v>35</v>
      </c>
      <c r="W4183" s="45" t="str">
        <f>HYPERLINK("http://ictvonline.org/taxonomy/p/taxonomy-history?taxnode_id=201901592","ICTVonline=201901592")</f>
        <v>ICTVonline=201901592</v>
      </c>
      <c r="AA4183" s="1">
        <v>201900000</v>
      </c>
      <c r="AB4183" s="1">
        <v>35</v>
      </c>
    </row>
    <row r="4184" spans="1:28" x14ac:dyDescent="0.2">
      <c r="A4184" s="1">
        <v>10733</v>
      </c>
      <c r="B4184" s="1" t="s">
        <v>6839</v>
      </c>
      <c r="D4184" s="1" t="s">
        <v>11735</v>
      </c>
      <c r="F4184" s="1" t="s">
        <v>5540</v>
      </c>
      <c r="G4184" s="1" t="s">
        <v>5541</v>
      </c>
      <c r="H4184" s="1" t="s">
        <v>5556</v>
      </c>
      <c r="J4184" s="1" t="s">
        <v>999</v>
      </c>
      <c r="L4184" s="1" t="s">
        <v>1401</v>
      </c>
      <c r="M4184" s="1" t="s">
        <v>5855</v>
      </c>
      <c r="N4184" s="1" t="s">
        <v>5856</v>
      </c>
      <c r="P4184" s="1" t="s">
        <v>5858</v>
      </c>
      <c r="Q4184" s="3">
        <v>0</v>
      </c>
      <c r="R4184" s="23" t="s">
        <v>12893</v>
      </c>
      <c r="S4184" s="23" t="s">
        <v>6846</v>
      </c>
      <c r="T4184" s="23" t="s">
        <v>4866</v>
      </c>
      <c r="U4184" s="3">
        <v>35</v>
      </c>
      <c r="W4184" s="45" t="str">
        <f>HYPERLINK("http://ictvonline.org/taxonomy/p/taxonomy-history?taxnode_id=201901595","ICTVonline=201901595")</f>
        <v>ICTVonline=201901595</v>
      </c>
      <c r="AA4184" s="1">
        <v>201900000</v>
      </c>
      <c r="AB4184" s="1">
        <v>35</v>
      </c>
    </row>
    <row r="4185" spans="1:28" x14ac:dyDescent="0.2">
      <c r="A4185" s="1">
        <v>10735</v>
      </c>
      <c r="B4185" s="1" t="s">
        <v>6839</v>
      </c>
      <c r="D4185" s="1" t="s">
        <v>11735</v>
      </c>
      <c r="F4185" s="1" t="s">
        <v>5540</v>
      </c>
      <c r="G4185" s="1" t="s">
        <v>5541</v>
      </c>
      <c r="H4185" s="1" t="s">
        <v>5556</v>
      </c>
      <c r="J4185" s="1" t="s">
        <v>999</v>
      </c>
      <c r="L4185" s="1" t="s">
        <v>1401</v>
      </c>
      <c r="M4185" s="1" t="s">
        <v>5855</v>
      </c>
      <c r="N4185" s="1" t="s">
        <v>5856</v>
      </c>
      <c r="P4185" s="1" t="s">
        <v>5859</v>
      </c>
      <c r="Q4185" s="3">
        <v>0</v>
      </c>
      <c r="R4185" s="23" t="s">
        <v>12893</v>
      </c>
      <c r="S4185" s="23" t="s">
        <v>6846</v>
      </c>
      <c r="T4185" s="23" t="s">
        <v>4866</v>
      </c>
      <c r="U4185" s="3">
        <v>35</v>
      </c>
      <c r="W4185" s="45" t="str">
        <f>HYPERLINK("http://ictvonline.org/taxonomy/p/taxonomy-history?taxnode_id=201901596","ICTVonline=201901596")</f>
        <v>ICTVonline=201901596</v>
      </c>
      <c r="AA4185" s="1">
        <v>201900000</v>
      </c>
      <c r="AB4185" s="1">
        <v>35</v>
      </c>
    </row>
    <row r="4186" spans="1:28" x14ac:dyDescent="0.2">
      <c r="A4186" s="1">
        <v>10737</v>
      </c>
      <c r="B4186" s="1" t="s">
        <v>6839</v>
      </c>
      <c r="D4186" s="1" t="s">
        <v>11735</v>
      </c>
      <c r="F4186" s="1" t="s">
        <v>5540</v>
      </c>
      <c r="G4186" s="1" t="s">
        <v>5541</v>
      </c>
      <c r="H4186" s="1" t="s">
        <v>5556</v>
      </c>
      <c r="J4186" s="1" t="s">
        <v>999</v>
      </c>
      <c r="L4186" s="1" t="s">
        <v>1401</v>
      </c>
      <c r="M4186" s="1" t="s">
        <v>5855</v>
      </c>
      <c r="N4186" s="1" t="s">
        <v>5856</v>
      </c>
      <c r="P4186" s="1" t="s">
        <v>5860</v>
      </c>
      <c r="Q4186" s="3">
        <v>0</v>
      </c>
      <c r="R4186" s="23" t="s">
        <v>12893</v>
      </c>
      <c r="S4186" s="23" t="s">
        <v>6846</v>
      </c>
      <c r="T4186" s="23" t="s">
        <v>4866</v>
      </c>
      <c r="U4186" s="3">
        <v>35</v>
      </c>
      <c r="W4186" s="45" t="str">
        <f>HYPERLINK("http://ictvonline.org/taxonomy/p/taxonomy-history?taxnode_id=201901597","ICTVonline=201901597")</f>
        <v>ICTVonline=201901597</v>
      </c>
      <c r="AA4186" s="1">
        <v>201900000</v>
      </c>
      <c r="AB4186" s="1">
        <v>35</v>
      </c>
    </row>
    <row r="4187" spans="1:28" x14ac:dyDescent="0.2">
      <c r="A4187" s="1">
        <v>10739</v>
      </c>
      <c r="B4187" s="1" t="s">
        <v>6839</v>
      </c>
      <c r="D4187" s="1" t="s">
        <v>11735</v>
      </c>
      <c r="F4187" s="1" t="s">
        <v>5540</v>
      </c>
      <c r="G4187" s="1" t="s">
        <v>5541</v>
      </c>
      <c r="H4187" s="1" t="s">
        <v>5556</v>
      </c>
      <c r="J4187" s="1" t="s">
        <v>999</v>
      </c>
      <c r="L4187" s="1" t="s">
        <v>1401</v>
      </c>
      <c r="M4187" s="1" t="s">
        <v>5855</v>
      </c>
      <c r="N4187" s="1" t="s">
        <v>5856</v>
      </c>
      <c r="P4187" s="1" t="s">
        <v>5861</v>
      </c>
      <c r="Q4187" s="3">
        <v>0</v>
      </c>
      <c r="R4187" s="23" t="s">
        <v>12893</v>
      </c>
      <c r="S4187" s="23" t="s">
        <v>6846</v>
      </c>
      <c r="T4187" s="23" t="s">
        <v>4866</v>
      </c>
      <c r="U4187" s="3">
        <v>35</v>
      </c>
      <c r="W4187" s="45" t="str">
        <f>HYPERLINK("http://ictvonline.org/taxonomy/p/taxonomy-history?taxnode_id=201901598","ICTVonline=201901598")</f>
        <v>ICTVonline=201901598</v>
      </c>
      <c r="AA4187" s="1">
        <v>201900000</v>
      </c>
      <c r="AB4187" s="1">
        <v>35</v>
      </c>
    </row>
    <row r="4188" spans="1:28" x14ac:dyDescent="0.2">
      <c r="A4188" s="1">
        <v>10741</v>
      </c>
      <c r="B4188" s="1" t="s">
        <v>6839</v>
      </c>
      <c r="D4188" s="1" t="s">
        <v>11735</v>
      </c>
      <c r="F4188" s="1" t="s">
        <v>5540</v>
      </c>
      <c r="G4188" s="1" t="s">
        <v>5541</v>
      </c>
      <c r="H4188" s="1" t="s">
        <v>5556</v>
      </c>
      <c r="J4188" s="1" t="s">
        <v>999</v>
      </c>
      <c r="L4188" s="1" t="s">
        <v>1401</v>
      </c>
      <c r="M4188" s="1" t="s">
        <v>5855</v>
      </c>
      <c r="N4188" s="1" t="s">
        <v>5856</v>
      </c>
      <c r="P4188" s="1" t="s">
        <v>5862</v>
      </c>
      <c r="Q4188" s="3">
        <v>0</v>
      </c>
      <c r="R4188" s="23" t="s">
        <v>12893</v>
      </c>
      <c r="S4188" s="23" t="s">
        <v>6846</v>
      </c>
      <c r="T4188" s="23" t="s">
        <v>4866</v>
      </c>
      <c r="U4188" s="3">
        <v>35</v>
      </c>
      <c r="W4188" s="45" t="str">
        <f>HYPERLINK("http://ictvonline.org/taxonomy/p/taxonomy-history?taxnode_id=201901600","ICTVonline=201901600")</f>
        <v>ICTVonline=201901600</v>
      </c>
      <c r="AA4188" s="1">
        <v>201900000</v>
      </c>
      <c r="AB4188" s="1">
        <v>35</v>
      </c>
    </row>
    <row r="4189" spans="1:28" x14ac:dyDescent="0.2">
      <c r="A4189" s="1">
        <v>10743</v>
      </c>
      <c r="B4189" s="1" t="s">
        <v>6839</v>
      </c>
      <c r="D4189" s="1" t="s">
        <v>11735</v>
      </c>
      <c r="F4189" s="1" t="s">
        <v>5540</v>
      </c>
      <c r="G4189" s="1" t="s">
        <v>5541</v>
      </c>
      <c r="H4189" s="1" t="s">
        <v>5556</v>
      </c>
      <c r="J4189" s="1" t="s">
        <v>999</v>
      </c>
      <c r="L4189" s="1" t="s">
        <v>1401</v>
      </c>
      <c r="M4189" s="1" t="s">
        <v>5855</v>
      </c>
      <c r="N4189" s="1" t="s">
        <v>5856</v>
      </c>
      <c r="P4189" s="1" t="s">
        <v>5863</v>
      </c>
      <c r="Q4189" s="3">
        <v>0</v>
      </c>
      <c r="R4189" s="23" t="s">
        <v>12893</v>
      </c>
      <c r="S4189" s="23" t="s">
        <v>6846</v>
      </c>
      <c r="T4189" s="23" t="s">
        <v>4866</v>
      </c>
      <c r="U4189" s="3">
        <v>35</v>
      </c>
      <c r="W4189" s="45" t="str">
        <f>HYPERLINK("http://ictvonline.org/taxonomy/p/taxonomy-history?taxnode_id=201901601","ICTVonline=201901601")</f>
        <v>ICTVonline=201901601</v>
      </c>
      <c r="AA4189" s="1">
        <v>201900000</v>
      </c>
      <c r="AB4189" s="1">
        <v>35</v>
      </c>
    </row>
    <row r="4190" spans="1:28" x14ac:dyDescent="0.2">
      <c r="A4190" s="1">
        <v>10745</v>
      </c>
      <c r="B4190" s="1" t="s">
        <v>6839</v>
      </c>
      <c r="D4190" s="1" t="s">
        <v>11735</v>
      </c>
      <c r="F4190" s="1" t="s">
        <v>5540</v>
      </c>
      <c r="G4190" s="1" t="s">
        <v>5541</v>
      </c>
      <c r="H4190" s="1" t="s">
        <v>5556</v>
      </c>
      <c r="J4190" s="1" t="s">
        <v>999</v>
      </c>
      <c r="L4190" s="1" t="s">
        <v>1401</v>
      </c>
      <c r="M4190" s="1" t="s">
        <v>5855</v>
      </c>
      <c r="N4190" s="1" t="s">
        <v>5856</v>
      </c>
      <c r="P4190" s="1" t="s">
        <v>5864</v>
      </c>
      <c r="Q4190" s="3">
        <v>0</v>
      </c>
      <c r="R4190" s="23" t="s">
        <v>12893</v>
      </c>
      <c r="S4190" s="23" t="s">
        <v>6846</v>
      </c>
      <c r="T4190" s="23" t="s">
        <v>4866</v>
      </c>
      <c r="U4190" s="3">
        <v>35</v>
      </c>
      <c r="W4190" s="45" t="str">
        <f>HYPERLINK("http://ictvonline.org/taxonomy/p/taxonomy-history?taxnode_id=201905574","ICTVonline=201905574")</f>
        <v>ICTVonline=201905574</v>
      </c>
      <c r="AA4190" s="1">
        <v>201900000</v>
      </c>
      <c r="AB4190" s="1">
        <v>35</v>
      </c>
    </row>
    <row r="4191" spans="1:28" x14ac:dyDescent="0.2">
      <c r="A4191" s="1">
        <v>10747</v>
      </c>
      <c r="B4191" s="1" t="s">
        <v>6839</v>
      </c>
      <c r="D4191" s="1" t="s">
        <v>11735</v>
      </c>
      <c r="F4191" s="1" t="s">
        <v>5540</v>
      </c>
      <c r="G4191" s="1" t="s">
        <v>5541</v>
      </c>
      <c r="H4191" s="1" t="s">
        <v>5556</v>
      </c>
      <c r="J4191" s="1" t="s">
        <v>999</v>
      </c>
      <c r="L4191" s="1" t="s">
        <v>1401</v>
      </c>
      <c r="M4191" s="1" t="s">
        <v>5855</v>
      </c>
      <c r="N4191" s="1" t="s">
        <v>5856</v>
      </c>
      <c r="P4191" s="1" t="s">
        <v>5865</v>
      </c>
      <c r="Q4191" s="3">
        <v>0</v>
      </c>
      <c r="R4191" s="23" t="s">
        <v>12893</v>
      </c>
      <c r="S4191" s="23" t="s">
        <v>6846</v>
      </c>
      <c r="T4191" s="23" t="s">
        <v>4866</v>
      </c>
      <c r="U4191" s="3">
        <v>35</v>
      </c>
      <c r="W4191" s="45" t="str">
        <f>HYPERLINK("http://ictvonline.org/taxonomy/p/taxonomy-history?taxnode_id=201905575","ICTVonline=201905575")</f>
        <v>ICTVonline=201905575</v>
      </c>
      <c r="AA4191" s="1">
        <v>201900000</v>
      </c>
      <c r="AB4191" s="1">
        <v>35</v>
      </c>
    </row>
    <row r="4192" spans="1:28" x14ac:dyDescent="0.2">
      <c r="A4192" s="1">
        <v>10749</v>
      </c>
      <c r="B4192" s="1" t="s">
        <v>6839</v>
      </c>
      <c r="D4192" s="1" t="s">
        <v>11735</v>
      </c>
      <c r="F4192" s="1" t="s">
        <v>5540</v>
      </c>
      <c r="G4192" s="1" t="s">
        <v>5541</v>
      </c>
      <c r="H4192" s="1" t="s">
        <v>5556</v>
      </c>
      <c r="J4192" s="1" t="s">
        <v>999</v>
      </c>
      <c r="L4192" s="1" t="s">
        <v>1401</v>
      </c>
      <c r="M4192" s="1" t="s">
        <v>5855</v>
      </c>
      <c r="N4192" s="1" t="s">
        <v>5856</v>
      </c>
      <c r="P4192" s="1" t="s">
        <v>5866</v>
      </c>
      <c r="Q4192" s="3">
        <v>0</v>
      </c>
      <c r="R4192" s="23" t="s">
        <v>12893</v>
      </c>
      <c r="S4192" s="23" t="s">
        <v>6846</v>
      </c>
      <c r="T4192" s="23" t="s">
        <v>4866</v>
      </c>
      <c r="U4192" s="3">
        <v>35</v>
      </c>
      <c r="W4192" s="45" t="str">
        <f>HYPERLINK("http://ictvonline.org/taxonomy/p/taxonomy-history?taxnode_id=201906448","ICTVonline=201906448")</f>
        <v>ICTVonline=201906448</v>
      </c>
      <c r="X4192" s="1" t="s">
        <v>13163</v>
      </c>
      <c r="Y4192" s="1" t="s">
        <v>13164</v>
      </c>
      <c r="Z4192" s="1" t="s">
        <v>13165</v>
      </c>
      <c r="AA4192" s="1">
        <v>201900000</v>
      </c>
      <c r="AB4192" s="1">
        <v>35</v>
      </c>
    </row>
    <row r="4193" spans="1:28" x14ac:dyDescent="0.2">
      <c r="A4193" s="1">
        <v>10753</v>
      </c>
      <c r="B4193" s="1" t="s">
        <v>6839</v>
      </c>
      <c r="D4193" s="1" t="s">
        <v>11735</v>
      </c>
      <c r="F4193" s="1" t="s">
        <v>5540</v>
      </c>
      <c r="G4193" s="1" t="s">
        <v>5541</v>
      </c>
      <c r="H4193" s="1" t="s">
        <v>5556</v>
      </c>
      <c r="J4193" s="1" t="s">
        <v>999</v>
      </c>
      <c r="L4193" s="1" t="s">
        <v>1401</v>
      </c>
      <c r="M4193" s="1" t="s">
        <v>5855</v>
      </c>
      <c r="N4193" s="1" t="s">
        <v>5867</v>
      </c>
      <c r="P4193" s="1" t="s">
        <v>5868</v>
      </c>
      <c r="Q4193" s="3">
        <v>1</v>
      </c>
      <c r="R4193" s="23" t="s">
        <v>12893</v>
      </c>
      <c r="S4193" s="23" t="s">
        <v>6846</v>
      </c>
      <c r="T4193" s="23" t="s">
        <v>4866</v>
      </c>
      <c r="U4193" s="3">
        <v>35</v>
      </c>
      <c r="W4193" s="45" t="str">
        <f>HYPERLINK("http://ictvonline.org/taxonomy/p/taxonomy-history?taxnode_id=201901591","ICTVonline=201901591")</f>
        <v>ICTVonline=201901591</v>
      </c>
      <c r="AA4193" s="1">
        <v>201900000</v>
      </c>
      <c r="AB4193" s="1">
        <v>35</v>
      </c>
    </row>
    <row r="4194" spans="1:28" x14ac:dyDescent="0.2">
      <c r="A4194" s="1">
        <v>10755</v>
      </c>
      <c r="B4194" s="1" t="s">
        <v>6839</v>
      </c>
      <c r="D4194" s="1" t="s">
        <v>11735</v>
      </c>
      <c r="F4194" s="1" t="s">
        <v>5540</v>
      </c>
      <c r="G4194" s="1" t="s">
        <v>5541</v>
      </c>
      <c r="H4194" s="1" t="s">
        <v>5556</v>
      </c>
      <c r="J4194" s="1" t="s">
        <v>999</v>
      </c>
      <c r="L4194" s="1" t="s">
        <v>1401</v>
      </c>
      <c r="M4194" s="1" t="s">
        <v>5855</v>
      </c>
      <c r="N4194" s="1" t="s">
        <v>5867</v>
      </c>
      <c r="P4194" s="1" t="s">
        <v>5869</v>
      </c>
      <c r="Q4194" s="3">
        <v>0</v>
      </c>
      <c r="R4194" s="23" t="s">
        <v>12893</v>
      </c>
      <c r="S4194" s="23" t="s">
        <v>6846</v>
      </c>
      <c r="T4194" s="23" t="s">
        <v>4866</v>
      </c>
      <c r="U4194" s="3">
        <v>35</v>
      </c>
      <c r="W4194" s="45" t="str">
        <f>HYPERLINK("http://ictvonline.org/taxonomy/p/taxonomy-history?taxnode_id=201901599","ICTVonline=201901599")</f>
        <v>ICTVonline=201901599</v>
      </c>
      <c r="AA4194" s="1">
        <v>201900000</v>
      </c>
      <c r="AB4194" s="1">
        <v>35</v>
      </c>
    </row>
    <row r="4195" spans="1:28" x14ac:dyDescent="0.2">
      <c r="A4195" s="1">
        <v>10757</v>
      </c>
      <c r="B4195" s="1" t="s">
        <v>6839</v>
      </c>
      <c r="D4195" s="1" t="s">
        <v>11735</v>
      </c>
      <c r="F4195" s="1" t="s">
        <v>5540</v>
      </c>
      <c r="G4195" s="1" t="s">
        <v>5541</v>
      </c>
      <c r="H4195" s="1" t="s">
        <v>5556</v>
      </c>
      <c r="J4195" s="1" t="s">
        <v>999</v>
      </c>
      <c r="L4195" s="1" t="s">
        <v>1401</v>
      </c>
      <c r="M4195" s="1" t="s">
        <v>5855</v>
      </c>
      <c r="N4195" s="1" t="s">
        <v>5867</v>
      </c>
      <c r="P4195" s="1" t="s">
        <v>5870</v>
      </c>
      <c r="Q4195" s="3">
        <v>0</v>
      </c>
      <c r="R4195" s="23" t="s">
        <v>12893</v>
      </c>
      <c r="S4195" s="23" t="s">
        <v>6846</v>
      </c>
      <c r="T4195" s="23" t="s">
        <v>4866</v>
      </c>
      <c r="U4195" s="3">
        <v>35</v>
      </c>
      <c r="W4195" s="45" t="str">
        <f>HYPERLINK("http://ictvonline.org/taxonomy/p/taxonomy-history?taxnode_id=201901602","ICTVonline=201901602")</f>
        <v>ICTVonline=201901602</v>
      </c>
      <c r="AA4195" s="1">
        <v>201900000</v>
      </c>
      <c r="AB4195" s="1">
        <v>35</v>
      </c>
    </row>
    <row r="4196" spans="1:28" x14ac:dyDescent="0.2">
      <c r="A4196" s="1">
        <v>10759</v>
      </c>
      <c r="B4196" s="1" t="s">
        <v>6839</v>
      </c>
      <c r="D4196" s="1" t="s">
        <v>11735</v>
      </c>
      <c r="F4196" s="1" t="s">
        <v>5540</v>
      </c>
      <c r="G4196" s="1" t="s">
        <v>5541</v>
      </c>
      <c r="H4196" s="1" t="s">
        <v>5556</v>
      </c>
      <c r="J4196" s="1" t="s">
        <v>999</v>
      </c>
      <c r="L4196" s="1" t="s">
        <v>1401</v>
      </c>
      <c r="M4196" s="1" t="s">
        <v>5855</v>
      </c>
      <c r="N4196" s="1" t="s">
        <v>5867</v>
      </c>
      <c r="P4196" s="1" t="s">
        <v>5871</v>
      </c>
      <c r="Q4196" s="3">
        <v>0</v>
      </c>
      <c r="R4196" s="23" t="s">
        <v>12893</v>
      </c>
      <c r="S4196" s="23" t="s">
        <v>6846</v>
      </c>
      <c r="T4196" s="23" t="s">
        <v>4866</v>
      </c>
      <c r="U4196" s="3">
        <v>35</v>
      </c>
      <c r="W4196" s="45" t="str">
        <f>HYPERLINK("http://ictvonline.org/taxonomy/p/taxonomy-history?taxnode_id=201901603","ICTVonline=201901603")</f>
        <v>ICTVonline=201901603</v>
      </c>
      <c r="AA4196" s="1">
        <v>201900000</v>
      </c>
      <c r="AB4196" s="1">
        <v>35</v>
      </c>
    </row>
    <row r="4197" spans="1:28" x14ac:dyDescent="0.2">
      <c r="A4197" s="1">
        <v>10761</v>
      </c>
      <c r="B4197" s="1" t="s">
        <v>6839</v>
      </c>
      <c r="D4197" s="1" t="s">
        <v>11735</v>
      </c>
      <c r="F4197" s="1" t="s">
        <v>5540</v>
      </c>
      <c r="G4197" s="1" t="s">
        <v>5541</v>
      </c>
      <c r="H4197" s="1" t="s">
        <v>5556</v>
      </c>
      <c r="J4197" s="1" t="s">
        <v>999</v>
      </c>
      <c r="L4197" s="1" t="s">
        <v>1401</v>
      </c>
      <c r="M4197" s="1" t="s">
        <v>5855</v>
      </c>
      <c r="N4197" s="1" t="s">
        <v>5867</v>
      </c>
      <c r="P4197" s="1" t="s">
        <v>5872</v>
      </c>
      <c r="Q4197" s="3">
        <v>0</v>
      </c>
      <c r="R4197" s="23" t="s">
        <v>12893</v>
      </c>
      <c r="S4197" s="23" t="s">
        <v>6846</v>
      </c>
      <c r="T4197" s="23" t="s">
        <v>4866</v>
      </c>
      <c r="U4197" s="3">
        <v>35</v>
      </c>
      <c r="W4197" s="45" t="str">
        <f>HYPERLINK("http://ictvonline.org/taxonomy/p/taxonomy-history?taxnode_id=201905576","ICTVonline=201905576")</f>
        <v>ICTVonline=201905576</v>
      </c>
      <c r="AA4197" s="1">
        <v>201900000</v>
      </c>
      <c r="AB4197" s="1">
        <v>35</v>
      </c>
    </row>
    <row r="4198" spans="1:28" x14ac:dyDescent="0.2">
      <c r="A4198" s="1">
        <v>10763</v>
      </c>
      <c r="B4198" s="1" t="s">
        <v>6839</v>
      </c>
      <c r="D4198" s="1" t="s">
        <v>11735</v>
      </c>
      <c r="F4198" s="1" t="s">
        <v>5540</v>
      </c>
      <c r="G4198" s="1" t="s">
        <v>5541</v>
      </c>
      <c r="H4198" s="1" t="s">
        <v>5556</v>
      </c>
      <c r="J4198" s="1" t="s">
        <v>999</v>
      </c>
      <c r="L4198" s="1" t="s">
        <v>1401</v>
      </c>
      <c r="M4198" s="1" t="s">
        <v>5855</v>
      </c>
      <c r="N4198" s="1" t="s">
        <v>5867</v>
      </c>
      <c r="P4198" s="1" t="s">
        <v>5873</v>
      </c>
      <c r="Q4198" s="3">
        <v>0</v>
      </c>
      <c r="R4198" s="23" t="s">
        <v>12893</v>
      </c>
      <c r="S4198" s="23" t="s">
        <v>6846</v>
      </c>
      <c r="T4198" s="23" t="s">
        <v>4866</v>
      </c>
      <c r="U4198" s="3">
        <v>35</v>
      </c>
      <c r="W4198" s="45" t="str">
        <f>HYPERLINK("http://ictvonline.org/taxonomy/p/taxonomy-history?taxnode_id=201905577","ICTVonline=201905577")</f>
        <v>ICTVonline=201905577</v>
      </c>
      <c r="AA4198" s="1">
        <v>201900000</v>
      </c>
      <c r="AB4198" s="1">
        <v>35</v>
      </c>
    </row>
    <row r="4199" spans="1:28" x14ac:dyDescent="0.2">
      <c r="A4199" s="1">
        <v>10765</v>
      </c>
      <c r="B4199" s="1" t="s">
        <v>6839</v>
      </c>
      <c r="D4199" s="1" t="s">
        <v>11735</v>
      </c>
      <c r="F4199" s="1" t="s">
        <v>5540</v>
      </c>
      <c r="G4199" s="1" t="s">
        <v>5541</v>
      </c>
      <c r="H4199" s="1" t="s">
        <v>5556</v>
      </c>
      <c r="J4199" s="1" t="s">
        <v>999</v>
      </c>
      <c r="L4199" s="1" t="s">
        <v>1401</v>
      </c>
      <c r="M4199" s="1" t="s">
        <v>5855</v>
      </c>
      <c r="N4199" s="1" t="s">
        <v>5867</v>
      </c>
      <c r="P4199" s="1" t="s">
        <v>5874</v>
      </c>
      <c r="Q4199" s="3">
        <v>0</v>
      </c>
      <c r="R4199" s="23" t="s">
        <v>12893</v>
      </c>
      <c r="S4199" s="23" t="s">
        <v>6846</v>
      </c>
      <c r="T4199" s="23" t="s">
        <v>4866</v>
      </c>
      <c r="U4199" s="3">
        <v>35</v>
      </c>
      <c r="W4199" s="45" t="str">
        <f>HYPERLINK("http://ictvonline.org/taxonomy/p/taxonomy-history?taxnode_id=201905578","ICTVonline=201905578")</f>
        <v>ICTVonline=201905578</v>
      </c>
      <c r="AA4199" s="1">
        <v>201900000</v>
      </c>
      <c r="AB4199" s="1">
        <v>35</v>
      </c>
    </row>
    <row r="4200" spans="1:28" x14ac:dyDescent="0.2">
      <c r="A4200" s="1">
        <v>10767</v>
      </c>
      <c r="B4200" s="1" t="s">
        <v>6839</v>
      </c>
      <c r="D4200" s="1" t="s">
        <v>11735</v>
      </c>
      <c r="F4200" s="1" t="s">
        <v>5540</v>
      </c>
      <c r="G4200" s="1" t="s">
        <v>5541</v>
      </c>
      <c r="H4200" s="1" t="s">
        <v>5556</v>
      </c>
      <c r="J4200" s="1" t="s">
        <v>999</v>
      </c>
      <c r="L4200" s="1" t="s">
        <v>1401</v>
      </c>
      <c r="M4200" s="1" t="s">
        <v>5855</v>
      </c>
      <c r="N4200" s="1" t="s">
        <v>5867</v>
      </c>
      <c r="P4200" s="1" t="s">
        <v>5875</v>
      </c>
      <c r="Q4200" s="3">
        <v>0</v>
      </c>
      <c r="R4200" s="23" t="s">
        <v>12893</v>
      </c>
      <c r="S4200" s="23" t="s">
        <v>6846</v>
      </c>
      <c r="T4200" s="23" t="s">
        <v>4866</v>
      </c>
      <c r="U4200" s="3">
        <v>35</v>
      </c>
      <c r="W4200" s="45" t="str">
        <f>HYPERLINK("http://ictvonline.org/taxonomy/p/taxonomy-history?taxnode_id=201905579","ICTVonline=201905579")</f>
        <v>ICTVonline=201905579</v>
      </c>
      <c r="AA4200" s="1">
        <v>201900000</v>
      </c>
      <c r="AB4200" s="1">
        <v>35</v>
      </c>
    </row>
    <row r="4201" spans="1:28" x14ac:dyDescent="0.2">
      <c r="A4201" s="1">
        <v>10769</v>
      </c>
      <c r="B4201" s="1" t="s">
        <v>6839</v>
      </c>
      <c r="D4201" s="1" t="s">
        <v>11735</v>
      </c>
      <c r="F4201" s="1" t="s">
        <v>5540</v>
      </c>
      <c r="G4201" s="1" t="s">
        <v>5541</v>
      </c>
      <c r="H4201" s="1" t="s">
        <v>5556</v>
      </c>
      <c r="J4201" s="1" t="s">
        <v>999</v>
      </c>
      <c r="L4201" s="1" t="s">
        <v>1401</v>
      </c>
      <c r="M4201" s="1" t="s">
        <v>5855</v>
      </c>
      <c r="N4201" s="1" t="s">
        <v>5867</v>
      </c>
      <c r="P4201" s="1" t="s">
        <v>13166</v>
      </c>
      <c r="Q4201" s="3">
        <v>0</v>
      </c>
      <c r="R4201" s="23" t="s">
        <v>12893</v>
      </c>
      <c r="S4201" s="23" t="s">
        <v>6846</v>
      </c>
      <c r="T4201" s="23" t="s">
        <v>4864</v>
      </c>
      <c r="U4201" s="3">
        <v>35</v>
      </c>
      <c r="V4201" s="3" t="s">
        <v>13167</v>
      </c>
      <c r="W4201" s="45" t="str">
        <f>HYPERLINK("http://ictvonline.org/taxonomy/p/taxonomy-history?taxnode_id=201907416","ICTVonline=201907416")</f>
        <v>ICTVonline=201907416</v>
      </c>
      <c r="X4201" s="1" t="s">
        <v>13168</v>
      </c>
      <c r="Y4201" s="1" t="s">
        <v>13169</v>
      </c>
      <c r="Z4201" s="1" t="s">
        <v>13170</v>
      </c>
      <c r="AA4201" s="1">
        <v>201900000</v>
      </c>
      <c r="AB4201" s="1">
        <v>35</v>
      </c>
    </row>
    <row r="4202" spans="1:28" x14ac:dyDescent="0.2">
      <c r="A4202" s="1">
        <v>10771</v>
      </c>
      <c r="B4202" s="1" t="s">
        <v>6839</v>
      </c>
      <c r="D4202" s="1" t="s">
        <v>11735</v>
      </c>
      <c r="F4202" s="1" t="s">
        <v>5540</v>
      </c>
      <c r="G4202" s="1" t="s">
        <v>5541</v>
      </c>
      <c r="H4202" s="1" t="s">
        <v>5556</v>
      </c>
      <c r="J4202" s="1" t="s">
        <v>999</v>
      </c>
      <c r="L4202" s="1" t="s">
        <v>1401</v>
      </c>
      <c r="M4202" s="1" t="s">
        <v>5855</v>
      </c>
      <c r="N4202" s="1" t="s">
        <v>5867</v>
      </c>
      <c r="P4202" s="1" t="s">
        <v>13171</v>
      </c>
      <c r="Q4202" s="3">
        <v>0</v>
      </c>
      <c r="R4202" s="23" t="s">
        <v>12893</v>
      </c>
      <c r="S4202" s="23" t="s">
        <v>6846</v>
      </c>
      <c r="T4202" s="23" t="s">
        <v>4864</v>
      </c>
      <c r="U4202" s="3">
        <v>35</v>
      </c>
      <c r="V4202" s="3" t="s">
        <v>13172</v>
      </c>
      <c r="W4202" s="45" t="str">
        <f>HYPERLINK("http://ictvonline.org/taxonomy/p/taxonomy-history?taxnode_id=201907415","ICTVonline=201907415")</f>
        <v>ICTVonline=201907415</v>
      </c>
      <c r="X4202" s="1" t="s">
        <v>13168</v>
      </c>
      <c r="Y4202" s="1" t="s">
        <v>13169</v>
      </c>
      <c r="Z4202" s="1" t="s">
        <v>13170</v>
      </c>
      <c r="AA4202" s="1">
        <v>201900000</v>
      </c>
      <c r="AB4202" s="1">
        <v>35</v>
      </c>
    </row>
    <row r="4203" spans="1:28" x14ac:dyDescent="0.2">
      <c r="A4203" s="1">
        <v>10775</v>
      </c>
      <c r="B4203" s="1" t="s">
        <v>6839</v>
      </c>
      <c r="D4203" s="1" t="s">
        <v>11735</v>
      </c>
      <c r="F4203" s="1" t="s">
        <v>5540</v>
      </c>
      <c r="G4203" s="1" t="s">
        <v>5541</v>
      </c>
      <c r="H4203" s="1" t="s">
        <v>5556</v>
      </c>
      <c r="J4203" s="1" t="s">
        <v>999</v>
      </c>
      <c r="L4203" s="1" t="s">
        <v>1401</v>
      </c>
      <c r="M4203" s="1" t="s">
        <v>5855</v>
      </c>
      <c r="N4203" s="1" t="s">
        <v>5876</v>
      </c>
      <c r="P4203" s="1" t="s">
        <v>5877</v>
      </c>
      <c r="Q4203" s="3">
        <v>1</v>
      </c>
      <c r="R4203" s="23" t="s">
        <v>12893</v>
      </c>
      <c r="S4203" s="23" t="s">
        <v>6846</v>
      </c>
      <c r="T4203" s="23" t="s">
        <v>4866</v>
      </c>
      <c r="U4203" s="3">
        <v>35</v>
      </c>
      <c r="W4203" s="45" t="str">
        <f>HYPERLINK("http://ictvonline.org/taxonomy/p/taxonomy-history?taxnode_id=201901593","ICTVonline=201901593")</f>
        <v>ICTVonline=201901593</v>
      </c>
      <c r="AA4203" s="1">
        <v>201900000</v>
      </c>
      <c r="AB4203" s="1">
        <v>35</v>
      </c>
    </row>
    <row r="4204" spans="1:28" x14ac:dyDescent="0.2">
      <c r="A4204" s="1">
        <v>10777</v>
      </c>
      <c r="B4204" s="1" t="s">
        <v>6839</v>
      </c>
      <c r="D4204" s="1" t="s">
        <v>11735</v>
      </c>
      <c r="F4204" s="1" t="s">
        <v>5540</v>
      </c>
      <c r="G4204" s="1" t="s">
        <v>5541</v>
      </c>
      <c r="H4204" s="1" t="s">
        <v>5556</v>
      </c>
      <c r="J4204" s="1" t="s">
        <v>999</v>
      </c>
      <c r="L4204" s="1" t="s">
        <v>1401</v>
      </c>
      <c r="M4204" s="1" t="s">
        <v>5855</v>
      </c>
      <c r="N4204" s="1" t="s">
        <v>5876</v>
      </c>
      <c r="P4204" s="1" t="s">
        <v>5878</v>
      </c>
      <c r="Q4204" s="3">
        <v>0</v>
      </c>
      <c r="R4204" s="23" t="s">
        <v>12893</v>
      </c>
      <c r="S4204" s="23" t="s">
        <v>6846</v>
      </c>
      <c r="T4204" s="23" t="s">
        <v>4866</v>
      </c>
      <c r="U4204" s="3">
        <v>35</v>
      </c>
      <c r="W4204" s="45" t="str">
        <f>HYPERLINK("http://ictvonline.org/taxonomy/p/taxonomy-history?taxnode_id=201901594","ICTVonline=201901594")</f>
        <v>ICTVonline=201901594</v>
      </c>
      <c r="AA4204" s="1">
        <v>201900000</v>
      </c>
      <c r="AB4204" s="1">
        <v>35</v>
      </c>
    </row>
    <row r="4205" spans="1:28" x14ac:dyDescent="0.2">
      <c r="A4205" s="1">
        <v>10783</v>
      </c>
      <c r="B4205" s="1" t="s">
        <v>6839</v>
      </c>
      <c r="D4205" s="1" t="s">
        <v>11735</v>
      </c>
      <c r="F4205" s="1" t="s">
        <v>5540</v>
      </c>
      <c r="G4205" s="1" t="s">
        <v>5541</v>
      </c>
      <c r="H4205" s="1" t="s">
        <v>5556</v>
      </c>
      <c r="J4205" s="1" t="s">
        <v>999</v>
      </c>
      <c r="L4205" s="1" t="s">
        <v>1401</v>
      </c>
      <c r="M4205" s="1" t="s">
        <v>5879</v>
      </c>
      <c r="N4205" s="1" t="s">
        <v>5880</v>
      </c>
      <c r="P4205" s="1" t="s">
        <v>13173</v>
      </c>
      <c r="Q4205" s="3">
        <v>1</v>
      </c>
      <c r="R4205" s="23" t="s">
        <v>12893</v>
      </c>
      <c r="S4205" s="23" t="s">
        <v>6846</v>
      </c>
      <c r="T4205" s="23" t="s">
        <v>4865</v>
      </c>
      <c r="U4205" s="3">
        <v>35</v>
      </c>
      <c r="V4205" s="3" t="s">
        <v>13174</v>
      </c>
      <c r="W4205" s="45" t="str">
        <f>HYPERLINK("http://ictvonline.org/taxonomy/p/taxonomy-history?taxnode_id=201906472","ICTVonline=201906472")</f>
        <v>ICTVonline=201906472</v>
      </c>
      <c r="AA4205" s="1">
        <v>201900000</v>
      </c>
      <c r="AB4205" s="1">
        <v>35</v>
      </c>
    </row>
    <row r="4206" spans="1:28" x14ac:dyDescent="0.2">
      <c r="A4206" s="1">
        <v>10789</v>
      </c>
      <c r="B4206" s="1" t="s">
        <v>6839</v>
      </c>
      <c r="D4206" s="1" t="s">
        <v>11735</v>
      </c>
      <c r="F4206" s="1" t="s">
        <v>5540</v>
      </c>
      <c r="G4206" s="1" t="s">
        <v>5541</v>
      </c>
      <c r="H4206" s="1" t="s">
        <v>5556</v>
      </c>
      <c r="J4206" s="1" t="s">
        <v>999</v>
      </c>
      <c r="L4206" s="1" t="s">
        <v>1401</v>
      </c>
      <c r="M4206" s="1" t="s">
        <v>5881</v>
      </c>
      <c r="N4206" s="1" t="s">
        <v>1339</v>
      </c>
      <c r="P4206" s="1" t="s">
        <v>13175</v>
      </c>
      <c r="Q4206" s="3">
        <v>0</v>
      </c>
      <c r="R4206" s="23" t="s">
        <v>12893</v>
      </c>
      <c r="S4206" s="23" t="s">
        <v>6846</v>
      </c>
      <c r="T4206" s="23" t="s">
        <v>4864</v>
      </c>
      <c r="U4206" s="3">
        <v>35</v>
      </c>
      <c r="V4206" s="3" t="s">
        <v>13176</v>
      </c>
      <c r="W4206" s="45" t="str">
        <f>HYPERLINK("http://ictvonline.org/taxonomy/p/taxonomy-history?taxnode_id=201907559","ICTVonline=201907559")</f>
        <v>ICTVonline=201907559</v>
      </c>
      <c r="X4206" s="1" t="s">
        <v>13177</v>
      </c>
      <c r="Y4206" s="1" t="s">
        <v>13178</v>
      </c>
      <c r="Z4206" s="1" t="s">
        <v>13179</v>
      </c>
      <c r="AA4206" s="1">
        <v>201900000</v>
      </c>
      <c r="AB4206" s="1">
        <v>35</v>
      </c>
    </row>
    <row r="4207" spans="1:28" x14ac:dyDescent="0.2">
      <c r="A4207" s="1">
        <v>10791</v>
      </c>
      <c r="B4207" s="1" t="s">
        <v>6839</v>
      </c>
      <c r="D4207" s="1" t="s">
        <v>11735</v>
      </c>
      <c r="F4207" s="1" t="s">
        <v>5540</v>
      </c>
      <c r="G4207" s="1" t="s">
        <v>5541</v>
      </c>
      <c r="H4207" s="1" t="s">
        <v>5556</v>
      </c>
      <c r="J4207" s="1" t="s">
        <v>999</v>
      </c>
      <c r="L4207" s="1" t="s">
        <v>1401</v>
      </c>
      <c r="M4207" s="1" t="s">
        <v>5881</v>
      </c>
      <c r="N4207" s="1" t="s">
        <v>1339</v>
      </c>
      <c r="P4207" s="1" t="s">
        <v>13180</v>
      </c>
      <c r="Q4207" s="3">
        <v>1</v>
      </c>
      <c r="R4207" s="23" t="s">
        <v>12893</v>
      </c>
      <c r="S4207" s="23" t="s">
        <v>6846</v>
      </c>
      <c r="T4207" s="23" t="s">
        <v>4865</v>
      </c>
      <c r="U4207" s="3">
        <v>35</v>
      </c>
      <c r="V4207" s="3" t="s">
        <v>13176</v>
      </c>
      <c r="W4207" s="45" t="str">
        <f>HYPERLINK("http://ictvonline.org/taxonomy/p/taxonomy-history?taxnode_id=201901589","ICTVonline=201901589")</f>
        <v>ICTVonline=201901589</v>
      </c>
      <c r="AA4207" s="1">
        <v>201900000</v>
      </c>
      <c r="AB4207" s="1">
        <v>35</v>
      </c>
    </row>
    <row r="4208" spans="1:28" x14ac:dyDescent="0.2">
      <c r="A4208" s="1">
        <v>10795</v>
      </c>
      <c r="B4208" s="1" t="s">
        <v>6839</v>
      </c>
      <c r="D4208" s="1" t="s">
        <v>11735</v>
      </c>
      <c r="F4208" s="1" t="s">
        <v>5540</v>
      </c>
      <c r="G4208" s="1" t="s">
        <v>5541</v>
      </c>
      <c r="H4208" s="1" t="s">
        <v>5556</v>
      </c>
      <c r="J4208" s="1" t="s">
        <v>999</v>
      </c>
      <c r="L4208" s="1" t="s">
        <v>1401</v>
      </c>
      <c r="M4208" s="1" t="s">
        <v>5881</v>
      </c>
      <c r="N4208" s="1" t="s">
        <v>1340</v>
      </c>
      <c r="P4208" s="1" t="s">
        <v>4872</v>
      </c>
      <c r="Q4208" s="3">
        <v>1</v>
      </c>
      <c r="R4208" s="23" t="s">
        <v>12893</v>
      </c>
      <c r="S4208" s="23" t="s">
        <v>6846</v>
      </c>
      <c r="T4208" s="23" t="s">
        <v>4866</v>
      </c>
      <c r="U4208" s="3">
        <v>35</v>
      </c>
      <c r="W4208" s="45" t="str">
        <f>HYPERLINK("http://ictvonline.org/taxonomy/p/taxonomy-history?taxnode_id=201901605","ICTVonline=201901605")</f>
        <v>ICTVonline=201901605</v>
      </c>
      <c r="AA4208" s="1">
        <v>201900000</v>
      </c>
      <c r="AB4208" s="1">
        <v>35</v>
      </c>
    </row>
    <row r="4209" spans="1:28" x14ac:dyDescent="0.2">
      <c r="A4209" s="1">
        <v>10799</v>
      </c>
      <c r="B4209" s="1" t="s">
        <v>6839</v>
      </c>
      <c r="D4209" s="1" t="s">
        <v>11735</v>
      </c>
      <c r="F4209" s="1" t="s">
        <v>5540</v>
      </c>
      <c r="G4209" s="1" t="s">
        <v>5541</v>
      </c>
      <c r="H4209" s="1" t="s">
        <v>5556</v>
      </c>
      <c r="J4209" s="1" t="s">
        <v>999</v>
      </c>
      <c r="L4209" s="1" t="s">
        <v>1401</v>
      </c>
      <c r="M4209" s="1" t="s">
        <v>5881</v>
      </c>
      <c r="N4209" s="1" t="s">
        <v>1316</v>
      </c>
      <c r="P4209" s="1" t="s">
        <v>3506</v>
      </c>
      <c r="Q4209" s="3">
        <v>0</v>
      </c>
      <c r="R4209" s="23" t="s">
        <v>12893</v>
      </c>
      <c r="S4209" s="23" t="s">
        <v>6846</v>
      </c>
      <c r="T4209" s="23" t="s">
        <v>4866</v>
      </c>
      <c r="U4209" s="3">
        <v>35</v>
      </c>
      <c r="W4209" s="45" t="str">
        <f>HYPERLINK("http://ictvonline.org/taxonomy/p/taxonomy-history?taxnode_id=201901607","ICTVonline=201901607")</f>
        <v>ICTVonline=201901607</v>
      </c>
      <c r="X4209" s="1" t="s">
        <v>13181</v>
      </c>
      <c r="Y4209" s="1" t="s">
        <v>13182</v>
      </c>
      <c r="Z4209" s="1" t="s">
        <v>13183</v>
      </c>
      <c r="AA4209" s="1">
        <v>201900000</v>
      </c>
      <c r="AB4209" s="1">
        <v>35</v>
      </c>
    </row>
    <row r="4210" spans="1:28" x14ac:dyDescent="0.2">
      <c r="A4210" s="1">
        <v>10801</v>
      </c>
      <c r="B4210" s="1" t="s">
        <v>6839</v>
      </c>
      <c r="D4210" s="1" t="s">
        <v>11735</v>
      </c>
      <c r="F4210" s="1" t="s">
        <v>5540</v>
      </c>
      <c r="G4210" s="1" t="s">
        <v>5541</v>
      </c>
      <c r="H4210" s="1" t="s">
        <v>5556</v>
      </c>
      <c r="J4210" s="1" t="s">
        <v>999</v>
      </c>
      <c r="L4210" s="1" t="s">
        <v>1401</v>
      </c>
      <c r="M4210" s="1" t="s">
        <v>5881</v>
      </c>
      <c r="N4210" s="1" t="s">
        <v>1316</v>
      </c>
      <c r="P4210" s="1" t="s">
        <v>3507</v>
      </c>
      <c r="Q4210" s="3">
        <v>0</v>
      </c>
      <c r="R4210" s="23" t="s">
        <v>12893</v>
      </c>
      <c r="S4210" s="23" t="s">
        <v>6846</v>
      </c>
      <c r="T4210" s="23" t="s">
        <v>4866</v>
      </c>
      <c r="U4210" s="3">
        <v>35</v>
      </c>
      <c r="W4210" s="45" t="str">
        <f>HYPERLINK("http://ictvonline.org/taxonomy/p/taxonomy-history?taxnode_id=201901608","ICTVonline=201901608")</f>
        <v>ICTVonline=201901608</v>
      </c>
      <c r="X4210" s="1" t="s">
        <v>13184</v>
      </c>
      <c r="Y4210" s="1" t="s">
        <v>13185</v>
      </c>
      <c r="Z4210" s="1" t="s">
        <v>13186</v>
      </c>
      <c r="AA4210" s="1">
        <v>201900000</v>
      </c>
      <c r="AB4210" s="1">
        <v>35</v>
      </c>
    </row>
    <row r="4211" spans="1:28" x14ac:dyDescent="0.2">
      <c r="A4211" s="1">
        <v>10803</v>
      </c>
      <c r="B4211" s="1" t="s">
        <v>6839</v>
      </c>
      <c r="D4211" s="1" t="s">
        <v>11735</v>
      </c>
      <c r="F4211" s="1" t="s">
        <v>5540</v>
      </c>
      <c r="G4211" s="1" t="s">
        <v>5541</v>
      </c>
      <c r="H4211" s="1" t="s">
        <v>5556</v>
      </c>
      <c r="J4211" s="1" t="s">
        <v>999</v>
      </c>
      <c r="L4211" s="1" t="s">
        <v>1401</v>
      </c>
      <c r="M4211" s="1" t="s">
        <v>5881</v>
      </c>
      <c r="N4211" s="1" t="s">
        <v>1316</v>
      </c>
      <c r="P4211" s="1" t="s">
        <v>4873</v>
      </c>
      <c r="Q4211" s="3">
        <v>1</v>
      </c>
      <c r="R4211" s="23" t="s">
        <v>12893</v>
      </c>
      <c r="S4211" s="23" t="s">
        <v>6846</v>
      </c>
      <c r="T4211" s="23" t="s">
        <v>4866</v>
      </c>
      <c r="U4211" s="3">
        <v>35</v>
      </c>
      <c r="W4211" s="45" t="str">
        <f>HYPERLINK("http://ictvonline.org/taxonomy/p/taxonomy-history?taxnode_id=201901609","ICTVonline=201901609")</f>
        <v>ICTVonline=201901609</v>
      </c>
      <c r="AA4211" s="1">
        <v>201900000</v>
      </c>
      <c r="AB4211" s="1">
        <v>35</v>
      </c>
    </row>
    <row r="4212" spans="1:28" x14ac:dyDescent="0.2">
      <c r="A4212" s="1">
        <v>10805</v>
      </c>
      <c r="B4212" s="1" t="s">
        <v>6839</v>
      </c>
      <c r="D4212" s="1" t="s">
        <v>11735</v>
      </c>
      <c r="F4212" s="1" t="s">
        <v>5540</v>
      </c>
      <c r="G4212" s="1" t="s">
        <v>5541</v>
      </c>
      <c r="H4212" s="1" t="s">
        <v>5556</v>
      </c>
      <c r="J4212" s="1" t="s">
        <v>999</v>
      </c>
      <c r="L4212" s="1" t="s">
        <v>1401</v>
      </c>
      <c r="M4212" s="1" t="s">
        <v>5881</v>
      </c>
      <c r="N4212" s="1" t="s">
        <v>1316</v>
      </c>
      <c r="P4212" s="1" t="s">
        <v>3508</v>
      </c>
      <c r="Q4212" s="3">
        <v>0</v>
      </c>
      <c r="R4212" s="23" t="s">
        <v>12893</v>
      </c>
      <c r="S4212" s="23" t="s">
        <v>6846</v>
      </c>
      <c r="T4212" s="23" t="s">
        <v>4866</v>
      </c>
      <c r="U4212" s="3">
        <v>35</v>
      </c>
      <c r="W4212" s="45" t="str">
        <f>HYPERLINK("http://ictvonline.org/taxonomy/p/taxonomy-history?taxnode_id=201901610","ICTVonline=201901610")</f>
        <v>ICTVonline=201901610</v>
      </c>
      <c r="X4212" s="1" t="s">
        <v>13187</v>
      </c>
      <c r="Y4212" s="1" t="s">
        <v>13188</v>
      </c>
      <c r="Z4212" s="1" t="s">
        <v>13189</v>
      </c>
      <c r="AA4212" s="1">
        <v>201900000</v>
      </c>
      <c r="AB4212" s="1">
        <v>35</v>
      </c>
    </row>
    <row r="4213" spans="1:28" x14ac:dyDescent="0.2">
      <c r="A4213" s="1">
        <v>10807</v>
      </c>
      <c r="B4213" s="1" t="s">
        <v>6839</v>
      </c>
      <c r="D4213" s="1" t="s">
        <v>11735</v>
      </c>
      <c r="F4213" s="1" t="s">
        <v>5540</v>
      </c>
      <c r="G4213" s="1" t="s">
        <v>5541</v>
      </c>
      <c r="H4213" s="1" t="s">
        <v>5556</v>
      </c>
      <c r="J4213" s="1" t="s">
        <v>999</v>
      </c>
      <c r="L4213" s="1" t="s">
        <v>1401</v>
      </c>
      <c r="M4213" s="1" t="s">
        <v>5881</v>
      </c>
      <c r="N4213" s="1" t="s">
        <v>1316</v>
      </c>
      <c r="P4213" s="1" t="s">
        <v>4874</v>
      </c>
      <c r="Q4213" s="3">
        <v>0</v>
      </c>
      <c r="R4213" s="23" t="s">
        <v>12893</v>
      </c>
      <c r="S4213" s="23" t="s">
        <v>6846</v>
      </c>
      <c r="T4213" s="23" t="s">
        <v>4866</v>
      </c>
      <c r="U4213" s="3">
        <v>35</v>
      </c>
      <c r="W4213" s="45" t="str">
        <f>HYPERLINK("http://ictvonline.org/taxonomy/p/taxonomy-history?taxnode_id=201901611","ICTVonline=201901611")</f>
        <v>ICTVonline=201901611</v>
      </c>
      <c r="AA4213" s="1">
        <v>201900000</v>
      </c>
      <c r="AB4213" s="1">
        <v>35</v>
      </c>
    </row>
    <row r="4214" spans="1:28" x14ac:dyDescent="0.2">
      <c r="A4214" s="1">
        <v>10811</v>
      </c>
      <c r="B4214" s="1" t="s">
        <v>6839</v>
      </c>
      <c r="D4214" s="1" t="s">
        <v>11735</v>
      </c>
      <c r="F4214" s="1" t="s">
        <v>5540</v>
      </c>
      <c r="G4214" s="1" t="s">
        <v>5541</v>
      </c>
      <c r="H4214" s="1" t="s">
        <v>5556</v>
      </c>
      <c r="J4214" s="1" t="s">
        <v>999</v>
      </c>
      <c r="L4214" s="1" t="s">
        <v>1401</v>
      </c>
      <c r="M4214" s="1" t="s">
        <v>5881</v>
      </c>
      <c r="N4214" s="1" t="s">
        <v>5882</v>
      </c>
      <c r="P4214" s="1" t="s">
        <v>5883</v>
      </c>
      <c r="Q4214" s="3">
        <v>1</v>
      </c>
      <c r="R4214" s="23" t="s">
        <v>12893</v>
      </c>
      <c r="S4214" s="23" t="s">
        <v>6846</v>
      </c>
      <c r="T4214" s="23" t="s">
        <v>4866</v>
      </c>
      <c r="U4214" s="3">
        <v>35</v>
      </c>
      <c r="W4214" s="45" t="str">
        <f>HYPERLINK("http://ictvonline.org/taxonomy/p/taxonomy-history?taxnode_id=201906453","ICTVonline=201906453")</f>
        <v>ICTVonline=201906453</v>
      </c>
      <c r="X4214" s="1" t="s">
        <v>13190</v>
      </c>
      <c r="Y4214" s="1" t="s">
        <v>13191</v>
      </c>
      <c r="Z4214" s="1" t="s">
        <v>13192</v>
      </c>
      <c r="AA4214" s="1">
        <v>201900000</v>
      </c>
      <c r="AB4214" s="1">
        <v>35</v>
      </c>
    </row>
    <row r="4215" spans="1:28" x14ac:dyDescent="0.2">
      <c r="A4215" s="1">
        <v>10813</v>
      </c>
      <c r="B4215" s="1" t="s">
        <v>6839</v>
      </c>
      <c r="D4215" s="1" t="s">
        <v>11735</v>
      </c>
      <c r="F4215" s="1" t="s">
        <v>5540</v>
      </c>
      <c r="G4215" s="1" t="s">
        <v>5541</v>
      </c>
      <c r="H4215" s="1" t="s">
        <v>5556</v>
      </c>
      <c r="J4215" s="1" t="s">
        <v>999</v>
      </c>
      <c r="L4215" s="1" t="s">
        <v>1401</v>
      </c>
      <c r="M4215" s="1" t="s">
        <v>5881</v>
      </c>
      <c r="N4215" s="1" t="s">
        <v>5882</v>
      </c>
      <c r="P4215" s="1" t="s">
        <v>5884</v>
      </c>
      <c r="Q4215" s="3">
        <v>0</v>
      </c>
      <c r="R4215" s="23" t="s">
        <v>12893</v>
      </c>
      <c r="S4215" s="23" t="s">
        <v>6846</v>
      </c>
      <c r="T4215" s="23" t="s">
        <v>4866</v>
      </c>
      <c r="U4215" s="3">
        <v>35</v>
      </c>
      <c r="W4215" s="45" t="str">
        <f>HYPERLINK("http://ictvonline.org/taxonomy/p/taxonomy-history?taxnode_id=201906454","ICTVonline=201906454")</f>
        <v>ICTVonline=201906454</v>
      </c>
      <c r="X4215" s="1" t="s">
        <v>13193</v>
      </c>
      <c r="Y4215" s="1" t="s">
        <v>13194</v>
      </c>
      <c r="Z4215" s="1" t="s">
        <v>13195</v>
      </c>
      <c r="AA4215" s="1">
        <v>201900000</v>
      </c>
      <c r="AB4215" s="1">
        <v>35</v>
      </c>
    </row>
    <row r="4216" spans="1:28" x14ac:dyDescent="0.2">
      <c r="A4216" s="1">
        <v>10815</v>
      </c>
      <c r="B4216" s="1" t="s">
        <v>6839</v>
      </c>
      <c r="D4216" s="1" t="s">
        <v>11735</v>
      </c>
      <c r="F4216" s="1" t="s">
        <v>5540</v>
      </c>
      <c r="G4216" s="1" t="s">
        <v>5541</v>
      </c>
      <c r="H4216" s="1" t="s">
        <v>5556</v>
      </c>
      <c r="J4216" s="1" t="s">
        <v>999</v>
      </c>
      <c r="L4216" s="1" t="s">
        <v>1401</v>
      </c>
      <c r="M4216" s="1" t="s">
        <v>5881</v>
      </c>
      <c r="N4216" s="1" t="s">
        <v>5882</v>
      </c>
      <c r="P4216" s="1" t="s">
        <v>5885</v>
      </c>
      <c r="Q4216" s="3">
        <v>0</v>
      </c>
      <c r="R4216" s="23" t="s">
        <v>12893</v>
      </c>
      <c r="S4216" s="23" t="s">
        <v>6846</v>
      </c>
      <c r="T4216" s="23" t="s">
        <v>4866</v>
      </c>
      <c r="U4216" s="3">
        <v>35</v>
      </c>
      <c r="W4216" s="45" t="str">
        <f>HYPERLINK("http://ictvonline.org/taxonomy/p/taxonomy-history?taxnode_id=201906455","ICTVonline=201906455")</f>
        <v>ICTVonline=201906455</v>
      </c>
      <c r="X4216" s="1" t="s">
        <v>13196</v>
      </c>
      <c r="Y4216" s="1" t="s">
        <v>13197</v>
      </c>
      <c r="Z4216" s="1" t="s">
        <v>13198</v>
      </c>
      <c r="AA4216" s="1">
        <v>201900000</v>
      </c>
      <c r="AB4216" s="1">
        <v>35</v>
      </c>
    </row>
    <row r="4217" spans="1:28" x14ac:dyDescent="0.2">
      <c r="A4217" s="1">
        <v>10817</v>
      </c>
      <c r="B4217" s="1" t="s">
        <v>6839</v>
      </c>
      <c r="D4217" s="1" t="s">
        <v>11735</v>
      </c>
      <c r="F4217" s="1" t="s">
        <v>5540</v>
      </c>
      <c r="G4217" s="1" t="s">
        <v>5541</v>
      </c>
      <c r="H4217" s="1" t="s">
        <v>5556</v>
      </c>
      <c r="J4217" s="1" t="s">
        <v>999</v>
      </c>
      <c r="L4217" s="1" t="s">
        <v>1401</v>
      </c>
      <c r="M4217" s="1" t="s">
        <v>5881</v>
      </c>
      <c r="N4217" s="1" t="s">
        <v>5882</v>
      </c>
      <c r="P4217" s="1" t="s">
        <v>5886</v>
      </c>
      <c r="Q4217" s="3">
        <v>0</v>
      </c>
      <c r="R4217" s="23" t="s">
        <v>12893</v>
      </c>
      <c r="S4217" s="23" t="s">
        <v>6846</v>
      </c>
      <c r="T4217" s="23" t="s">
        <v>4866</v>
      </c>
      <c r="U4217" s="3">
        <v>35</v>
      </c>
      <c r="W4217" s="45" t="str">
        <f>HYPERLINK("http://ictvonline.org/taxonomy/p/taxonomy-history?taxnode_id=201906456","ICTVonline=201906456")</f>
        <v>ICTVonline=201906456</v>
      </c>
      <c r="X4217" s="1" t="s">
        <v>13199</v>
      </c>
      <c r="Y4217" s="1" t="s">
        <v>13200</v>
      </c>
      <c r="Z4217" s="1" t="s">
        <v>13201</v>
      </c>
      <c r="AA4217" s="1">
        <v>201900000</v>
      </c>
      <c r="AB4217" s="1">
        <v>35</v>
      </c>
    </row>
    <row r="4218" spans="1:28" x14ac:dyDescent="0.2">
      <c r="A4218" s="1">
        <v>10819</v>
      </c>
      <c r="B4218" s="1" t="s">
        <v>6839</v>
      </c>
      <c r="D4218" s="1" t="s">
        <v>11735</v>
      </c>
      <c r="F4218" s="1" t="s">
        <v>5540</v>
      </c>
      <c r="G4218" s="1" t="s">
        <v>5541</v>
      </c>
      <c r="H4218" s="1" t="s">
        <v>5556</v>
      </c>
      <c r="J4218" s="1" t="s">
        <v>999</v>
      </c>
      <c r="L4218" s="1" t="s">
        <v>1401</v>
      </c>
      <c r="M4218" s="1" t="s">
        <v>5881</v>
      </c>
      <c r="N4218" s="1" t="s">
        <v>5882</v>
      </c>
      <c r="P4218" s="1" t="s">
        <v>13202</v>
      </c>
      <c r="Q4218" s="3">
        <v>0</v>
      </c>
      <c r="R4218" s="23" t="s">
        <v>12893</v>
      </c>
      <c r="S4218" s="23" t="s">
        <v>6846</v>
      </c>
      <c r="T4218" s="23" t="s">
        <v>4864</v>
      </c>
      <c r="U4218" s="3">
        <v>35</v>
      </c>
      <c r="V4218" s="3" t="s">
        <v>13176</v>
      </c>
      <c r="W4218" s="45" t="str">
        <f>HYPERLINK("http://ictvonline.org/taxonomy/p/taxonomy-history?taxnode_id=201907560","ICTVonline=201907560")</f>
        <v>ICTVonline=201907560</v>
      </c>
      <c r="X4218" s="1" t="s">
        <v>13203</v>
      </c>
      <c r="Y4218" s="1" t="s">
        <v>13204</v>
      </c>
      <c r="Z4218" s="1" t="s">
        <v>13205</v>
      </c>
      <c r="AA4218" s="1">
        <v>201900000</v>
      </c>
      <c r="AB4218" s="1">
        <v>35</v>
      </c>
    </row>
    <row r="4219" spans="1:28" x14ac:dyDescent="0.2">
      <c r="A4219" s="1">
        <v>10821</v>
      </c>
      <c r="B4219" s="1" t="s">
        <v>6839</v>
      </c>
      <c r="D4219" s="1" t="s">
        <v>11735</v>
      </c>
      <c r="F4219" s="1" t="s">
        <v>5540</v>
      </c>
      <c r="G4219" s="1" t="s">
        <v>5541</v>
      </c>
      <c r="H4219" s="1" t="s">
        <v>5556</v>
      </c>
      <c r="J4219" s="1" t="s">
        <v>999</v>
      </c>
      <c r="L4219" s="1" t="s">
        <v>1401</v>
      </c>
      <c r="M4219" s="1" t="s">
        <v>5881</v>
      </c>
      <c r="N4219" s="1" t="s">
        <v>5882</v>
      </c>
      <c r="P4219" s="1" t="s">
        <v>5887</v>
      </c>
      <c r="Q4219" s="3">
        <v>0</v>
      </c>
      <c r="R4219" s="23" t="s">
        <v>12893</v>
      </c>
      <c r="S4219" s="23" t="s">
        <v>6846</v>
      </c>
      <c r="T4219" s="23" t="s">
        <v>4866</v>
      </c>
      <c r="U4219" s="3">
        <v>35</v>
      </c>
      <c r="W4219" s="45" t="str">
        <f>HYPERLINK("http://ictvonline.org/taxonomy/p/taxonomy-history?taxnode_id=201906457","ICTVonline=201906457")</f>
        <v>ICTVonline=201906457</v>
      </c>
      <c r="X4219" s="1" t="s">
        <v>13206</v>
      </c>
      <c r="Y4219" s="1" t="s">
        <v>13207</v>
      </c>
      <c r="Z4219" s="1" t="s">
        <v>13208</v>
      </c>
      <c r="AA4219" s="1">
        <v>201900000</v>
      </c>
      <c r="AB4219" s="1">
        <v>35</v>
      </c>
    </row>
    <row r="4220" spans="1:28" x14ac:dyDescent="0.2">
      <c r="A4220" s="1">
        <v>10823</v>
      </c>
      <c r="B4220" s="1" t="s">
        <v>6839</v>
      </c>
      <c r="D4220" s="1" t="s">
        <v>11735</v>
      </c>
      <c r="F4220" s="1" t="s">
        <v>5540</v>
      </c>
      <c r="G4220" s="1" t="s">
        <v>5541</v>
      </c>
      <c r="H4220" s="1" t="s">
        <v>5556</v>
      </c>
      <c r="J4220" s="1" t="s">
        <v>999</v>
      </c>
      <c r="L4220" s="1" t="s">
        <v>1401</v>
      </c>
      <c r="M4220" s="1" t="s">
        <v>5881</v>
      </c>
      <c r="N4220" s="1" t="s">
        <v>5882</v>
      </c>
      <c r="P4220" s="1" t="s">
        <v>5888</v>
      </c>
      <c r="Q4220" s="3">
        <v>0</v>
      </c>
      <c r="R4220" s="23" t="s">
        <v>12893</v>
      </c>
      <c r="S4220" s="23" t="s">
        <v>6846</v>
      </c>
      <c r="T4220" s="23" t="s">
        <v>4866</v>
      </c>
      <c r="U4220" s="3">
        <v>35</v>
      </c>
      <c r="W4220" s="45" t="str">
        <f>HYPERLINK("http://ictvonline.org/taxonomy/p/taxonomy-history?taxnode_id=201906458","ICTVonline=201906458")</f>
        <v>ICTVonline=201906458</v>
      </c>
      <c r="X4220" s="1" t="s">
        <v>13209</v>
      </c>
      <c r="Y4220" s="1" t="s">
        <v>13210</v>
      </c>
      <c r="Z4220" s="1" t="s">
        <v>13211</v>
      </c>
      <c r="AA4220" s="1">
        <v>201900000</v>
      </c>
      <c r="AB4220" s="1">
        <v>35</v>
      </c>
    </row>
    <row r="4221" spans="1:28" x14ac:dyDescent="0.2">
      <c r="A4221" s="1">
        <v>10827</v>
      </c>
      <c r="B4221" s="1" t="s">
        <v>6839</v>
      </c>
      <c r="D4221" s="1" t="s">
        <v>11735</v>
      </c>
      <c r="F4221" s="1" t="s">
        <v>5540</v>
      </c>
      <c r="G4221" s="1" t="s">
        <v>5541</v>
      </c>
      <c r="H4221" s="1" t="s">
        <v>5556</v>
      </c>
      <c r="J4221" s="1" t="s">
        <v>999</v>
      </c>
      <c r="L4221" s="1" t="s">
        <v>1401</v>
      </c>
      <c r="M4221" s="1" t="s">
        <v>5881</v>
      </c>
      <c r="N4221" s="1" t="s">
        <v>1317</v>
      </c>
      <c r="P4221" s="1" t="s">
        <v>4875</v>
      </c>
      <c r="Q4221" s="3">
        <v>0</v>
      </c>
      <c r="R4221" s="23" t="s">
        <v>12893</v>
      </c>
      <c r="S4221" s="23" t="s">
        <v>6846</v>
      </c>
      <c r="T4221" s="23" t="s">
        <v>4866</v>
      </c>
      <c r="U4221" s="3">
        <v>35</v>
      </c>
      <c r="W4221" s="45" t="str">
        <f>HYPERLINK("http://ictvonline.org/taxonomy/p/taxonomy-history?taxnode_id=201901613","ICTVonline=201901613")</f>
        <v>ICTVonline=201901613</v>
      </c>
      <c r="AA4221" s="1">
        <v>201900000</v>
      </c>
      <c r="AB4221" s="1">
        <v>35</v>
      </c>
    </row>
    <row r="4222" spans="1:28" x14ac:dyDescent="0.2">
      <c r="A4222" s="1">
        <v>10829</v>
      </c>
      <c r="B4222" s="1" t="s">
        <v>6839</v>
      </c>
      <c r="D4222" s="1" t="s">
        <v>11735</v>
      </c>
      <c r="F4222" s="1" t="s">
        <v>5540</v>
      </c>
      <c r="G4222" s="1" t="s">
        <v>5541</v>
      </c>
      <c r="H4222" s="1" t="s">
        <v>5556</v>
      </c>
      <c r="J4222" s="1" t="s">
        <v>999</v>
      </c>
      <c r="L4222" s="1" t="s">
        <v>1401</v>
      </c>
      <c r="M4222" s="1" t="s">
        <v>5881</v>
      </c>
      <c r="N4222" s="1" t="s">
        <v>1317</v>
      </c>
      <c r="P4222" s="1" t="s">
        <v>1318</v>
      </c>
      <c r="Q4222" s="3">
        <v>0</v>
      </c>
      <c r="R4222" s="23" t="s">
        <v>12893</v>
      </c>
      <c r="S4222" s="23" t="s">
        <v>6846</v>
      </c>
      <c r="T4222" s="23" t="s">
        <v>4866</v>
      </c>
      <c r="U4222" s="3">
        <v>35</v>
      </c>
      <c r="W4222" s="45" t="str">
        <f>HYPERLINK("http://ictvonline.org/taxonomy/p/taxonomy-history?taxnode_id=201901614","ICTVonline=201901614")</f>
        <v>ICTVonline=201901614</v>
      </c>
      <c r="AA4222" s="1">
        <v>201900000</v>
      </c>
      <c r="AB4222" s="1">
        <v>35</v>
      </c>
    </row>
    <row r="4223" spans="1:28" x14ac:dyDescent="0.2">
      <c r="A4223" s="1">
        <v>10831</v>
      </c>
      <c r="B4223" s="1" t="s">
        <v>6839</v>
      </c>
      <c r="D4223" s="1" t="s">
        <v>11735</v>
      </c>
      <c r="F4223" s="1" t="s">
        <v>5540</v>
      </c>
      <c r="G4223" s="1" t="s">
        <v>5541</v>
      </c>
      <c r="H4223" s="1" t="s">
        <v>5556</v>
      </c>
      <c r="J4223" s="1" t="s">
        <v>999</v>
      </c>
      <c r="L4223" s="1" t="s">
        <v>1401</v>
      </c>
      <c r="M4223" s="1" t="s">
        <v>5881</v>
      </c>
      <c r="N4223" s="1" t="s">
        <v>1317</v>
      </c>
      <c r="P4223" s="1" t="s">
        <v>3509</v>
      </c>
      <c r="Q4223" s="3">
        <v>0</v>
      </c>
      <c r="R4223" s="23" t="s">
        <v>12893</v>
      </c>
      <c r="S4223" s="23" t="s">
        <v>6846</v>
      </c>
      <c r="T4223" s="23" t="s">
        <v>4866</v>
      </c>
      <c r="U4223" s="3">
        <v>35</v>
      </c>
      <c r="W4223" s="45" t="str">
        <f>HYPERLINK("http://ictvonline.org/taxonomy/p/taxonomy-history?taxnode_id=201901615","ICTVonline=201901615")</f>
        <v>ICTVonline=201901615</v>
      </c>
      <c r="Y4223" s="1" t="s">
        <v>13212</v>
      </c>
      <c r="Z4223" s="1" t="s">
        <v>13213</v>
      </c>
      <c r="AA4223" s="1">
        <v>201900000</v>
      </c>
      <c r="AB4223" s="1">
        <v>35</v>
      </c>
    </row>
    <row r="4224" spans="1:28" x14ac:dyDescent="0.2">
      <c r="A4224" s="1">
        <v>10833</v>
      </c>
      <c r="B4224" s="1" t="s">
        <v>6839</v>
      </c>
      <c r="D4224" s="1" t="s">
        <v>11735</v>
      </c>
      <c r="F4224" s="1" t="s">
        <v>5540</v>
      </c>
      <c r="G4224" s="1" t="s">
        <v>5541</v>
      </c>
      <c r="H4224" s="1" t="s">
        <v>5556</v>
      </c>
      <c r="J4224" s="1" t="s">
        <v>999</v>
      </c>
      <c r="L4224" s="1" t="s">
        <v>1401</v>
      </c>
      <c r="M4224" s="1" t="s">
        <v>5881</v>
      </c>
      <c r="N4224" s="1" t="s">
        <v>1317</v>
      </c>
      <c r="P4224" s="1" t="s">
        <v>4876</v>
      </c>
      <c r="Q4224" s="3">
        <v>1</v>
      </c>
      <c r="R4224" s="23" t="s">
        <v>12893</v>
      </c>
      <c r="S4224" s="23" t="s">
        <v>6846</v>
      </c>
      <c r="T4224" s="23" t="s">
        <v>4866</v>
      </c>
      <c r="U4224" s="3">
        <v>35</v>
      </c>
      <c r="W4224" s="45" t="str">
        <f>HYPERLINK("http://ictvonline.org/taxonomy/p/taxonomy-history?taxnode_id=201901616","ICTVonline=201901616")</f>
        <v>ICTVonline=201901616</v>
      </c>
      <c r="AA4224" s="1">
        <v>201900000</v>
      </c>
      <c r="AB4224" s="1">
        <v>35</v>
      </c>
    </row>
    <row r="4225" spans="1:28" x14ac:dyDescent="0.2">
      <c r="A4225" s="1">
        <v>10835</v>
      </c>
      <c r="B4225" s="1" t="s">
        <v>6839</v>
      </c>
      <c r="D4225" s="1" t="s">
        <v>11735</v>
      </c>
      <c r="F4225" s="1" t="s">
        <v>5540</v>
      </c>
      <c r="G4225" s="1" t="s">
        <v>5541</v>
      </c>
      <c r="H4225" s="1" t="s">
        <v>5556</v>
      </c>
      <c r="J4225" s="1" t="s">
        <v>999</v>
      </c>
      <c r="L4225" s="1" t="s">
        <v>1401</v>
      </c>
      <c r="M4225" s="1" t="s">
        <v>5881</v>
      </c>
      <c r="N4225" s="1" t="s">
        <v>1317</v>
      </c>
      <c r="P4225" s="1" t="s">
        <v>4877</v>
      </c>
      <c r="Q4225" s="3">
        <v>0</v>
      </c>
      <c r="R4225" s="23" t="s">
        <v>12893</v>
      </c>
      <c r="S4225" s="23" t="s">
        <v>6846</v>
      </c>
      <c r="T4225" s="23" t="s">
        <v>4866</v>
      </c>
      <c r="U4225" s="3">
        <v>35</v>
      </c>
      <c r="W4225" s="45" t="str">
        <f>HYPERLINK("http://ictvonline.org/taxonomy/p/taxonomy-history?taxnode_id=201901617","ICTVonline=201901617")</f>
        <v>ICTVonline=201901617</v>
      </c>
      <c r="AA4225" s="1">
        <v>201900000</v>
      </c>
      <c r="AB4225" s="1">
        <v>35</v>
      </c>
    </row>
    <row r="4226" spans="1:28" x14ac:dyDescent="0.2">
      <c r="A4226" s="1">
        <v>10837</v>
      </c>
      <c r="B4226" s="1" t="s">
        <v>6839</v>
      </c>
      <c r="D4226" s="1" t="s">
        <v>11735</v>
      </c>
      <c r="F4226" s="1" t="s">
        <v>5540</v>
      </c>
      <c r="G4226" s="1" t="s">
        <v>5541</v>
      </c>
      <c r="H4226" s="1" t="s">
        <v>5556</v>
      </c>
      <c r="J4226" s="1" t="s">
        <v>999</v>
      </c>
      <c r="L4226" s="1" t="s">
        <v>1401</v>
      </c>
      <c r="M4226" s="1" t="s">
        <v>5881</v>
      </c>
      <c r="N4226" s="1" t="s">
        <v>1317</v>
      </c>
      <c r="P4226" s="1" t="s">
        <v>4878</v>
      </c>
      <c r="Q4226" s="3">
        <v>0</v>
      </c>
      <c r="R4226" s="23" t="s">
        <v>12893</v>
      </c>
      <c r="S4226" s="23" t="s">
        <v>6846</v>
      </c>
      <c r="T4226" s="23" t="s">
        <v>4866</v>
      </c>
      <c r="U4226" s="3">
        <v>35</v>
      </c>
      <c r="W4226" s="45" t="str">
        <f>HYPERLINK("http://ictvonline.org/taxonomy/p/taxonomy-history?taxnode_id=201901618","ICTVonline=201901618")</f>
        <v>ICTVonline=201901618</v>
      </c>
      <c r="AA4226" s="1">
        <v>201900000</v>
      </c>
      <c r="AB4226" s="1">
        <v>35</v>
      </c>
    </row>
    <row r="4227" spans="1:28" x14ac:dyDescent="0.2">
      <c r="A4227" s="1">
        <v>10839</v>
      </c>
      <c r="B4227" s="1" t="s">
        <v>6839</v>
      </c>
      <c r="D4227" s="1" t="s">
        <v>11735</v>
      </c>
      <c r="F4227" s="1" t="s">
        <v>5540</v>
      </c>
      <c r="G4227" s="1" t="s">
        <v>5541</v>
      </c>
      <c r="H4227" s="1" t="s">
        <v>5556</v>
      </c>
      <c r="J4227" s="1" t="s">
        <v>999</v>
      </c>
      <c r="L4227" s="1" t="s">
        <v>1401</v>
      </c>
      <c r="M4227" s="1" t="s">
        <v>5881</v>
      </c>
      <c r="N4227" s="1" t="s">
        <v>1317</v>
      </c>
      <c r="P4227" s="1" t="s">
        <v>4879</v>
      </c>
      <c r="Q4227" s="3">
        <v>0</v>
      </c>
      <c r="R4227" s="23" t="s">
        <v>12893</v>
      </c>
      <c r="S4227" s="23" t="s">
        <v>6846</v>
      </c>
      <c r="T4227" s="23" t="s">
        <v>4866</v>
      </c>
      <c r="U4227" s="3">
        <v>35</v>
      </c>
      <c r="W4227" s="45" t="str">
        <f>HYPERLINK("http://ictvonline.org/taxonomy/p/taxonomy-history?taxnode_id=201901619","ICTVonline=201901619")</f>
        <v>ICTVonline=201901619</v>
      </c>
      <c r="AA4227" s="1">
        <v>201900000</v>
      </c>
      <c r="AB4227" s="1">
        <v>35</v>
      </c>
    </row>
    <row r="4228" spans="1:28" x14ac:dyDescent="0.2">
      <c r="A4228" s="1">
        <v>10843</v>
      </c>
      <c r="B4228" s="1" t="s">
        <v>6839</v>
      </c>
      <c r="D4228" s="1" t="s">
        <v>11735</v>
      </c>
      <c r="F4228" s="1" t="s">
        <v>5540</v>
      </c>
      <c r="G4228" s="1" t="s">
        <v>5541</v>
      </c>
      <c r="H4228" s="1" t="s">
        <v>5556</v>
      </c>
      <c r="J4228" s="1" t="s">
        <v>999</v>
      </c>
      <c r="L4228" s="1" t="s">
        <v>1401</v>
      </c>
      <c r="M4228" s="1" t="s">
        <v>5881</v>
      </c>
      <c r="N4228" s="1" t="s">
        <v>5889</v>
      </c>
      <c r="P4228" s="1" t="s">
        <v>5890</v>
      </c>
      <c r="Q4228" s="3">
        <v>0</v>
      </c>
      <c r="R4228" s="23" t="s">
        <v>12893</v>
      </c>
      <c r="S4228" s="23" t="s">
        <v>6846</v>
      </c>
      <c r="T4228" s="23" t="s">
        <v>4866</v>
      </c>
      <c r="U4228" s="3">
        <v>35</v>
      </c>
      <c r="W4228" s="45" t="str">
        <f>HYPERLINK("http://ictvonline.org/taxonomy/p/taxonomy-history?taxnode_id=201906460","ICTVonline=201906460")</f>
        <v>ICTVonline=201906460</v>
      </c>
      <c r="X4228" s="1" t="s">
        <v>13214</v>
      </c>
      <c r="Y4228" s="1" t="s">
        <v>13215</v>
      </c>
      <c r="Z4228" s="1" t="s">
        <v>13216</v>
      </c>
      <c r="AA4228" s="1">
        <v>201900000</v>
      </c>
      <c r="AB4228" s="1">
        <v>35</v>
      </c>
    </row>
    <row r="4229" spans="1:28" x14ac:dyDescent="0.2">
      <c r="A4229" s="1">
        <v>10845</v>
      </c>
      <c r="B4229" s="1" t="s">
        <v>6839</v>
      </c>
      <c r="D4229" s="1" t="s">
        <v>11735</v>
      </c>
      <c r="F4229" s="1" t="s">
        <v>5540</v>
      </c>
      <c r="G4229" s="1" t="s">
        <v>5541</v>
      </c>
      <c r="H4229" s="1" t="s">
        <v>5556</v>
      </c>
      <c r="J4229" s="1" t="s">
        <v>999</v>
      </c>
      <c r="L4229" s="1" t="s">
        <v>1401</v>
      </c>
      <c r="M4229" s="1" t="s">
        <v>5881</v>
      </c>
      <c r="N4229" s="1" t="s">
        <v>5889</v>
      </c>
      <c r="P4229" s="1" t="s">
        <v>5891</v>
      </c>
      <c r="Q4229" s="3">
        <v>0</v>
      </c>
      <c r="R4229" s="23" t="s">
        <v>12893</v>
      </c>
      <c r="S4229" s="23" t="s">
        <v>6846</v>
      </c>
      <c r="T4229" s="23" t="s">
        <v>4866</v>
      </c>
      <c r="U4229" s="3">
        <v>35</v>
      </c>
      <c r="W4229" s="45" t="str">
        <f>HYPERLINK("http://ictvonline.org/taxonomy/p/taxonomy-history?taxnode_id=201906461","ICTVonline=201906461")</f>
        <v>ICTVonline=201906461</v>
      </c>
      <c r="X4229" s="1" t="s">
        <v>13217</v>
      </c>
      <c r="Y4229" s="1" t="s">
        <v>13218</v>
      </c>
      <c r="Z4229" s="1" t="s">
        <v>13219</v>
      </c>
      <c r="AA4229" s="1">
        <v>201900000</v>
      </c>
      <c r="AB4229" s="1">
        <v>35</v>
      </c>
    </row>
    <row r="4230" spans="1:28" x14ac:dyDescent="0.2">
      <c r="A4230" s="1">
        <v>10847</v>
      </c>
      <c r="B4230" s="1" t="s">
        <v>6839</v>
      </c>
      <c r="D4230" s="1" t="s">
        <v>11735</v>
      </c>
      <c r="F4230" s="1" t="s">
        <v>5540</v>
      </c>
      <c r="G4230" s="1" t="s">
        <v>5541</v>
      </c>
      <c r="H4230" s="1" t="s">
        <v>5556</v>
      </c>
      <c r="J4230" s="1" t="s">
        <v>999</v>
      </c>
      <c r="L4230" s="1" t="s">
        <v>1401</v>
      </c>
      <c r="M4230" s="1" t="s">
        <v>5881</v>
      </c>
      <c r="N4230" s="1" t="s">
        <v>5889</v>
      </c>
      <c r="P4230" s="1" t="s">
        <v>5892</v>
      </c>
      <c r="Q4230" s="3">
        <v>1</v>
      </c>
      <c r="R4230" s="23" t="s">
        <v>12893</v>
      </c>
      <c r="S4230" s="23" t="s">
        <v>6846</v>
      </c>
      <c r="T4230" s="23" t="s">
        <v>4866</v>
      </c>
      <c r="U4230" s="3">
        <v>35</v>
      </c>
      <c r="W4230" s="45" t="str">
        <f>HYPERLINK("http://ictvonline.org/taxonomy/p/taxonomy-history?taxnode_id=201906462","ICTVonline=201906462")</f>
        <v>ICTVonline=201906462</v>
      </c>
      <c r="X4230" s="1" t="s">
        <v>13220</v>
      </c>
      <c r="Y4230" s="1" t="s">
        <v>13221</v>
      </c>
      <c r="Z4230" s="1" t="s">
        <v>13222</v>
      </c>
      <c r="AA4230" s="1">
        <v>201900000</v>
      </c>
      <c r="AB4230" s="1">
        <v>35</v>
      </c>
    </row>
    <row r="4231" spans="1:28" x14ac:dyDescent="0.2">
      <c r="A4231" s="1">
        <v>10849</v>
      </c>
      <c r="B4231" s="1" t="s">
        <v>6839</v>
      </c>
      <c r="D4231" s="1" t="s">
        <v>11735</v>
      </c>
      <c r="F4231" s="1" t="s">
        <v>5540</v>
      </c>
      <c r="G4231" s="1" t="s">
        <v>5541</v>
      </c>
      <c r="H4231" s="1" t="s">
        <v>5556</v>
      </c>
      <c r="J4231" s="1" t="s">
        <v>999</v>
      </c>
      <c r="L4231" s="1" t="s">
        <v>1401</v>
      </c>
      <c r="M4231" s="1" t="s">
        <v>5881</v>
      </c>
      <c r="N4231" s="1" t="s">
        <v>5889</v>
      </c>
      <c r="P4231" s="1" t="s">
        <v>5893</v>
      </c>
      <c r="Q4231" s="3">
        <v>0</v>
      </c>
      <c r="R4231" s="23" t="s">
        <v>12893</v>
      </c>
      <c r="S4231" s="23" t="s">
        <v>6846</v>
      </c>
      <c r="T4231" s="23" t="s">
        <v>4866</v>
      </c>
      <c r="U4231" s="3">
        <v>35</v>
      </c>
      <c r="W4231" s="45" t="str">
        <f>HYPERLINK("http://ictvonline.org/taxonomy/p/taxonomy-history?taxnode_id=201906463","ICTVonline=201906463")</f>
        <v>ICTVonline=201906463</v>
      </c>
      <c r="X4231" s="1" t="s">
        <v>13223</v>
      </c>
      <c r="Y4231" s="1" t="s">
        <v>13224</v>
      </c>
      <c r="Z4231" s="1" t="s">
        <v>13225</v>
      </c>
      <c r="AA4231" s="1">
        <v>201900000</v>
      </c>
      <c r="AB4231" s="1">
        <v>35</v>
      </c>
    </row>
    <row r="4232" spans="1:28" x14ac:dyDescent="0.2">
      <c r="A4232" s="1">
        <v>10853</v>
      </c>
      <c r="B4232" s="1" t="s">
        <v>6839</v>
      </c>
      <c r="D4232" s="1" t="s">
        <v>11735</v>
      </c>
      <c r="F4232" s="1" t="s">
        <v>5540</v>
      </c>
      <c r="G4232" s="1" t="s">
        <v>5541</v>
      </c>
      <c r="H4232" s="1" t="s">
        <v>5556</v>
      </c>
      <c r="J4232" s="1" t="s">
        <v>999</v>
      </c>
      <c r="L4232" s="1" t="s">
        <v>1401</v>
      </c>
      <c r="M4232" s="1" t="s">
        <v>5881</v>
      </c>
      <c r="N4232" s="1" t="s">
        <v>1319</v>
      </c>
      <c r="P4232" s="1" t="s">
        <v>4880</v>
      </c>
      <c r="Q4232" s="3">
        <v>0</v>
      </c>
      <c r="R4232" s="23" t="s">
        <v>12893</v>
      </c>
      <c r="S4232" s="23" t="s">
        <v>6846</v>
      </c>
      <c r="T4232" s="23" t="s">
        <v>4866</v>
      </c>
      <c r="U4232" s="3">
        <v>35</v>
      </c>
      <c r="W4232" s="45" t="str">
        <f>HYPERLINK("http://ictvonline.org/taxonomy/p/taxonomy-history?taxnode_id=201901621","ICTVonline=201901621")</f>
        <v>ICTVonline=201901621</v>
      </c>
      <c r="AA4232" s="1">
        <v>201900000</v>
      </c>
      <c r="AB4232" s="1">
        <v>35</v>
      </c>
    </row>
    <row r="4233" spans="1:28" x14ac:dyDescent="0.2">
      <c r="A4233" s="1">
        <v>10855</v>
      </c>
      <c r="B4233" s="1" t="s">
        <v>6839</v>
      </c>
      <c r="D4233" s="1" t="s">
        <v>11735</v>
      </c>
      <c r="F4233" s="1" t="s">
        <v>5540</v>
      </c>
      <c r="G4233" s="1" t="s">
        <v>5541</v>
      </c>
      <c r="H4233" s="1" t="s">
        <v>5556</v>
      </c>
      <c r="J4233" s="1" t="s">
        <v>999</v>
      </c>
      <c r="L4233" s="1" t="s">
        <v>1401</v>
      </c>
      <c r="M4233" s="1" t="s">
        <v>5881</v>
      </c>
      <c r="N4233" s="1" t="s">
        <v>1319</v>
      </c>
      <c r="P4233" s="1" t="s">
        <v>5894</v>
      </c>
      <c r="Q4233" s="3">
        <v>0</v>
      </c>
      <c r="R4233" s="23" t="s">
        <v>12893</v>
      </c>
      <c r="S4233" s="23" t="s">
        <v>6846</v>
      </c>
      <c r="T4233" s="23" t="s">
        <v>4866</v>
      </c>
      <c r="U4233" s="3">
        <v>35</v>
      </c>
      <c r="W4233" s="45" t="str">
        <f>HYPERLINK("http://ictvonline.org/taxonomy/p/taxonomy-history?taxnode_id=201906464","ICTVonline=201906464")</f>
        <v>ICTVonline=201906464</v>
      </c>
      <c r="X4233" s="1" t="s">
        <v>13226</v>
      </c>
      <c r="Y4233" s="1" t="s">
        <v>13227</v>
      </c>
      <c r="Z4233" s="1" t="s">
        <v>13228</v>
      </c>
      <c r="AA4233" s="1">
        <v>201900000</v>
      </c>
      <c r="AB4233" s="1">
        <v>35</v>
      </c>
    </row>
    <row r="4234" spans="1:28" x14ac:dyDescent="0.2">
      <c r="A4234" s="1">
        <v>10857</v>
      </c>
      <c r="B4234" s="1" t="s">
        <v>6839</v>
      </c>
      <c r="D4234" s="1" t="s">
        <v>11735</v>
      </c>
      <c r="F4234" s="1" t="s">
        <v>5540</v>
      </c>
      <c r="G4234" s="1" t="s">
        <v>5541</v>
      </c>
      <c r="H4234" s="1" t="s">
        <v>5556</v>
      </c>
      <c r="J4234" s="1" t="s">
        <v>999</v>
      </c>
      <c r="L4234" s="1" t="s">
        <v>1401</v>
      </c>
      <c r="M4234" s="1" t="s">
        <v>5881</v>
      </c>
      <c r="N4234" s="1" t="s">
        <v>1319</v>
      </c>
      <c r="P4234" s="1" t="s">
        <v>4881</v>
      </c>
      <c r="Q4234" s="3">
        <v>0</v>
      </c>
      <c r="R4234" s="23" t="s">
        <v>12893</v>
      </c>
      <c r="S4234" s="23" t="s">
        <v>6846</v>
      </c>
      <c r="T4234" s="23" t="s">
        <v>4866</v>
      </c>
      <c r="U4234" s="3">
        <v>35</v>
      </c>
      <c r="W4234" s="45" t="str">
        <f>HYPERLINK("http://ictvonline.org/taxonomy/p/taxonomy-history?taxnode_id=201901622","ICTVonline=201901622")</f>
        <v>ICTVonline=201901622</v>
      </c>
      <c r="AA4234" s="1">
        <v>201900000</v>
      </c>
      <c r="AB4234" s="1">
        <v>35</v>
      </c>
    </row>
    <row r="4235" spans="1:28" x14ac:dyDescent="0.2">
      <c r="A4235" s="1">
        <v>10859</v>
      </c>
      <c r="B4235" s="1" t="s">
        <v>6839</v>
      </c>
      <c r="D4235" s="1" t="s">
        <v>11735</v>
      </c>
      <c r="F4235" s="1" t="s">
        <v>5540</v>
      </c>
      <c r="G4235" s="1" t="s">
        <v>5541</v>
      </c>
      <c r="H4235" s="1" t="s">
        <v>5556</v>
      </c>
      <c r="J4235" s="1" t="s">
        <v>999</v>
      </c>
      <c r="L4235" s="1" t="s">
        <v>1401</v>
      </c>
      <c r="M4235" s="1" t="s">
        <v>5881</v>
      </c>
      <c r="N4235" s="1" t="s">
        <v>1319</v>
      </c>
      <c r="P4235" s="1" t="s">
        <v>4882</v>
      </c>
      <c r="Q4235" s="3">
        <v>0</v>
      </c>
      <c r="R4235" s="23" t="s">
        <v>12893</v>
      </c>
      <c r="S4235" s="23" t="s">
        <v>6846</v>
      </c>
      <c r="T4235" s="23" t="s">
        <v>4866</v>
      </c>
      <c r="U4235" s="3">
        <v>35</v>
      </c>
      <c r="W4235" s="45" t="str">
        <f>HYPERLINK("http://ictvonline.org/taxonomy/p/taxonomy-history?taxnode_id=201901623","ICTVonline=201901623")</f>
        <v>ICTVonline=201901623</v>
      </c>
      <c r="AA4235" s="1">
        <v>201900000</v>
      </c>
      <c r="AB4235" s="1">
        <v>35</v>
      </c>
    </row>
    <row r="4236" spans="1:28" x14ac:dyDescent="0.2">
      <c r="A4236" s="1">
        <v>10861</v>
      </c>
      <c r="B4236" s="1" t="s">
        <v>6839</v>
      </c>
      <c r="D4236" s="1" t="s">
        <v>11735</v>
      </c>
      <c r="F4236" s="1" t="s">
        <v>5540</v>
      </c>
      <c r="G4236" s="1" t="s">
        <v>5541</v>
      </c>
      <c r="H4236" s="1" t="s">
        <v>5556</v>
      </c>
      <c r="J4236" s="1" t="s">
        <v>999</v>
      </c>
      <c r="L4236" s="1" t="s">
        <v>1401</v>
      </c>
      <c r="M4236" s="1" t="s">
        <v>5881</v>
      </c>
      <c r="N4236" s="1" t="s">
        <v>1319</v>
      </c>
      <c r="P4236" s="1" t="s">
        <v>4883</v>
      </c>
      <c r="Q4236" s="3">
        <v>1</v>
      </c>
      <c r="R4236" s="23" t="s">
        <v>12893</v>
      </c>
      <c r="S4236" s="23" t="s">
        <v>6846</v>
      </c>
      <c r="T4236" s="23" t="s">
        <v>4866</v>
      </c>
      <c r="U4236" s="3">
        <v>35</v>
      </c>
      <c r="W4236" s="45" t="str">
        <f>HYPERLINK("http://ictvonline.org/taxonomy/p/taxonomy-history?taxnode_id=201901624","ICTVonline=201901624")</f>
        <v>ICTVonline=201901624</v>
      </c>
      <c r="AA4236" s="1">
        <v>201900000</v>
      </c>
      <c r="AB4236" s="1">
        <v>35</v>
      </c>
    </row>
    <row r="4237" spans="1:28" x14ac:dyDescent="0.2">
      <c r="A4237" s="1">
        <v>10863</v>
      </c>
      <c r="B4237" s="1" t="s">
        <v>6839</v>
      </c>
      <c r="D4237" s="1" t="s">
        <v>11735</v>
      </c>
      <c r="F4237" s="1" t="s">
        <v>5540</v>
      </c>
      <c r="G4237" s="1" t="s">
        <v>5541</v>
      </c>
      <c r="H4237" s="1" t="s">
        <v>5556</v>
      </c>
      <c r="J4237" s="1" t="s">
        <v>999</v>
      </c>
      <c r="L4237" s="1" t="s">
        <v>1401</v>
      </c>
      <c r="M4237" s="1" t="s">
        <v>5881</v>
      </c>
      <c r="N4237" s="1" t="s">
        <v>1319</v>
      </c>
      <c r="P4237" s="1" t="s">
        <v>4884</v>
      </c>
      <c r="Q4237" s="3">
        <v>0</v>
      </c>
      <c r="R4237" s="23" t="s">
        <v>12893</v>
      </c>
      <c r="S4237" s="23" t="s">
        <v>6846</v>
      </c>
      <c r="T4237" s="23" t="s">
        <v>4866</v>
      </c>
      <c r="U4237" s="3">
        <v>35</v>
      </c>
      <c r="W4237" s="45" t="str">
        <f>HYPERLINK("http://ictvonline.org/taxonomy/p/taxonomy-history?taxnode_id=201901625","ICTVonline=201901625")</f>
        <v>ICTVonline=201901625</v>
      </c>
      <c r="AA4237" s="1">
        <v>201900000</v>
      </c>
      <c r="AB4237" s="1">
        <v>35</v>
      </c>
    </row>
    <row r="4238" spans="1:28" x14ac:dyDescent="0.2">
      <c r="A4238" s="1">
        <v>10865</v>
      </c>
      <c r="B4238" s="1" t="s">
        <v>6839</v>
      </c>
      <c r="D4238" s="1" t="s">
        <v>11735</v>
      </c>
      <c r="F4238" s="1" t="s">
        <v>5540</v>
      </c>
      <c r="G4238" s="1" t="s">
        <v>5541</v>
      </c>
      <c r="H4238" s="1" t="s">
        <v>5556</v>
      </c>
      <c r="J4238" s="1" t="s">
        <v>999</v>
      </c>
      <c r="L4238" s="1" t="s">
        <v>1401</v>
      </c>
      <c r="M4238" s="1" t="s">
        <v>5881</v>
      </c>
      <c r="N4238" s="1" t="s">
        <v>1319</v>
      </c>
      <c r="P4238" s="1" t="s">
        <v>13229</v>
      </c>
      <c r="Q4238" s="3">
        <v>0</v>
      </c>
      <c r="R4238" s="23" t="s">
        <v>12893</v>
      </c>
      <c r="S4238" s="23" t="s">
        <v>6846</v>
      </c>
      <c r="T4238" s="23" t="s">
        <v>4864</v>
      </c>
      <c r="U4238" s="3">
        <v>35</v>
      </c>
      <c r="V4238" s="3" t="s">
        <v>13230</v>
      </c>
      <c r="W4238" s="45" t="str">
        <f>HYPERLINK("http://ictvonline.org/taxonomy/p/taxonomy-history?taxnode_id=201907454","ICTVonline=201907454")</f>
        <v>ICTVonline=201907454</v>
      </c>
      <c r="X4238" s="1" t="s">
        <v>13231</v>
      </c>
      <c r="Y4238" s="1" t="s">
        <v>13232</v>
      </c>
      <c r="Z4238" s="1" t="s">
        <v>13233</v>
      </c>
      <c r="AA4238" s="1">
        <v>201900000</v>
      </c>
      <c r="AB4238" s="1">
        <v>35</v>
      </c>
    </row>
    <row r="4239" spans="1:28" x14ac:dyDescent="0.2">
      <c r="A4239" s="1">
        <v>10869</v>
      </c>
      <c r="B4239" s="1" t="s">
        <v>6839</v>
      </c>
      <c r="D4239" s="1" t="s">
        <v>11735</v>
      </c>
      <c r="F4239" s="1" t="s">
        <v>5540</v>
      </c>
      <c r="G4239" s="1" t="s">
        <v>5541</v>
      </c>
      <c r="H4239" s="1" t="s">
        <v>5556</v>
      </c>
      <c r="J4239" s="1" t="s">
        <v>999</v>
      </c>
      <c r="L4239" s="1" t="s">
        <v>1401</v>
      </c>
      <c r="M4239" s="1" t="s">
        <v>5881</v>
      </c>
      <c r="N4239" s="1" t="s">
        <v>5895</v>
      </c>
      <c r="P4239" s="1" t="s">
        <v>5896</v>
      </c>
      <c r="Q4239" s="3">
        <v>1</v>
      </c>
      <c r="R4239" s="23" t="s">
        <v>12893</v>
      </c>
      <c r="S4239" s="23" t="s">
        <v>6846</v>
      </c>
      <c r="T4239" s="23" t="s">
        <v>4866</v>
      </c>
      <c r="U4239" s="3">
        <v>35</v>
      </c>
      <c r="W4239" s="45" t="str">
        <f>HYPERLINK("http://ictvonline.org/taxonomy/p/taxonomy-history?taxnode_id=201906466","ICTVonline=201906466")</f>
        <v>ICTVonline=201906466</v>
      </c>
      <c r="X4239" s="1" t="s">
        <v>13234</v>
      </c>
      <c r="Y4239" s="1" t="s">
        <v>13235</v>
      </c>
      <c r="Z4239" s="1" t="s">
        <v>13236</v>
      </c>
      <c r="AA4239" s="1">
        <v>201900000</v>
      </c>
      <c r="AB4239" s="1">
        <v>35</v>
      </c>
    </row>
    <row r="4240" spans="1:28" x14ac:dyDescent="0.2">
      <c r="A4240" s="1">
        <v>10875</v>
      </c>
      <c r="B4240" s="1" t="s">
        <v>6839</v>
      </c>
      <c r="D4240" s="1" t="s">
        <v>11735</v>
      </c>
      <c r="F4240" s="1" t="s">
        <v>5540</v>
      </c>
      <c r="G4240" s="1" t="s">
        <v>5541</v>
      </c>
      <c r="H4240" s="1" t="s">
        <v>5556</v>
      </c>
      <c r="J4240" s="1" t="s">
        <v>999</v>
      </c>
      <c r="L4240" s="1" t="s">
        <v>1401</v>
      </c>
      <c r="M4240" s="1" t="s">
        <v>5897</v>
      </c>
      <c r="N4240" s="1" t="s">
        <v>5898</v>
      </c>
      <c r="P4240" s="1" t="s">
        <v>5899</v>
      </c>
      <c r="Q4240" s="3">
        <v>0</v>
      </c>
      <c r="R4240" s="23" t="s">
        <v>12893</v>
      </c>
      <c r="S4240" s="23" t="s">
        <v>6846</v>
      </c>
      <c r="T4240" s="23" t="s">
        <v>4866</v>
      </c>
      <c r="U4240" s="3">
        <v>35</v>
      </c>
      <c r="W4240" s="45" t="str">
        <f>HYPERLINK("http://ictvonline.org/taxonomy/p/taxonomy-history?taxnode_id=201901630","ICTVonline=201901630")</f>
        <v>ICTVonline=201901630</v>
      </c>
      <c r="AA4240" s="1">
        <v>201900000</v>
      </c>
      <c r="AB4240" s="1">
        <v>35</v>
      </c>
    </row>
    <row r="4241" spans="1:28" x14ac:dyDescent="0.2">
      <c r="A4241" s="1">
        <v>10877</v>
      </c>
      <c r="B4241" s="1" t="s">
        <v>6839</v>
      </c>
      <c r="D4241" s="1" t="s">
        <v>11735</v>
      </c>
      <c r="F4241" s="1" t="s">
        <v>5540</v>
      </c>
      <c r="G4241" s="1" t="s">
        <v>5541</v>
      </c>
      <c r="H4241" s="1" t="s">
        <v>5556</v>
      </c>
      <c r="J4241" s="1" t="s">
        <v>999</v>
      </c>
      <c r="L4241" s="1" t="s">
        <v>1401</v>
      </c>
      <c r="M4241" s="1" t="s">
        <v>5897</v>
      </c>
      <c r="N4241" s="1" t="s">
        <v>5898</v>
      </c>
      <c r="P4241" s="1" t="s">
        <v>5900</v>
      </c>
      <c r="Q4241" s="3">
        <v>0</v>
      </c>
      <c r="R4241" s="23" t="s">
        <v>12893</v>
      </c>
      <c r="S4241" s="23" t="s">
        <v>6846</v>
      </c>
      <c r="T4241" s="23" t="s">
        <v>4866</v>
      </c>
      <c r="U4241" s="3">
        <v>35</v>
      </c>
      <c r="W4241" s="45" t="str">
        <f>HYPERLINK("http://ictvonline.org/taxonomy/p/taxonomy-history?taxnode_id=201901631","ICTVonline=201901631")</f>
        <v>ICTVonline=201901631</v>
      </c>
      <c r="AA4241" s="1">
        <v>201900000</v>
      </c>
      <c r="AB4241" s="1">
        <v>35</v>
      </c>
    </row>
    <row r="4242" spans="1:28" x14ac:dyDescent="0.2">
      <c r="A4242" s="1">
        <v>10879</v>
      </c>
      <c r="B4242" s="1" t="s">
        <v>6839</v>
      </c>
      <c r="D4242" s="1" t="s">
        <v>11735</v>
      </c>
      <c r="F4242" s="1" t="s">
        <v>5540</v>
      </c>
      <c r="G4242" s="1" t="s">
        <v>5541</v>
      </c>
      <c r="H4242" s="1" t="s">
        <v>5556</v>
      </c>
      <c r="J4242" s="1" t="s">
        <v>999</v>
      </c>
      <c r="L4242" s="1" t="s">
        <v>1401</v>
      </c>
      <c r="M4242" s="1" t="s">
        <v>5897</v>
      </c>
      <c r="N4242" s="1" t="s">
        <v>5898</v>
      </c>
      <c r="P4242" s="1" t="s">
        <v>5901</v>
      </c>
      <c r="Q4242" s="3">
        <v>0</v>
      </c>
      <c r="R4242" s="23" t="s">
        <v>12893</v>
      </c>
      <c r="S4242" s="23" t="s">
        <v>6846</v>
      </c>
      <c r="T4242" s="23" t="s">
        <v>4866</v>
      </c>
      <c r="U4242" s="3">
        <v>35</v>
      </c>
      <c r="W4242" s="45" t="str">
        <f>HYPERLINK("http://ictvonline.org/taxonomy/p/taxonomy-history?taxnode_id=201901632","ICTVonline=201901632")</f>
        <v>ICTVonline=201901632</v>
      </c>
      <c r="AA4242" s="1">
        <v>201900000</v>
      </c>
      <c r="AB4242" s="1">
        <v>35</v>
      </c>
    </row>
    <row r="4243" spans="1:28" x14ac:dyDescent="0.2">
      <c r="A4243" s="1">
        <v>10881</v>
      </c>
      <c r="B4243" s="1" t="s">
        <v>6839</v>
      </c>
      <c r="D4243" s="1" t="s">
        <v>11735</v>
      </c>
      <c r="F4243" s="1" t="s">
        <v>5540</v>
      </c>
      <c r="G4243" s="1" t="s">
        <v>5541</v>
      </c>
      <c r="H4243" s="1" t="s">
        <v>5556</v>
      </c>
      <c r="J4243" s="1" t="s">
        <v>999</v>
      </c>
      <c r="L4243" s="1" t="s">
        <v>1401</v>
      </c>
      <c r="M4243" s="1" t="s">
        <v>5897</v>
      </c>
      <c r="N4243" s="1" t="s">
        <v>5898</v>
      </c>
      <c r="P4243" s="1" t="s">
        <v>13237</v>
      </c>
      <c r="Q4243" s="3">
        <v>0</v>
      </c>
      <c r="R4243" s="23" t="s">
        <v>12893</v>
      </c>
      <c r="S4243" s="23" t="s">
        <v>6846</v>
      </c>
      <c r="T4243" s="23" t="s">
        <v>4864</v>
      </c>
      <c r="U4243" s="3">
        <v>35</v>
      </c>
      <c r="V4243" s="3" t="s">
        <v>13176</v>
      </c>
      <c r="W4243" s="45" t="str">
        <f>HYPERLINK("http://ictvonline.org/taxonomy/p/taxonomy-history?taxnode_id=201907557","ICTVonline=201907557")</f>
        <v>ICTVonline=201907557</v>
      </c>
      <c r="X4243" s="1" t="s">
        <v>13238</v>
      </c>
      <c r="Y4243" s="1" t="s">
        <v>13239</v>
      </c>
      <c r="AA4243" s="1">
        <v>201900000</v>
      </c>
      <c r="AB4243" s="1">
        <v>35</v>
      </c>
    </row>
    <row r="4244" spans="1:28" x14ac:dyDescent="0.2">
      <c r="A4244" s="1">
        <v>10883</v>
      </c>
      <c r="B4244" s="1" t="s">
        <v>6839</v>
      </c>
      <c r="D4244" s="1" t="s">
        <v>11735</v>
      </c>
      <c r="F4244" s="1" t="s">
        <v>5540</v>
      </c>
      <c r="G4244" s="1" t="s">
        <v>5541</v>
      </c>
      <c r="H4244" s="1" t="s">
        <v>5556</v>
      </c>
      <c r="J4244" s="1" t="s">
        <v>999</v>
      </c>
      <c r="L4244" s="1" t="s">
        <v>1401</v>
      </c>
      <c r="M4244" s="1" t="s">
        <v>5897</v>
      </c>
      <c r="N4244" s="1" t="s">
        <v>5898</v>
      </c>
      <c r="P4244" s="1" t="s">
        <v>5902</v>
      </c>
      <c r="Q4244" s="3">
        <v>0</v>
      </c>
      <c r="R4244" s="23" t="s">
        <v>12893</v>
      </c>
      <c r="S4244" s="23" t="s">
        <v>6846</v>
      </c>
      <c r="T4244" s="23" t="s">
        <v>4866</v>
      </c>
      <c r="U4244" s="3">
        <v>35</v>
      </c>
      <c r="W4244" s="45" t="str">
        <f>HYPERLINK("http://ictvonline.org/taxonomy/p/taxonomy-history?taxnode_id=201901633","ICTVonline=201901633")</f>
        <v>ICTVonline=201901633</v>
      </c>
      <c r="AA4244" s="1">
        <v>201900000</v>
      </c>
      <c r="AB4244" s="1">
        <v>35</v>
      </c>
    </row>
    <row r="4245" spans="1:28" x14ac:dyDescent="0.2">
      <c r="A4245" s="1">
        <v>10885</v>
      </c>
      <c r="B4245" s="1" t="s">
        <v>6839</v>
      </c>
      <c r="D4245" s="1" t="s">
        <v>11735</v>
      </c>
      <c r="F4245" s="1" t="s">
        <v>5540</v>
      </c>
      <c r="G4245" s="1" t="s">
        <v>5541</v>
      </c>
      <c r="H4245" s="1" t="s">
        <v>5556</v>
      </c>
      <c r="J4245" s="1" t="s">
        <v>999</v>
      </c>
      <c r="L4245" s="1" t="s">
        <v>1401</v>
      </c>
      <c r="M4245" s="1" t="s">
        <v>5897</v>
      </c>
      <c r="N4245" s="1" t="s">
        <v>5898</v>
      </c>
      <c r="P4245" s="1" t="s">
        <v>5903</v>
      </c>
      <c r="Q4245" s="3">
        <v>1</v>
      </c>
      <c r="R4245" s="23" t="s">
        <v>12893</v>
      </c>
      <c r="S4245" s="23" t="s">
        <v>6846</v>
      </c>
      <c r="T4245" s="23" t="s">
        <v>4866</v>
      </c>
      <c r="U4245" s="3">
        <v>35</v>
      </c>
      <c r="W4245" s="45" t="str">
        <f>HYPERLINK("http://ictvonline.org/taxonomy/p/taxonomy-history?taxnode_id=201901635","ICTVonline=201901635")</f>
        <v>ICTVonline=201901635</v>
      </c>
      <c r="AA4245" s="1">
        <v>201900000</v>
      </c>
      <c r="AB4245" s="1">
        <v>35</v>
      </c>
    </row>
    <row r="4246" spans="1:28" x14ac:dyDescent="0.2">
      <c r="A4246" s="1">
        <v>10887</v>
      </c>
      <c r="B4246" s="1" t="s">
        <v>6839</v>
      </c>
      <c r="D4246" s="1" t="s">
        <v>11735</v>
      </c>
      <c r="F4246" s="1" t="s">
        <v>5540</v>
      </c>
      <c r="G4246" s="1" t="s">
        <v>5541</v>
      </c>
      <c r="H4246" s="1" t="s">
        <v>5556</v>
      </c>
      <c r="J4246" s="1" t="s">
        <v>999</v>
      </c>
      <c r="L4246" s="1" t="s">
        <v>1401</v>
      </c>
      <c r="M4246" s="1" t="s">
        <v>5897</v>
      </c>
      <c r="N4246" s="1" t="s">
        <v>5898</v>
      </c>
      <c r="P4246" s="1" t="s">
        <v>5904</v>
      </c>
      <c r="Q4246" s="3">
        <v>0</v>
      </c>
      <c r="R4246" s="23" t="s">
        <v>12893</v>
      </c>
      <c r="S4246" s="23" t="s">
        <v>6846</v>
      </c>
      <c r="T4246" s="23" t="s">
        <v>4866</v>
      </c>
      <c r="U4246" s="3">
        <v>35</v>
      </c>
      <c r="W4246" s="45" t="str">
        <f>HYPERLINK("http://ictvonline.org/taxonomy/p/taxonomy-history?taxnode_id=201901636","ICTVonline=201901636")</f>
        <v>ICTVonline=201901636</v>
      </c>
      <c r="AA4246" s="1">
        <v>201900000</v>
      </c>
      <c r="AB4246" s="1">
        <v>35</v>
      </c>
    </row>
    <row r="4247" spans="1:28" x14ac:dyDescent="0.2">
      <c r="A4247" s="1">
        <v>10889</v>
      </c>
      <c r="B4247" s="1" t="s">
        <v>6839</v>
      </c>
      <c r="D4247" s="1" t="s">
        <v>11735</v>
      </c>
      <c r="F4247" s="1" t="s">
        <v>5540</v>
      </c>
      <c r="G4247" s="1" t="s">
        <v>5541</v>
      </c>
      <c r="H4247" s="1" t="s">
        <v>5556</v>
      </c>
      <c r="J4247" s="1" t="s">
        <v>999</v>
      </c>
      <c r="L4247" s="1" t="s">
        <v>1401</v>
      </c>
      <c r="M4247" s="1" t="s">
        <v>5897</v>
      </c>
      <c r="N4247" s="1" t="s">
        <v>5898</v>
      </c>
      <c r="P4247" s="1" t="s">
        <v>5905</v>
      </c>
      <c r="Q4247" s="3">
        <v>0</v>
      </c>
      <c r="R4247" s="23" t="s">
        <v>12893</v>
      </c>
      <c r="S4247" s="23" t="s">
        <v>6846</v>
      </c>
      <c r="T4247" s="23" t="s">
        <v>4866</v>
      </c>
      <c r="U4247" s="3">
        <v>35</v>
      </c>
      <c r="W4247" s="45" t="str">
        <f>HYPERLINK("http://ictvonline.org/taxonomy/p/taxonomy-history?taxnode_id=201901637","ICTVonline=201901637")</f>
        <v>ICTVonline=201901637</v>
      </c>
      <c r="AA4247" s="1">
        <v>201900000</v>
      </c>
      <c r="AB4247" s="1">
        <v>35</v>
      </c>
    </row>
    <row r="4248" spans="1:28" x14ac:dyDescent="0.2">
      <c r="A4248" s="1">
        <v>10893</v>
      </c>
      <c r="B4248" s="1" t="s">
        <v>6839</v>
      </c>
      <c r="D4248" s="1" t="s">
        <v>11735</v>
      </c>
      <c r="F4248" s="1" t="s">
        <v>5540</v>
      </c>
      <c r="G4248" s="1" t="s">
        <v>5541</v>
      </c>
      <c r="H4248" s="1" t="s">
        <v>5556</v>
      </c>
      <c r="J4248" s="1" t="s">
        <v>999</v>
      </c>
      <c r="L4248" s="1" t="s">
        <v>1401</v>
      </c>
      <c r="M4248" s="1" t="s">
        <v>5897</v>
      </c>
      <c r="N4248" s="1" t="s">
        <v>5906</v>
      </c>
      <c r="P4248" s="1" t="s">
        <v>5907</v>
      </c>
      <c r="Q4248" s="3">
        <v>0</v>
      </c>
      <c r="R4248" s="23" t="s">
        <v>12893</v>
      </c>
      <c r="S4248" s="23" t="s">
        <v>6846</v>
      </c>
      <c r="T4248" s="23" t="s">
        <v>4866</v>
      </c>
      <c r="U4248" s="3">
        <v>35</v>
      </c>
      <c r="W4248" s="45" t="str">
        <f>HYPERLINK("http://ictvonline.org/taxonomy/p/taxonomy-history?taxnode_id=201901627","ICTVonline=201901627")</f>
        <v>ICTVonline=201901627</v>
      </c>
      <c r="AA4248" s="1">
        <v>201900000</v>
      </c>
      <c r="AB4248" s="1">
        <v>35</v>
      </c>
    </row>
    <row r="4249" spans="1:28" x14ac:dyDescent="0.2">
      <c r="A4249" s="1">
        <v>10895</v>
      </c>
      <c r="B4249" s="1" t="s">
        <v>6839</v>
      </c>
      <c r="D4249" s="1" t="s">
        <v>11735</v>
      </c>
      <c r="F4249" s="1" t="s">
        <v>5540</v>
      </c>
      <c r="G4249" s="1" t="s">
        <v>5541</v>
      </c>
      <c r="H4249" s="1" t="s">
        <v>5556</v>
      </c>
      <c r="J4249" s="1" t="s">
        <v>999</v>
      </c>
      <c r="L4249" s="1" t="s">
        <v>1401</v>
      </c>
      <c r="M4249" s="1" t="s">
        <v>5897</v>
      </c>
      <c r="N4249" s="1" t="s">
        <v>5906</v>
      </c>
      <c r="P4249" s="1" t="s">
        <v>5908</v>
      </c>
      <c r="Q4249" s="3">
        <v>0</v>
      </c>
      <c r="R4249" s="23" t="s">
        <v>12893</v>
      </c>
      <c r="S4249" s="23" t="s">
        <v>6846</v>
      </c>
      <c r="T4249" s="23" t="s">
        <v>4866</v>
      </c>
      <c r="U4249" s="3">
        <v>35</v>
      </c>
      <c r="W4249" s="45" t="str">
        <f>HYPERLINK("http://ictvonline.org/taxonomy/p/taxonomy-history?taxnode_id=201901628","ICTVonline=201901628")</f>
        <v>ICTVonline=201901628</v>
      </c>
      <c r="AA4249" s="1">
        <v>201900000</v>
      </c>
      <c r="AB4249" s="1">
        <v>35</v>
      </c>
    </row>
    <row r="4250" spans="1:28" x14ac:dyDescent="0.2">
      <c r="A4250" s="1">
        <v>10897</v>
      </c>
      <c r="B4250" s="1" t="s">
        <v>6839</v>
      </c>
      <c r="D4250" s="1" t="s">
        <v>11735</v>
      </c>
      <c r="F4250" s="1" t="s">
        <v>5540</v>
      </c>
      <c r="G4250" s="1" t="s">
        <v>5541</v>
      </c>
      <c r="H4250" s="1" t="s">
        <v>5556</v>
      </c>
      <c r="J4250" s="1" t="s">
        <v>999</v>
      </c>
      <c r="L4250" s="1" t="s">
        <v>1401</v>
      </c>
      <c r="M4250" s="1" t="s">
        <v>5897</v>
      </c>
      <c r="N4250" s="1" t="s">
        <v>5906</v>
      </c>
      <c r="P4250" s="1" t="s">
        <v>13240</v>
      </c>
      <c r="Q4250" s="3">
        <v>0</v>
      </c>
      <c r="R4250" s="23" t="s">
        <v>12893</v>
      </c>
      <c r="S4250" s="23" t="s">
        <v>6846</v>
      </c>
      <c r="T4250" s="23" t="s">
        <v>4864</v>
      </c>
      <c r="U4250" s="3">
        <v>35</v>
      </c>
      <c r="V4250" s="3" t="s">
        <v>13176</v>
      </c>
      <c r="W4250" s="45" t="str">
        <f>HYPERLINK("http://ictvonline.org/taxonomy/p/taxonomy-history?taxnode_id=201907558","ICTVonline=201907558")</f>
        <v>ICTVonline=201907558</v>
      </c>
      <c r="X4250" s="1" t="s">
        <v>13241</v>
      </c>
      <c r="Y4250" s="1" t="s">
        <v>13242</v>
      </c>
      <c r="AA4250" s="1">
        <v>201900000</v>
      </c>
      <c r="AB4250" s="1">
        <v>35</v>
      </c>
    </row>
    <row r="4251" spans="1:28" x14ac:dyDescent="0.2">
      <c r="A4251" s="1">
        <v>10899</v>
      </c>
      <c r="B4251" s="1" t="s">
        <v>6839</v>
      </c>
      <c r="D4251" s="1" t="s">
        <v>11735</v>
      </c>
      <c r="F4251" s="1" t="s">
        <v>5540</v>
      </c>
      <c r="G4251" s="1" t="s">
        <v>5541</v>
      </c>
      <c r="H4251" s="1" t="s">
        <v>5556</v>
      </c>
      <c r="J4251" s="1" t="s">
        <v>999</v>
      </c>
      <c r="L4251" s="1" t="s">
        <v>1401</v>
      </c>
      <c r="M4251" s="1" t="s">
        <v>5897</v>
      </c>
      <c r="N4251" s="1" t="s">
        <v>5906</v>
      </c>
      <c r="P4251" s="1" t="s">
        <v>5909</v>
      </c>
      <c r="Q4251" s="3">
        <v>1</v>
      </c>
      <c r="R4251" s="23" t="s">
        <v>12893</v>
      </c>
      <c r="S4251" s="23" t="s">
        <v>6846</v>
      </c>
      <c r="T4251" s="23" t="s">
        <v>4866</v>
      </c>
      <c r="U4251" s="3">
        <v>35</v>
      </c>
      <c r="W4251" s="45" t="str">
        <f>HYPERLINK("http://ictvonline.org/taxonomy/p/taxonomy-history?taxnode_id=201901634","ICTVonline=201901634")</f>
        <v>ICTVonline=201901634</v>
      </c>
      <c r="AA4251" s="1">
        <v>201900000</v>
      </c>
      <c r="AB4251" s="1">
        <v>35</v>
      </c>
    </row>
    <row r="4252" spans="1:28" x14ac:dyDescent="0.2">
      <c r="A4252" s="1">
        <v>10901</v>
      </c>
      <c r="B4252" s="1" t="s">
        <v>6839</v>
      </c>
      <c r="D4252" s="1" t="s">
        <v>11735</v>
      </c>
      <c r="F4252" s="1" t="s">
        <v>5540</v>
      </c>
      <c r="G4252" s="1" t="s">
        <v>5541</v>
      </c>
      <c r="H4252" s="1" t="s">
        <v>5556</v>
      </c>
      <c r="J4252" s="1" t="s">
        <v>999</v>
      </c>
      <c r="L4252" s="1" t="s">
        <v>1401</v>
      </c>
      <c r="M4252" s="1" t="s">
        <v>5897</v>
      </c>
      <c r="N4252" s="1" t="s">
        <v>5906</v>
      </c>
      <c r="P4252" s="1" t="s">
        <v>5910</v>
      </c>
      <c r="Q4252" s="3">
        <v>0</v>
      </c>
      <c r="R4252" s="23" t="s">
        <v>12893</v>
      </c>
      <c r="S4252" s="23" t="s">
        <v>6846</v>
      </c>
      <c r="T4252" s="23" t="s">
        <v>4866</v>
      </c>
      <c r="U4252" s="3">
        <v>35</v>
      </c>
      <c r="W4252" s="45" t="str">
        <f>HYPERLINK("http://ictvonline.org/taxonomy/p/taxonomy-history?taxnode_id=201901638","ICTVonline=201901638")</f>
        <v>ICTVonline=201901638</v>
      </c>
      <c r="AA4252" s="1">
        <v>201900000</v>
      </c>
      <c r="AB4252" s="1">
        <v>35</v>
      </c>
    </row>
    <row r="4253" spans="1:28" x14ac:dyDescent="0.2">
      <c r="A4253" s="1">
        <v>10903</v>
      </c>
      <c r="B4253" s="1" t="s">
        <v>6839</v>
      </c>
      <c r="D4253" s="1" t="s">
        <v>11735</v>
      </c>
      <c r="F4253" s="1" t="s">
        <v>5540</v>
      </c>
      <c r="G4253" s="1" t="s">
        <v>5541</v>
      </c>
      <c r="H4253" s="1" t="s">
        <v>5556</v>
      </c>
      <c r="J4253" s="1" t="s">
        <v>999</v>
      </c>
      <c r="L4253" s="1" t="s">
        <v>1401</v>
      </c>
      <c r="M4253" s="1" t="s">
        <v>5897</v>
      </c>
      <c r="N4253" s="1" t="s">
        <v>5906</v>
      </c>
      <c r="P4253" s="1" t="s">
        <v>5911</v>
      </c>
      <c r="Q4253" s="3">
        <v>0</v>
      </c>
      <c r="R4253" s="23" t="s">
        <v>12893</v>
      </c>
      <c r="S4253" s="23" t="s">
        <v>6846</v>
      </c>
      <c r="T4253" s="23" t="s">
        <v>4866</v>
      </c>
      <c r="U4253" s="3">
        <v>35</v>
      </c>
      <c r="W4253" s="45" t="str">
        <f>HYPERLINK("http://ictvonline.org/taxonomy/p/taxonomy-history?taxnode_id=201901639","ICTVonline=201901639")</f>
        <v>ICTVonline=201901639</v>
      </c>
      <c r="AA4253" s="1">
        <v>201900000</v>
      </c>
      <c r="AB4253" s="1">
        <v>35</v>
      </c>
    </row>
    <row r="4254" spans="1:28" x14ac:dyDescent="0.2">
      <c r="A4254" s="1">
        <v>10905</v>
      </c>
      <c r="B4254" s="1" t="s">
        <v>6839</v>
      </c>
      <c r="D4254" s="1" t="s">
        <v>11735</v>
      </c>
      <c r="F4254" s="1" t="s">
        <v>5540</v>
      </c>
      <c r="G4254" s="1" t="s">
        <v>5541</v>
      </c>
      <c r="H4254" s="1" t="s">
        <v>5556</v>
      </c>
      <c r="J4254" s="1" t="s">
        <v>999</v>
      </c>
      <c r="L4254" s="1" t="s">
        <v>1401</v>
      </c>
      <c r="M4254" s="1" t="s">
        <v>5897</v>
      </c>
      <c r="N4254" s="1" t="s">
        <v>5906</v>
      </c>
      <c r="P4254" s="1" t="s">
        <v>5912</v>
      </c>
      <c r="Q4254" s="3">
        <v>0</v>
      </c>
      <c r="R4254" s="23" t="s">
        <v>12893</v>
      </c>
      <c r="S4254" s="23" t="s">
        <v>6846</v>
      </c>
      <c r="T4254" s="23" t="s">
        <v>4866</v>
      </c>
      <c r="U4254" s="3">
        <v>35</v>
      </c>
      <c r="W4254" s="45" t="str">
        <f>HYPERLINK("http://ictvonline.org/taxonomy/p/taxonomy-history?taxnode_id=201901640","ICTVonline=201901640")</f>
        <v>ICTVonline=201901640</v>
      </c>
      <c r="AA4254" s="1">
        <v>201900000</v>
      </c>
      <c r="AB4254" s="1">
        <v>35</v>
      </c>
    </row>
    <row r="4255" spans="1:28" x14ac:dyDescent="0.2">
      <c r="A4255" s="1">
        <v>10907</v>
      </c>
      <c r="B4255" s="1" t="s">
        <v>6839</v>
      </c>
      <c r="D4255" s="1" t="s">
        <v>11735</v>
      </c>
      <c r="F4255" s="1" t="s">
        <v>5540</v>
      </c>
      <c r="G4255" s="1" t="s">
        <v>5541</v>
      </c>
      <c r="H4255" s="1" t="s">
        <v>5556</v>
      </c>
      <c r="J4255" s="1" t="s">
        <v>999</v>
      </c>
      <c r="L4255" s="1" t="s">
        <v>1401</v>
      </c>
      <c r="M4255" s="1" t="s">
        <v>5897</v>
      </c>
      <c r="N4255" s="1" t="s">
        <v>5906</v>
      </c>
      <c r="P4255" s="1" t="s">
        <v>5913</v>
      </c>
      <c r="Q4255" s="3">
        <v>0</v>
      </c>
      <c r="R4255" s="23" t="s">
        <v>12893</v>
      </c>
      <c r="S4255" s="23" t="s">
        <v>6846</v>
      </c>
      <c r="T4255" s="23" t="s">
        <v>4866</v>
      </c>
      <c r="U4255" s="3">
        <v>35</v>
      </c>
      <c r="W4255" s="45" t="str">
        <f>HYPERLINK("http://ictvonline.org/taxonomy/p/taxonomy-history?taxnode_id=201901641","ICTVonline=201901641")</f>
        <v>ICTVonline=201901641</v>
      </c>
      <c r="AA4255" s="1">
        <v>201900000</v>
      </c>
      <c r="AB4255" s="1">
        <v>35</v>
      </c>
    </row>
    <row r="4256" spans="1:28" x14ac:dyDescent="0.2">
      <c r="A4256" s="1">
        <v>10909</v>
      </c>
      <c r="B4256" s="1" t="s">
        <v>6839</v>
      </c>
      <c r="D4256" s="1" t="s">
        <v>11735</v>
      </c>
      <c r="F4256" s="1" t="s">
        <v>5540</v>
      </c>
      <c r="G4256" s="1" t="s">
        <v>5541</v>
      </c>
      <c r="H4256" s="1" t="s">
        <v>5556</v>
      </c>
      <c r="J4256" s="1" t="s">
        <v>999</v>
      </c>
      <c r="L4256" s="1" t="s">
        <v>1401</v>
      </c>
      <c r="M4256" s="1" t="s">
        <v>5897</v>
      </c>
      <c r="N4256" s="1" t="s">
        <v>5906</v>
      </c>
      <c r="P4256" s="1" t="s">
        <v>5914</v>
      </c>
      <c r="Q4256" s="3">
        <v>0</v>
      </c>
      <c r="R4256" s="23" t="s">
        <v>12893</v>
      </c>
      <c r="S4256" s="23" t="s">
        <v>6846</v>
      </c>
      <c r="T4256" s="23" t="s">
        <v>4866</v>
      </c>
      <c r="U4256" s="3">
        <v>35</v>
      </c>
      <c r="W4256" s="45" t="str">
        <f>HYPERLINK("http://ictvonline.org/taxonomy/p/taxonomy-history?taxnode_id=201901642","ICTVonline=201901642")</f>
        <v>ICTVonline=201901642</v>
      </c>
      <c r="AA4256" s="1">
        <v>201900000</v>
      </c>
      <c r="AB4256" s="1">
        <v>35</v>
      </c>
    </row>
    <row r="4257" spans="1:28" x14ac:dyDescent="0.2">
      <c r="A4257" s="1">
        <v>10911</v>
      </c>
      <c r="B4257" s="1" t="s">
        <v>6839</v>
      </c>
      <c r="D4257" s="1" t="s">
        <v>11735</v>
      </c>
      <c r="F4257" s="1" t="s">
        <v>5540</v>
      </c>
      <c r="G4257" s="1" t="s">
        <v>5541</v>
      </c>
      <c r="H4257" s="1" t="s">
        <v>5556</v>
      </c>
      <c r="J4257" s="1" t="s">
        <v>999</v>
      </c>
      <c r="L4257" s="1" t="s">
        <v>1401</v>
      </c>
      <c r="M4257" s="1" t="s">
        <v>5897</v>
      </c>
      <c r="N4257" s="1" t="s">
        <v>5906</v>
      </c>
      <c r="P4257" s="1" t="s">
        <v>5915</v>
      </c>
      <c r="Q4257" s="3">
        <v>0</v>
      </c>
      <c r="R4257" s="23" t="s">
        <v>12893</v>
      </c>
      <c r="S4257" s="23" t="s">
        <v>6846</v>
      </c>
      <c r="T4257" s="23" t="s">
        <v>4866</v>
      </c>
      <c r="U4257" s="3">
        <v>35</v>
      </c>
      <c r="W4257" s="45" t="str">
        <f>HYPERLINK("http://ictvonline.org/taxonomy/p/taxonomy-history?taxnode_id=201901643","ICTVonline=201901643")</f>
        <v>ICTVonline=201901643</v>
      </c>
      <c r="AA4257" s="1">
        <v>201900000</v>
      </c>
      <c r="AB4257" s="1">
        <v>35</v>
      </c>
    </row>
    <row r="4258" spans="1:28" x14ac:dyDescent="0.2">
      <c r="A4258" s="1">
        <v>10916</v>
      </c>
      <c r="B4258" s="1" t="s">
        <v>6839</v>
      </c>
      <c r="D4258" s="1" t="s">
        <v>11735</v>
      </c>
      <c r="F4258" s="1" t="s">
        <v>5540</v>
      </c>
      <c r="G4258" s="1" t="s">
        <v>5541</v>
      </c>
      <c r="H4258" s="1" t="s">
        <v>5556</v>
      </c>
      <c r="J4258" s="1" t="s">
        <v>999</v>
      </c>
      <c r="L4258" s="1" t="s">
        <v>1401</v>
      </c>
      <c r="N4258" s="1" t="s">
        <v>13243</v>
      </c>
      <c r="P4258" s="1" t="s">
        <v>13244</v>
      </c>
      <c r="Q4258" s="3">
        <v>1</v>
      </c>
      <c r="R4258" s="23" t="s">
        <v>12893</v>
      </c>
      <c r="S4258" s="23" t="s">
        <v>6846</v>
      </c>
      <c r="T4258" s="23" t="s">
        <v>6031</v>
      </c>
      <c r="U4258" s="3">
        <v>35</v>
      </c>
      <c r="V4258" s="3" t="s">
        <v>13176</v>
      </c>
      <c r="W4258" s="45" t="str">
        <f>HYPERLINK("http://ictvonline.org/taxonomy/p/taxonomy-history?taxnode_id=201906473","ICTVonline=201906473")</f>
        <v>ICTVonline=201906473</v>
      </c>
      <c r="X4258" s="1" t="s">
        <v>13245</v>
      </c>
      <c r="Y4258" s="1" t="s">
        <v>13246</v>
      </c>
      <c r="Z4258" s="1" t="s">
        <v>13247</v>
      </c>
      <c r="AA4258" s="1">
        <v>201900000</v>
      </c>
      <c r="AB4258" s="1">
        <v>35</v>
      </c>
    </row>
    <row r="4259" spans="1:28" x14ac:dyDescent="0.2">
      <c r="A4259" s="1">
        <v>10920</v>
      </c>
      <c r="B4259" s="1" t="s">
        <v>6839</v>
      </c>
      <c r="D4259" s="1" t="s">
        <v>11735</v>
      </c>
      <c r="F4259" s="1" t="s">
        <v>5540</v>
      </c>
      <c r="G4259" s="1" t="s">
        <v>5541</v>
      </c>
      <c r="H4259" s="1" t="s">
        <v>5556</v>
      </c>
      <c r="J4259" s="1" t="s">
        <v>999</v>
      </c>
      <c r="L4259" s="1" t="s">
        <v>1401</v>
      </c>
      <c r="N4259" s="1" t="s">
        <v>13248</v>
      </c>
      <c r="P4259" s="1" t="s">
        <v>13249</v>
      </c>
      <c r="Q4259" s="3">
        <v>1</v>
      </c>
      <c r="R4259" s="23" t="s">
        <v>12893</v>
      </c>
      <c r="S4259" s="23" t="s">
        <v>6846</v>
      </c>
      <c r="T4259" s="23" t="s">
        <v>6031</v>
      </c>
      <c r="U4259" s="3">
        <v>35</v>
      </c>
      <c r="V4259" s="3" t="s">
        <v>13176</v>
      </c>
      <c r="W4259" s="45" t="str">
        <f>HYPERLINK("http://ictvonline.org/taxonomy/p/taxonomy-history?taxnode_id=201906474","ICTVonline=201906474")</f>
        <v>ICTVonline=201906474</v>
      </c>
      <c r="X4259" s="1" t="s">
        <v>13250</v>
      </c>
      <c r="Y4259" s="1" t="s">
        <v>13251</v>
      </c>
      <c r="Z4259" s="1" t="s">
        <v>13252</v>
      </c>
      <c r="AA4259" s="1">
        <v>201900000</v>
      </c>
      <c r="AB4259" s="1">
        <v>35</v>
      </c>
    </row>
    <row r="4260" spans="1:28" x14ac:dyDescent="0.2">
      <c r="A4260" s="1">
        <v>10924</v>
      </c>
      <c r="B4260" s="1" t="s">
        <v>6839</v>
      </c>
      <c r="D4260" s="1" t="s">
        <v>11735</v>
      </c>
      <c r="F4260" s="1" t="s">
        <v>5540</v>
      </c>
      <c r="G4260" s="1" t="s">
        <v>5541</v>
      </c>
      <c r="H4260" s="1" t="s">
        <v>5556</v>
      </c>
      <c r="J4260" s="1" t="s">
        <v>999</v>
      </c>
      <c r="L4260" s="1" t="s">
        <v>1401</v>
      </c>
      <c r="N4260" s="1" t="s">
        <v>13253</v>
      </c>
      <c r="P4260" s="1" t="s">
        <v>13254</v>
      </c>
      <c r="Q4260" s="3">
        <v>1</v>
      </c>
      <c r="R4260" s="23" t="s">
        <v>12893</v>
      </c>
      <c r="S4260" s="23" t="s">
        <v>6846</v>
      </c>
      <c r="T4260" s="23" t="s">
        <v>6031</v>
      </c>
      <c r="U4260" s="3">
        <v>35</v>
      </c>
      <c r="V4260" s="3" t="s">
        <v>13176</v>
      </c>
      <c r="W4260" s="45" t="str">
        <f>HYPERLINK("http://ictvonline.org/taxonomy/p/taxonomy-history?taxnode_id=201906475","ICTVonline=201906475")</f>
        <v>ICTVonline=201906475</v>
      </c>
      <c r="X4260" s="1" t="s">
        <v>13255</v>
      </c>
      <c r="Y4260" s="1" t="s">
        <v>13256</v>
      </c>
      <c r="Z4260" s="1" t="s">
        <v>13257</v>
      </c>
      <c r="AA4260" s="1">
        <v>201900000</v>
      </c>
      <c r="AB4260" s="1">
        <v>35</v>
      </c>
    </row>
    <row r="4261" spans="1:28" x14ac:dyDescent="0.2">
      <c r="A4261" s="1">
        <v>10930</v>
      </c>
      <c r="B4261" s="1" t="s">
        <v>6839</v>
      </c>
      <c r="D4261" s="1" t="s">
        <v>11735</v>
      </c>
      <c r="F4261" s="1" t="s">
        <v>5540</v>
      </c>
      <c r="G4261" s="1" t="s">
        <v>5541</v>
      </c>
      <c r="H4261" s="1" t="s">
        <v>5556</v>
      </c>
      <c r="J4261" s="1" t="s">
        <v>999</v>
      </c>
      <c r="L4261" s="1" t="s">
        <v>3510</v>
      </c>
      <c r="N4261" s="1" t="s">
        <v>3985</v>
      </c>
      <c r="P4261" s="1" t="s">
        <v>1423</v>
      </c>
      <c r="Q4261" s="3">
        <v>1</v>
      </c>
      <c r="R4261" s="23" t="s">
        <v>12893</v>
      </c>
      <c r="S4261" s="23" t="s">
        <v>6846</v>
      </c>
      <c r="T4261" s="23" t="s">
        <v>4866</v>
      </c>
      <c r="U4261" s="3">
        <v>35</v>
      </c>
      <c r="W4261" s="45" t="str">
        <f>HYPERLINK("http://ictvonline.org/taxonomy/p/taxonomy-history?taxnode_id=201901647","ICTVonline=201901647")</f>
        <v>ICTVonline=201901647</v>
      </c>
      <c r="AA4261" s="1">
        <v>201900000</v>
      </c>
      <c r="AB4261" s="1">
        <v>35</v>
      </c>
    </row>
    <row r="4262" spans="1:28" x14ac:dyDescent="0.2">
      <c r="A4262" s="1">
        <v>10932</v>
      </c>
      <c r="B4262" s="1" t="s">
        <v>6839</v>
      </c>
      <c r="D4262" s="1" t="s">
        <v>11735</v>
      </c>
      <c r="F4262" s="1" t="s">
        <v>5540</v>
      </c>
      <c r="G4262" s="1" t="s">
        <v>5541</v>
      </c>
      <c r="H4262" s="1" t="s">
        <v>5556</v>
      </c>
      <c r="J4262" s="1" t="s">
        <v>999</v>
      </c>
      <c r="L4262" s="1" t="s">
        <v>3510</v>
      </c>
      <c r="N4262" s="1" t="s">
        <v>3985</v>
      </c>
      <c r="P4262" s="1" t="s">
        <v>1424</v>
      </c>
      <c r="Q4262" s="3">
        <v>0</v>
      </c>
      <c r="R4262" s="23" t="s">
        <v>12893</v>
      </c>
      <c r="S4262" s="23" t="s">
        <v>6846</v>
      </c>
      <c r="T4262" s="23" t="s">
        <v>4866</v>
      </c>
      <c r="U4262" s="3">
        <v>35</v>
      </c>
      <c r="W4262" s="45" t="str">
        <f>HYPERLINK("http://ictvonline.org/taxonomy/p/taxonomy-history?taxnode_id=201901648","ICTVonline=201901648")</f>
        <v>ICTVonline=201901648</v>
      </c>
      <c r="AA4262" s="1">
        <v>201900000</v>
      </c>
      <c r="AB4262" s="1">
        <v>35</v>
      </c>
    </row>
    <row r="4263" spans="1:28" x14ac:dyDescent="0.2">
      <c r="A4263" s="1">
        <v>10936</v>
      </c>
      <c r="B4263" s="1" t="s">
        <v>6839</v>
      </c>
      <c r="D4263" s="1" t="s">
        <v>11735</v>
      </c>
      <c r="F4263" s="1" t="s">
        <v>5540</v>
      </c>
      <c r="G4263" s="1" t="s">
        <v>5541</v>
      </c>
      <c r="H4263" s="1" t="s">
        <v>5556</v>
      </c>
      <c r="J4263" s="1" t="s">
        <v>999</v>
      </c>
      <c r="L4263" s="1" t="s">
        <v>3510</v>
      </c>
      <c r="N4263" s="1" t="s">
        <v>3511</v>
      </c>
      <c r="P4263" s="1" t="s">
        <v>4885</v>
      </c>
      <c r="Q4263" s="3">
        <v>0</v>
      </c>
      <c r="R4263" s="23" t="s">
        <v>12893</v>
      </c>
      <c r="S4263" s="23" t="s">
        <v>6846</v>
      </c>
      <c r="T4263" s="23" t="s">
        <v>4866</v>
      </c>
      <c r="U4263" s="3">
        <v>35</v>
      </c>
      <c r="W4263" s="45" t="str">
        <f>HYPERLINK("http://ictvonline.org/taxonomy/p/taxonomy-history?taxnode_id=201901650","ICTVonline=201901650")</f>
        <v>ICTVonline=201901650</v>
      </c>
      <c r="AA4263" s="1">
        <v>201900000</v>
      </c>
      <c r="AB4263" s="1">
        <v>35</v>
      </c>
    </row>
    <row r="4264" spans="1:28" x14ac:dyDescent="0.2">
      <c r="A4264" s="1">
        <v>10938</v>
      </c>
      <c r="B4264" s="1" t="s">
        <v>6839</v>
      </c>
      <c r="D4264" s="1" t="s">
        <v>11735</v>
      </c>
      <c r="F4264" s="1" t="s">
        <v>5540</v>
      </c>
      <c r="G4264" s="1" t="s">
        <v>5541</v>
      </c>
      <c r="H4264" s="1" t="s">
        <v>5556</v>
      </c>
      <c r="J4264" s="1" t="s">
        <v>999</v>
      </c>
      <c r="L4264" s="1" t="s">
        <v>3510</v>
      </c>
      <c r="N4264" s="1" t="s">
        <v>3511</v>
      </c>
      <c r="P4264" s="1" t="s">
        <v>4886</v>
      </c>
      <c r="Q4264" s="3">
        <v>1</v>
      </c>
      <c r="R4264" s="23" t="s">
        <v>12893</v>
      </c>
      <c r="S4264" s="23" t="s">
        <v>6846</v>
      </c>
      <c r="T4264" s="23" t="s">
        <v>4866</v>
      </c>
      <c r="U4264" s="3">
        <v>35</v>
      </c>
      <c r="W4264" s="45" t="str">
        <f>HYPERLINK("http://ictvonline.org/taxonomy/p/taxonomy-history?taxnode_id=201901651","ICTVonline=201901651")</f>
        <v>ICTVonline=201901651</v>
      </c>
      <c r="AA4264" s="1">
        <v>201900000</v>
      </c>
      <c r="AB4264" s="1">
        <v>35</v>
      </c>
    </row>
    <row r="4265" spans="1:28" x14ac:dyDescent="0.2">
      <c r="A4265" s="1">
        <v>10940</v>
      </c>
      <c r="B4265" s="1" t="s">
        <v>6839</v>
      </c>
      <c r="D4265" s="1" t="s">
        <v>11735</v>
      </c>
      <c r="F4265" s="1" t="s">
        <v>5540</v>
      </c>
      <c r="G4265" s="1" t="s">
        <v>5541</v>
      </c>
      <c r="H4265" s="1" t="s">
        <v>5556</v>
      </c>
      <c r="J4265" s="1" t="s">
        <v>999</v>
      </c>
      <c r="L4265" s="1" t="s">
        <v>3510</v>
      </c>
      <c r="N4265" s="1" t="s">
        <v>3511</v>
      </c>
      <c r="P4265" s="1" t="s">
        <v>4887</v>
      </c>
      <c r="Q4265" s="3">
        <v>0</v>
      </c>
      <c r="R4265" s="23" t="s">
        <v>12893</v>
      </c>
      <c r="S4265" s="23" t="s">
        <v>6846</v>
      </c>
      <c r="T4265" s="23" t="s">
        <v>4866</v>
      </c>
      <c r="U4265" s="3">
        <v>35</v>
      </c>
      <c r="W4265" s="45" t="str">
        <f>HYPERLINK("http://ictvonline.org/taxonomy/p/taxonomy-history?taxnode_id=201901652","ICTVonline=201901652")</f>
        <v>ICTVonline=201901652</v>
      </c>
      <c r="AA4265" s="1">
        <v>201900000</v>
      </c>
      <c r="AB4265" s="1">
        <v>35</v>
      </c>
    </row>
    <row r="4266" spans="1:28" x14ac:dyDescent="0.2">
      <c r="A4266" s="1">
        <v>10946</v>
      </c>
      <c r="B4266" s="1" t="s">
        <v>6839</v>
      </c>
      <c r="D4266" s="1" t="s">
        <v>11735</v>
      </c>
      <c r="F4266" s="1" t="s">
        <v>5540</v>
      </c>
      <c r="G4266" s="1" t="s">
        <v>5541</v>
      </c>
      <c r="H4266" s="1" t="s">
        <v>5556</v>
      </c>
      <c r="J4266" s="1" t="s">
        <v>999</v>
      </c>
      <c r="L4266" s="1" t="s">
        <v>1425</v>
      </c>
      <c r="N4266" s="1" t="s">
        <v>4459</v>
      </c>
      <c r="P4266" s="1" t="s">
        <v>4460</v>
      </c>
      <c r="Q4266" s="3">
        <v>0</v>
      </c>
      <c r="R4266" s="23" t="s">
        <v>12893</v>
      </c>
      <c r="S4266" s="23" t="s">
        <v>6846</v>
      </c>
      <c r="T4266" s="23" t="s">
        <v>4866</v>
      </c>
      <c r="U4266" s="3">
        <v>35</v>
      </c>
      <c r="W4266" s="45" t="str">
        <f>HYPERLINK("http://ictvonline.org/taxonomy/p/taxonomy-history?taxnode_id=201901656","ICTVonline=201901656")</f>
        <v>ICTVonline=201901656</v>
      </c>
      <c r="Y4266" s="1" t="s">
        <v>13258</v>
      </c>
      <c r="Z4266" s="1" t="s">
        <v>13259</v>
      </c>
      <c r="AA4266" s="1">
        <v>201900000</v>
      </c>
      <c r="AB4266" s="1">
        <v>35</v>
      </c>
    </row>
    <row r="4267" spans="1:28" x14ac:dyDescent="0.2">
      <c r="A4267" s="1">
        <v>10948</v>
      </c>
      <c r="B4267" s="1" t="s">
        <v>6839</v>
      </c>
      <c r="D4267" s="1" t="s">
        <v>11735</v>
      </c>
      <c r="F4267" s="1" t="s">
        <v>5540</v>
      </c>
      <c r="G4267" s="1" t="s">
        <v>5541</v>
      </c>
      <c r="H4267" s="1" t="s">
        <v>5556</v>
      </c>
      <c r="J4267" s="1" t="s">
        <v>999</v>
      </c>
      <c r="L4267" s="1" t="s">
        <v>1425</v>
      </c>
      <c r="N4267" s="1" t="s">
        <v>4459</v>
      </c>
      <c r="P4267" s="1" t="s">
        <v>4461</v>
      </c>
      <c r="Q4267" s="3">
        <v>0</v>
      </c>
      <c r="R4267" s="23" t="s">
        <v>12893</v>
      </c>
      <c r="S4267" s="23" t="s">
        <v>6846</v>
      </c>
      <c r="T4267" s="23" t="s">
        <v>4866</v>
      </c>
      <c r="U4267" s="3">
        <v>35</v>
      </c>
      <c r="W4267" s="45" t="str">
        <f>HYPERLINK("http://ictvonline.org/taxonomy/p/taxonomy-history?taxnode_id=201901657","ICTVonline=201901657")</f>
        <v>ICTVonline=201901657</v>
      </c>
      <c r="Y4267" s="1" t="s">
        <v>13260</v>
      </c>
      <c r="Z4267" s="1" t="s">
        <v>13261</v>
      </c>
      <c r="AA4267" s="1">
        <v>201900000</v>
      </c>
      <c r="AB4267" s="1">
        <v>35</v>
      </c>
    </row>
    <row r="4268" spans="1:28" x14ac:dyDescent="0.2">
      <c r="A4268" s="1">
        <v>10950</v>
      </c>
      <c r="B4268" s="1" t="s">
        <v>6839</v>
      </c>
      <c r="D4268" s="1" t="s">
        <v>11735</v>
      </c>
      <c r="F4268" s="1" t="s">
        <v>5540</v>
      </c>
      <c r="G4268" s="1" t="s">
        <v>5541</v>
      </c>
      <c r="H4268" s="1" t="s">
        <v>5556</v>
      </c>
      <c r="J4268" s="1" t="s">
        <v>999</v>
      </c>
      <c r="L4268" s="1" t="s">
        <v>1425</v>
      </c>
      <c r="N4268" s="1" t="s">
        <v>4459</v>
      </c>
      <c r="P4268" s="1" t="s">
        <v>4462</v>
      </c>
      <c r="Q4268" s="3">
        <v>0</v>
      </c>
      <c r="R4268" s="23" t="s">
        <v>12893</v>
      </c>
      <c r="S4268" s="23" t="s">
        <v>6846</v>
      </c>
      <c r="T4268" s="23" t="s">
        <v>4866</v>
      </c>
      <c r="U4268" s="3">
        <v>35</v>
      </c>
      <c r="W4268" s="45" t="str">
        <f>HYPERLINK("http://ictvonline.org/taxonomy/p/taxonomy-history?taxnode_id=201901658","ICTVonline=201901658")</f>
        <v>ICTVonline=201901658</v>
      </c>
      <c r="Y4268" s="1" t="s">
        <v>13262</v>
      </c>
      <c r="Z4268" s="1" t="s">
        <v>13263</v>
      </c>
      <c r="AA4268" s="1">
        <v>201900000</v>
      </c>
      <c r="AB4268" s="1">
        <v>35</v>
      </c>
    </row>
    <row r="4269" spans="1:28" x14ac:dyDescent="0.2">
      <c r="A4269" s="1">
        <v>10952</v>
      </c>
      <c r="B4269" s="1" t="s">
        <v>6839</v>
      </c>
      <c r="D4269" s="1" t="s">
        <v>11735</v>
      </c>
      <c r="F4269" s="1" t="s">
        <v>5540</v>
      </c>
      <c r="G4269" s="1" t="s">
        <v>5541</v>
      </c>
      <c r="H4269" s="1" t="s">
        <v>5556</v>
      </c>
      <c r="J4269" s="1" t="s">
        <v>999</v>
      </c>
      <c r="L4269" s="1" t="s">
        <v>1425</v>
      </c>
      <c r="N4269" s="1" t="s">
        <v>4459</v>
      </c>
      <c r="P4269" s="1" t="s">
        <v>13264</v>
      </c>
      <c r="Q4269" s="3">
        <v>0</v>
      </c>
      <c r="R4269" s="23" t="s">
        <v>12893</v>
      </c>
      <c r="S4269" s="23" t="s">
        <v>6846</v>
      </c>
      <c r="T4269" s="23" t="s">
        <v>4864</v>
      </c>
      <c r="U4269" s="3">
        <v>35</v>
      </c>
      <c r="V4269" s="3" t="s">
        <v>13265</v>
      </c>
      <c r="W4269" s="45" t="str">
        <f>HYPERLINK("http://ictvonline.org/taxonomy/p/taxonomy-history?taxnode_id=201907700","ICTVonline=201907700")</f>
        <v>ICTVonline=201907700</v>
      </c>
      <c r="X4269" s="1" t="s">
        <v>13266</v>
      </c>
      <c r="Y4269" s="1" t="s">
        <v>13267</v>
      </c>
      <c r="AA4269" s="1">
        <v>201900000</v>
      </c>
      <c r="AB4269" s="1">
        <v>35</v>
      </c>
    </row>
    <row r="4270" spans="1:28" x14ac:dyDescent="0.2">
      <c r="A4270" s="1">
        <v>10954</v>
      </c>
      <c r="B4270" s="1" t="s">
        <v>6839</v>
      </c>
      <c r="D4270" s="1" t="s">
        <v>11735</v>
      </c>
      <c r="F4270" s="1" t="s">
        <v>5540</v>
      </c>
      <c r="G4270" s="1" t="s">
        <v>5541</v>
      </c>
      <c r="H4270" s="1" t="s">
        <v>5556</v>
      </c>
      <c r="J4270" s="1" t="s">
        <v>999</v>
      </c>
      <c r="L4270" s="1" t="s">
        <v>1425</v>
      </c>
      <c r="N4270" s="1" t="s">
        <v>4459</v>
      </c>
      <c r="P4270" s="1" t="s">
        <v>4463</v>
      </c>
      <c r="Q4270" s="3">
        <v>1</v>
      </c>
      <c r="R4270" s="23" t="s">
        <v>12893</v>
      </c>
      <c r="S4270" s="23" t="s">
        <v>6846</v>
      </c>
      <c r="T4270" s="23" t="s">
        <v>4866</v>
      </c>
      <c r="U4270" s="3">
        <v>35</v>
      </c>
      <c r="W4270" s="45" t="str">
        <f>HYPERLINK("http://ictvonline.org/taxonomy/p/taxonomy-history?taxnode_id=201901659","ICTVonline=201901659")</f>
        <v>ICTVonline=201901659</v>
      </c>
      <c r="Y4270" s="1" t="s">
        <v>13268</v>
      </c>
      <c r="Z4270" s="1" t="s">
        <v>13269</v>
      </c>
      <c r="AA4270" s="1">
        <v>201900000</v>
      </c>
      <c r="AB4270" s="1">
        <v>35</v>
      </c>
    </row>
    <row r="4271" spans="1:28" x14ac:dyDescent="0.2">
      <c r="A4271" s="1">
        <v>10956</v>
      </c>
      <c r="B4271" s="1" t="s">
        <v>6839</v>
      </c>
      <c r="D4271" s="1" t="s">
        <v>11735</v>
      </c>
      <c r="F4271" s="1" t="s">
        <v>5540</v>
      </c>
      <c r="G4271" s="1" t="s">
        <v>5541</v>
      </c>
      <c r="H4271" s="1" t="s">
        <v>5556</v>
      </c>
      <c r="J4271" s="1" t="s">
        <v>999</v>
      </c>
      <c r="L4271" s="1" t="s">
        <v>1425</v>
      </c>
      <c r="N4271" s="1" t="s">
        <v>4459</v>
      </c>
      <c r="P4271" s="1" t="s">
        <v>4464</v>
      </c>
      <c r="Q4271" s="3">
        <v>0</v>
      </c>
      <c r="R4271" s="23" t="s">
        <v>12893</v>
      </c>
      <c r="S4271" s="23" t="s">
        <v>6846</v>
      </c>
      <c r="T4271" s="23" t="s">
        <v>4866</v>
      </c>
      <c r="U4271" s="3">
        <v>35</v>
      </c>
      <c r="W4271" s="45" t="str">
        <f>HYPERLINK("http://ictvonline.org/taxonomy/p/taxonomy-history?taxnode_id=201901660","ICTVonline=201901660")</f>
        <v>ICTVonline=201901660</v>
      </c>
      <c r="Y4271" s="1" t="s">
        <v>13270</v>
      </c>
      <c r="Z4271" s="1" t="s">
        <v>13271</v>
      </c>
      <c r="AA4271" s="1">
        <v>201900000</v>
      </c>
      <c r="AB4271" s="1">
        <v>35</v>
      </c>
    </row>
    <row r="4272" spans="1:28" x14ac:dyDescent="0.2">
      <c r="A4272" s="1">
        <v>10960</v>
      </c>
      <c r="B4272" s="1" t="s">
        <v>6839</v>
      </c>
      <c r="D4272" s="1" t="s">
        <v>11735</v>
      </c>
      <c r="F4272" s="1" t="s">
        <v>5540</v>
      </c>
      <c r="G4272" s="1" t="s">
        <v>5541</v>
      </c>
      <c r="H4272" s="1" t="s">
        <v>5556</v>
      </c>
      <c r="J4272" s="1" t="s">
        <v>999</v>
      </c>
      <c r="L4272" s="1" t="s">
        <v>1425</v>
      </c>
      <c r="N4272" s="1" t="s">
        <v>5916</v>
      </c>
      <c r="P4272" s="1" t="s">
        <v>5917</v>
      </c>
      <c r="Q4272" s="3">
        <v>1</v>
      </c>
      <c r="R4272" s="23" t="s">
        <v>12893</v>
      </c>
      <c r="S4272" s="23" t="s">
        <v>6846</v>
      </c>
      <c r="T4272" s="23" t="s">
        <v>4866</v>
      </c>
      <c r="U4272" s="3">
        <v>35</v>
      </c>
      <c r="W4272" s="45" t="str">
        <f>HYPERLINK("http://ictvonline.org/taxonomy/p/taxonomy-history?taxnode_id=201906519","ICTVonline=201906519")</f>
        <v>ICTVonline=201906519</v>
      </c>
      <c r="X4272" s="1" t="s">
        <v>13272</v>
      </c>
      <c r="Y4272" s="1" t="s">
        <v>13273</v>
      </c>
      <c r="Z4272" s="1" t="s">
        <v>13274</v>
      </c>
      <c r="AA4272" s="1">
        <v>201900000</v>
      </c>
      <c r="AB4272" s="1">
        <v>35</v>
      </c>
    </row>
    <row r="4273" spans="1:28" x14ac:dyDescent="0.2">
      <c r="A4273" s="1">
        <v>10962</v>
      </c>
      <c r="B4273" s="1" t="s">
        <v>6839</v>
      </c>
      <c r="D4273" s="1" t="s">
        <v>11735</v>
      </c>
      <c r="F4273" s="1" t="s">
        <v>5540</v>
      </c>
      <c r="G4273" s="1" t="s">
        <v>5541</v>
      </c>
      <c r="H4273" s="1" t="s">
        <v>5556</v>
      </c>
      <c r="J4273" s="1" t="s">
        <v>999</v>
      </c>
      <c r="L4273" s="1" t="s">
        <v>1425</v>
      </c>
      <c r="N4273" s="1" t="s">
        <v>5916</v>
      </c>
      <c r="P4273" s="1" t="s">
        <v>5918</v>
      </c>
      <c r="Q4273" s="3">
        <v>0</v>
      </c>
      <c r="R4273" s="23" t="s">
        <v>12893</v>
      </c>
      <c r="S4273" s="23" t="s">
        <v>6846</v>
      </c>
      <c r="T4273" s="23" t="s">
        <v>4866</v>
      </c>
      <c r="U4273" s="3">
        <v>35</v>
      </c>
      <c r="W4273" s="45" t="str">
        <f>HYPERLINK("http://ictvonline.org/taxonomy/p/taxonomy-history?taxnode_id=201906520","ICTVonline=201906520")</f>
        <v>ICTVonline=201906520</v>
      </c>
      <c r="X4273" s="1" t="s">
        <v>13275</v>
      </c>
      <c r="Y4273" s="1" t="s">
        <v>13276</v>
      </c>
      <c r="Z4273" s="1" t="s">
        <v>13277</v>
      </c>
      <c r="AA4273" s="1">
        <v>201900000</v>
      </c>
      <c r="AB4273" s="1">
        <v>35</v>
      </c>
    </row>
    <row r="4274" spans="1:28" x14ac:dyDescent="0.2">
      <c r="A4274" s="1">
        <v>10966</v>
      </c>
      <c r="B4274" s="1" t="s">
        <v>6839</v>
      </c>
      <c r="D4274" s="1" t="s">
        <v>11735</v>
      </c>
      <c r="F4274" s="1" t="s">
        <v>5540</v>
      </c>
      <c r="G4274" s="1" t="s">
        <v>5541</v>
      </c>
      <c r="H4274" s="1" t="s">
        <v>5556</v>
      </c>
      <c r="J4274" s="1" t="s">
        <v>999</v>
      </c>
      <c r="L4274" s="1" t="s">
        <v>1425</v>
      </c>
      <c r="N4274" s="1" t="s">
        <v>13278</v>
      </c>
      <c r="P4274" s="1" t="s">
        <v>13279</v>
      </c>
      <c r="Q4274" s="3">
        <v>0</v>
      </c>
      <c r="R4274" s="23" t="s">
        <v>12893</v>
      </c>
      <c r="S4274" s="23" t="s">
        <v>6846</v>
      </c>
      <c r="T4274" s="23" t="s">
        <v>4865</v>
      </c>
      <c r="U4274" s="3">
        <v>35</v>
      </c>
      <c r="V4274" s="3" t="s">
        <v>13280</v>
      </c>
      <c r="W4274" s="45" t="str">
        <f>HYPERLINK("http://ictvonline.org/taxonomy/p/taxonomy-history?taxnode_id=201901743","ICTVonline=201901743")</f>
        <v>ICTVonline=201901743</v>
      </c>
      <c r="X4274" s="1" t="s">
        <v>13281</v>
      </c>
      <c r="Y4274" s="1" t="s">
        <v>13282</v>
      </c>
      <c r="Z4274" s="1" t="s">
        <v>13283</v>
      </c>
      <c r="AA4274" s="1">
        <v>201900000</v>
      </c>
      <c r="AB4274" s="1">
        <v>35</v>
      </c>
    </row>
    <row r="4275" spans="1:28" x14ac:dyDescent="0.2">
      <c r="A4275" s="1">
        <v>10968</v>
      </c>
      <c r="B4275" s="1" t="s">
        <v>6839</v>
      </c>
      <c r="D4275" s="1" t="s">
        <v>11735</v>
      </c>
      <c r="F4275" s="1" t="s">
        <v>5540</v>
      </c>
      <c r="G4275" s="1" t="s">
        <v>5541</v>
      </c>
      <c r="H4275" s="1" t="s">
        <v>5556</v>
      </c>
      <c r="J4275" s="1" t="s">
        <v>999</v>
      </c>
      <c r="L4275" s="1" t="s">
        <v>1425</v>
      </c>
      <c r="N4275" s="1" t="s">
        <v>13278</v>
      </c>
      <c r="P4275" s="1" t="s">
        <v>13284</v>
      </c>
      <c r="Q4275" s="3">
        <v>0</v>
      </c>
      <c r="R4275" s="23" t="s">
        <v>12893</v>
      </c>
      <c r="S4275" s="23" t="s">
        <v>6846</v>
      </c>
      <c r="T4275" s="23" t="s">
        <v>4865</v>
      </c>
      <c r="U4275" s="3">
        <v>35</v>
      </c>
      <c r="V4275" s="3" t="s">
        <v>13280</v>
      </c>
      <c r="W4275" s="45" t="str">
        <f>HYPERLINK("http://ictvonline.org/taxonomy/p/taxonomy-history?taxnode_id=201901745","ICTVonline=201901745")</f>
        <v>ICTVonline=201901745</v>
      </c>
      <c r="X4275" s="1" t="s">
        <v>13285</v>
      </c>
      <c r="Y4275" s="1" t="s">
        <v>13286</v>
      </c>
      <c r="Z4275" s="1" t="s">
        <v>13287</v>
      </c>
      <c r="AA4275" s="1">
        <v>201900000</v>
      </c>
      <c r="AB4275" s="1">
        <v>35</v>
      </c>
    </row>
    <row r="4276" spans="1:28" x14ac:dyDescent="0.2">
      <c r="A4276" s="1">
        <v>10970</v>
      </c>
      <c r="B4276" s="1" t="s">
        <v>6839</v>
      </c>
      <c r="D4276" s="1" t="s">
        <v>11735</v>
      </c>
      <c r="F4276" s="1" t="s">
        <v>5540</v>
      </c>
      <c r="G4276" s="1" t="s">
        <v>5541</v>
      </c>
      <c r="H4276" s="1" t="s">
        <v>5556</v>
      </c>
      <c r="J4276" s="1" t="s">
        <v>999</v>
      </c>
      <c r="L4276" s="1" t="s">
        <v>1425</v>
      </c>
      <c r="N4276" s="1" t="s">
        <v>13278</v>
      </c>
      <c r="P4276" s="1" t="s">
        <v>13288</v>
      </c>
      <c r="Q4276" s="3">
        <v>0</v>
      </c>
      <c r="R4276" s="23" t="s">
        <v>12893</v>
      </c>
      <c r="S4276" s="23" t="s">
        <v>6846</v>
      </c>
      <c r="T4276" s="23" t="s">
        <v>4865</v>
      </c>
      <c r="U4276" s="3">
        <v>35</v>
      </c>
      <c r="V4276" s="3" t="s">
        <v>13280</v>
      </c>
      <c r="W4276" s="45" t="str">
        <f>HYPERLINK("http://ictvonline.org/taxonomy/p/taxonomy-history?taxnode_id=201901746","ICTVonline=201901746")</f>
        <v>ICTVonline=201901746</v>
      </c>
      <c r="X4276" s="1" t="s">
        <v>13289</v>
      </c>
      <c r="Y4276" s="1" t="s">
        <v>13290</v>
      </c>
      <c r="Z4276" s="1" t="s">
        <v>11977</v>
      </c>
      <c r="AA4276" s="1">
        <v>201900000</v>
      </c>
      <c r="AB4276" s="1">
        <v>35</v>
      </c>
    </row>
    <row r="4277" spans="1:28" x14ac:dyDescent="0.2">
      <c r="A4277" s="1">
        <v>10972</v>
      </c>
      <c r="B4277" s="1" t="s">
        <v>6839</v>
      </c>
      <c r="D4277" s="1" t="s">
        <v>11735</v>
      </c>
      <c r="F4277" s="1" t="s">
        <v>5540</v>
      </c>
      <c r="G4277" s="1" t="s">
        <v>5541</v>
      </c>
      <c r="H4277" s="1" t="s">
        <v>5556</v>
      </c>
      <c r="J4277" s="1" t="s">
        <v>999</v>
      </c>
      <c r="L4277" s="1" t="s">
        <v>1425</v>
      </c>
      <c r="N4277" s="1" t="s">
        <v>13278</v>
      </c>
      <c r="P4277" s="1" t="s">
        <v>13291</v>
      </c>
      <c r="Q4277" s="3">
        <v>0</v>
      </c>
      <c r="R4277" s="23" t="s">
        <v>12893</v>
      </c>
      <c r="S4277" s="23" t="s">
        <v>6846</v>
      </c>
      <c r="T4277" s="23" t="s">
        <v>4864</v>
      </c>
      <c r="U4277" s="3">
        <v>35</v>
      </c>
      <c r="V4277" s="3" t="s">
        <v>13280</v>
      </c>
      <c r="W4277" s="45" t="str">
        <f>HYPERLINK("http://ictvonline.org/taxonomy/p/taxonomy-history?taxnode_id=201907683","ICTVonline=201907683")</f>
        <v>ICTVonline=201907683</v>
      </c>
      <c r="X4277" s="1" t="s">
        <v>13292</v>
      </c>
      <c r="Y4277" s="1" t="s">
        <v>13293</v>
      </c>
      <c r="Z4277" s="1" t="s">
        <v>13294</v>
      </c>
      <c r="AA4277" s="1">
        <v>201900000</v>
      </c>
      <c r="AB4277" s="1">
        <v>35</v>
      </c>
    </row>
    <row r="4278" spans="1:28" x14ac:dyDescent="0.2">
      <c r="A4278" s="1">
        <v>10974</v>
      </c>
      <c r="B4278" s="1" t="s">
        <v>6839</v>
      </c>
      <c r="D4278" s="1" t="s">
        <v>11735</v>
      </c>
      <c r="F4278" s="1" t="s">
        <v>5540</v>
      </c>
      <c r="G4278" s="1" t="s">
        <v>5541</v>
      </c>
      <c r="H4278" s="1" t="s">
        <v>5556</v>
      </c>
      <c r="J4278" s="1" t="s">
        <v>999</v>
      </c>
      <c r="L4278" s="1" t="s">
        <v>1425</v>
      </c>
      <c r="N4278" s="1" t="s">
        <v>13278</v>
      </c>
      <c r="P4278" s="1" t="s">
        <v>13295</v>
      </c>
      <c r="Q4278" s="3">
        <v>0</v>
      </c>
      <c r="R4278" s="23" t="s">
        <v>12893</v>
      </c>
      <c r="S4278" s="23" t="s">
        <v>6846</v>
      </c>
      <c r="T4278" s="23" t="s">
        <v>4864</v>
      </c>
      <c r="U4278" s="3">
        <v>35</v>
      </c>
      <c r="V4278" s="3" t="s">
        <v>13280</v>
      </c>
      <c r="W4278" s="45" t="str">
        <f>HYPERLINK("http://ictvonline.org/taxonomy/p/taxonomy-history?taxnode_id=201907684","ICTVonline=201907684")</f>
        <v>ICTVonline=201907684</v>
      </c>
      <c r="X4278" s="1" t="s">
        <v>13296</v>
      </c>
      <c r="Y4278" s="1" t="s">
        <v>13297</v>
      </c>
      <c r="Z4278" s="1" t="s">
        <v>13298</v>
      </c>
      <c r="AA4278" s="1">
        <v>201900000</v>
      </c>
      <c r="AB4278" s="1">
        <v>35</v>
      </c>
    </row>
    <row r="4279" spans="1:28" x14ac:dyDescent="0.2">
      <c r="A4279" s="1">
        <v>10976</v>
      </c>
      <c r="B4279" s="1" t="s">
        <v>6839</v>
      </c>
      <c r="D4279" s="1" t="s">
        <v>11735</v>
      </c>
      <c r="F4279" s="1" t="s">
        <v>5540</v>
      </c>
      <c r="G4279" s="1" t="s">
        <v>5541</v>
      </c>
      <c r="H4279" s="1" t="s">
        <v>5556</v>
      </c>
      <c r="J4279" s="1" t="s">
        <v>999</v>
      </c>
      <c r="L4279" s="1" t="s">
        <v>1425</v>
      </c>
      <c r="N4279" s="1" t="s">
        <v>13278</v>
      </c>
      <c r="P4279" s="1" t="s">
        <v>13299</v>
      </c>
      <c r="Q4279" s="3">
        <v>1</v>
      </c>
      <c r="R4279" s="23" t="s">
        <v>12893</v>
      </c>
      <c r="S4279" s="23" t="s">
        <v>6846</v>
      </c>
      <c r="T4279" s="23" t="s">
        <v>4865</v>
      </c>
      <c r="U4279" s="3">
        <v>35</v>
      </c>
      <c r="V4279" s="3" t="s">
        <v>13280</v>
      </c>
      <c r="W4279" s="45" t="str">
        <f>HYPERLINK("http://ictvonline.org/taxonomy/p/taxonomy-history?taxnode_id=201901747","ICTVonline=201901747")</f>
        <v>ICTVonline=201901747</v>
      </c>
      <c r="X4279" s="1" t="s">
        <v>13300</v>
      </c>
      <c r="Y4279" s="1" t="s">
        <v>13301</v>
      </c>
      <c r="Z4279" s="1" t="s">
        <v>13302</v>
      </c>
      <c r="AA4279" s="1">
        <v>201900000</v>
      </c>
      <c r="AB4279" s="1">
        <v>35</v>
      </c>
    </row>
    <row r="4280" spans="1:28" x14ac:dyDescent="0.2">
      <c r="A4280" s="1">
        <v>10978</v>
      </c>
      <c r="B4280" s="1" t="s">
        <v>6839</v>
      </c>
      <c r="D4280" s="1" t="s">
        <v>11735</v>
      </c>
      <c r="F4280" s="1" t="s">
        <v>5540</v>
      </c>
      <c r="G4280" s="1" t="s">
        <v>5541</v>
      </c>
      <c r="H4280" s="1" t="s">
        <v>5556</v>
      </c>
      <c r="J4280" s="1" t="s">
        <v>999</v>
      </c>
      <c r="L4280" s="1" t="s">
        <v>1425</v>
      </c>
      <c r="N4280" s="1" t="s">
        <v>13278</v>
      </c>
      <c r="P4280" s="1" t="s">
        <v>13303</v>
      </c>
      <c r="Q4280" s="3">
        <v>0</v>
      </c>
      <c r="R4280" s="23" t="s">
        <v>12893</v>
      </c>
      <c r="S4280" s="23" t="s">
        <v>6846</v>
      </c>
      <c r="T4280" s="23" t="s">
        <v>4865</v>
      </c>
      <c r="U4280" s="3">
        <v>35</v>
      </c>
      <c r="V4280" s="3" t="s">
        <v>13280</v>
      </c>
      <c r="W4280" s="45" t="str">
        <f>HYPERLINK("http://ictvonline.org/taxonomy/p/taxonomy-history?taxnode_id=201901748","ICTVonline=201901748")</f>
        <v>ICTVonline=201901748</v>
      </c>
      <c r="X4280" s="1" t="s">
        <v>13304</v>
      </c>
      <c r="Y4280" s="1" t="s">
        <v>13305</v>
      </c>
      <c r="Z4280" s="1" t="s">
        <v>11859</v>
      </c>
      <c r="AA4280" s="1">
        <v>201900000</v>
      </c>
      <c r="AB4280" s="1">
        <v>35</v>
      </c>
    </row>
    <row r="4281" spans="1:28" x14ac:dyDescent="0.2">
      <c r="A4281" s="1">
        <v>10980</v>
      </c>
      <c r="B4281" s="1" t="s">
        <v>6839</v>
      </c>
      <c r="D4281" s="1" t="s">
        <v>11735</v>
      </c>
      <c r="F4281" s="1" t="s">
        <v>5540</v>
      </c>
      <c r="G4281" s="1" t="s">
        <v>5541</v>
      </c>
      <c r="H4281" s="1" t="s">
        <v>5556</v>
      </c>
      <c r="J4281" s="1" t="s">
        <v>999</v>
      </c>
      <c r="L4281" s="1" t="s">
        <v>1425</v>
      </c>
      <c r="N4281" s="1" t="s">
        <v>13278</v>
      </c>
      <c r="P4281" s="1" t="s">
        <v>13306</v>
      </c>
      <c r="Q4281" s="3">
        <v>0</v>
      </c>
      <c r="R4281" s="23" t="s">
        <v>12893</v>
      </c>
      <c r="S4281" s="23" t="s">
        <v>6846</v>
      </c>
      <c r="T4281" s="23" t="s">
        <v>4865</v>
      </c>
      <c r="U4281" s="3">
        <v>35</v>
      </c>
      <c r="V4281" s="3" t="s">
        <v>13280</v>
      </c>
      <c r="W4281" s="45" t="str">
        <f>HYPERLINK("http://ictvonline.org/taxonomy/p/taxonomy-history?taxnode_id=201901751","ICTVonline=201901751")</f>
        <v>ICTVonline=201901751</v>
      </c>
      <c r="X4281" s="1" t="s">
        <v>13307</v>
      </c>
      <c r="Y4281" s="1" t="s">
        <v>13308</v>
      </c>
      <c r="Z4281" s="1" t="s">
        <v>13309</v>
      </c>
      <c r="AA4281" s="1">
        <v>201900000</v>
      </c>
      <c r="AB4281" s="1">
        <v>35</v>
      </c>
    </row>
    <row r="4282" spans="1:28" x14ac:dyDescent="0.2">
      <c r="A4282" s="1">
        <v>10982</v>
      </c>
      <c r="B4282" s="1" t="s">
        <v>6839</v>
      </c>
      <c r="D4282" s="1" t="s">
        <v>11735</v>
      </c>
      <c r="F4282" s="1" t="s">
        <v>5540</v>
      </c>
      <c r="G4282" s="1" t="s">
        <v>5541</v>
      </c>
      <c r="H4282" s="1" t="s">
        <v>5556</v>
      </c>
      <c r="J4282" s="1" t="s">
        <v>999</v>
      </c>
      <c r="L4282" s="1" t="s">
        <v>1425</v>
      </c>
      <c r="N4282" s="1" t="s">
        <v>13278</v>
      </c>
      <c r="P4282" s="1" t="s">
        <v>13310</v>
      </c>
      <c r="Q4282" s="3">
        <v>0</v>
      </c>
      <c r="R4282" s="23" t="s">
        <v>12893</v>
      </c>
      <c r="S4282" s="23" t="s">
        <v>6846</v>
      </c>
      <c r="T4282" s="23" t="s">
        <v>4864</v>
      </c>
      <c r="U4282" s="3">
        <v>35</v>
      </c>
      <c r="V4282" s="3" t="s">
        <v>13280</v>
      </c>
      <c r="W4282" s="45" t="str">
        <f>HYPERLINK("http://ictvonline.org/taxonomy/p/taxonomy-history?taxnode_id=201907682","ICTVonline=201907682")</f>
        <v>ICTVonline=201907682</v>
      </c>
      <c r="X4282" s="1" t="s">
        <v>13311</v>
      </c>
      <c r="Y4282" s="1" t="s">
        <v>13312</v>
      </c>
      <c r="Z4282" s="1" t="s">
        <v>13313</v>
      </c>
      <c r="AA4282" s="1">
        <v>201900000</v>
      </c>
      <c r="AB4282" s="1">
        <v>35</v>
      </c>
    </row>
    <row r="4283" spans="1:28" x14ac:dyDescent="0.2">
      <c r="A4283" s="1">
        <v>10986</v>
      </c>
      <c r="B4283" s="1" t="s">
        <v>6839</v>
      </c>
      <c r="D4283" s="1" t="s">
        <v>11735</v>
      </c>
      <c r="F4283" s="1" t="s">
        <v>5540</v>
      </c>
      <c r="G4283" s="1" t="s">
        <v>5541</v>
      </c>
      <c r="H4283" s="1" t="s">
        <v>5556</v>
      </c>
      <c r="J4283" s="1" t="s">
        <v>999</v>
      </c>
      <c r="L4283" s="1" t="s">
        <v>1425</v>
      </c>
      <c r="N4283" s="1" t="s">
        <v>13314</v>
      </c>
      <c r="P4283" s="1" t="s">
        <v>13315</v>
      </c>
      <c r="Q4283" s="3">
        <v>1</v>
      </c>
      <c r="R4283" s="23" t="s">
        <v>12893</v>
      </c>
      <c r="S4283" s="23" t="s">
        <v>6846</v>
      </c>
      <c r="T4283" s="23" t="s">
        <v>4864</v>
      </c>
      <c r="U4283" s="3">
        <v>35</v>
      </c>
      <c r="V4283" s="3" t="s">
        <v>13316</v>
      </c>
      <c r="W4283" s="45" t="str">
        <f>HYPERLINK("http://ictvonline.org/taxonomy/p/taxonomy-history?taxnode_id=201907241","ICTVonline=201907241")</f>
        <v>ICTVonline=201907241</v>
      </c>
      <c r="X4283" s="1" t="s">
        <v>13317</v>
      </c>
      <c r="Y4283" s="1" t="s">
        <v>13318</v>
      </c>
      <c r="Z4283" s="1" t="s">
        <v>13319</v>
      </c>
      <c r="AA4283" s="1">
        <v>201900000</v>
      </c>
      <c r="AB4283" s="1">
        <v>35</v>
      </c>
    </row>
    <row r="4284" spans="1:28" x14ac:dyDescent="0.2">
      <c r="A4284" s="1">
        <v>10988</v>
      </c>
      <c r="B4284" s="1" t="s">
        <v>6839</v>
      </c>
      <c r="D4284" s="1" t="s">
        <v>11735</v>
      </c>
      <c r="F4284" s="1" t="s">
        <v>5540</v>
      </c>
      <c r="G4284" s="1" t="s">
        <v>5541</v>
      </c>
      <c r="H4284" s="1" t="s">
        <v>5556</v>
      </c>
      <c r="J4284" s="1" t="s">
        <v>999</v>
      </c>
      <c r="L4284" s="1" t="s">
        <v>1425</v>
      </c>
      <c r="N4284" s="1" t="s">
        <v>13314</v>
      </c>
      <c r="P4284" s="1" t="s">
        <v>13320</v>
      </c>
      <c r="Q4284" s="3">
        <v>0</v>
      </c>
      <c r="R4284" s="23" t="s">
        <v>12893</v>
      </c>
      <c r="S4284" s="23" t="s">
        <v>6846</v>
      </c>
      <c r="T4284" s="23" t="s">
        <v>4864</v>
      </c>
      <c r="U4284" s="3">
        <v>35</v>
      </c>
      <c r="V4284" s="3" t="s">
        <v>13316</v>
      </c>
      <c r="W4284" s="45" t="str">
        <f>HYPERLINK("http://ictvonline.org/taxonomy/p/taxonomy-history?taxnode_id=201907243","ICTVonline=201907243")</f>
        <v>ICTVonline=201907243</v>
      </c>
      <c r="X4284" s="1" t="s">
        <v>13321</v>
      </c>
      <c r="Y4284" s="1" t="s">
        <v>13322</v>
      </c>
      <c r="Z4284" s="1" t="s">
        <v>13323</v>
      </c>
      <c r="AA4284" s="1">
        <v>201900000</v>
      </c>
      <c r="AB4284" s="1">
        <v>35</v>
      </c>
    </row>
    <row r="4285" spans="1:28" x14ac:dyDescent="0.2">
      <c r="A4285" s="1">
        <v>10990</v>
      </c>
      <c r="B4285" s="1" t="s">
        <v>6839</v>
      </c>
      <c r="D4285" s="1" t="s">
        <v>11735</v>
      </c>
      <c r="F4285" s="1" t="s">
        <v>5540</v>
      </c>
      <c r="G4285" s="1" t="s">
        <v>5541</v>
      </c>
      <c r="H4285" s="1" t="s">
        <v>5556</v>
      </c>
      <c r="J4285" s="1" t="s">
        <v>999</v>
      </c>
      <c r="L4285" s="1" t="s">
        <v>1425</v>
      </c>
      <c r="N4285" s="1" t="s">
        <v>13314</v>
      </c>
      <c r="P4285" s="1" t="s">
        <v>13324</v>
      </c>
      <c r="Q4285" s="3">
        <v>0</v>
      </c>
      <c r="R4285" s="23" t="s">
        <v>12893</v>
      </c>
      <c r="S4285" s="23" t="s">
        <v>6846</v>
      </c>
      <c r="T4285" s="23" t="s">
        <v>4864</v>
      </c>
      <c r="U4285" s="3">
        <v>35</v>
      </c>
      <c r="V4285" s="3" t="s">
        <v>13316</v>
      </c>
      <c r="W4285" s="45" t="str">
        <f>HYPERLINK("http://ictvonline.org/taxonomy/p/taxonomy-history?taxnode_id=201907244","ICTVonline=201907244")</f>
        <v>ICTVonline=201907244</v>
      </c>
      <c r="X4285" s="1" t="s">
        <v>13325</v>
      </c>
      <c r="Y4285" s="1" t="s">
        <v>13326</v>
      </c>
      <c r="Z4285" s="1" t="s">
        <v>13327</v>
      </c>
      <c r="AA4285" s="1">
        <v>201900000</v>
      </c>
      <c r="AB4285" s="1">
        <v>35</v>
      </c>
    </row>
    <row r="4286" spans="1:28" x14ac:dyDescent="0.2">
      <c r="A4286" s="1">
        <v>10992</v>
      </c>
      <c r="B4286" s="1" t="s">
        <v>6839</v>
      </c>
      <c r="D4286" s="1" t="s">
        <v>11735</v>
      </c>
      <c r="F4286" s="1" t="s">
        <v>5540</v>
      </c>
      <c r="G4286" s="1" t="s">
        <v>5541</v>
      </c>
      <c r="H4286" s="1" t="s">
        <v>5556</v>
      </c>
      <c r="J4286" s="1" t="s">
        <v>999</v>
      </c>
      <c r="L4286" s="1" t="s">
        <v>1425</v>
      </c>
      <c r="N4286" s="1" t="s">
        <v>13314</v>
      </c>
      <c r="P4286" s="1" t="s">
        <v>13328</v>
      </c>
      <c r="Q4286" s="3">
        <v>0</v>
      </c>
      <c r="R4286" s="23" t="s">
        <v>12893</v>
      </c>
      <c r="S4286" s="23" t="s">
        <v>6846</v>
      </c>
      <c r="T4286" s="23" t="s">
        <v>4864</v>
      </c>
      <c r="U4286" s="3">
        <v>35</v>
      </c>
      <c r="V4286" s="3" t="s">
        <v>13316</v>
      </c>
      <c r="W4286" s="45" t="str">
        <f>HYPERLINK("http://ictvonline.org/taxonomy/p/taxonomy-history?taxnode_id=201907242","ICTVonline=201907242")</f>
        <v>ICTVonline=201907242</v>
      </c>
      <c r="X4286" s="1" t="s">
        <v>13329</v>
      </c>
      <c r="Y4286" s="1" t="s">
        <v>13330</v>
      </c>
      <c r="Z4286" s="1" t="s">
        <v>13331</v>
      </c>
      <c r="AA4286" s="1">
        <v>201900000</v>
      </c>
      <c r="AB4286" s="1">
        <v>35</v>
      </c>
    </row>
    <row r="4287" spans="1:28" x14ac:dyDescent="0.2">
      <c r="A4287" s="1">
        <v>10996</v>
      </c>
      <c r="B4287" s="1" t="s">
        <v>6839</v>
      </c>
      <c r="D4287" s="1" t="s">
        <v>11735</v>
      </c>
      <c r="F4287" s="1" t="s">
        <v>5540</v>
      </c>
      <c r="G4287" s="1" t="s">
        <v>5541</v>
      </c>
      <c r="H4287" s="1" t="s">
        <v>5556</v>
      </c>
      <c r="J4287" s="1" t="s">
        <v>999</v>
      </c>
      <c r="L4287" s="1" t="s">
        <v>1425</v>
      </c>
      <c r="N4287" s="1" t="s">
        <v>13332</v>
      </c>
      <c r="P4287" s="1" t="s">
        <v>13333</v>
      </c>
      <c r="Q4287" s="3">
        <v>0</v>
      </c>
      <c r="R4287" s="23" t="s">
        <v>12893</v>
      </c>
      <c r="S4287" s="23" t="s">
        <v>6846</v>
      </c>
      <c r="T4287" s="23" t="s">
        <v>4864</v>
      </c>
      <c r="U4287" s="3">
        <v>35</v>
      </c>
      <c r="V4287" s="3" t="s">
        <v>13280</v>
      </c>
      <c r="W4287" s="45" t="str">
        <f>HYPERLINK("http://ictvonline.org/taxonomy/p/taxonomy-history?taxnode_id=201907688","ICTVonline=201907688")</f>
        <v>ICTVonline=201907688</v>
      </c>
      <c r="X4287" s="1" t="s">
        <v>13334</v>
      </c>
      <c r="Y4287" s="1" t="s">
        <v>13335</v>
      </c>
      <c r="Z4287" s="1" t="s">
        <v>13336</v>
      </c>
      <c r="AA4287" s="1">
        <v>201900000</v>
      </c>
      <c r="AB4287" s="1">
        <v>35</v>
      </c>
    </row>
    <row r="4288" spans="1:28" x14ac:dyDescent="0.2">
      <c r="A4288" s="1">
        <v>10998</v>
      </c>
      <c r="B4288" s="1" t="s">
        <v>6839</v>
      </c>
      <c r="D4288" s="1" t="s">
        <v>11735</v>
      </c>
      <c r="F4288" s="1" t="s">
        <v>5540</v>
      </c>
      <c r="G4288" s="1" t="s">
        <v>5541</v>
      </c>
      <c r="H4288" s="1" t="s">
        <v>5556</v>
      </c>
      <c r="J4288" s="1" t="s">
        <v>999</v>
      </c>
      <c r="L4288" s="1" t="s">
        <v>1425</v>
      </c>
      <c r="N4288" s="1" t="s">
        <v>13332</v>
      </c>
      <c r="P4288" s="1" t="s">
        <v>13337</v>
      </c>
      <c r="Q4288" s="3">
        <v>0</v>
      </c>
      <c r="R4288" s="23" t="s">
        <v>12893</v>
      </c>
      <c r="S4288" s="23" t="s">
        <v>6846</v>
      </c>
      <c r="T4288" s="23" t="s">
        <v>4864</v>
      </c>
      <c r="U4288" s="3">
        <v>35</v>
      </c>
      <c r="V4288" s="3" t="s">
        <v>13280</v>
      </c>
      <c r="W4288" s="45" t="str">
        <f>HYPERLINK("http://ictvonline.org/taxonomy/p/taxonomy-history?taxnode_id=201907686","ICTVonline=201907686")</f>
        <v>ICTVonline=201907686</v>
      </c>
      <c r="X4288" s="1" t="s">
        <v>13338</v>
      </c>
      <c r="Y4288" s="1" t="s">
        <v>13339</v>
      </c>
      <c r="Z4288" s="1" t="s">
        <v>13340</v>
      </c>
      <c r="AA4288" s="1">
        <v>201900000</v>
      </c>
      <c r="AB4288" s="1">
        <v>35</v>
      </c>
    </row>
    <row r="4289" spans="1:28" x14ac:dyDescent="0.2">
      <c r="A4289" s="1">
        <v>11000</v>
      </c>
      <c r="B4289" s="1" t="s">
        <v>6839</v>
      </c>
      <c r="D4289" s="1" t="s">
        <v>11735</v>
      </c>
      <c r="F4289" s="1" t="s">
        <v>5540</v>
      </c>
      <c r="G4289" s="1" t="s">
        <v>5541</v>
      </c>
      <c r="H4289" s="1" t="s">
        <v>5556</v>
      </c>
      <c r="J4289" s="1" t="s">
        <v>999</v>
      </c>
      <c r="L4289" s="1" t="s">
        <v>1425</v>
      </c>
      <c r="N4289" s="1" t="s">
        <v>13332</v>
      </c>
      <c r="P4289" s="1" t="s">
        <v>13341</v>
      </c>
      <c r="Q4289" s="3">
        <v>0</v>
      </c>
      <c r="R4289" s="23" t="s">
        <v>12893</v>
      </c>
      <c r="S4289" s="23" t="s">
        <v>6846</v>
      </c>
      <c r="T4289" s="23" t="s">
        <v>4865</v>
      </c>
      <c r="U4289" s="3">
        <v>35</v>
      </c>
      <c r="V4289" s="3" t="s">
        <v>13280</v>
      </c>
      <c r="W4289" s="45" t="str">
        <f>HYPERLINK("http://ictvonline.org/taxonomy/p/taxonomy-history?taxnode_id=201901742","ICTVonline=201901742")</f>
        <v>ICTVonline=201901742</v>
      </c>
      <c r="X4289" s="1" t="s">
        <v>13342</v>
      </c>
      <c r="Y4289" s="1" t="s">
        <v>13343</v>
      </c>
      <c r="Z4289" s="1" t="s">
        <v>11206</v>
      </c>
      <c r="AA4289" s="1">
        <v>201900000</v>
      </c>
      <c r="AB4289" s="1">
        <v>35</v>
      </c>
    </row>
    <row r="4290" spans="1:28" x14ac:dyDescent="0.2">
      <c r="A4290" s="1">
        <v>11002</v>
      </c>
      <c r="B4290" s="1" t="s">
        <v>6839</v>
      </c>
      <c r="D4290" s="1" t="s">
        <v>11735</v>
      </c>
      <c r="F4290" s="1" t="s">
        <v>5540</v>
      </c>
      <c r="G4290" s="1" t="s">
        <v>5541</v>
      </c>
      <c r="H4290" s="1" t="s">
        <v>5556</v>
      </c>
      <c r="J4290" s="1" t="s">
        <v>999</v>
      </c>
      <c r="L4290" s="1" t="s">
        <v>1425</v>
      </c>
      <c r="N4290" s="1" t="s">
        <v>13332</v>
      </c>
      <c r="P4290" s="1" t="s">
        <v>13344</v>
      </c>
      <c r="Q4290" s="3">
        <v>1</v>
      </c>
      <c r="R4290" s="23" t="s">
        <v>12893</v>
      </c>
      <c r="S4290" s="23" t="s">
        <v>6846</v>
      </c>
      <c r="T4290" s="23" t="s">
        <v>6031</v>
      </c>
      <c r="U4290" s="3">
        <v>35</v>
      </c>
      <c r="V4290" s="3" t="s">
        <v>13280</v>
      </c>
      <c r="W4290" s="45" t="str">
        <f>HYPERLINK("http://ictvonline.org/taxonomy/p/taxonomy-history?taxnode_id=201901749","ICTVonline=201901749")</f>
        <v>ICTVonline=201901749</v>
      </c>
      <c r="X4290" s="1" t="s">
        <v>13345</v>
      </c>
      <c r="Y4290" s="1" t="s">
        <v>13346</v>
      </c>
      <c r="Z4290" s="1" t="s">
        <v>11977</v>
      </c>
      <c r="AA4290" s="1">
        <v>201900000</v>
      </c>
      <c r="AB4290" s="1">
        <v>35</v>
      </c>
    </row>
    <row r="4291" spans="1:28" x14ac:dyDescent="0.2">
      <c r="A4291" s="1">
        <v>11004</v>
      </c>
      <c r="B4291" s="1" t="s">
        <v>6839</v>
      </c>
      <c r="D4291" s="1" t="s">
        <v>11735</v>
      </c>
      <c r="F4291" s="1" t="s">
        <v>5540</v>
      </c>
      <c r="G4291" s="1" t="s">
        <v>5541</v>
      </c>
      <c r="H4291" s="1" t="s">
        <v>5556</v>
      </c>
      <c r="J4291" s="1" t="s">
        <v>999</v>
      </c>
      <c r="L4291" s="1" t="s">
        <v>1425</v>
      </c>
      <c r="N4291" s="1" t="s">
        <v>13332</v>
      </c>
      <c r="P4291" s="1" t="s">
        <v>13347</v>
      </c>
      <c r="Q4291" s="3">
        <v>0</v>
      </c>
      <c r="R4291" s="23" t="s">
        <v>12893</v>
      </c>
      <c r="S4291" s="23" t="s">
        <v>6846</v>
      </c>
      <c r="T4291" s="23" t="s">
        <v>4865</v>
      </c>
      <c r="U4291" s="3">
        <v>35</v>
      </c>
      <c r="V4291" s="3" t="s">
        <v>13280</v>
      </c>
      <c r="W4291" s="45" t="str">
        <f>HYPERLINK("http://ictvonline.org/taxonomy/p/taxonomy-history?taxnode_id=201901750","ICTVonline=201901750")</f>
        <v>ICTVonline=201901750</v>
      </c>
      <c r="X4291" s="1" t="s">
        <v>13348</v>
      </c>
      <c r="Z4291" s="1" t="s">
        <v>11977</v>
      </c>
      <c r="AA4291" s="1">
        <v>201900000</v>
      </c>
      <c r="AB4291" s="1">
        <v>35</v>
      </c>
    </row>
    <row r="4292" spans="1:28" x14ac:dyDescent="0.2">
      <c r="A4292" s="1">
        <v>11006</v>
      </c>
      <c r="B4292" s="1" t="s">
        <v>6839</v>
      </c>
      <c r="D4292" s="1" t="s">
        <v>11735</v>
      </c>
      <c r="F4292" s="1" t="s">
        <v>5540</v>
      </c>
      <c r="G4292" s="1" t="s">
        <v>5541</v>
      </c>
      <c r="H4292" s="1" t="s">
        <v>5556</v>
      </c>
      <c r="J4292" s="1" t="s">
        <v>999</v>
      </c>
      <c r="L4292" s="1" t="s">
        <v>1425</v>
      </c>
      <c r="N4292" s="1" t="s">
        <v>13332</v>
      </c>
      <c r="P4292" s="1" t="s">
        <v>13349</v>
      </c>
      <c r="Q4292" s="3">
        <v>0</v>
      </c>
      <c r="R4292" s="23" t="s">
        <v>12893</v>
      </c>
      <c r="S4292" s="23" t="s">
        <v>6846</v>
      </c>
      <c r="T4292" s="23" t="s">
        <v>4864</v>
      </c>
      <c r="U4292" s="3">
        <v>35</v>
      </c>
      <c r="V4292" s="3" t="s">
        <v>13280</v>
      </c>
      <c r="W4292" s="45" t="str">
        <f>HYPERLINK("http://ictvonline.org/taxonomy/p/taxonomy-history?taxnode_id=201907687","ICTVonline=201907687")</f>
        <v>ICTVonline=201907687</v>
      </c>
      <c r="X4292" s="1" t="s">
        <v>13350</v>
      </c>
      <c r="Y4292" s="1" t="s">
        <v>13351</v>
      </c>
      <c r="Z4292" s="1" t="s">
        <v>11231</v>
      </c>
      <c r="AA4292" s="1">
        <v>201900000</v>
      </c>
      <c r="AB4292" s="1">
        <v>35</v>
      </c>
    </row>
    <row r="4293" spans="1:28" x14ac:dyDescent="0.2">
      <c r="A4293" s="1">
        <v>11010</v>
      </c>
      <c r="B4293" s="1" t="s">
        <v>6839</v>
      </c>
      <c r="D4293" s="1" t="s">
        <v>11735</v>
      </c>
      <c r="F4293" s="1" t="s">
        <v>5540</v>
      </c>
      <c r="G4293" s="1" t="s">
        <v>5541</v>
      </c>
      <c r="H4293" s="1" t="s">
        <v>5556</v>
      </c>
      <c r="J4293" s="1" t="s">
        <v>999</v>
      </c>
      <c r="L4293" s="1" t="s">
        <v>1425</v>
      </c>
      <c r="N4293" s="1" t="s">
        <v>5919</v>
      </c>
      <c r="P4293" s="1" t="s">
        <v>5920</v>
      </c>
      <c r="Q4293" s="3">
        <v>0</v>
      </c>
      <c r="R4293" s="23" t="s">
        <v>12893</v>
      </c>
      <c r="S4293" s="23" t="s">
        <v>6846</v>
      </c>
      <c r="T4293" s="23" t="s">
        <v>4866</v>
      </c>
      <c r="U4293" s="3">
        <v>35</v>
      </c>
      <c r="W4293" s="45" t="str">
        <f>HYPERLINK("http://ictvonline.org/taxonomy/p/taxonomy-history?taxnode_id=201906556","ICTVonline=201906556")</f>
        <v>ICTVonline=201906556</v>
      </c>
      <c r="X4293" s="1" t="s">
        <v>13352</v>
      </c>
      <c r="Y4293" s="1" t="s">
        <v>13353</v>
      </c>
      <c r="Z4293" s="1" t="s">
        <v>13354</v>
      </c>
      <c r="AA4293" s="1">
        <v>201900000</v>
      </c>
      <c r="AB4293" s="1">
        <v>35</v>
      </c>
    </row>
    <row r="4294" spans="1:28" x14ac:dyDescent="0.2">
      <c r="A4294" s="1">
        <v>11012</v>
      </c>
      <c r="B4294" s="1" t="s">
        <v>6839</v>
      </c>
      <c r="D4294" s="1" t="s">
        <v>11735</v>
      </c>
      <c r="F4294" s="1" t="s">
        <v>5540</v>
      </c>
      <c r="G4294" s="1" t="s">
        <v>5541</v>
      </c>
      <c r="H4294" s="1" t="s">
        <v>5556</v>
      </c>
      <c r="J4294" s="1" t="s">
        <v>999</v>
      </c>
      <c r="L4294" s="1" t="s">
        <v>1425</v>
      </c>
      <c r="N4294" s="1" t="s">
        <v>5919</v>
      </c>
      <c r="P4294" s="1" t="s">
        <v>5921</v>
      </c>
      <c r="Q4294" s="3">
        <v>1</v>
      </c>
      <c r="R4294" s="23" t="s">
        <v>12893</v>
      </c>
      <c r="S4294" s="23" t="s">
        <v>6846</v>
      </c>
      <c r="T4294" s="23" t="s">
        <v>4866</v>
      </c>
      <c r="U4294" s="3">
        <v>35</v>
      </c>
      <c r="W4294" s="45" t="str">
        <f>HYPERLINK("http://ictvonline.org/taxonomy/p/taxonomy-history?taxnode_id=201906554","ICTVonline=201906554")</f>
        <v>ICTVonline=201906554</v>
      </c>
      <c r="X4294" s="1" t="s">
        <v>13355</v>
      </c>
      <c r="Y4294" s="1" t="s">
        <v>13356</v>
      </c>
      <c r="Z4294" s="1" t="s">
        <v>13357</v>
      </c>
      <c r="AA4294" s="1">
        <v>201900000</v>
      </c>
      <c r="AB4294" s="1">
        <v>35</v>
      </c>
    </row>
    <row r="4295" spans="1:28" x14ac:dyDescent="0.2">
      <c r="A4295" s="1">
        <v>11014</v>
      </c>
      <c r="B4295" s="1" t="s">
        <v>6839</v>
      </c>
      <c r="D4295" s="1" t="s">
        <v>11735</v>
      </c>
      <c r="F4295" s="1" t="s">
        <v>5540</v>
      </c>
      <c r="G4295" s="1" t="s">
        <v>5541</v>
      </c>
      <c r="H4295" s="1" t="s">
        <v>5556</v>
      </c>
      <c r="J4295" s="1" t="s">
        <v>999</v>
      </c>
      <c r="L4295" s="1" t="s">
        <v>1425</v>
      </c>
      <c r="N4295" s="1" t="s">
        <v>5919</v>
      </c>
      <c r="P4295" s="1" t="s">
        <v>5922</v>
      </c>
      <c r="Q4295" s="3">
        <v>0</v>
      </c>
      <c r="R4295" s="23" t="s">
        <v>12893</v>
      </c>
      <c r="S4295" s="23" t="s">
        <v>6846</v>
      </c>
      <c r="T4295" s="23" t="s">
        <v>4866</v>
      </c>
      <c r="U4295" s="3">
        <v>35</v>
      </c>
      <c r="W4295" s="45" t="str">
        <f>HYPERLINK("http://ictvonline.org/taxonomy/p/taxonomy-history?taxnode_id=201906555","ICTVonline=201906555")</f>
        <v>ICTVonline=201906555</v>
      </c>
      <c r="X4295" s="1" t="s">
        <v>13358</v>
      </c>
      <c r="Y4295" s="1" t="s">
        <v>13359</v>
      </c>
      <c r="Z4295" s="1" t="s">
        <v>13360</v>
      </c>
      <c r="AA4295" s="1">
        <v>201900000</v>
      </c>
      <c r="AB4295" s="1">
        <v>35</v>
      </c>
    </row>
    <row r="4296" spans="1:28" x14ac:dyDescent="0.2">
      <c r="A4296" s="1">
        <v>11018</v>
      </c>
      <c r="B4296" s="1" t="s">
        <v>6839</v>
      </c>
      <c r="D4296" s="1" t="s">
        <v>11735</v>
      </c>
      <c r="F4296" s="1" t="s">
        <v>5540</v>
      </c>
      <c r="G4296" s="1" t="s">
        <v>5541</v>
      </c>
      <c r="H4296" s="1" t="s">
        <v>5556</v>
      </c>
      <c r="J4296" s="1" t="s">
        <v>999</v>
      </c>
      <c r="L4296" s="1" t="s">
        <v>1425</v>
      </c>
      <c r="N4296" s="1" t="s">
        <v>4465</v>
      </c>
      <c r="P4296" s="1" t="s">
        <v>4466</v>
      </c>
      <c r="Q4296" s="3">
        <v>1</v>
      </c>
      <c r="R4296" s="23" t="s">
        <v>12893</v>
      </c>
      <c r="S4296" s="23" t="s">
        <v>6846</v>
      </c>
      <c r="T4296" s="23" t="s">
        <v>4866</v>
      </c>
      <c r="U4296" s="3">
        <v>35</v>
      </c>
      <c r="W4296" s="45" t="str">
        <f>HYPERLINK("http://ictvonline.org/taxonomy/p/taxonomy-history?taxnode_id=201901662","ICTVonline=201901662")</f>
        <v>ICTVonline=201901662</v>
      </c>
      <c r="Y4296" s="1" t="s">
        <v>13361</v>
      </c>
      <c r="Z4296" s="1" t="s">
        <v>13362</v>
      </c>
      <c r="AA4296" s="1">
        <v>201900000</v>
      </c>
      <c r="AB4296" s="1">
        <v>35</v>
      </c>
    </row>
    <row r="4297" spans="1:28" x14ac:dyDescent="0.2">
      <c r="A4297" s="1">
        <v>11020</v>
      </c>
      <c r="B4297" s="1" t="s">
        <v>6839</v>
      </c>
      <c r="D4297" s="1" t="s">
        <v>11735</v>
      </c>
      <c r="F4297" s="1" t="s">
        <v>5540</v>
      </c>
      <c r="G4297" s="1" t="s">
        <v>5541</v>
      </c>
      <c r="H4297" s="1" t="s">
        <v>5556</v>
      </c>
      <c r="J4297" s="1" t="s">
        <v>999</v>
      </c>
      <c r="L4297" s="1" t="s">
        <v>1425</v>
      </c>
      <c r="N4297" s="1" t="s">
        <v>4465</v>
      </c>
      <c r="P4297" s="1" t="s">
        <v>4467</v>
      </c>
      <c r="Q4297" s="3">
        <v>0</v>
      </c>
      <c r="R4297" s="23" t="s">
        <v>12893</v>
      </c>
      <c r="S4297" s="23" t="s">
        <v>6846</v>
      </c>
      <c r="T4297" s="23" t="s">
        <v>4866</v>
      </c>
      <c r="U4297" s="3">
        <v>35</v>
      </c>
      <c r="W4297" s="45" t="str">
        <f>HYPERLINK("http://ictvonline.org/taxonomy/p/taxonomy-history?taxnode_id=201901663","ICTVonline=201901663")</f>
        <v>ICTVonline=201901663</v>
      </c>
      <c r="Y4297" s="1" t="s">
        <v>13363</v>
      </c>
      <c r="Z4297" s="1" t="s">
        <v>13364</v>
      </c>
      <c r="AA4297" s="1">
        <v>201900000</v>
      </c>
      <c r="AB4297" s="1">
        <v>35</v>
      </c>
    </row>
    <row r="4298" spans="1:28" x14ac:dyDescent="0.2">
      <c r="A4298" s="1">
        <v>11022</v>
      </c>
      <c r="B4298" s="1" t="s">
        <v>6839</v>
      </c>
      <c r="D4298" s="1" t="s">
        <v>11735</v>
      </c>
      <c r="F4298" s="1" t="s">
        <v>5540</v>
      </c>
      <c r="G4298" s="1" t="s">
        <v>5541</v>
      </c>
      <c r="H4298" s="1" t="s">
        <v>5556</v>
      </c>
      <c r="J4298" s="1" t="s">
        <v>999</v>
      </c>
      <c r="L4298" s="1" t="s">
        <v>1425</v>
      </c>
      <c r="N4298" s="1" t="s">
        <v>4465</v>
      </c>
      <c r="P4298" s="1" t="s">
        <v>4468</v>
      </c>
      <c r="Q4298" s="3">
        <v>0</v>
      </c>
      <c r="R4298" s="23" t="s">
        <v>12893</v>
      </c>
      <c r="S4298" s="23" t="s">
        <v>6846</v>
      </c>
      <c r="T4298" s="23" t="s">
        <v>4866</v>
      </c>
      <c r="U4298" s="3">
        <v>35</v>
      </c>
      <c r="W4298" s="45" t="str">
        <f>HYPERLINK("http://ictvonline.org/taxonomy/p/taxonomy-history?taxnode_id=201901664","ICTVonline=201901664")</f>
        <v>ICTVonline=201901664</v>
      </c>
      <c r="Y4298" s="1" t="s">
        <v>13365</v>
      </c>
      <c r="Z4298" s="1" t="s">
        <v>13366</v>
      </c>
      <c r="AA4298" s="1">
        <v>201900000</v>
      </c>
      <c r="AB4298" s="1">
        <v>35</v>
      </c>
    </row>
    <row r="4299" spans="1:28" x14ac:dyDescent="0.2">
      <c r="A4299" s="1">
        <v>11024</v>
      </c>
      <c r="B4299" s="1" t="s">
        <v>6839</v>
      </c>
      <c r="D4299" s="1" t="s">
        <v>11735</v>
      </c>
      <c r="F4299" s="1" t="s">
        <v>5540</v>
      </c>
      <c r="G4299" s="1" t="s">
        <v>5541</v>
      </c>
      <c r="H4299" s="1" t="s">
        <v>5556</v>
      </c>
      <c r="J4299" s="1" t="s">
        <v>999</v>
      </c>
      <c r="L4299" s="1" t="s">
        <v>1425</v>
      </c>
      <c r="N4299" s="1" t="s">
        <v>4465</v>
      </c>
      <c r="P4299" s="1" t="s">
        <v>4469</v>
      </c>
      <c r="Q4299" s="3">
        <v>0</v>
      </c>
      <c r="R4299" s="23" t="s">
        <v>12893</v>
      </c>
      <c r="S4299" s="23" t="s">
        <v>6846</v>
      </c>
      <c r="T4299" s="23" t="s">
        <v>4866</v>
      </c>
      <c r="U4299" s="3">
        <v>35</v>
      </c>
      <c r="W4299" s="45" t="str">
        <f>HYPERLINK("http://ictvonline.org/taxonomy/p/taxonomy-history?taxnode_id=201901665","ICTVonline=201901665")</f>
        <v>ICTVonline=201901665</v>
      </c>
      <c r="Y4299" s="1" t="s">
        <v>13367</v>
      </c>
      <c r="Z4299" s="1" t="s">
        <v>13368</v>
      </c>
      <c r="AA4299" s="1">
        <v>201900000</v>
      </c>
      <c r="AB4299" s="1">
        <v>35</v>
      </c>
    </row>
    <row r="4300" spans="1:28" x14ac:dyDescent="0.2">
      <c r="A4300" s="1">
        <v>11028</v>
      </c>
      <c r="B4300" s="1" t="s">
        <v>6839</v>
      </c>
      <c r="D4300" s="1" t="s">
        <v>11735</v>
      </c>
      <c r="F4300" s="1" t="s">
        <v>5540</v>
      </c>
      <c r="G4300" s="1" t="s">
        <v>5541</v>
      </c>
      <c r="H4300" s="1" t="s">
        <v>5556</v>
      </c>
      <c r="J4300" s="1" t="s">
        <v>999</v>
      </c>
      <c r="L4300" s="1" t="s">
        <v>1425</v>
      </c>
      <c r="N4300" s="1" t="s">
        <v>1426</v>
      </c>
      <c r="P4300" s="1" t="s">
        <v>3512</v>
      </c>
      <c r="Q4300" s="3">
        <v>0</v>
      </c>
      <c r="R4300" s="23" t="s">
        <v>12893</v>
      </c>
      <c r="S4300" s="23" t="s">
        <v>6846</v>
      </c>
      <c r="T4300" s="23" t="s">
        <v>4866</v>
      </c>
      <c r="U4300" s="3">
        <v>35</v>
      </c>
      <c r="W4300" s="45" t="str">
        <f>HYPERLINK("http://ictvonline.org/taxonomy/p/taxonomy-history?taxnode_id=201901667","ICTVonline=201901667")</f>
        <v>ICTVonline=201901667</v>
      </c>
      <c r="X4300" s="1" t="s">
        <v>13369</v>
      </c>
      <c r="Y4300" s="1" t="s">
        <v>13370</v>
      </c>
      <c r="Z4300" s="1" t="s">
        <v>13371</v>
      </c>
      <c r="AA4300" s="1">
        <v>201900000</v>
      </c>
      <c r="AB4300" s="1">
        <v>35</v>
      </c>
    </row>
    <row r="4301" spans="1:28" x14ac:dyDescent="0.2">
      <c r="A4301" s="1">
        <v>11030</v>
      </c>
      <c r="B4301" s="1" t="s">
        <v>6839</v>
      </c>
      <c r="D4301" s="1" t="s">
        <v>11735</v>
      </c>
      <c r="F4301" s="1" t="s">
        <v>5540</v>
      </c>
      <c r="G4301" s="1" t="s">
        <v>5541</v>
      </c>
      <c r="H4301" s="1" t="s">
        <v>5556</v>
      </c>
      <c r="J4301" s="1" t="s">
        <v>999</v>
      </c>
      <c r="L4301" s="1" t="s">
        <v>1425</v>
      </c>
      <c r="N4301" s="1" t="s">
        <v>1426</v>
      </c>
      <c r="P4301" s="1" t="s">
        <v>3513</v>
      </c>
      <c r="Q4301" s="3">
        <v>0</v>
      </c>
      <c r="R4301" s="23" t="s">
        <v>12893</v>
      </c>
      <c r="S4301" s="23" t="s">
        <v>6846</v>
      </c>
      <c r="T4301" s="23" t="s">
        <v>4866</v>
      </c>
      <c r="U4301" s="3">
        <v>35</v>
      </c>
      <c r="W4301" s="45" t="str">
        <f>HYPERLINK("http://ictvonline.org/taxonomy/p/taxonomy-history?taxnode_id=201901668","ICTVonline=201901668")</f>
        <v>ICTVonline=201901668</v>
      </c>
      <c r="X4301" s="1" t="s">
        <v>13372</v>
      </c>
      <c r="Y4301" s="1" t="s">
        <v>13373</v>
      </c>
      <c r="Z4301" s="1" t="s">
        <v>13374</v>
      </c>
      <c r="AA4301" s="1">
        <v>201900000</v>
      </c>
      <c r="AB4301" s="1">
        <v>35</v>
      </c>
    </row>
    <row r="4302" spans="1:28" x14ac:dyDescent="0.2">
      <c r="A4302" s="1">
        <v>11032</v>
      </c>
      <c r="B4302" s="1" t="s">
        <v>6839</v>
      </c>
      <c r="D4302" s="1" t="s">
        <v>11735</v>
      </c>
      <c r="F4302" s="1" t="s">
        <v>5540</v>
      </c>
      <c r="G4302" s="1" t="s">
        <v>5541</v>
      </c>
      <c r="H4302" s="1" t="s">
        <v>5556</v>
      </c>
      <c r="J4302" s="1" t="s">
        <v>999</v>
      </c>
      <c r="L4302" s="1" t="s">
        <v>1425</v>
      </c>
      <c r="N4302" s="1" t="s">
        <v>1426</v>
      </c>
      <c r="P4302" s="1" t="s">
        <v>3514</v>
      </c>
      <c r="Q4302" s="3">
        <v>0</v>
      </c>
      <c r="R4302" s="23" t="s">
        <v>12893</v>
      </c>
      <c r="S4302" s="23" t="s">
        <v>6846</v>
      </c>
      <c r="T4302" s="23" t="s">
        <v>4866</v>
      </c>
      <c r="U4302" s="3">
        <v>35</v>
      </c>
      <c r="W4302" s="45" t="str">
        <f>HYPERLINK("http://ictvonline.org/taxonomy/p/taxonomy-history?taxnode_id=201901669","ICTVonline=201901669")</f>
        <v>ICTVonline=201901669</v>
      </c>
      <c r="X4302" s="1" t="s">
        <v>13375</v>
      </c>
      <c r="Z4302" s="1" t="s">
        <v>13376</v>
      </c>
      <c r="AA4302" s="1">
        <v>201900000</v>
      </c>
      <c r="AB4302" s="1">
        <v>35</v>
      </c>
    </row>
    <row r="4303" spans="1:28" x14ac:dyDescent="0.2">
      <c r="A4303" s="1">
        <v>11034</v>
      </c>
      <c r="B4303" s="1" t="s">
        <v>6839</v>
      </c>
      <c r="D4303" s="1" t="s">
        <v>11735</v>
      </c>
      <c r="F4303" s="1" t="s">
        <v>5540</v>
      </c>
      <c r="G4303" s="1" t="s">
        <v>5541</v>
      </c>
      <c r="H4303" s="1" t="s">
        <v>5556</v>
      </c>
      <c r="J4303" s="1" t="s">
        <v>999</v>
      </c>
      <c r="L4303" s="1" t="s">
        <v>1425</v>
      </c>
      <c r="N4303" s="1" t="s">
        <v>1426</v>
      </c>
      <c r="P4303" s="1" t="s">
        <v>13377</v>
      </c>
      <c r="Q4303" s="3">
        <v>0</v>
      </c>
      <c r="R4303" s="23" t="s">
        <v>12893</v>
      </c>
      <c r="S4303" s="23" t="s">
        <v>6846</v>
      </c>
      <c r="T4303" s="23" t="s">
        <v>4864</v>
      </c>
      <c r="U4303" s="3">
        <v>35</v>
      </c>
      <c r="V4303" s="3" t="s">
        <v>13378</v>
      </c>
      <c r="W4303" s="45" t="str">
        <f>HYPERLINK("http://ictvonline.org/taxonomy/p/taxonomy-history?taxnode_id=201907666","ICTVonline=201907666")</f>
        <v>ICTVonline=201907666</v>
      </c>
      <c r="X4303" s="1" t="s">
        <v>13379</v>
      </c>
      <c r="Y4303" s="1" t="s">
        <v>13380</v>
      </c>
      <c r="Z4303" s="1" t="s">
        <v>13381</v>
      </c>
      <c r="AA4303" s="1">
        <v>201900000</v>
      </c>
      <c r="AB4303" s="1">
        <v>35</v>
      </c>
    </row>
    <row r="4304" spans="1:28" x14ac:dyDescent="0.2">
      <c r="A4304" s="1">
        <v>11036</v>
      </c>
      <c r="B4304" s="1" t="s">
        <v>6839</v>
      </c>
      <c r="D4304" s="1" t="s">
        <v>11735</v>
      </c>
      <c r="F4304" s="1" t="s">
        <v>5540</v>
      </c>
      <c r="G4304" s="1" t="s">
        <v>5541</v>
      </c>
      <c r="H4304" s="1" t="s">
        <v>5556</v>
      </c>
      <c r="J4304" s="1" t="s">
        <v>999</v>
      </c>
      <c r="L4304" s="1" t="s">
        <v>1425</v>
      </c>
      <c r="N4304" s="1" t="s">
        <v>1426</v>
      </c>
      <c r="P4304" s="1" t="s">
        <v>4470</v>
      </c>
      <c r="Q4304" s="3">
        <v>0</v>
      </c>
      <c r="R4304" s="23" t="s">
        <v>12893</v>
      </c>
      <c r="S4304" s="23" t="s">
        <v>6846</v>
      </c>
      <c r="T4304" s="23" t="s">
        <v>4866</v>
      </c>
      <c r="U4304" s="3">
        <v>35</v>
      </c>
      <c r="W4304" s="45" t="str">
        <f>HYPERLINK("http://ictvonline.org/taxonomy/p/taxonomy-history?taxnode_id=201901670","ICTVonline=201901670")</f>
        <v>ICTVonline=201901670</v>
      </c>
      <c r="Y4304" s="1" t="s">
        <v>13382</v>
      </c>
      <c r="Z4304" s="1" t="s">
        <v>13383</v>
      </c>
      <c r="AA4304" s="1">
        <v>201900000</v>
      </c>
      <c r="AB4304" s="1">
        <v>35</v>
      </c>
    </row>
    <row r="4305" spans="1:28" x14ac:dyDescent="0.2">
      <c r="A4305" s="1">
        <v>11038</v>
      </c>
      <c r="B4305" s="1" t="s">
        <v>6839</v>
      </c>
      <c r="D4305" s="1" t="s">
        <v>11735</v>
      </c>
      <c r="F4305" s="1" t="s">
        <v>5540</v>
      </c>
      <c r="G4305" s="1" t="s">
        <v>5541</v>
      </c>
      <c r="H4305" s="1" t="s">
        <v>5556</v>
      </c>
      <c r="J4305" s="1" t="s">
        <v>999</v>
      </c>
      <c r="L4305" s="1" t="s">
        <v>1425</v>
      </c>
      <c r="N4305" s="1" t="s">
        <v>1426</v>
      </c>
      <c r="P4305" s="1" t="s">
        <v>3515</v>
      </c>
      <c r="Q4305" s="3">
        <v>0</v>
      </c>
      <c r="R4305" s="23" t="s">
        <v>12893</v>
      </c>
      <c r="S4305" s="23" t="s">
        <v>6846</v>
      </c>
      <c r="T4305" s="23" t="s">
        <v>4866</v>
      </c>
      <c r="U4305" s="3">
        <v>35</v>
      </c>
      <c r="W4305" s="45" t="str">
        <f>HYPERLINK("http://ictvonline.org/taxonomy/p/taxonomy-history?taxnode_id=201901671","ICTVonline=201901671")</f>
        <v>ICTVonline=201901671</v>
      </c>
      <c r="X4305" s="1" t="s">
        <v>13384</v>
      </c>
      <c r="Z4305" s="1" t="s">
        <v>13385</v>
      </c>
      <c r="AA4305" s="1">
        <v>201900000</v>
      </c>
      <c r="AB4305" s="1">
        <v>35</v>
      </c>
    </row>
    <row r="4306" spans="1:28" x14ac:dyDescent="0.2">
      <c r="A4306" s="1">
        <v>11040</v>
      </c>
      <c r="B4306" s="1" t="s">
        <v>6839</v>
      </c>
      <c r="D4306" s="1" t="s">
        <v>11735</v>
      </c>
      <c r="F4306" s="1" t="s">
        <v>5540</v>
      </c>
      <c r="G4306" s="1" t="s">
        <v>5541</v>
      </c>
      <c r="H4306" s="1" t="s">
        <v>5556</v>
      </c>
      <c r="J4306" s="1" t="s">
        <v>999</v>
      </c>
      <c r="L4306" s="1" t="s">
        <v>1425</v>
      </c>
      <c r="N4306" s="1" t="s">
        <v>1426</v>
      </c>
      <c r="P4306" s="1" t="s">
        <v>3516</v>
      </c>
      <c r="Q4306" s="3">
        <v>1</v>
      </c>
      <c r="R4306" s="23" t="s">
        <v>12893</v>
      </c>
      <c r="S4306" s="23" t="s">
        <v>6846</v>
      </c>
      <c r="T4306" s="23" t="s">
        <v>4866</v>
      </c>
      <c r="U4306" s="3">
        <v>35</v>
      </c>
      <c r="W4306" s="45" t="str">
        <f>HYPERLINK("http://ictvonline.org/taxonomy/p/taxonomy-history?taxnode_id=201901672","ICTVonline=201901672")</f>
        <v>ICTVonline=201901672</v>
      </c>
      <c r="X4306" s="1" t="s">
        <v>13386</v>
      </c>
      <c r="Y4306" s="1" t="s">
        <v>13387</v>
      </c>
      <c r="Z4306" s="1" t="s">
        <v>13388</v>
      </c>
      <c r="AA4306" s="1">
        <v>201900000</v>
      </c>
      <c r="AB4306" s="1">
        <v>35</v>
      </c>
    </row>
    <row r="4307" spans="1:28" x14ac:dyDescent="0.2">
      <c r="A4307" s="1">
        <v>11042</v>
      </c>
      <c r="B4307" s="1" t="s">
        <v>6839</v>
      </c>
      <c r="D4307" s="1" t="s">
        <v>11735</v>
      </c>
      <c r="F4307" s="1" t="s">
        <v>5540</v>
      </c>
      <c r="G4307" s="1" t="s">
        <v>5541</v>
      </c>
      <c r="H4307" s="1" t="s">
        <v>5556</v>
      </c>
      <c r="J4307" s="1" t="s">
        <v>999</v>
      </c>
      <c r="L4307" s="1" t="s">
        <v>1425</v>
      </c>
      <c r="N4307" s="1" t="s">
        <v>1426</v>
      </c>
      <c r="P4307" s="1" t="s">
        <v>3517</v>
      </c>
      <c r="Q4307" s="3">
        <v>0</v>
      </c>
      <c r="R4307" s="23" t="s">
        <v>12893</v>
      </c>
      <c r="S4307" s="23" t="s">
        <v>6846</v>
      </c>
      <c r="T4307" s="23" t="s">
        <v>4866</v>
      </c>
      <c r="U4307" s="3">
        <v>35</v>
      </c>
      <c r="W4307" s="45" t="str">
        <f>HYPERLINK("http://ictvonline.org/taxonomy/p/taxonomy-history?taxnode_id=201901673","ICTVonline=201901673")</f>
        <v>ICTVonline=201901673</v>
      </c>
      <c r="X4307" s="1" t="s">
        <v>13389</v>
      </c>
      <c r="Y4307" s="1" t="s">
        <v>13390</v>
      </c>
      <c r="Z4307" s="1" t="s">
        <v>13391</v>
      </c>
      <c r="AA4307" s="1">
        <v>201900000</v>
      </c>
      <c r="AB4307" s="1">
        <v>35</v>
      </c>
    </row>
    <row r="4308" spans="1:28" x14ac:dyDescent="0.2">
      <c r="A4308" s="1">
        <v>11044</v>
      </c>
      <c r="B4308" s="1" t="s">
        <v>6839</v>
      </c>
      <c r="D4308" s="1" t="s">
        <v>11735</v>
      </c>
      <c r="F4308" s="1" t="s">
        <v>5540</v>
      </c>
      <c r="G4308" s="1" t="s">
        <v>5541</v>
      </c>
      <c r="H4308" s="1" t="s">
        <v>5556</v>
      </c>
      <c r="J4308" s="1" t="s">
        <v>999</v>
      </c>
      <c r="L4308" s="1" t="s">
        <v>1425</v>
      </c>
      <c r="N4308" s="1" t="s">
        <v>1426</v>
      </c>
      <c r="P4308" s="1" t="s">
        <v>13392</v>
      </c>
      <c r="Q4308" s="3">
        <v>0</v>
      </c>
      <c r="R4308" s="23" t="s">
        <v>12893</v>
      </c>
      <c r="S4308" s="23" t="s">
        <v>6846</v>
      </c>
      <c r="T4308" s="23" t="s">
        <v>4864</v>
      </c>
      <c r="U4308" s="3">
        <v>35</v>
      </c>
      <c r="V4308" s="3" t="s">
        <v>13378</v>
      </c>
      <c r="W4308" s="45" t="str">
        <f>HYPERLINK("http://ictvonline.org/taxonomy/p/taxonomy-history?taxnode_id=201907668","ICTVonline=201907668")</f>
        <v>ICTVonline=201907668</v>
      </c>
      <c r="X4308" s="1" t="s">
        <v>13393</v>
      </c>
      <c r="Y4308" s="1" t="s">
        <v>13394</v>
      </c>
      <c r="Z4308" s="1" t="s">
        <v>11900</v>
      </c>
      <c r="AA4308" s="1">
        <v>201900000</v>
      </c>
      <c r="AB4308" s="1">
        <v>35</v>
      </c>
    </row>
    <row r="4309" spans="1:28" x14ac:dyDescent="0.2">
      <c r="A4309" s="1">
        <v>11046</v>
      </c>
      <c r="B4309" s="1" t="s">
        <v>6839</v>
      </c>
      <c r="D4309" s="1" t="s">
        <v>11735</v>
      </c>
      <c r="F4309" s="1" t="s">
        <v>5540</v>
      </c>
      <c r="G4309" s="1" t="s">
        <v>5541</v>
      </c>
      <c r="H4309" s="1" t="s">
        <v>5556</v>
      </c>
      <c r="J4309" s="1" t="s">
        <v>999</v>
      </c>
      <c r="L4309" s="1" t="s">
        <v>1425</v>
      </c>
      <c r="N4309" s="1" t="s">
        <v>1426</v>
      </c>
      <c r="P4309" s="1" t="s">
        <v>13395</v>
      </c>
      <c r="Q4309" s="3">
        <v>0</v>
      </c>
      <c r="R4309" s="23" t="s">
        <v>12893</v>
      </c>
      <c r="S4309" s="23" t="s">
        <v>6846</v>
      </c>
      <c r="T4309" s="23" t="s">
        <v>4864</v>
      </c>
      <c r="U4309" s="3">
        <v>35</v>
      </c>
      <c r="V4309" s="3" t="s">
        <v>13378</v>
      </c>
      <c r="W4309" s="45" t="str">
        <f>HYPERLINK("http://ictvonline.org/taxonomy/p/taxonomy-history?taxnode_id=201907667","ICTVonline=201907667")</f>
        <v>ICTVonline=201907667</v>
      </c>
      <c r="X4309" s="1" t="s">
        <v>13396</v>
      </c>
      <c r="Y4309" s="1" t="s">
        <v>13397</v>
      </c>
      <c r="Z4309" s="1" t="s">
        <v>12232</v>
      </c>
      <c r="AA4309" s="1">
        <v>201900000</v>
      </c>
      <c r="AB4309" s="1">
        <v>35</v>
      </c>
    </row>
    <row r="4310" spans="1:28" x14ac:dyDescent="0.2">
      <c r="A4310" s="1">
        <v>11048</v>
      </c>
      <c r="B4310" s="1" t="s">
        <v>6839</v>
      </c>
      <c r="D4310" s="1" t="s">
        <v>11735</v>
      </c>
      <c r="F4310" s="1" t="s">
        <v>5540</v>
      </c>
      <c r="G4310" s="1" t="s">
        <v>5541</v>
      </c>
      <c r="H4310" s="1" t="s">
        <v>5556</v>
      </c>
      <c r="J4310" s="1" t="s">
        <v>999</v>
      </c>
      <c r="L4310" s="1" t="s">
        <v>1425</v>
      </c>
      <c r="N4310" s="1" t="s">
        <v>1426</v>
      </c>
      <c r="P4310" s="1" t="s">
        <v>3518</v>
      </c>
      <c r="Q4310" s="3">
        <v>0</v>
      </c>
      <c r="R4310" s="23" t="s">
        <v>12893</v>
      </c>
      <c r="S4310" s="23" t="s">
        <v>6846</v>
      </c>
      <c r="T4310" s="23" t="s">
        <v>4866</v>
      </c>
      <c r="U4310" s="3">
        <v>35</v>
      </c>
      <c r="W4310" s="45" t="str">
        <f>HYPERLINK("http://ictvonline.org/taxonomy/p/taxonomy-history?taxnode_id=201901674","ICTVonline=201901674")</f>
        <v>ICTVonline=201901674</v>
      </c>
      <c r="X4310" s="1" t="s">
        <v>13398</v>
      </c>
      <c r="Y4310" s="1" t="s">
        <v>13399</v>
      </c>
      <c r="Z4310" s="1" t="s">
        <v>13400</v>
      </c>
      <c r="AA4310" s="1">
        <v>201900000</v>
      </c>
      <c r="AB4310" s="1">
        <v>35</v>
      </c>
    </row>
    <row r="4311" spans="1:28" x14ac:dyDescent="0.2">
      <c r="A4311" s="1">
        <v>11050</v>
      </c>
      <c r="B4311" s="1" t="s">
        <v>6839</v>
      </c>
      <c r="D4311" s="1" t="s">
        <v>11735</v>
      </c>
      <c r="F4311" s="1" t="s">
        <v>5540</v>
      </c>
      <c r="G4311" s="1" t="s">
        <v>5541</v>
      </c>
      <c r="H4311" s="1" t="s">
        <v>5556</v>
      </c>
      <c r="J4311" s="1" t="s">
        <v>999</v>
      </c>
      <c r="L4311" s="1" t="s">
        <v>1425</v>
      </c>
      <c r="N4311" s="1" t="s">
        <v>1426</v>
      </c>
      <c r="P4311" s="1" t="s">
        <v>13401</v>
      </c>
      <c r="Q4311" s="3">
        <v>0</v>
      </c>
      <c r="R4311" s="23" t="s">
        <v>12893</v>
      </c>
      <c r="S4311" s="23" t="s">
        <v>6846</v>
      </c>
      <c r="T4311" s="23" t="s">
        <v>4864</v>
      </c>
      <c r="U4311" s="3">
        <v>35</v>
      </c>
      <c r="V4311" s="3" t="s">
        <v>13378</v>
      </c>
      <c r="W4311" s="45" t="str">
        <f>HYPERLINK("http://ictvonline.org/taxonomy/p/taxonomy-history?taxnode_id=201907669","ICTVonline=201907669")</f>
        <v>ICTVonline=201907669</v>
      </c>
      <c r="X4311" s="1" t="s">
        <v>13402</v>
      </c>
      <c r="Y4311" s="1" t="s">
        <v>13403</v>
      </c>
      <c r="Z4311" s="1" t="s">
        <v>13404</v>
      </c>
      <c r="AA4311" s="1">
        <v>201900000</v>
      </c>
      <c r="AB4311" s="1">
        <v>35</v>
      </c>
    </row>
    <row r="4312" spans="1:28" x14ac:dyDescent="0.2">
      <c r="A4312" s="1">
        <v>11052</v>
      </c>
      <c r="B4312" s="1" t="s">
        <v>6839</v>
      </c>
      <c r="D4312" s="1" t="s">
        <v>11735</v>
      </c>
      <c r="F4312" s="1" t="s">
        <v>5540</v>
      </c>
      <c r="G4312" s="1" t="s">
        <v>5541</v>
      </c>
      <c r="H4312" s="1" t="s">
        <v>5556</v>
      </c>
      <c r="J4312" s="1" t="s">
        <v>999</v>
      </c>
      <c r="L4312" s="1" t="s">
        <v>1425</v>
      </c>
      <c r="N4312" s="1" t="s">
        <v>1426</v>
      </c>
      <c r="P4312" s="1" t="s">
        <v>13405</v>
      </c>
      <c r="Q4312" s="3">
        <v>0</v>
      </c>
      <c r="R4312" s="23" t="s">
        <v>12893</v>
      </c>
      <c r="S4312" s="23" t="s">
        <v>6846</v>
      </c>
      <c r="T4312" s="23" t="s">
        <v>4864</v>
      </c>
      <c r="U4312" s="3">
        <v>35</v>
      </c>
      <c r="V4312" s="3" t="s">
        <v>13378</v>
      </c>
      <c r="W4312" s="45" t="str">
        <f>HYPERLINK("http://ictvonline.org/taxonomy/p/taxonomy-history?taxnode_id=201907670","ICTVonline=201907670")</f>
        <v>ICTVonline=201907670</v>
      </c>
      <c r="X4312" s="1" t="s">
        <v>13406</v>
      </c>
      <c r="Y4312" s="1" t="s">
        <v>13407</v>
      </c>
      <c r="Z4312" s="1" t="s">
        <v>13408</v>
      </c>
      <c r="AA4312" s="1">
        <v>201900000</v>
      </c>
      <c r="AB4312" s="1">
        <v>35</v>
      </c>
    </row>
    <row r="4313" spans="1:28" x14ac:dyDescent="0.2">
      <c r="A4313" s="1">
        <v>11054</v>
      </c>
      <c r="B4313" s="1" t="s">
        <v>6839</v>
      </c>
      <c r="D4313" s="1" t="s">
        <v>11735</v>
      </c>
      <c r="F4313" s="1" t="s">
        <v>5540</v>
      </c>
      <c r="G4313" s="1" t="s">
        <v>5541</v>
      </c>
      <c r="H4313" s="1" t="s">
        <v>5556</v>
      </c>
      <c r="J4313" s="1" t="s">
        <v>999</v>
      </c>
      <c r="L4313" s="1" t="s">
        <v>1425</v>
      </c>
      <c r="N4313" s="1" t="s">
        <v>1426</v>
      </c>
      <c r="P4313" s="1" t="s">
        <v>13409</v>
      </c>
      <c r="Q4313" s="3">
        <v>0</v>
      </c>
      <c r="R4313" s="23" t="s">
        <v>12893</v>
      </c>
      <c r="S4313" s="23" t="s">
        <v>6846</v>
      </c>
      <c r="T4313" s="23" t="s">
        <v>4864</v>
      </c>
      <c r="U4313" s="3">
        <v>35</v>
      </c>
      <c r="V4313" s="3" t="s">
        <v>13378</v>
      </c>
      <c r="W4313" s="45" t="str">
        <f>HYPERLINK("http://ictvonline.org/taxonomy/p/taxonomy-history?taxnode_id=201907671","ICTVonline=201907671")</f>
        <v>ICTVonline=201907671</v>
      </c>
      <c r="X4313" s="1" t="s">
        <v>13410</v>
      </c>
      <c r="Y4313" s="1" t="s">
        <v>13411</v>
      </c>
      <c r="Z4313" s="1" t="s">
        <v>13412</v>
      </c>
      <c r="AA4313" s="1">
        <v>201900000</v>
      </c>
      <c r="AB4313" s="1">
        <v>35</v>
      </c>
    </row>
    <row r="4314" spans="1:28" x14ac:dyDescent="0.2">
      <c r="A4314" s="1">
        <v>11056</v>
      </c>
      <c r="B4314" s="1" t="s">
        <v>6839</v>
      </c>
      <c r="D4314" s="1" t="s">
        <v>11735</v>
      </c>
      <c r="F4314" s="1" t="s">
        <v>5540</v>
      </c>
      <c r="G4314" s="1" t="s">
        <v>5541</v>
      </c>
      <c r="H4314" s="1" t="s">
        <v>5556</v>
      </c>
      <c r="J4314" s="1" t="s">
        <v>999</v>
      </c>
      <c r="L4314" s="1" t="s">
        <v>1425</v>
      </c>
      <c r="N4314" s="1" t="s">
        <v>1426</v>
      </c>
      <c r="P4314" s="1" t="s">
        <v>13413</v>
      </c>
      <c r="Q4314" s="3">
        <v>0</v>
      </c>
      <c r="R4314" s="23" t="s">
        <v>12893</v>
      </c>
      <c r="S4314" s="23" t="s">
        <v>6846</v>
      </c>
      <c r="T4314" s="23" t="s">
        <v>4864</v>
      </c>
      <c r="U4314" s="3">
        <v>35</v>
      </c>
      <c r="V4314" s="3" t="s">
        <v>13378</v>
      </c>
      <c r="W4314" s="45" t="str">
        <f>HYPERLINK("http://ictvonline.org/taxonomy/p/taxonomy-history?taxnode_id=201907672","ICTVonline=201907672")</f>
        <v>ICTVonline=201907672</v>
      </c>
      <c r="X4314" s="1" t="s">
        <v>13414</v>
      </c>
      <c r="Y4314" s="1" t="s">
        <v>13415</v>
      </c>
      <c r="Z4314" s="1" t="s">
        <v>13416</v>
      </c>
      <c r="AA4314" s="1">
        <v>201900000</v>
      </c>
      <c r="AB4314" s="1">
        <v>35</v>
      </c>
    </row>
    <row r="4315" spans="1:28" x14ac:dyDescent="0.2">
      <c r="A4315" s="1">
        <v>11058</v>
      </c>
      <c r="B4315" s="1" t="s">
        <v>6839</v>
      </c>
      <c r="D4315" s="1" t="s">
        <v>11735</v>
      </c>
      <c r="F4315" s="1" t="s">
        <v>5540</v>
      </c>
      <c r="G4315" s="1" t="s">
        <v>5541</v>
      </c>
      <c r="H4315" s="1" t="s">
        <v>5556</v>
      </c>
      <c r="J4315" s="1" t="s">
        <v>999</v>
      </c>
      <c r="L4315" s="1" t="s">
        <v>1425</v>
      </c>
      <c r="N4315" s="1" t="s">
        <v>1426</v>
      </c>
      <c r="P4315" s="1" t="s">
        <v>3519</v>
      </c>
      <c r="Q4315" s="3">
        <v>0</v>
      </c>
      <c r="R4315" s="23" t="s">
        <v>12893</v>
      </c>
      <c r="S4315" s="23" t="s">
        <v>6846</v>
      </c>
      <c r="T4315" s="23" t="s">
        <v>4866</v>
      </c>
      <c r="U4315" s="3">
        <v>35</v>
      </c>
      <c r="W4315" s="45" t="str">
        <f>HYPERLINK("http://ictvonline.org/taxonomy/p/taxonomy-history?taxnode_id=201901675","ICTVonline=201901675")</f>
        <v>ICTVonline=201901675</v>
      </c>
      <c r="X4315" s="1" t="s">
        <v>13417</v>
      </c>
      <c r="Z4315" s="1" t="s">
        <v>13418</v>
      </c>
      <c r="AA4315" s="1">
        <v>201900000</v>
      </c>
      <c r="AB4315" s="1">
        <v>35</v>
      </c>
    </row>
    <row r="4316" spans="1:28" x14ac:dyDescent="0.2">
      <c r="A4316" s="1">
        <v>11060</v>
      </c>
      <c r="B4316" s="1" t="s">
        <v>6839</v>
      </c>
      <c r="D4316" s="1" t="s">
        <v>11735</v>
      </c>
      <c r="F4316" s="1" t="s">
        <v>5540</v>
      </c>
      <c r="G4316" s="1" t="s">
        <v>5541</v>
      </c>
      <c r="H4316" s="1" t="s">
        <v>5556</v>
      </c>
      <c r="J4316" s="1" t="s">
        <v>999</v>
      </c>
      <c r="L4316" s="1" t="s">
        <v>1425</v>
      </c>
      <c r="N4316" s="1" t="s">
        <v>1426</v>
      </c>
      <c r="P4316" s="1" t="s">
        <v>3520</v>
      </c>
      <c r="Q4316" s="3">
        <v>0</v>
      </c>
      <c r="R4316" s="23" t="s">
        <v>12893</v>
      </c>
      <c r="S4316" s="23" t="s">
        <v>6846</v>
      </c>
      <c r="T4316" s="23" t="s">
        <v>4866</v>
      </c>
      <c r="U4316" s="3">
        <v>35</v>
      </c>
      <c r="W4316" s="45" t="str">
        <f>HYPERLINK("http://ictvonline.org/taxonomy/p/taxonomy-history?taxnode_id=201901676","ICTVonline=201901676")</f>
        <v>ICTVonline=201901676</v>
      </c>
      <c r="X4316" s="1" t="s">
        <v>13419</v>
      </c>
      <c r="Z4316" s="1" t="s">
        <v>13420</v>
      </c>
      <c r="AA4316" s="1">
        <v>201900000</v>
      </c>
      <c r="AB4316" s="1">
        <v>35</v>
      </c>
    </row>
    <row r="4317" spans="1:28" x14ac:dyDescent="0.2">
      <c r="A4317" s="1">
        <v>11062</v>
      </c>
      <c r="B4317" s="1" t="s">
        <v>6839</v>
      </c>
      <c r="D4317" s="1" t="s">
        <v>11735</v>
      </c>
      <c r="F4317" s="1" t="s">
        <v>5540</v>
      </c>
      <c r="G4317" s="1" t="s">
        <v>5541</v>
      </c>
      <c r="H4317" s="1" t="s">
        <v>5556</v>
      </c>
      <c r="J4317" s="1" t="s">
        <v>999</v>
      </c>
      <c r="L4317" s="1" t="s">
        <v>1425</v>
      </c>
      <c r="N4317" s="1" t="s">
        <v>1426</v>
      </c>
      <c r="P4317" s="1" t="s">
        <v>13421</v>
      </c>
      <c r="Q4317" s="3">
        <v>0</v>
      </c>
      <c r="R4317" s="23" t="s">
        <v>12893</v>
      </c>
      <c r="S4317" s="23" t="s">
        <v>6846</v>
      </c>
      <c r="T4317" s="23" t="s">
        <v>4864</v>
      </c>
      <c r="U4317" s="3">
        <v>35</v>
      </c>
      <c r="V4317" s="3" t="s">
        <v>13378</v>
      </c>
      <c r="W4317" s="45" t="str">
        <f>HYPERLINK("http://ictvonline.org/taxonomy/p/taxonomy-history?taxnode_id=201907673","ICTVonline=201907673")</f>
        <v>ICTVonline=201907673</v>
      </c>
      <c r="X4317" s="1" t="s">
        <v>13422</v>
      </c>
      <c r="Y4317" s="1" t="s">
        <v>13423</v>
      </c>
      <c r="Z4317" s="1" t="s">
        <v>11859</v>
      </c>
      <c r="AA4317" s="1">
        <v>201900000</v>
      </c>
      <c r="AB4317" s="1">
        <v>35</v>
      </c>
    </row>
    <row r="4318" spans="1:28" x14ac:dyDescent="0.2">
      <c r="A4318" s="1">
        <v>11064</v>
      </c>
      <c r="B4318" s="1" t="s">
        <v>6839</v>
      </c>
      <c r="D4318" s="1" t="s">
        <v>11735</v>
      </c>
      <c r="F4318" s="1" t="s">
        <v>5540</v>
      </c>
      <c r="G4318" s="1" t="s">
        <v>5541</v>
      </c>
      <c r="H4318" s="1" t="s">
        <v>5556</v>
      </c>
      <c r="J4318" s="1" t="s">
        <v>999</v>
      </c>
      <c r="L4318" s="1" t="s">
        <v>1425</v>
      </c>
      <c r="N4318" s="1" t="s">
        <v>1426</v>
      </c>
      <c r="P4318" s="1" t="s">
        <v>3521</v>
      </c>
      <c r="Q4318" s="3">
        <v>0</v>
      </c>
      <c r="R4318" s="23" t="s">
        <v>12893</v>
      </c>
      <c r="S4318" s="23" t="s">
        <v>6846</v>
      </c>
      <c r="T4318" s="23" t="s">
        <v>4866</v>
      </c>
      <c r="U4318" s="3">
        <v>35</v>
      </c>
      <c r="W4318" s="45" t="str">
        <f>HYPERLINK("http://ictvonline.org/taxonomy/p/taxonomy-history?taxnode_id=201901677","ICTVonline=201901677")</f>
        <v>ICTVonline=201901677</v>
      </c>
      <c r="X4318" s="1" t="s">
        <v>13424</v>
      </c>
      <c r="Z4318" s="1" t="s">
        <v>13425</v>
      </c>
      <c r="AA4318" s="1">
        <v>201900000</v>
      </c>
      <c r="AB4318" s="1">
        <v>35</v>
      </c>
    </row>
    <row r="4319" spans="1:28" x14ac:dyDescent="0.2">
      <c r="A4319" s="1">
        <v>11066</v>
      </c>
      <c r="B4319" s="1" t="s">
        <v>6839</v>
      </c>
      <c r="D4319" s="1" t="s">
        <v>11735</v>
      </c>
      <c r="F4319" s="1" t="s">
        <v>5540</v>
      </c>
      <c r="G4319" s="1" t="s">
        <v>5541</v>
      </c>
      <c r="H4319" s="1" t="s">
        <v>5556</v>
      </c>
      <c r="J4319" s="1" t="s">
        <v>999</v>
      </c>
      <c r="L4319" s="1" t="s">
        <v>1425</v>
      </c>
      <c r="N4319" s="1" t="s">
        <v>1426</v>
      </c>
      <c r="P4319" s="1" t="s">
        <v>13426</v>
      </c>
      <c r="Q4319" s="3">
        <v>0</v>
      </c>
      <c r="R4319" s="23" t="s">
        <v>12893</v>
      </c>
      <c r="S4319" s="23" t="s">
        <v>6846</v>
      </c>
      <c r="T4319" s="23" t="s">
        <v>4864</v>
      </c>
      <c r="U4319" s="3">
        <v>35</v>
      </c>
      <c r="V4319" s="3" t="s">
        <v>13378</v>
      </c>
      <c r="W4319" s="45" t="str">
        <f>HYPERLINK("http://ictvonline.org/taxonomy/p/taxonomy-history?taxnode_id=201907675","ICTVonline=201907675")</f>
        <v>ICTVonline=201907675</v>
      </c>
      <c r="X4319" s="1" t="s">
        <v>13427</v>
      </c>
      <c r="Y4319" s="1" t="s">
        <v>13428</v>
      </c>
      <c r="Z4319" s="1" t="s">
        <v>13429</v>
      </c>
      <c r="AA4319" s="1">
        <v>201900000</v>
      </c>
      <c r="AB4319" s="1">
        <v>35</v>
      </c>
    </row>
    <row r="4320" spans="1:28" x14ac:dyDescent="0.2">
      <c r="A4320" s="1">
        <v>11068</v>
      </c>
      <c r="B4320" s="1" t="s">
        <v>6839</v>
      </c>
      <c r="D4320" s="1" t="s">
        <v>11735</v>
      </c>
      <c r="F4320" s="1" t="s">
        <v>5540</v>
      </c>
      <c r="G4320" s="1" t="s">
        <v>5541</v>
      </c>
      <c r="H4320" s="1" t="s">
        <v>5556</v>
      </c>
      <c r="J4320" s="1" t="s">
        <v>999</v>
      </c>
      <c r="L4320" s="1" t="s">
        <v>1425</v>
      </c>
      <c r="N4320" s="1" t="s">
        <v>1426</v>
      </c>
      <c r="P4320" s="1" t="s">
        <v>13430</v>
      </c>
      <c r="Q4320" s="3">
        <v>0</v>
      </c>
      <c r="R4320" s="23" t="s">
        <v>12893</v>
      </c>
      <c r="S4320" s="23" t="s">
        <v>6846</v>
      </c>
      <c r="T4320" s="23" t="s">
        <v>4864</v>
      </c>
      <c r="U4320" s="3">
        <v>35</v>
      </c>
      <c r="V4320" s="3" t="s">
        <v>13378</v>
      </c>
      <c r="W4320" s="45" t="str">
        <f>HYPERLINK("http://ictvonline.org/taxonomy/p/taxonomy-history?taxnode_id=201907676","ICTVonline=201907676")</f>
        <v>ICTVonline=201907676</v>
      </c>
      <c r="X4320" s="1" t="s">
        <v>13431</v>
      </c>
      <c r="Y4320" s="1" t="s">
        <v>13432</v>
      </c>
      <c r="Z4320" s="1" t="s">
        <v>13433</v>
      </c>
      <c r="AA4320" s="1">
        <v>201900000</v>
      </c>
      <c r="AB4320" s="1">
        <v>35</v>
      </c>
    </row>
    <row r="4321" spans="1:28" x14ac:dyDescent="0.2">
      <c r="A4321" s="1">
        <v>11070</v>
      </c>
      <c r="B4321" s="1" t="s">
        <v>6839</v>
      </c>
      <c r="D4321" s="1" t="s">
        <v>11735</v>
      </c>
      <c r="F4321" s="1" t="s">
        <v>5540</v>
      </c>
      <c r="G4321" s="1" t="s">
        <v>5541</v>
      </c>
      <c r="H4321" s="1" t="s">
        <v>5556</v>
      </c>
      <c r="J4321" s="1" t="s">
        <v>999</v>
      </c>
      <c r="L4321" s="1" t="s">
        <v>1425</v>
      </c>
      <c r="N4321" s="1" t="s">
        <v>1426</v>
      </c>
      <c r="P4321" s="1" t="s">
        <v>13434</v>
      </c>
      <c r="Q4321" s="3">
        <v>0</v>
      </c>
      <c r="R4321" s="23" t="s">
        <v>12893</v>
      </c>
      <c r="S4321" s="23" t="s">
        <v>6846</v>
      </c>
      <c r="T4321" s="23" t="s">
        <v>4864</v>
      </c>
      <c r="U4321" s="3">
        <v>35</v>
      </c>
      <c r="V4321" s="3" t="s">
        <v>13378</v>
      </c>
      <c r="W4321" s="45" t="str">
        <f>HYPERLINK("http://ictvonline.org/taxonomy/p/taxonomy-history?taxnode_id=201907677","ICTVonline=201907677")</f>
        <v>ICTVonline=201907677</v>
      </c>
      <c r="X4321" s="1" t="s">
        <v>13435</v>
      </c>
      <c r="Y4321" s="1" t="s">
        <v>13436</v>
      </c>
      <c r="Z4321" s="1" t="s">
        <v>13437</v>
      </c>
      <c r="AA4321" s="1">
        <v>201900000</v>
      </c>
      <c r="AB4321" s="1">
        <v>35</v>
      </c>
    </row>
    <row r="4322" spans="1:28" x14ac:dyDescent="0.2">
      <c r="A4322" s="1">
        <v>11072</v>
      </c>
      <c r="B4322" s="1" t="s">
        <v>6839</v>
      </c>
      <c r="D4322" s="1" t="s">
        <v>11735</v>
      </c>
      <c r="F4322" s="1" t="s">
        <v>5540</v>
      </c>
      <c r="G4322" s="1" t="s">
        <v>5541</v>
      </c>
      <c r="H4322" s="1" t="s">
        <v>5556</v>
      </c>
      <c r="J4322" s="1" t="s">
        <v>999</v>
      </c>
      <c r="L4322" s="1" t="s">
        <v>1425</v>
      </c>
      <c r="N4322" s="1" t="s">
        <v>1426</v>
      </c>
      <c r="P4322" s="1" t="s">
        <v>13438</v>
      </c>
      <c r="Q4322" s="3">
        <v>0</v>
      </c>
      <c r="R4322" s="23" t="s">
        <v>12893</v>
      </c>
      <c r="S4322" s="23" t="s">
        <v>6846</v>
      </c>
      <c r="T4322" s="23" t="s">
        <v>4864</v>
      </c>
      <c r="U4322" s="3">
        <v>35</v>
      </c>
      <c r="V4322" s="3" t="s">
        <v>13378</v>
      </c>
      <c r="W4322" s="45" t="str">
        <f>HYPERLINK("http://ictvonline.org/taxonomy/p/taxonomy-history?taxnode_id=201907674","ICTVonline=201907674")</f>
        <v>ICTVonline=201907674</v>
      </c>
      <c r="X4322" s="1" t="s">
        <v>13439</v>
      </c>
      <c r="Y4322" s="1" t="s">
        <v>13440</v>
      </c>
      <c r="Z4322" s="1" t="s">
        <v>13441</v>
      </c>
      <c r="AA4322" s="1">
        <v>201900000</v>
      </c>
      <c r="AB4322" s="1">
        <v>35</v>
      </c>
    </row>
    <row r="4323" spans="1:28" x14ac:dyDescent="0.2">
      <c r="A4323" s="1">
        <v>11076</v>
      </c>
      <c r="B4323" s="1" t="s">
        <v>6839</v>
      </c>
      <c r="D4323" s="1" t="s">
        <v>11735</v>
      </c>
      <c r="F4323" s="1" t="s">
        <v>5540</v>
      </c>
      <c r="G4323" s="1" t="s">
        <v>5541</v>
      </c>
      <c r="H4323" s="1" t="s">
        <v>5556</v>
      </c>
      <c r="J4323" s="1" t="s">
        <v>999</v>
      </c>
      <c r="L4323" s="1" t="s">
        <v>1425</v>
      </c>
      <c r="N4323" s="1" t="s">
        <v>3522</v>
      </c>
      <c r="P4323" s="1" t="s">
        <v>5923</v>
      </c>
      <c r="Q4323" s="3">
        <v>0</v>
      </c>
      <c r="R4323" s="23" t="s">
        <v>12893</v>
      </c>
      <c r="S4323" s="23" t="s">
        <v>6846</v>
      </c>
      <c r="T4323" s="23" t="s">
        <v>4866</v>
      </c>
      <c r="U4323" s="3">
        <v>35</v>
      </c>
      <c r="W4323" s="45" t="str">
        <f>HYPERLINK("http://ictvonline.org/taxonomy/p/taxonomy-history?taxnode_id=201906289","ICTVonline=201906289")</f>
        <v>ICTVonline=201906289</v>
      </c>
      <c r="X4323" s="1" t="s">
        <v>13442</v>
      </c>
      <c r="Y4323" s="1" t="s">
        <v>13443</v>
      </c>
      <c r="Z4323" s="1" t="s">
        <v>13444</v>
      </c>
      <c r="AA4323" s="1">
        <v>201900000</v>
      </c>
      <c r="AB4323" s="1">
        <v>35</v>
      </c>
    </row>
    <row r="4324" spans="1:28" x14ac:dyDescent="0.2">
      <c r="A4324" s="1">
        <v>11078</v>
      </c>
      <c r="B4324" s="1" t="s">
        <v>6839</v>
      </c>
      <c r="D4324" s="1" t="s">
        <v>11735</v>
      </c>
      <c r="F4324" s="1" t="s">
        <v>5540</v>
      </c>
      <c r="G4324" s="1" t="s">
        <v>5541</v>
      </c>
      <c r="H4324" s="1" t="s">
        <v>5556</v>
      </c>
      <c r="J4324" s="1" t="s">
        <v>999</v>
      </c>
      <c r="L4324" s="1" t="s">
        <v>1425</v>
      </c>
      <c r="N4324" s="1" t="s">
        <v>3522</v>
      </c>
      <c r="P4324" s="1" t="s">
        <v>5924</v>
      </c>
      <c r="Q4324" s="3">
        <v>0</v>
      </c>
      <c r="R4324" s="23" t="s">
        <v>12893</v>
      </c>
      <c r="S4324" s="23" t="s">
        <v>6846</v>
      </c>
      <c r="T4324" s="23" t="s">
        <v>4866</v>
      </c>
      <c r="U4324" s="3">
        <v>35</v>
      </c>
      <c r="W4324" s="45" t="str">
        <f>HYPERLINK("http://ictvonline.org/taxonomy/p/taxonomy-history?taxnode_id=201906287","ICTVonline=201906287")</f>
        <v>ICTVonline=201906287</v>
      </c>
      <c r="X4324" s="1" t="s">
        <v>13445</v>
      </c>
      <c r="Y4324" s="1" t="s">
        <v>13446</v>
      </c>
      <c r="Z4324" s="1" t="s">
        <v>13447</v>
      </c>
      <c r="AA4324" s="1">
        <v>201900000</v>
      </c>
      <c r="AB4324" s="1">
        <v>35</v>
      </c>
    </row>
    <row r="4325" spans="1:28" x14ac:dyDescent="0.2">
      <c r="A4325" s="1">
        <v>11080</v>
      </c>
      <c r="B4325" s="1" t="s">
        <v>6839</v>
      </c>
      <c r="D4325" s="1" t="s">
        <v>11735</v>
      </c>
      <c r="F4325" s="1" t="s">
        <v>5540</v>
      </c>
      <c r="G4325" s="1" t="s">
        <v>5541</v>
      </c>
      <c r="H4325" s="1" t="s">
        <v>5556</v>
      </c>
      <c r="J4325" s="1" t="s">
        <v>999</v>
      </c>
      <c r="L4325" s="1" t="s">
        <v>1425</v>
      </c>
      <c r="N4325" s="1" t="s">
        <v>3522</v>
      </c>
      <c r="P4325" s="1" t="s">
        <v>5925</v>
      </c>
      <c r="Q4325" s="3">
        <v>0</v>
      </c>
      <c r="R4325" s="23" t="s">
        <v>12893</v>
      </c>
      <c r="S4325" s="23" t="s">
        <v>6846</v>
      </c>
      <c r="T4325" s="23" t="s">
        <v>4866</v>
      </c>
      <c r="U4325" s="3">
        <v>35</v>
      </c>
      <c r="W4325" s="45" t="str">
        <f>HYPERLINK("http://ictvonline.org/taxonomy/p/taxonomy-history?taxnode_id=201906288","ICTVonline=201906288")</f>
        <v>ICTVonline=201906288</v>
      </c>
      <c r="X4325" s="1" t="s">
        <v>13448</v>
      </c>
      <c r="Y4325" s="1" t="s">
        <v>13449</v>
      </c>
      <c r="Z4325" s="1" t="s">
        <v>13450</v>
      </c>
      <c r="AA4325" s="1">
        <v>201900000</v>
      </c>
      <c r="AB4325" s="1">
        <v>35</v>
      </c>
    </row>
    <row r="4326" spans="1:28" x14ac:dyDescent="0.2">
      <c r="A4326" s="1">
        <v>11082</v>
      </c>
      <c r="B4326" s="1" t="s">
        <v>6839</v>
      </c>
      <c r="D4326" s="1" t="s">
        <v>11735</v>
      </c>
      <c r="F4326" s="1" t="s">
        <v>5540</v>
      </c>
      <c r="G4326" s="1" t="s">
        <v>5541</v>
      </c>
      <c r="H4326" s="1" t="s">
        <v>5556</v>
      </c>
      <c r="J4326" s="1" t="s">
        <v>999</v>
      </c>
      <c r="L4326" s="1" t="s">
        <v>1425</v>
      </c>
      <c r="N4326" s="1" t="s">
        <v>3522</v>
      </c>
      <c r="P4326" s="1" t="s">
        <v>3523</v>
      </c>
      <c r="Q4326" s="3">
        <v>0</v>
      </c>
      <c r="R4326" s="23" t="s">
        <v>12893</v>
      </c>
      <c r="S4326" s="23" t="s">
        <v>6846</v>
      </c>
      <c r="T4326" s="23" t="s">
        <v>4866</v>
      </c>
      <c r="U4326" s="3">
        <v>35</v>
      </c>
      <c r="W4326" s="45" t="str">
        <f>HYPERLINK("http://ictvonline.org/taxonomy/p/taxonomy-history?taxnode_id=201901679","ICTVonline=201901679")</f>
        <v>ICTVonline=201901679</v>
      </c>
      <c r="X4326" s="1" t="s">
        <v>13451</v>
      </c>
      <c r="Y4326" s="1" t="s">
        <v>13452</v>
      </c>
      <c r="Z4326" s="1" t="s">
        <v>13453</v>
      </c>
      <c r="AA4326" s="1">
        <v>201900000</v>
      </c>
      <c r="AB4326" s="1">
        <v>35</v>
      </c>
    </row>
    <row r="4327" spans="1:28" x14ac:dyDescent="0.2">
      <c r="A4327" s="1">
        <v>11084</v>
      </c>
      <c r="B4327" s="1" t="s">
        <v>6839</v>
      </c>
      <c r="D4327" s="1" t="s">
        <v>11735</v>
      </c>
      <c r="F4327" s="1" t="s">
        <v>5540</v>
      </c>
      <c r="G4327" s="1" t="s">
        <v>5541</v>
      </c>
      <c r="H4327" s="1" t="s">
        <v>5556</v>
      </c>
      <c r="J4327" s="1" t="s">
        <v>999</v>
      </c>
      <c r="L4327" s="1" t="s">
        <v>1425</v>
      </c>
      <c r="N4327" s="1" t="s">
        <v>3522</v>
      </c>
      <c r="P4327" s="1" t="s">
        <v>3524</v>
      </c>
      <c r="Q4327" s="3">
        <v>1</v>
      </c>
      <c r="R4327" s="23" t="s">
        <v>12893</v>
      </c>
      <c r="S4327" s="23" t="s">
        <v>6846</v>
      </c>
      <c r="T4327" s="23" t="s">
        <v>4866</v>
      </c>
      <c r="U4327" s="3">
        <v>35</v>
      </c>
      <c r="W4327" s="45" t="str">
        <f>HYPERLINK("http://ictvonline.org/taxonomy/p/taxonomy-history?taxnode_id=201901680","ICTVonline=201901680")</f>
        <v>ICTVonline=201901680</v>
      </c>
      <c r="X4327" s="1" t="s">
        <v>13454</v>
      </c>
      <c r="Y4327" s="1" t="s">
        <v>13455</v>
      </c>
      <c r="Z4327" s="1" t="s">
        <v>13456</v>
      </c>
      <c r="AA4327" s="1">
        <v>201900000</v>
      </c>
      <c r="AB4327" s="1">
        <v>35</v>
      </c>
    </row>
    <row r="4328" spans="1:28" x14ac:dyDescent="0.2">
      <c r="A4328" s="1">
        <v>11088</v>
      </c>
      <c r="B4328" s="1" t="s">
        <v>6839</v>
      </c>
      <c r="D4328" s="1" t="s">
        <v>11735</v>
      </c>
      <c r="F4328" s="1" t="s">
        <v>5540</v>
      </c>
      <c r="G4328" s="1" t="s">
        <v>5541</v>
      </c>
      <c r="H4328" s="1" t="s">
        <v>5556</v>
      </c>
      <c r="J4328" s="1" t="s">
        <v>999</v>
      </c>
      <c r="L4328" s="1" t="s">
        <v>1425</v>
      </c>
      <c r="N4328" s="1" t="s">
        <v>1369</v>
      </c>
      <c r="P4328" s="1" t="s">
        <v>3525</v>
      </c>
      <c r="Q4328" s="3">
        <v>0</v>
      </c>
      <c r="R4328" s="23" t="s">
        <v>12893</v>
      </c>
      <c r="S4328" s="23" t="s">
        <v>6846</v>
      </c>
      <c r="T4328" s="23" t="s">
        <v>4866</v>
      </c>
      <c r="U4328" s="3">
        <v>35</v>
      </c>
      <c r="W4328" s="45" t="str">
        <f>HYPERLINK("http://ictvonline.org/taxonomy/p/taxonomy-history?taxnode_id=201901682","ICTVonline=201901682")</f>
        <v>ICTVonline=201901682</v>
      </c>
      <c r="X4328" s="1" t="s">
        <v>13457</v>
      </c>
      <c r="Y4328" s="1" t="s">
        <v>13458</v>
      </c>
      <c r="Z4328" s="1" t="s">
        <v>13459</v>
      </c>
      <c r="AA4328" s="1">
        <v>201900000</v>
      </c>
      <c r="AB4328" s="1">
        <v>35</v>
      </c>
    </row>
    <row r="4329" spans="1:28" x14ac:dyDescent="0.2">
      <c r="A4329" s="1">
        <v>11090</v>
      </c>
      <c r="B4329" s="1" t="s">
        <v>6839</v>
      </c>
      <c r="D4329" s="1" t="s">
        <v>11735</v>
      </c>
      <c r="F4329" s="1" t="s">
        <v>5540</v>
      </c>
      <c r="G4329" s="1" t="s">
        <v>5541</v>
      </c>
      <c r="H4329" s="1" t="s">
        <v>5556</v>
      </c>
      <c r="J4329" s="1" t="s">
        <v>999</v>
      </c>
      <c r="L4329" s="1" t="s">
        <v>1425</v>
      </c>
      <c r="N4329" s="1" t="s">
        <v>1369</v>
      </c>
      <c r="P4329" s="1" t="s">
        <v>3526</v>
      </c>
      <c r="Q4329" s="3">
        <v>0</v>
      </c>
      <c r="R4329" s="23" t="s">
        <v>12893</v>
      </c>
      <c r="S4329" s="23" t="s">
        <v>6846</v>
      </c>
      <c r="T4329" s="23" t="s">
        <v>4866</v>
      </c>
      <c r="U4329" s="3">
        <v>35</v>
      </c>
      <c r="W4329" s="45" t="str">
        <f>HYPERLINK("http://ictvonline.org/taxonomy/p/taxonomy-history?taxnode_id=201901683","ICTVonline=201901683")</f>
        <v>ICTVonline=201901683</v>
      </c>
      <c r="X4329" s="1" t="s">
        <v>13460</v>
      </c>
      <c r="Y4329" s="1" t="s">
        <v>13461</v>
      </c>
      <c r="Z4329" s="1" t="s">
        <v>13462</v>
      </c>
      <c r="AA4329" s="1">
        <v>201900000</v>
      </c>
      <c r="AB4329" s="1">
        <v>35</v>
      </c>
    </row>
    <row r="4330" spans="1:28" x14ac:dyDescent="0.2">
      <c r="A4330" s="1">
        <v>11092</v>
      </c>
      <c r="B4330" s="1" t="s">
        <v>6839</v>
      </c>
      <c r="D4330" s="1" t="s">
        <v>11735</v>
      </c>
      <c r="F4330" s="1" t="s">
        <v>5540</v>
      </c>
      <c r="G4330" s="1" t="s">
        <v>5541</v>
      </c>
      <c r="H4330" s="1" t="s">
        <v>5556</v>
      </c>
      <c r="J4330" s="1" t="s">
        <v>999</v>
      </c>
      <c r="L4330" s="1" t="s">
        <v>1425</v>
      </c>
      <c r="N4330" s="1" t="s">
        <v>1369</v>
      </c>
      <c r="P4330" s="1" t="s">
        <v>3527</v>
      </c>
      <c r="Q4330" s="3">
        <v>1</v>
      </c>
      <c r="R4330" s="23" t="s">
        <v>12893</v>
      </c>
      <c r="S4330" s="23" t="s">
        <v>6846</v>
      </c>
      <c r="T4330" s="23" t="s">
        <v>4866</v>
      </c>
      <c r="U4330" s="3">
        <v>35</v>
      </c>
      <c r="W4330" s="45" t="str">
        <f>HYPERLINK("http://ictvonline.org/taxonomy/p/taxonomy-history?taxnode_id=201901684","ICTVonline=201901684")</f>
        <v>ICTVonline=201901684</v>
      </c>
      <c r="X4330" s="1" t="s">
        <v>13463</v>
      </c>
      <c r="Y4330" s="1" t="s">
        <v>13464</v>
      </c>
      <c r="Z4330" s="1" t="s">
        <v>13465</v>
      </c>
      <c r="AA4330" s="1">
        <v>201900000</v>
      </c>
      <c r="AB4330" s="1">
        <v>35</v>
      </c>
    </row>
    <row r="4331" spans="1:28" x14ac:dyDescent="0.2">
      <c r="A4331" s="1">
        <v>11094</v>
      </c>
      <c r="B4331" s="1" t="s">
        <v>6839</v>
      </c>
      <c r="D4331" s="1" t="s">
        <v>11735</v>
      </c>
      <c r="F4331" s="1" t="s">
        <v>5540</v>
      </c>
      <c r="G4331" s="1" t="s">
        <v>5541</v>
      </c>
      <c r="H4331" s="1" t="s">
        <v>5556</v>
      </c>
      <c r="J4331" s="1" t="s">
        <v>999</v>
      </c>
      <c r="L4331" s="1" t="s">
        <v>1425</v>
      </c>
      <c r="N4331" s="1" t="s">
        <v>1369</v>
      </c>
      <c r="P4331" s="1" t="s">
        <v>4471</v>
      </c>
      <c r="Q4331" s="3">
        <v>0</v>
      </c>
      <c r="R4331" s="23" t="s">
        <v>12893</v>
      </c>
      <c r="S4331" s="23" t="s">
        <v>6846</v>
      </c>
      <c r="T4331" s="23" t="s">
        <v>4866</v>
      </c>
      <c r="U4331" s="3">
        <v>35</v>
      </c>
      <c r="W4331" s="45" t="str">
        <f>HYPERLINK("http://ictvonline.org/taxonomy/p/taxonomy-history?taxnode_id=201901685","ICTVonline=201901685")</f>
        <v>ICTVonline=201901685</v>
      </c>
      <c r="Y4331" s="1" t="s">
        <v>13466</v>
      </c>
      <c r="Z4331" s="1" t="s">
        <v>13467</v>
      </c>
      <c r="AA4331" s="1">
        <v>201900000</v>
      </c>
      <c r="AB4331" s="1">
        <v>35</v>
      </c>
    </row>
    <row r="4332" spans="1:28" x14ac:dyDescent="0.2">
      <c r="A4332" s="1">
        <v>11096</v>
      </c>
      <c r="B4332" s="1" t="s">
        <v>6839</v>
      </c>
      <c r="D4332" s="1" t="s">
        <v>11735</v>
      </c>
      <c r="F4332" s="1" t="s">
        <v>5540</v>
      </c>
      <c r="G4332" s="1" t="s">
        <v>5541</v>
      </c>
      <c r="H4332" s="1" t="s">
        <v>5556</v>
      </c>
      <c r="J4332" s="1" t="s">
        <v>999</v>
      </c>
      <c r="L4332" s="1" t="s">
        <v>1425</v>
      </c>
      <c r="N4332" s="1" t="s">
        <v>1369</v>
      </c>
      <c r="P4332" s="1" t="s">
        <v>4472</v>
      </c>
      <c r="Q4332" s="3">
        <v>0</v>
      </c>
      <c r="R4332" s="23" t="s">
        <v>12893</v>
      </c>
      <c r="S4332" s="23" t="s">
        <v>6846</v>
      </c>
      <c r="T4332" s="23" t="s">
        <v>4866</v>
      </c>
      <c r="U4332" s="3">
        <v>35</v>
      </c>
      <c r="W4332" s="45" t="str">
        <f>HYPERLINK("http://ictvonline.org/taxonomy/p/taxonomy-history?taxnode_id=201901686","ICTVonline=201901686")</f>
        <v>ICTVonline=201901686</v>
      </c>
      <c r="Y4332" s="1" t="s">
        <v>13468</v>
      </c>
      <c r="Z4332" s="1" t="s">
        <v>13469</v>
      </c>
      <c r="AA4332" s="1">
        <v>201900000</v>
      </c>
      <c r="AB4332" s="1">
        <v>35</v>
      </c>
    </row>
    <row r="4333" spans="1:28" x14ac:dyDescent="0.2">
      <c r="A4333" s="1">
        <v>11098</v>
      </c>
      <c r="B4333" s="1" t="s">
        <v>6839</v>
      </c>
      <c r="D4333" s="1" t="s">
        <v>11735</v>
      </c>
      <c r="F4333" s="1" t="s">
        <v>5540</v>
      </c>
      <c r="G4333" s="1" t="s">
        <v>5541</v>
      </c>
      <c r="H4333" s="1" t="s">
        <v>5556</v>
      </c>
      <c r="J4333" s="1" t="s">
        <v>999</v>
      </c>
      <c r="L4333" s="1" t="s">
        <v>1425</v>
      </c>
      <c r="N4333" s="1" t="s">
        <v>1369</v>
      </c>
      <c r="P4333" s="1" t="s">
        <v>3986</v>
      </c>
      <c r="Q4333" s="3">
        <v>0</v>
      </c>
      <c r="R4333" s="23" t="s">
        <v>12893</v>
      </c>
      <c r="S4333" s="23" t="s">
        <v>6846</v>
      </c>
      <c r="T4333" s="23" t="s">
        <v>4866</v>
      </c>
      <c r="U4333" s="3">
        <v>35</v>
      </c>
      <c r="W4333" s="45" t="str">
        <f>HYPERLINK("http://ictvonline.org/taxonomy/p/taxonomy-history?taxnode_id=201901687","ICTVonline=201901687")</f>
        <v>ICTVonline=201901687</v>
      </c>
      <c r="X4333" s="1" t="s">
        <v>13470</v>
      </c>
      <c r="Y4333" s="1" t="s">
        <v>13471</v>
      </c>
      <c r="Z4333" s="1" t="s">
        <v>13472</v>
      </c>
      <c r="AA4333" s="1">
        <v>201900000</v>
      </c>
      <c r="AB4333" s="1">
        <v>35</v>
      </c>
    </row>
    <row r="4334" spans="1:28" x14ac:dyDescent="0.2">
      <c r="A4334" s="1">
        <v>11100</v>
      </c>
      <c r="B4334" s="1" t="s">
        <v>6839</v>
      </c>
      <c r="D4334" s="1" t="s">
        <v>11735</v>
      </c>
      <c r="F4334" s="1" t="s">
        <v>5540</v>
      </c>
      <c r="G4334" s="1" t="s">
        <v>5541</v>
      </c>
      <c r="H4334" s="1" t="s">
        <v>5556</v>
      </c>
      <c r="J4334" s="1" t="s">
        <v>999</v>
      </c>
      <c r="L4334" s="1" t="s">
        <v>1425</v>
      </c>
      <c r="N4334" s="1" t="s">
        <v>1369</v>
      </c>
      <c r="P4334" s="1" t="s">
        <v>3528</v>
      </c>
      <c r="Q4334" s="3">
        <v>0</v>
      </c>
      <c r="R4334" s="23" t="s">
        <v>12893</v>
      </c>
      <c r="S4334" s="23" t="s">
        <v>6846</v>
      </c>
      <c r="T4334" s="23" t="s">
        <v>4866</v>
      </c>
      <c r="U4334" s="3">
        <v>35</v>
      </c>
      <c r="W4334" s="45" t="str">
        <f>HYPERLINK("http://ictvonline.org/taxonomy/p/taxonomy-history?taxnode_id=201901688","ICTVonline=201901688")</f>
        <v>ICTVonline=201901688</v>
      </c>
      <c r="X4334" s="1" t="s">
        <v>13473</v>
      </c>
      <c r="Y4334" s="1" t="s">
        <v>13474</v>
      </c>
      <c r="Z4334" s="1" t="s">
        <v>13475</v>
      </c>
      <c r="AA4334" s="1">
        <v>201900000</v>
      </c>
      <c r="AB4334" s="1">
        <v>35</v>
      </c>
    </row>
    <row r="4335" spans="1:28" x14ac:dyDescent="0.2">
      <c r="A4335" s="1">
        <v>11102</v>
      </c>
      <c r="B4335" s="1" t="s">
        <v>6839</v>
      </c>
      <c r="D4335" s="1" t="s">
        <v>11735</v>
      </c>
      <c r="F4335" s="1" t="s">
        <v>5540</v>
      </c>
      <c r="G4335" s="1" t="s">
        <v>5541</v>
      </c>
      <c r="H4335" s="1" t="s">
        <v>5556</v>
      </c>
      <c r="J4335" s="1" t="s">
        <v>999</v>
      </c>
      <c r="L4335" s="1" t="s">
        <v>1425</v>
      </c>
      <c r="N4335" s="1" t="s">
        <v>1369</v>
      </c>
      <c r="P4335" s="1" t="s">
        <v>4473</v>
      </c>
      <c r="Q4335" s="3">
        <v>0</v>
      </c>
      <c r="R4335" s="23" t="s">
        <v>12893</v>
      </c>
      <c r="S4335" s="23" t="s">
        <v>6846</v>
      </c>
      <c r="T4335" s="23" t="s">
        <v>4866</v>
      </c>
      <c r="U4335" s="3">
        <v>35</v>
      </c>
      <c r="W4335" s="45" t="str">
        <f>HYPERLINK("http://ictvonline.org/taxonomy/p/taxonomy-history?taxnode_id=201901689","ICTVonline=201901689")</f>
        <v>ICTVonline=201901689</v>
      </c>
      <c r="Y4335" s="1" t="s">
        <v>13476</v>
      </c>
      <c r="Z4335" s="1" t="s">
        <v>13477</v>
      </c>
      <c r="AA4335" s="1">
        <v>201900000</v>
      </c>
      <c r="AB4335" s="1">
        <v>35</v>
      </c>
    </row>
    <row r="4336" spans="1:28" x14ac:dyDescent="0.2">
      <c r="A4336" s="1">
        <v>11106</v>
      </c>
      <c r="B4336" s="1" t="s">
        <v>6839</v>
      </c>
      <c r="D4336" s="1" t="s">
        <v>11735</v>
      </c>
      <c r="F4336" s="1" t="s">
        <v>5540</v>
      </c>
      <c r="G4336" s="1" t="s">
        <v>5541</v>
      </c>
      <c r="H4336" s="1" t="s">
        <v>5556</v>
      </c>
      <c r="J4336" s="1" t="s">
        <v>999</v>
      </c>
      <c r="L4336" s="1" t="s">
        <v>1425</v>
      </c>
      <c r="N4336" s="1" t="s">
        <v>13478</v>
      </c>
      <c r="P4336" s="1" t="s">
        <v>13479</v>
      </c>
      <c r="Q4336" s="3">
        <v>1</v>
      </c>
      <c r="R4336" s="23" t="s">
        <v>12893</v>
      </c>
      <c r="S4336" s="23" t="s">
        <v>6846</v>
      </c>
      <c r="T4336" s="23" t="s">
        <v>6031</v>
      </c>
      <c r="U4336" s="3">
        <v>35</v>
      </c>
      <c r="V4336" s="3" t="s">
        <v>13280</v>
      </c>
      <c r="W4336" s="45" t="str">
        <f>HYPERLINK("http://ictvonline.org/taxonomy/p/taxonomy-history?taxnode_id=201901744","ICTVonline=201901744")</f>
        <v>ICTVonline=201901744</v>
      </c>
      <c r="X4336" s="1" t="s">
        <v>13480</v>
      </c>
      <c r="Y4336" s="1" t="s">
        <v>13481</v>
      </c>
      <c r="Z4336" s="1" t="s">
        <v>11977</v>
      </c>
      <c r="AA4336" s="1">
        <v>201900000</v>
      </c>
      <c r="AB4336" s="1">
        <v>35</v>
      </c>
    </row>
    <row r="4337" spans="1:28" x14ac:dyDescent="0.2">
      <c r="A4337" s="1">
        <v>11110</v>
      </c>
      <c r="B4337" s="1" t="s">
        <v>6839</v>
      </c>
      <c r="D4337" s="1" t="s">
        <v>11735</v>
      </c>
      <c r="F4337" s="1" t="s">
        <v>5540</v>
      </c>
      <c r="G4337" s="1" t="s">
        <v>5541</v>
      </c>
      <c r="H4337" s="1" t="s">
        <v>5556</v>
      </c>
      <c r="J4337" s="1" t="s">
        <v>999</v>
      </c>
      <c r="L4337" s="1" t="s">
        <v>1425</v>
      </c>
      <c r="N4337" s="1" t="s">
        <v>4071</v>
      </c>
      <c r="P4337" s="1" t="s">
        <v>4072</v>
      </c>
      <c r="Q4337" s="3">
        <v>1</v>
      </c>
      <c r="R4337" s="23" t="s">
        <v>12893</v>
      </c>
      <c r="S4337" s="23" t="s">
        <v>6846</v>
      </c>
      <c r="T4337" s="23" t="s">
        <v>4866</v>
      </c>
      <c r="U4337" s="3">
        <v>35</v>
      </c>
      <c r="W4337" s="45" t="str">
        <f>HYPERLINK("http://ictvonline.org/taxonomy/p/taxonomy-history?taxnode_id=201901691","ICTVonline=201901691")</f>
        <v>ICTVonline=201901691</v>
      </c>
      <c r="X4337" s="1" t="s">
        <v>13482</v>
      </c>
      <c r="Y4337" s="1" t="s">
        <v>13483</v>
      </c>
      <c r="Z4337" s="1" t="s">
        <v>13484</v>
      </c>
      <c r="AA4337" s="1">
        <v>201900000</v>
      </c>
      <c r="AB4337" s="1">
        <v>35</v>
      </c>
    </row>
    <row r="4338" spans="1:28" x14ac:dyDescent="0.2">
      <c r="A4338" s="1">
        <v>11112</v>
      </c>
      <c r="B4338" s="1" t="s">
        <v>6839</v>
      </c>
      <c r="D4338" s="1" t="s">
        <v>11735</v>
      </c>
      <c r="F4338" s="1" t="s">
        <v>5540</v>
      </c>
      <c r="G4338" s="1" t="s">
        <v>5541</v>
      </c>
      <c r="H4338" s="1" t="s">
        <v>5556</v>
      </c>
      <c r="J4338" s="1" t="s">
        <v>999</v>
      </c>
      <c r="L4338" s="1" t="s">
        <v>1425</v>
      </c>
      <c r="N4338" s="1" t="s">
        <v>4071</v>
      </c>
      <c r="P4338" s="1" t="s">
        <v>4474</v>
      </c>
      <c r="Q4338" s="3">
        <v>0</v>
      </c>
      <c r="R4338" s="23" t="s">
        <v>12893</v>
      </c>
      <c r="S4338" s="23" t="s">
        <v>6846</v>
      </c>
      <c r="T4338" s="23" t="s">
        <v>4866</v>
      </c>
      <c r="U4338" s="3">
        <v>35</v>
      </c>
      <c r="W4338" s="45" t="str">
        <f>HYPERLINK("http://ictvonline.org/taxonomy/p/taxonomy-history?taxnode_id=201901692","ICTVonline=201901692")</f>
        <v>ICTVonline=201901692</v>
      </c>
      <c r="Y4338" s="1" t="s">
        <v>13485</v>
      </c>
      <c r="Z4338" s="1" t="s">
        <v>13486</v>
      </c>
      <c r="AA4338" s="1">
        <v>201900000</v>
      </c>
      <c r="AB4338" s="1">
        <v>35</v>
      </c>
    </row>
    <row r="4339" spans="1:28" x14ac:dyDescent="0.2">
      <c r="A4339" s="1">
        <v>11114</v>
      </c>
      <c r="B4339" s="1" t="s">
        <v>6839</v>
      </c>
      <c r="D4339" s="1" t="s">
        <v>11735</v>
      </c>
      <c r="F4339" s="1" t="s">
        <v>5540</v>
      </c>
      <c r="G4339" s="1" t="s">
        <v>5541</v>
      </c>
      <c r="H4339" s="1" t="s">
        <v>5556</v>
      </c>
      <c r="J4339" s="1" t="s">
        <v>999</v>
      </c>
      <c r="L4339" s="1" t="s">
        <v>1425</v>
      </c>
      <c r="N4339" s="1" t="s">
        <v>4071</v>
      </c>
      <c r="P4339" s="1" t="s">
        <v>4475</v>
      </c>
      <c r="Q4339" s="3">
        <v>0</v>
      </c>
      <c r="R4339" s="23" t="s">
        <v>12893</v>
      </c>
      <c r="S4339" s="23" t="s">
        <v>6846</v>
      </c>
      <c r="T4339" s="23" t="s">
        <v>4866</v>
      </c>
      <c r="U4339" s="3">
        <v>35</v>
      </c>
      <c r="W4339" s="45" t="str">
        <f>HYPERLINK("http://ictvonline.org/taxonomy/p/taxonomy-history?taxnode_id=201901693","ICTVonline=201901693")</f>
        <v>ICTVonline=201901693</v>
      </c>
      <c r="Y4339" s="1" t="s">
        <v>13487</v>
      </c>
      <c r="Z4339" s="1" t="s">
        <v>13488</v>
      </c>
      <c r="AA4339" s="1">
        <v>201900000</v>
      </c>
      <c r="AB4339" s="1">
        <v>35</v>
      </c>
    </row>
    <row r="4340" spans="1:28" x14ac:dyDescent="0.2">
      <c r="A4340" s="1">
        <v>11116</v>
      </c>
      <c r="B4340" s="1" t="s">
        <v>6839</v>
      </c>
      <c r="D4340" s="1" t="s">
        <v>11735</v>
      </c>
      <c r="F4340" s="1" t="s">
        <v>5540</v>
      </c>
      <c r="G4340" s="1" t="s">
        <v>5541</v>
      </c>
      <c r="H4340" s="1" t="s">
        <v>5556</v>
      </c>
      <c r="J4340" s="1" t="s">
        <v>999</v>
      </c>
      <c r="L4340" s="1" t="s">
        <v>1425</v>
      </c>
      <c r="N4340" s="1" t="s">
        <v>4071</v>
      </c>
      <c r="P4340" s="1" t="s">
        <v>13489</v>
      </c>
      <c r="Q4340" s="3">
        <v>0</v>
      </c>
      <c r="R4340" s="23" t="s">
        <v>12893</v>
      </c>
      <c r="S4340" s="23" t="s">
        <v>6846</v>
      </c>
      <c r="T4340" s="23" t="s">
        <v>4864</v>
      </c>
      <c r="U4340" s="3">
        <v>35</v>
      </c>
      <c r="V4340" s="3" t="s">
        <v>13490</v>
      </c>
      <c r="W4340" s="45" t="str">
        <f>HYPERLINK("http://ictvonline.org/taxonomy/p/taxonomy-history?taxnode_id=201907103","ICTVonline=201907103")</f>
        <v>ICTVonline=201907103</v>
      </c>
      <c r="X4340" s="1" t="s">
        <v>13491</v>
      </c>
      <c r="Y4340" s="1" t="s">
        <v>13492</v>
      </c>
      <c r="Z4340" s="1" t="s">
        <v>13493</v>
      </c>
      <c r="AA4340" s="1">
        <v>201900000</v>
      </c>
      <c r="AB4340" s="1">
        <v>35</v>
      </c>
    </row>
    <row r="4341" spans="1:28" x14ac:dyDescent="0.2">
      <c r="A4341" s="1">
        <v>11118</v>
      </c>
      <c r="B4341" s="1" t="s">
        <v>6839</v>
      </c>
      <c r="D4341" s="1" t="s">
        <v>11735</v>
      </c>
      <c r="F4341" s="1" t="s">
        <v>5540</v>
      </c>
      <c r="G4341" s="1" t="s">
        <v>5541</v>
      </c>
      <c r="H4341" s="1" t="s">
        <v>5556</v>
      </c>
      <c r="J4341" s="1" t="s">
        <v>999</v>
      </c>
      <c r="L4341" s="1" t="s">
        <v>1425</v>
      </c>
      <c r="N4341" s="1" t="s">
        <v>4071</v>
      </c>
      <c r="P4341" s="1" t="s">
        <v>4476</v>
      </c>
      <c r="Q4341" s="3">
        <v>0</v>
      </c>
      <c r="R4341" s="23" t="s">
        <v>12893</v>
      </c>
      <c r="S4341" s="23" t="s">
        <v>6846</v>
      </c>
      <c r="T4341" s="23" t="s">
        <v>4866</v>
      </c>
      <c r="U4341" s="3">
        <v>35</v>
      </c>
      <c r="W4341" s="45" t="str">
        <f>HYPERLINK("http://ictvonline.org/taxonomy/p/taxonomy-history?taxnode_id=201901694","ICTVonline=201901694")</f>
        <v>ICTVonline=201901694</v>
      </c>
      <c r="Y4341" s="1" t="s">
        <v>13494</v>
      </c>
      <c r="Z4341" s="1" t="s">
        <v>13495</v>
      </c>
      <c r="AA4341" s="1">
        <v>201900000</v>
      </c>
      <c r="AB4341" s="1">
        <v>35</v>
      </c>
    </row>
    <row r="4342" spans="1:28" x14ac:dyDescent="0.2">
      <c r="A4342" s="1">
        <v>11120</v>
      </c>
      <c r="B4342" s="1" t="s">
        <v>6839</v>
      </c>
      <c r="D4342" s="1" t="s">
        <v>11735</v>
      </c>
      <c r="F4342" s="1" t="s">
        <v>5540</v>
      </c>
      <c r="G4342" s="1" t="s">
        <v>5541</v>
      </c>
      <c r="H4342" s="1" t="s">
        <v>5556</v>
      </c>
      <c r="J4342" s="1" t="s">
        <v>999</v>
      </c>
      <c r="L4342" s="1" t="s">
        <v>1425</v>
      </c>
      <c r="N4342" s="1" t="s">
        <v>4071</v>
      </c>
      <c r="P4342" s="1" t="s">
        <v>4477</v>
      </c>
      <c r="Q4342" s="3">
        <v>0</v>
      </c>
      <c r="R4342" s="23" t="s">
        <v>12893</v>
      </c>
      <c r="S4342" s="23" t="s">
        <v>6846</v>
      </c>
      <c r="T4342" s="23" t="s">
        <v>4866</v>
      </c>
      <c r="U4342" s="3">
        <v>35</v>
      </c>
      <c r="W4342" s="45" t="str">
        <f>HYPERLINK("http://ictvonline.org/taxonomy/p/taxonomy-history?taxnode_id=201901695","ICTVonline=201901695")</f>
        <v>ICTVonline=201901695</v>
      </c>
      <c r="Y4342" s="1" t="s">
        <v>13496</v>
      </c>
      <c r="Z4342" s="1" t="s">
        <v>13497</v>
      </c>
      <c r="AA4342" s="1">
        <v>201900000</v>
      </c>
      <c r="AB4342" s="1">
        <v>35</v>
      </c>
    </row>
    <row r="4343" spans="1:28" x14ac:dyDescent="0.2">
      <c r="A4343" s="1">
        <v>11122</v>
      </c>
      <c r="B4343" s="1" t="s">
        <v>6839</v>
      </c>
      <c r="D4343" s="1" t="s">
        <v>11735</v>
      </c>
      <c r="F4343" s="1" t="s">
        <v>5540</v>
      </c>
      <c r="G4343" s="1" t="s">
        <v>5541</v>
      </c>
      <c r="H4343" s="1" t="s">
        <v>5556</v>
      </c>
      <c r="J4343" s="1" t="s">
        <v>999</v>
      </c>
      <c r="L4343" s="1" t="s">
        <v>1425</v>
      </c>
      <c r="N4343" s="1" t="s">
        <v>4071</v>
      </c>
      <c r="P4343" s="1" t="s">
        <v>4478</v>
      </c>
      <c r="Q4343" s="3">
        <v>0</v>
      </c>
      <c r="R4343" s="23" t="s">
        <v>12893</v>
      </c>
      <c r="S4343" s="23" t="s">
        <v>6846</v>
      </c>
      <c r="T4343" s="23" t="s">
        <v>4866</v>
      </c>
      <c r="U4343" s="3">
        <v>35</v>
      </c>
      <c r="W4343" s="45" t="str">
        <f>HYPERLINK("http://ictvonline.org/taxonomy/p/taxonomy-history?taxnode_id=201901696","ICTVonline=201901696")</f>
        <v>ICTVonline=201901696</v>
      </c>
      <c r="Y4343" s="1" t="s">
        <v>13498</v>
      </c>
      <c r="Z4343" s="1" t="s">
        <v>13499</v>
      </c>
      <c r="AA4343" s="1">
        <v>201900000</v>
      </c>
      <c r="AB4343" s="1">
        <v>35</v>
      </c>
    </row>
    <row r="4344" spans="1:28" x14ac:dyDescent="0.2">
      <c r="A4344" s="1">
        <v>11124</v>
      </c>
      <c r="B4344" s="1" t="s">
        <v>6839</v>
      </c>
      <c r="D4344" s="1" t="s">
        <v>11735</v>
      </c>
      <c r="F4344" s="1" t="s">
        <v>5540</v>
      </c>
      <c r="G4344" s="1" t="s">
        <v>5541</v>
      </c>
      <c r="H4344" s="1" t="s">
        <v>5556</v>
      </c>
      <c r="J4344" s="1" t="s">
        <v>999</v>
      </c>
      <c r="L4344" s="1" t="s">
        <v>1425</v>
      </c>
      <c r="N4344" s="1" t="s">
        <v>4071</v>
      </c>
      <c r="P4344" s="1" t="s">
        <v>4479</v>
      </c>
      <c r="Q4344" s="3">
        <v>0</v>
      </c>
      <c r="R4344" s="23" t="s">
        <v>12893</v>
      </c>
      <c r="S4344" s="23" t="s">
        <v>6846</v>
      </c>
      <c r="T4344" s="23" t="s">
        <v>4866</v>
      </c>
      <c r="U4344" s="3">
        <v>35</v>
      </c>
      <c r="W4344" s="45" t="str">
        <f>HYPERLINK("http://ictvonline.org/taxonomy/p/taxonomy-history?taxnode_id=201901697","ICTVonline=201901697")</f>
        <v>ICTVonline=201901697</v>
      </c>
      <c r="Y4344" s="1" t="s">
        <v>13500</v>
      </c>
      <c r="Z4344" s="1" t="s">
        <v>13501</v>
      </c>
      <c r="AA4344" s="1">
        <v>201900000</v>
      </c>
      <c r="AB4344" s="1">
        <v>35</v>
      </c>
    </row>
    <row r="4345" spans="1:28" x14ac:dyDescent="0.2">
      <c r="A4345" s="1">
        <v>11126</v>
      </c>
      <c r="B4345" s="1" t="s">
        <v>6839</v>
      </c>
      <c r="D4345" s="1" t="s">
        <v>11735</v>
      </c>
      <c r="F4345" s="1" t="s">
        <v>5540</v>
      </c>
      <c r="G4345" s="1" t="s">
        <v>5541</v>
      </c>
      <c r="H4345" s="1" t="s">
        <v>5556</v>
      </c>
      <c r="J4345" s="1" t="s">
        <v>999</v>
      </c>
      <c r="L4345" s="1" t="s">
        <v>1425</v>
      </c>
      <c r="N4345" s="1" t="s">
        <v>4071</v>
      </c>
      <c r="P4345" s="1" t="s">
        <v>4480</v>
      </c>
      <c r="Q4345" s="3">
        <v>0</v>
      </c>
      <c r="R4345" s="23" t="s">
        <v>12893</v>
      </c>
      <c r="S4345" s="23" t="s">
        <v>6846</v>
      </c>
      <c r="T4345" s="23" t="s">
        <v>4866</v>
      </c>
      <c r="U4345" s="3">
        <v>35</v>
      </c>
      <c r="W4345" s="45" t="str">
        <f>HYPERLINK("http://ictvonline.org/taxonomy/p/taxonomy-history?taxnode_id=201901698","ICTVonline=201901698")</f>
        <v>ICTVonline=201901698</v>
      </c>
      <c r="Y4345" s="1" t="s">
        <v>13502</v>
      </c>
      <c r="Z4345" s="1" t="s">
        <v>13503</v>
      </c>
      <c r="AA4345" s="1">
        <v>201900000</v>
      </c>
      <c r="AB4345" s="1">
        <v>35</v>
      </c>
    </row>
    <row r="4346" spans="1:28" x14ac:dyDescent="0.2">
      <c r="A4346" s="1">
        <v>11128</v>
      </c>
      <c r="B4346" s="1" t="s">
        <v>6839</v>
      </c>
      <c r="D4346" s="1" t="s">
        <v>11735</v>
      </c>
      <c r="F4346" s="1" t="s">
        <v>5540</v>
      </c>
      <c r="G4346" s="1" t="s">
        <v>5541</v>
      </c>
      <c r="H4346" s="1" t="s">
        <v>5556</v>
      </c>
      <c r="J4346" s="1" t="s">
        <v>999</v>
      </c>
      <c r="L4346" s="1" t="s">
        <v>1425</v>
      </c>
      <c r="N4346" s="1" t="s">
        <v>4071</v>
      </c>
      <c r="P4346" s="1" t="s">
        <v>4481</v>
      </c>
      <c r="Q4346" s="3">
        <v>0</v>
      </c>
      <c r="R4346" s="23" t="s">
        <v>12893</v>
      </c>
      <c r="S4346" s="23" t="s">
        <v>6846</v>
      </c>
      <c r="T4346" s="23" t="s">
        <v>4866</v>
      </c>
      <c r="U4346" s="3">
        <v>35</v>
      </c>
      <c r="W4346" s="45" t="str">
        <f>HYPERLINK("http://ictvonline.org/taxonomy/p/taxonomy-history?taxnode_id=201901699","ICTVonline=201901699")</f>
        <v>ICTVonline=201901699</v>
      </c>
      <c r="Y4346" s="1" t="s">
        <v>13504</v>
      </c>
      <c r="Z4346" s="1" t="s">
        <v>13505</v>
      </c>
      <c r="AA4346" s="1">
        <v>201900000</v>
      </c>
      <c r="AB4346" s="1">
        <v>35</v>
      </c>
    </row>
    <row r="4347" spans="1:28" x14ac:dyDescent="0.2">
      <c r="A4347" s="1">
        <v>11130</v>
      </c>
      <c r="B4347" s="1" t="s">
        <v>6839</v>
      </c>
      <c r="D4347" s="1" t="s">
        <v>11735</v>
      </c>
      <c r="F4347" s="1" t="s">
        <v>5540</v>
      </c>
      <c r="G4347" s="1" t="s">
        <v>5541</v>
      </c>
      <c r="H4347" s="1" t="s">
        <v>5556</v>
      </c>
      <c r="J4347" s="1" t="s">
        <v>999</v>
      </c>
      <c r="L4347" s="1" t="s">
        <v>1425</v>
      </c>
      <c r="N4347" s="1" t="s">
        <v>4071</v>
      </c>
      <c r="P4347" s="1" t="s">
        <v>4482</v>
      </c>
      <c r="Q4347" s="3">
        <v>0</v>
      </c>
      <c r="R4347" s="23" t="s">
        <v>12893</v>
      </c>
      <c r="S4347" s="23" t="s">
        <v>6846</v>
      </c>
      <c r="T4347" s="23" t="s">
        <v>4866</v>
      </c>
      <c r="U4347" s="3">
        <v>35</v>
      </c>
      <c r="W4347" s="45" t="str">
        <f>HYPERLINK("http://ictvonline.org/taxonomy/p/taxonomy-history?taxnode_id=201901700","ICTVonline=201901700")</f>
        <v>ICTVonline=201901700</v>
      </c>
      <c r="Y4347" s="1" t="s">
        <v>13506</v>
      </c>
      <c r="Z4347" s="1" t="s">
        <v>13507</v>
      </c>
      <c r="AA4347" s="1">
        <v>201900000</v>
      </c>
      <c r="AB4347" s="1">
        <v>35</v>
      </c>
    </row>
    <row r="4348" spans="1:28" x14ac:dyDescent="0.2">
      <c r="A4348" s="1">
        <v>11132</v>
      </c>
      <c r="B4348" s="1" t="s">
        <v>6839</v>
      </c>
      <c r="D4348" s="1" t="s">
        <v>11735</v>
      </c>
      <c r="F4348" s="1" t="s">
        <v>5540</v>
      </c>
      <c r="G4348" s="1" t="s">
        <v>5541</v>
      </c>
      <c r="H4348" s="1" t="s">
        <v>5556</v>
      </c>
      <c r="J4348" s="1" t="s">
        <v>999</v>
      </c>
      <c r="L4348" s="1" t="s">
        <v>1425</v>
      </c>
      <c r="N4348" s="1" t="s">
        <v>4071</v>
      </c>
      <c r="P4348" s="1" t="s">
        <v>4483</v>
      </c>
      <c r="Q4348" s="3">
        <v>0</v>
      </c>
      <c r="R4348" s="23" t="s">
        <v>12893</v>
      </c>
      <c r="S4348" s="23" t="s">
        <v>6846</v>
      </c>
      <c r="T4348" s="23" t="s">
        <v>4866</v>
      </c>
      <c r="U4348" s="3">
        <v>35</v>
      </c>
      <c r="W4348" s="45" t="str">
        <f>HYPERLINK("http://ictvonline.org/taxonomy/p/taxonomy-history?taxnode_id=201901701","ICTVonline=201901701")</f>
        <v>ICTVonline=201901701</v>
      </c>
      <c r="Y4348" s="1" t="s">
        <v>13508</v>
      </c>
      <c r="Z4348" s="1" t="s">
        <v>13509</v>
      </c>
      <c r="AA4348" s="1">
        <v>201900000</v>
      </c>
      <c r="AB4348" s="1">
        <v>35</v>
      </c>
    </row>
    <row r="4349" spans="1:28" x14ac:dyDescent="0.2">
      <c r="A4349" s="1">
        <v>11134</v>
      </c>
      <c r="B4349" s="1" t="s">
        <v>6839</v>
      </c>
      <c r="D4349" s="1" t="s">
        <v>11735</v>
      </c>
      <c r="F4349" s="1" t="s">
        <v>5540</v>
      </c>
      <c r="G4349" s="1" t="s">
        <v>5541</v>
      </c>
      <c r="H4349" s="1" t="s">
        <v>5556</v>
      </c>
      <c r="J4349" s="1" t="s">
        <v>999</v>
      </c>
      <c r="L4349" s="1" t="s">
        <v>1425</v>
      </c>
      <c r="N4349" s="1" t="s">
        <v>4071</v>
      </c>
      <c r="P4349" s="1" t="s">
        <v>4073</v>
      </c>
      <c r="Q4349" s="3">
        <v>0</v>
      </c>
      <c r="R4349" s="23" t="s">
        <v>12893</v>
      </c>
      <c r="S4349" s="23" t="s">
        <v>6846</v>
      </c>
      <c r="T4349" s="23" t="s">
        <v>4866</v>
      </c>
      <c r="U4349" s="3">
        <v>35</v>
      </c>
      <c r="W4349" s="45" t="str">
        <f>HYPERLINK("http://ictvonline.org/taxonomy/p/taxonomy-history?taxnode_id=201901702","ICTVonline=201901702")</f>
        <v>ICTVonline=201901702</v>
      </c>
      <c r="X4349" s="1" t="s">
        <v>13510</v>
      </c>
      <c r="Y4349" s="1" t="s">
        <v>13511</v>
      </c>
      <c r="Z4349" s="1" t="s">
        <v>13512</v>
      </c>
      <c r="AA4349" s="1">
        <v>201900000</v>
      </c>
      <c r="AB4349" s="1">
        <v>35</v>
      </c>
    </row>
    <row r="4350" spans="1:28" x14ac:dyDescent="0.2">
      <c r="A4350" s="1">
        <v>11136</v>
      </c>
      <c r="B4350" s="1" t="s">
        <v>6839</v>
      </c>
      <c r="D4350" s="1" t="s">
        <v>11735</v>
      </c>
      <c r="F4350" s="1" t="s">
        <v>5540</v>
      </c>
      <c r="G4350" s="1" t="s">
        <v>5541</v>
      </c>
      <c r="H4350" s="1" t="s">
        <v>5556</v>
      </c>
      <c r="J4350" s="1" t="s">
        <v>999</v>
      </c>
      <c r="L4350" s="1" t="s">
        <v>1425</v>
      </c>
      <c r="N4350" s="1" t="s">
        <v>4071</v>
      </c>
      <c r="P4350" s="1" t="s">
        <v>4484</v>
      </c>
      <c r="Q4350" s="3">
        <v>0</v>
      </c>
      <c r="R4350" s="23" t="s">
        <v>12893</v>
      </c>
      <c r="S4350" s="23" t="s">
        <v>6846</v>
      </c>
      <c r="T4350" s="23" t="s">
        <v>4866</v>
      </c>
      <c r="U4350" s="3">
        <v>35</v>
      </c>
      <c r="W4350" s="45" t="str">
        <f>HYPERLINK("http://ictvonline.org/taxonomy/p/taxonomy-history?taxnode_id=201901703","ICTVonline=201901703")</f>
        <v>ICTVonline=201901703</v>
      </c>
      <c r="Y4350" s="1" t="s">
        <v>13513</v>
      </c>
      <c r="Z4350" s="1" t="s">
        <v>13514</v>
      </c>
      <c r="AA4350" s="1">
        <v>201900000</v>
      </c>
      <c r="AB4350" s="1">
        <v>35</v>
      </c>
    </row>
    <row r="4351" spans="1:28" x14ac:dyDescent="0.2">
      <c r="A4351" s="1">
        <v>11138</v>
      </c>
      <c r="B4351" s="1" t="s">
        <v>6839</v>
      </c>
      <c r="D4351" s="1" t="s">
        <v>11735</v>
      </c>
      <c r="F4351" s="1" t="s">
        <v>5540</v>
      </c>
      <c r="G4351" s="1" t="s">
        <v>5541</v>
      </c>
      <c r="H4351" s="1" t="s">
        <v>5556</v>
      </c>
      <c r="J4351" s="1" t="s">
        <v>999</v>
      </c>
      <c r="L4351" s="1" t="s">
        <v>1425</v>
      </c>
      <c r="N4351" s="1" t="s">
        <v>4071</v>
      </c>
      <c r="P4351" s="1" t="s">
        <v>4485</v>
      </c>
      <c r="Q4351" s="3">
        <v>0</v>
      </c>
      <c r="R4351" s="23" t="s">
        <v>12893</v>
      </c>
      <c r="S4351" s="23" t="s">
        <v>6846</v>
      </c>
      <c r="T4351" s="23" t="s">
        <v>4866</v>
      </c>
      <c r="U4351" s="3">
        <v>35</v>
      </c>
      <c r="W4351" s="45" t="str">
        <f>HYPERLINK("http://ictvonline.org/taxonomy/p/taxonomy-history?taxnode_id=201901704","ICTVonline=201901704")</f>
        <v>ICTVonline=201901704</v>
      </c>
      <c r="Y4351" s="1" t="s">
        <v>13515</v>
      </c>
      <c r="Z4351" s="1" t="s">
        <v>13516</v>
      </c>
      <c r="AA4351" s="1">
        <v>201900000</v>
      </c>
      <c r="AB4351" s="1">
        <v>35</v>
      </c>
    </row>
    <row r="4352" spans="1:28" x14ac:dyDescent="0.2">
      <c r="A4352" s="1">
        <v>11140</v>
      </c>
      <c r="B4352" s="1" t="s">
        <v>6839</v>
      </c>
      <c r="D4352" s="1" t="s">
        <v>11735</v>
      </c>
      <c r="F4352" s="1" t="s">
        <v>5540</v>
      </c>
      <c r="G4352" s="1" t="s">
        <v>5541</v>
      </c>
      <c r="H4352" s="1" t="s">
        <v>5556</v>
      </c>
      <c r="J4352" s="1" t="s">
        <v>999</v>
      </c>
      <c r="L4352" s="1" t="s">
        <v>1425</v>
      </c>
      <c r="N4352" s="1" t="s">
        <v>4071</v>
      </c>
      <c r="P4352" s="1" t="s">
        <v>4074</v>
      </c>
      <c r="Q4352" s="3">
        <v>0</v>
      </c>
      <c r="R4352" s="23" t="s">
        <v>12893</v>
      </c>
      <c r="S4352" s="23" t="s">
        <v>6846</v>
      </c>
      <c r="T4352" s="23" t="s">
        <v>4866</v>
      </c>
      <c r="U4352" s="3">
        <v>35</v>
      </c>
      <c r="W4352" s="45" t="str">
        <f>HYPERLINK("http://ictvonline.org/taxonomy/p/taxonomy-history?taxnode_id=201901705","ICTVonline=201901705")</f>
        <v>ICTVonline=201901705</v>
      </c>
      <c r="Y4352" s="1" t="s">
        <v>13517</v>
      </c>
      <c r="Z4352" s="1" t="s">
        <v>13518</v>
      </c>
      <c r="AA4352" s="1">
        <v>201900000</v>
      </c>
      <c r="AB4352" s="1">
        <v>35</v>
      </c>
    </row>
    <row r="4353" spans="1:28" x14ac:dyDescent="0.2">
      <c r="A4353" s="1">
        <v>11144</v>
      </c>
      <c r="B4353" s="1" t="s">
        <v>6839</v>
      </c>
      <c r="D4353" s="1" t="s">
        <v>11735</v>
      </c>
      <c r="F4353" s="1" t="s">
        <v>5540</v>
      </c>
      <c r="G4353" s="1" t="s">
        <v>5541</v>
      </c>
      <c r="H4353" s="1" t="s">
        <v>5556</v>
      </c>
      <c r="J4353" s="1" t="s">
        <v>999</v>
      </c>
      <c r="L4353" s="1" t="s">
        <v>1425</v>
      </c>
      <c r="N4353" s="1" t="s">
        <v>4486</v>
      </c>
      <c r="P4353" s="1" t="s">
        <v>4487</v>
      </c>
      <c r="Q4353" s="3">
        <v>0</v>
      </c>
      <c r="R4353" s="23" t="s">
        <v>12893</v>
      </c>
      <c r="S4353" s="23" t="s">
        <v>6846</v>
      </c>
      <c r="T4353" s="23" t="s">
        <v>4866</v>
      </c>
      <c r="U4353" s="3">
        <v>35</v>
      </c>
      <c r="W4353" s="45" t="str">
        <f>HYPERLINK("http://ictvonline.org/taxonomy/p/taxonomy-history?taxnode_id=201901707","ICTVonline=201901707")</f>
        <v>ICTVonline=201901707</v>
      </c>
      <c r="Y4353" s="1" t="s">
        <v>13519</v>
      </c>
      <c r="Z4353" s="1" t="s">
        <v>13520</v>
      </c>
      <c r="AA4353" s="1">
        <v>201900000</v>
      </c>
      <c r="AB4353" s="1">
        <v>35</v>
      </c>
    </row>
    <row r="4354" spans="1:28" x14ac:dyDescent="0.2">
      <c r="A4354" s="1">
        <v>11146</v>
      </c>
      <c r="B4354" s="1" t="s">
        <v>6839</v>
      </c>
      <c r="D4354" s="1" t="s">
        <v>11735</v>
      </c>
      <c r="F4354" s="1" t="s">
        <v>5540</v>
      </c>
      <c r="G4354" s="1" t="s">
        <v>5541</v>
      </c>
      <c r="H4354" s="1" t="s">
        <v>5556</v>
      </c>
      <c r="J4354" s="1" t="s">
        <v>999</v>
      </c>
      <c r="L4354" s="1" t="s">
        <v>1425</v>
      </c>
      <c r="N4354" s="1" t="s">
        <v>4486</v>
      </c>
      <c r="P4354" s="1" t="s">
        <v>4488</v>
      </c>
      <c r="Q4354" s="3">
        <v>0</v>
      </c>
      <c r="R4354" s="23" t="s">
        <v>12893</v>
      </c>
      <c r="S4354" s="23" t="s">
        <v>6846</v>
      </c>
      <c r="T4354" s="23" t="s">
        <v>4866</v>
      </c>
      <c r="U4354" s="3">
        <v>35</v>
      </c>
      <c r="W4354" s="45" t="str">
        <f>HYPERLINK("http://ictvonline.org/taxonomy/p/taxonomy-history?taxnode_id=201901708","ICTVonline=201901708")</f>
        <v>ICTVonline=201901708</v>
      </c>
      <c r="Y4354" s="1" t="s">
        <v>13521</v>
      </c>
      <c r="Z4354" s="1" t="s">
        <v>13522</v>
      </c>
      <c r="AA4354" s="1">
        <v>201900000</v>
      </c>
      <c r="AB4354" s="1">
        <v>35</v>
      </c>
    </row>
    <row r="4355" spans="1:28" x14ac:dyDescent="0.2">
      <c r="A4355" s="1">
        <v>11148</v>
      </c>
      <c r="B4355" s="1" t="s">
        <v>6839</v>
      </c>
      <c r="D4355" s="1" t="s">
        <v>11735</v>
      </c>
      <c r="F4355" s="1" t="s">
        <v>5540</v>
      </c>
      <c r="G4355" s="1" t="s">
        <v>5541</v>
      </c>
      <c r="H4355" s="1" t="s">
        <v>5556</v>
      </c>
      <c r="J4355" s="1" t="s">
        <v>999</v>
      </c>
      <c r="L4355" s="1" t="s">
        <v>1425</v>
      </c>
      <c r="N4355" s="1" t="s">
        <v>4486</v>
      </c>
      <c r="P4355" s="1" t="s">
        <v>4489</v>
      </c>
      <c r="Q4355" s="3">
        <v>0</v>
      </c>
      <c r="R4355" s="23" t="s">
        <v>12893</v>
      </c>
      <c r="S4355" s="23" t="s">
        <v>6846</v>
      </c>
      <c r="T4355" s="23" t="s">
        <v>4866</v>
      </c>
      <c r="U4355" s="3">
        <v>35</v>
      </c>
      <c r="W4355" s="45" t="str">
        <f>HYPERLINK("http://ictvonline.org/taxonomy/p/taxonomy-history?taxnode_id=201901709","ICTVonline=201901709")</f>
        <v>ICTVonline=201901709</v>
      </c>
      <c r="Y4355" s="1" t="s">
        <v>13523</v>
      </c>
      <c r="Z4355" s="1" t="s">
        <v>13524</v>
      </c>
      <c r="AA4355" s="1">
        <v>201900000</v>
      </c>
      <c r="AB4355" s="1">
        <v>35</v>
      </c>
    </row>
    <row r="4356" spans="1:28" x14ac:dyDescent="0.2">
      <c r="A4356" s="1">
        <v>11150</v>
      </c>
      <c r="B4356" s="1" t="s">
        <v>6839</v>
      </c>
      <c r="D4356" s="1" t="s">
        <v>11735</v>
      </c>
      <c r="F4356" s="1" t="s">
        <v>5540</v>
      </c>
      <c r="G4356" s="1" t="s">
        <v>5541</v>
      </c>
      <c r="H4356" s="1" t="s">
        <v>5556</v>
      </c>
      <c r="J4356" s="1" t="s">
        <v>999</v>
      </c>
      <c r="L4356" s="1" t="s">
        <v>1425</v>
      </c>
      <c r="N4356" s="1" t="s">
        <v>4486</v>
      </c>
      <c r="P4356" s="1" t="s">
        <v>5038</v>
      </c>
      <c r="Q4356" s="3">
        <v>0</v>
      </c>
      <c r="R4356" s="23" t="s">
        <v>12893</v>
      </c>
      <c r="S4356" s="23" t="s">
        <v>6846</v>
      </c>
      <c r="T4356" s="23" t="s">
        <v>4866</v>
      </c>
      <c r="U4356" s="3">
        <v>35</v>
      </c>
      <c r="W4356" s="45" t="str">
        <f>HYPERLINK("http://ictvonline.org/taxonomy/p/taxonomy-history?taxnode_id=201905580","ICTVonline=201905580")</f>
        <v>ICTVonline=201905580</v>
      </c>
      <c r="AA4356" s="1">
        <v>201900000</v>
      </c>
      <c r="AB4356" s="1">
        <v>35</v>
      </c>
    </row>
    <row r="4357" spans="1:28" x14ac:dyDescent="0.2">
      <c r="A4357" s="1">
        <v>11152</v>
      </c>
      <c r="B4357" s="1" t="s">
        <v>6839</v>
      </c>
      <c r="D4357" s="1" t="s">
        <v>11735</v>
      </c>
      <c r="F4357" s="1" t="s">
        <v>5540</v>
      </c>
      <c r="G4357" s="1" t="s">
        <v>5541</v>
      </c>
      <c r="H4357" s="1" t="s">
        <v>5556</v>
      </c>
      <c r="J4357" s="1" t="s">
        <v>999</v>
      </c>
      <c r="L4357" s="1" t="s">
        <v>1425</v>
      </c>
      <c r="N4357" s="1" t="s">
        <v>4486</v>
      </c>
      <c r="P4357" s="1" t="s">
        <v>4490</v>
      </c>
      <c r="Q4357" s="3">
        <v>0</v>
      </c>
      <c r="R4357" s="23" t="s">
        <v>12893</v>
      </c>
      <c r="S4357" s="23" t="s">
        <v>6846</v>
      </c>
      <c r="T4357" s="23" t="s">
        <v>4866</v>
      </c>
      <c r="U4357" s="3">
        <v>35</v>
      </c>
      <c r="W4357" s="45" t="str">
        <f>HYPERLINK("http://ictvonline.org/taxonomy/p/taxonomy-history?taxnode_id=201901710","ICTVonline=201901710")</f>
        <v>ICTVonline=201901710</v>
      </c>
      <c r="Y4357" s="1" t="s">
        <v>13525</v>
      </c>
      <c r="Z4357" s="1" t="s">
        <v>13526</v>
      </c>
      <c r="AA4357" s="1">
        <v>201900000</v>
      </c>
      <c r="AB4357" s="1">
        <v>35</v>
      </c>
    </row>
    <row r="4358" spans="1:28" x14ac:dyDescent="0.2">
      <c r="A4358" s="1">
        <v>11154</v>
      </c>
      <c r="B4358" s="1" t="s">
        <v>6839</v>
      </c>
      <c r="D4358" s="1" t="s">
        <v>11735</v>
      </c>
      <c r="F4358" s="1" t="s">
        <v>5540</v>
      </c>
      <c r="G4358" s="1" t="s">
        <v>5541</v>
      </c>
      <c r="H4358" s="1" t="s">
        <v>5556</v>
      </c>
      <c r="J4358" s="1" t="s">
        <v>999</v>
      </c>
      <c r="L4358" s="1" t="s">
        <v>1425</v>
      </c>
      <c r="N4358" s="1" t="s">
        <v>4486</v>
      </c>
      <c r="P4358" s="1" t="s">
        <v>4491</v>
      </c>
      <c r="Q4358" s="3">
        <v>0</v>
      </c>
      <c r="R4358" s="23" t="s">
        <v>12893</v>
      </c>
      <c r="S4358" s="23" t="s">
        <v>6846</v>
      </c>
      <c r="T4358" s="23" t="s">
        <v>4866</v>
      </c>
      <c r="U4358" s="3">
        <v>35</v>
      </c>
      <c r="W4358" s="45" t="str">
        <f>HYPERLINK("http://ictvonline.org/taxonomy/p/taxonomy-history?taxnode_id=201901711","ICTVonline=201901711")</f>
        <v>ICTVonline=201901711</v>
      </c>
      <c r="Y4358" s="1" t="s">
        <v>13527</v>
      </c>
      <c r="Z4358" s="1" t="s">
        <v>13528</v>
      </c>
      <c r="AA4358" s="1">
        <v>201900000</v>
      </c>
      <c r="AB4358" s="1">
        <v>35</v>
      </c>
    </row>
    <row r="4359" spans="1:28" x14ac:dyDescent="0.2">
      <c r="A4359" s="1">
        <v>11156</v>
      </c>
      <c r="B4359" s="1" t="s">
        <v>6839</v>
      </c>
      <c r="D4359" s="1" t="s">
        <v>11735</v>
      </c>
      <c r="F4359" s="1" t="s">
        <v>5540</v>
      </c>
      <c r="G4359" s="1" t="s">
        <v>5541</v>
      </c>
      <c r="H4359" s="1" t="s">
        <v>5556</v>
      </c>
      <c r="J4359" s="1" t="s">
        <v>999</v>
      </c>
      <c r="L4359" s="1" t="s">
        <v>1425</v>
      </c>
      <c r="N4359" s="1" t="s">
        <v>4486</v>
      </c>
      <c r="P4359" s="1" t="s">
        <v>4492</v>
      </c>
      <c r="Q4359" s="3">
        <v>0</v>
      </c>
      <c r="R4359" s="23" t="s">
        <v>12893</v>
      </c>
      <c r="S4359" s="23" t="s">
        <v>6846</v>
      </c>
      <c r="T4359" s="23" t="s">
        <v>4866</v>
      </c>
      <c r="U4359" s="3">
        <v>35</v>
      </c>
      <c r="W4359" s="45" t="str">
        <f>HYPERLINK("http://ictvonline.org/taxonomy/p/taxonomy-history?taxnode_id=201901712","ICTVonline=201901712")</f>
        <v>ICTVonline=201901712</v>
      </c>
      <c r="Y4359" s="1" t="s">
        <v>13529</v>
      </c>
      <c r="Z4359" s="1" t="s">
        <v>13530</v>
      </c>
      <c r="AA4359" s="1">
        <v>201900000</v>
      </c>
      <c r="AB4359" s="1">
        <v>35</v>
      </c>
    </row>
    <row r="4360" spans="1:28" x14ac:dyDescent="0.2">
      <c r="A4360" s="1">
        <v>11158</v>
      </c>
      <c r="B4360" s="1" t="s">
        <v>6839</v>
      </c>
      <c r="D4360" s="1" t="s">
        <v>11735</v>
      </c>
      <c r="F4360" s="1" t="s">
        <v>5540</v>
      </c>
      <c r="G4360" s="1" t="s">
        <v>5541</v>
      </c>
      <c r="H4360" s="1" t="s">
        <v>5556</v>
      </c>
      <c r="J4360" s="1" t="s">
        <v>999</v>
      </c>
      <c r="L4360" s="1" t="s">
        <v>1425</v>
      </c>
      <c r="N4360" s="1" t="s">
        <v>4486</v>
      </c>
      <c r="P4360" s="1" t="s">
        <v>4493</v>
      </c>
      <c r="Q4360" s="3">
        <v>0</v>
      </c>
      <c r="R4360" s="23" t="s">
        <v>12893</v>
      </c>
      <c r="S4360" s="23" t="s">
        <v>6846</v>
      </c>
      <c r="T4360" s="23" t="s">
        <v>4866</v>
      </c>
      <c r="U4360" s="3">
        <v>35</v>
      </c>
      <c r="W4360" s="45" t="str">
        <f>HYPERLINK("http://ictvonline.org/taxonomy/p/taxonomy-history?taxnode_id=201901713","ICTVonline=201901713")</f>
        <v>ICTVonline=201901713</v>
      </c>
      <c r="Y4360" s="1" t="s">
        <v>13531</v>
      </c>
      <c r="Z4360" s="1" t="s">
        <v>13532</v>
      </c>
      <c r="AA4360" s="1">
        <v>201900000</v>
      </c>
      <c r="AB4360" s="1">
        <v>35</v>
      </c>
    </row>
    <row r="4361" spans="1:28" x14ac:dyDescent="0.2">
      <c r="A4361" s="1">
        <v>11160</v>
      </c>
      <c r="B4361" s="1" t="s">
        <v>6839</v>
      </c>
      <c r="D4361" s="1" t="s">
        <v>11735</v>
      </c>
      <c r="F4361" s="1" t="s">
        <v>5540</v>
      </c>
      <c r="G4361" s="1" t="s">
        <v>5541</v>
      </c>
      <c r="H4361" s="1" t="s">
        <v>5556</v>
      </c>
      <c r="J4361" s="1" t="s">
        <v>999</v>
      </c>
      <c r="L4361" s="1" t="s">
        <v>1425</v>
      </c>
      <c r="N4361" s="1" t="s">
        <v>4486</v>
      </c>
      <c r="P4361" s="1" t="s">
        <v>4494</v>
      </c>
      <c r="Q4361" s="3">
        <v>1</v>
      </c>
      <c r="R4361" s="23" t="s">
        <v>12893</v>
      </c>
      <c r="S4361" s="23" t="s">
        <v>6846</v>
      </c>
      <c r="T4361" s="23" t="s">
        <v>4866</v>
      </c>
      <c r="U4361" s="3">
        <v>35</v>
      </c>
      <c r="W4361" s="45" t="str">
        <f>HYPERLINK("http://ictvonline.org/taxonomy/p/taxonomy-history?taxnode_id=201901714","ICTVonline=201901714")</f>
        <v>ICTVonline=201901714</v>
      </c>
      <c r="Y4361" s="1" t="s">
        <v>13533</v>
      </c>
      <c r="Z4361" s="1" t="s">
        <v>13534</v>
      </c>
      <c r="AA4361" s="1">
        <v>201900000</v>
      </c>
      <c r="AB4361" s="1">
        <v>35</v>
      </c>
    </row>
    <row r="4362" spans="1:28" x14ac:dyDescent="0.2">
      <c r="A4362" s="1">
        <v>11162</v>
      </c>
      <c r="B4362" s="1" t="s">
        <v>6839</v>
      </c>
      <c r="D4362" s="1" t="s">
        <v>11735</v>
      </c>
      <c r="F4362" s="1" t="s">
        <v>5540</v>
      </c>
      <c r="G4362" s="1" t="s">
        <v>5541</v>
      </c>
      <c r="H4362" s="1" t="s">
        <v>5556</v>
      </c>
      <c r="J4362" s="1" t="s">
        <v>999</v>
      </c>
      <c r="L4362" s="1" t="s">
        <v>1425</v>
      </c>
      <c r="N4362" s="1" t="s">
        <v>4486</v>
      </c>
      <c r="P4362" s="1" t="s">
        <v>4495</v>
      </c>
      <c r="Q4362" s="3">
        <v>0</v>
      </c>
      <c r="R4362" s="23" t="s">
        <v>12893</v>
      </c>
      <c r="S4362" s="23" t="s">
        <v>6846</v>
      </c>
      <c r="T4362" s="23" t="s">
        <v>4866</v>
      </c>
      <c r="U4362" s="3">
        <v>35</v>
      </c>
      <c r="W4362" s="45" t="str">
        <f>HYPERLINK("http://ictvonline.org/taxonomy/p/taxonomy-history?taxnode_id=201901715","ICTVonline=201901715")</f>
        <v>ICTVonline=201901715</v>
      </c>
      <c r="Y4362" s="1" t="s">
        <v>13535</v>
      </c>
      <c r="Z4362" s="1" t="s">
        <v>13536</v>
      </c>
      <c r="AA4362" s="1">
        <v>201900000</v>
      </c>
      <c r="AB4362" s="1">
        <v>35</v>
      </c>
    </row>
    <row r="4363" spans="1:28" x14ac:dyDescent="0.2">
      <c r="A4363" s="1">
        <v>11164</v>
      </c>
      <c r="B4363" s="1" t="s">
        <v>6839</v>
      </c>
      <c r="D4363" s="1" t="s">
        <v>11735</v>
      </c>
      <c r="F4363" s="1" t="s">
        <v>5540</v>
      </c>
      <c r="G4363" s="1" t="s">
        <v>5541</v>
      </c>
      <c r="H4363" s="1" t="s">
        <v>5556</v>
      </c>
      <c r="J4363" s="1" t="s">
        <v>999</v>
      </c>
      <c r="L4363" s="1" t="s">
        <v>1425</v>
      </c>
      <c r="N4363" s="1" t="s">
        <v>4486</v>
      </c>
      <c r="P4363" s="1" t="s">
        <v>4496</v>
      </c>
      <c r="Q4363" s="3">
        <v>0</v>
      </c>
      <c r="R4363" s="23" t="s">
        <v>12893</v>
      </c>
      <c r="S4363" s="23" t="s">
        <v>6846</v>
      </c>
      <c r="T4363" s="23" t="s">
        <v>4866</v>
      </c>
      <c r="U4363" s="3">
        <v>35</v>
      </c>
      <c r="W4363" s="45" t="str">
        <f>HYPERLINK("http://ictvonline.org/taxonomy/p/taxonomy-history?taxnode_id=201901716","ICTVonline=201901716")</f>
        <v>ICTVonline=201901716</v>
      </c>
      <c r="Y4363" s="1" t="s">
        <v>13537</v>
      </c>
      <c r="Z4363" s="1" t="s">
        <v>13538</v>
      </c>
      <c r="AA4363" s="1">
        <v>201900000</v>
      </c>
      <c r="AB4363" s="1">
        <v>35</v>
      </c>
    </row>
    <row r="4364" spans="1:28" x14ac:dyDescent="0.2">
      <c r="A4364" s="1">
        <v>11166</v>
      </c>
      <c r="B4364" s="1" t="s">
        <v>6839</v>
      </c>
      <c r="D4364" s="1" t="s">
        <v>11735</v>
      </c>
      <c r="F4364" s="1" t="s">
        <v>5540</v>
      </c>
      <c r="G4364" s="1" t="s">
        <v>5541</v>
      </c>
      <c r="H4364" s="1" t="s">
        <v>5556</v>
      </c>
      <c r="J4364" s="1" t="s">
        <v>999</v>
      </c>
      <c r="L4364" s="1" t="s">
        <v>1425</v>
      </c>
      <c r="N4364" s="1" t="s">
        <v>4486</v>
      </c>
      <c r="P4364" s="1" t="s">
        <v>4497</v>
      </c>
      <c r="Q4364" s="3">
        <v>0</v>
      </c>
      <c r="R4364" s="23" t="s">
        <v>12893</v>
      </c>
      <c r="S4364" s="23" t="s">
        <v>6846</v>
      </c>
      <c r="T4364" s="23" t="s">
        <v>4866</v>
      </c>
      <c r="U4364" s="3">
        <v>35</v>
      </c>
      <c r="W4364" s="45" t="str">
        <f>HYPERLINK("http://ictvonline.org/taxonomy/p/taxonomy-history?taxnode_id=201901717","ICTVonline=201901717")</f>
        <v>ICTVonline=201901717</v>
      </c>
      <c r="Y4364" s="1" t="s">
        <v>13539</v>
      </c>
      <c r="Z4364" s="1" t="s">
        <v>13540</v>
      </c>
      <c r="AA4364" s="1">
        <v>201900000</v>
      </c>
      <c r="AB4364" s="1">
        <v>35</v>
      </c>
    </row>
    <row r="4365" spans="1:28" x14ac:dyDescent="0.2">
      <c r="A4365" s="1">
        <v>11168</v>
      </c>
      <c r="B4365" s="1" t="s">
        <v>6839</v>
      </c>
      <c r="D4365" s="1" t="s">
        <v>11735</v>
      </c>
      <c r="F4365" s="1" t="s">
        <v>5540</v>
      </c>
      <c r="G4365" s="1" t="s">
        <v>5541</v>
      </c>
      <c r="H4365" s="1" t="s">
        <v>5556</v>
      </c>
      <c r="J4365" s="1" t="s">
        <v>999</v>
      </c>
      <c r="L4365" s="1" t="s">
        <v>1425</v>
      </c>
      <c r="N4365" s="1" t="s">
        <v>4486</v>
      </c>
      <c r="P4365" s="1" t="s">
        <v>4498</v>
      </c>
      <c r="Q4365" s="3">
        <v>0</v>
      </c>
      <c r="R4365" s="23" t="s">
        <v>12893</v>
      </c>
      <c r="S4365" s="23" t="s">
        <v>6846</v>
      </c>
      <c r="T4365" s="23" t="s">
        <v>4866</v>
      </c>
      <c r="U4365" s="3">
        <v>35</v>
      </c>
      <c r="W4365" s="45" t="str">
        <f>HYPERLINK("http://ictvonline.org/taxonomy/p/taxonomy-history?taxnode_id=201901718","ICTVonline=201901718")</f>
        <v>ICTVonline=201901718</v>
      </c>
      <c r="Y4365" s="1" t="s">
        <v>13541</v>
      </c>
      <c r="Z4365" s="1" t="s">
        <v>13542</v>
      </c>
      <c r="AA4365" s="1">
        <v>201900000</v>
      </c>
      <c r="AB4365" s="1">
        <v>35</v>
      </c>
    </row>
    <row r="4366" spans="1:28" x14ac:dyDescent="0.2">
      <c r="A4366" s="1">
        <v>11170</v>
      </c>
      <c r="B4366" s="1" t="s">
        <v>6839</v>
      </c>
      <c r="D4366" s="1" t="s">
        <v>11735</v>
      </c>
      <c r="F4366" s="1" t="s">
        <v>5540</v>
      </c>
      <c r="G4366" s="1" t="s">
        <v>5541</v>
      </c>
      <c r="H4366" s="1" t="s">
        <v>5556</v>
      </c>
      <c r="J4366" s="1" t="s">
        <v>999</v>
      </c>
      <c r="L4366" s="1" t="s">
        <v>1425</v>
      </c>
      <c r="N4366" s="1" t="s">
        <v>4486</v>
      </c>
      <c r="P4366" s="1" t="s">
        <v>5926</v>
      </c>
      <c r="Q4366" s="3">
        <v>0</v>
      </c>
      <c r="R4366" s="23" t="s">
        <v>12893</v>
      </c>
      <c r="S4366" s="23" t="s">
        <v>6846</v>
      </c>
      <c r="T4366" s="23" t="s">
        <v>4866</v>
      </c>
      <c r="U4366" s="3">
        <v>35</v>
      </c>
      <c r="W4366" s="45" t="str">
        <f>HYPERLINK("http://ictvonline.org/taxonomy/p/taxonomy-history?taxnode_id=201906313","ICTVonline=201906313")</f>
        <v>ICTVonline=201906313</v>
      </c>
      <c r="X4366" s="1" t="s">
        <v>13543</v>
      </c>
      <c r="Y4366" s="1" t="s">
        <v>13544</v>
      </c>
      <c r="Z4366" s="1" t="s">
        <v>13545</v>
      </c>
      <c r="AA4366" s="1">
        <v>201900000</v>
      </c>
      <c r="AB4366" s="1">
        <v>35</v>
      </c>
    </row>
    <row r="4367" spans="1:28" x14ac:dyDescent="0.2">
      <c r="A4367" s="1">
        <v>11172</v>
      </c>
      <c r="B4367" s="1" t="s">
        <v>6839</v>
      </c>
      <c r="D4367" s="1" t="s">
        <v>11735</v>
      </c>
      <c r="F4367" s="1" t="s">
        <v>5540</v>
      </c>
      <c r="G4367" s="1" t="s">
        <v>5541</v>
      </c>
      <c r="H4367" s="1" t="s">
        <v>5556</v>
      </c>
      <c r="J4367" s="1" t="s">
        <v>999</v>
      </c>
      <c r="L4367" s="1" t="s">
        <v>1425</v>
      </c>
      <c r="N4367" s="1" t="s">
        <v>4486</v>
      </c>
      <c r="P4367" s="1" t="s">
        <v>4499</v>
      </c>
      <c r="Q4367" s="3">
        <v>0</v>
      </c>
      <c r="R4367" s="23" t="s">
        <v>12893</v>
      </c>
      <c r="S4367" s="23" t="s">
        <v>6846</v>
      </c>
      <c r="T4367" s="23" t="s">
        <v>4866</v>
      </c>
      <c r="U4367" s="3">
        <v>35</v>
      </c>
      <c r="W4367" s="45" t="str">
        <f>HYPERLINK("http://ictvonline.org/taxonomy/p/taxonomy-history?taxnode_id=201901719","ICTVonline=201901719")</f>
        <v>ICTVonline=201901719</v>
      </c>
      <c r="Y4367" s="1" t="s">
        <v>13546</v>
      </c>
      <c r="Z4367" s="1" t="s">
        <v>13547</v>
      </c>
      <c r="AA4367" s="1">
        <v>201900000</v>
      </c>
      <c r="AB4367" s="1">
        <v>35</v>
      </c>
    </row>
    <row r="4368" spans="1:28" x14ac:dyDescent="0.2">
      <c r="A4368" s="1">
        <v>11174</v>
      </c>
      <c r="B4368" s="1" t="s">
        <v>6839</v>
      </c>
      <c r="D4368" s="1" t="s">
        <v>11735</v>
      </c>
      <c r="F4368" s="1" t="s">
        <v>5540</v>
      </c>
      <c r="G4368" s="1" t="s">
        <v>5541</v>
      </c>
      <c r="H4368" s="1" t="s">
        <v>5556</v>
      </c>
      <c r="J4368" s="1" t="s">
        <v>999</v>
      </c>
      <c r="L4368" s="1" t="s">
        <v>1425</v>
      </c>
      <c r="N4368" s="1" t="s">
        <v>4486</v>
      </c>
      <c r="P4368" s="1" t="s">
        <v>4500</v>
      </c>
      <c r="Q4368" s="3">
        <v>0</v>
      </c>
      <c r="R4368" s="23" t="s">
        <v>12893</v>
      </c>
      <c r="S4368" s="23" t="s">
        <v>6846</v>
      </c>
      <c r="T4368" s="23" t="s">
        <v>4866</v>
      </c>
      <c r="U4368" s="3">
        <v>35</v>
      </c>
      <c r="W4368" s="45" t="str">
        <f>HYPERLINK("http://ictvonline.org/taxonomy/p/taxonomy-history?taxnode_id=201901720","ICTVonline=201901720")</f>
        <v>ICTVonline=201901720</v>
      </c>
      <c r="Y4368" s="1" t="s">
        <v>13548</v>
      </c>
      <c r="Z4368" s="1" t="s">
        <v>13549</v>
      </c>
      <c r="AA4368" s="1">
        <v>201900000</v>
      </c>
      <c r="AB4368" s="1">
        <v>35</v>
      </c>
    </row>
    <row r="4369" spans="1:28" x14ac:dyDescent="0.2">
      <c r="A4369" s="1">
        <v>11178</v>
      </c>
      <c r="B4369" s="1" t="s">
        <v>6839</v>
      </c>
      <c r="D4369" s="1" t="s">
        <v>11735</v>
      </c>
      <c r="F4369" s="1" t="s">
        <v>5540</v>
      </c>
      <c r="G4369" s="1" t="s">
        <v>5541</v>
      </c>
      <c r="H4369" s="1" t="s">
        <v>5556</v>
      </c>
      <c r="J4369" s="1" t="s">
        <v>999</v>
      </c>
      <c r="L4369" s="1" t="s">
        <v>1425</v>
      </c>
      <c r="N4369" s="1" t="s">
        <v>1370</v>
      </c>
      <c r="P4369" s="1" t="s">
        <v>3529</v>
      </c>
      <c r="Q4369" s="3">
        <v>0</v>
      </c>
      <c r="R4369" s="23" t="s">
        <v>12893</v>
      </c>
      <c r="S4369" s="23" t="s">
        <v>6846</v>
      </c>
      <c r="T4369" s="23" t="s">
        <v>4866</v>
      </c>
      <c r="U4369" s="3">
        <v>35</v>
      </c>
      <c r="W4369" s="45" t="str">
        <f>HYPERLINK("http://ictvonline.org/taxonomy/p/taxonomy-history?taxnode_id=201901722","ICTVonline=201901722")</f>
        <v>ICTVonline=201901722</v>
      </c>
      <c r="X4369" s="1" t="s">
        <v>13550</v>
      </c>
      <c r="Y4369" s="1" t="s">
        <v>13551</v>
      </c>
      <c r="Z4369" s="1" t="s">
        <v>13552</v>
      </c>
      <c r="AA4369" s="1">
        <v>201900000</v>
      </c>
      <c r="AB4369" s="1">
        <v>35</v>
      </c>
    </row>
    <row r="4370" spans="1:28" x14ac:dyDescent="0.2">
      <c r="A4370" s="1">
        <v>11180</v>
      </c>
      <c r="B4370" s="1" t="s">
        <v>6839</v>
      </c>
      <c r="D4370" s="1" t="s">
        <v>11735</v>
      </c>
      <c r="F4370" s="1" t="s">
        <v>5540</v>
      </c>
      <c r="G4370" s="1" t="s">
        <v>5541</v>
      </c>
      <c r="H4370" s="1" t="s">
        <v>5556</v>
      </c>
      <c r="J4370" s="1" t="s">
        <v>999</v>
      </c>
      <c r="L4370" s="1" t="s">
        <v>1425</v>
      </c>
      <c r="N4370" s="1" t="s">
        <v>1370</v>
      </c>
      <c r="P4370" s="1" t="s">
        <v>1371</v>
      </c>
      <c r="Q4370" s="3">
        <v>0</v>
      </c>
      <c r="R4370" s="23" t="s">
        <v>12893</v>
      </c>
      <c r="S4370" s="23" t="s">
        <v>6846</v>
      </c>
      <c r="T4370" s="23" t="s">
        <v>4866</v>
      </c>
      <c r="U4370" s="3">
        <v>35</v>
      </c>
      <c r="W4370" s="45" t="str">
        <f>HYPERLINK("http://ictvonline.org/taxonomy/p/taxonomy-history?taxnode_id=201901723","ICTVonline=201901723")</f>
        <v>ICTVonline=201901723</v>
      </c>
      <c r="X4370" s="1" t="s">
        <v>13553</v>
      </c>
      <c r="Y4370" s="1" t="s">
        <v>13554</v>
      </c>
      <c r="Z4370" s="1" t="s">
        <v>13555</v>
      </c>
      <c r="AA4370" s="1">
        <v>201900000</v>
      </c>
      <c r="AB4370" s="1">
        <v>35</v>
      </c>
    </row>
    <row r="4371" spans="1:28" x14ac:dyDescent="0.2">
      <c r="A4371" s="1">
        <v>11182</v>
      </c>
      <c r="B4371" s="1" t="s">
        <v>6839</v>
      </c>
      <c r="D4371" s="1" t="s">
        <v>11735</v>
      </c>
      <c r="F4371" s="1" t="s">
        <v>5540</v>
      </c>
      <c r="G4371" s="1" t="s">
        <v>5541</v>
      </c>
      <c r="H4371" s="1" t="s">
        <v>5556</v>
      </c>
      <c r="J4371" s="1" t="s">
        <v>999</v>
      </c>
      <c r="L4371" s="1" t="s">
        <v>1425</v>
      </c>
      <c r="N4371" s="1" t="s">
        <v>1370</v>
      </c>
      <c r="P4371" s="1" t="s">
        <v>2284</v>
      </c>
      <c r="Q4371" s="3">
        <v>0</v>
      </c>
      <c r="R4371" s="23" t="s">
        <v>12893</v>
      </c>
      <c r="S4371" s="23" t="s">
        <v>6846</v>
      </c>
      <c r="T4371" s="23" t="s">
        <v>4866</v>
      </c>
      <c r="U4371" s="3">
        <v>35</v>
      </c>
      <c r="W4371" s="45" t="str">
        <f>HYPERLINK("http://ictvonline.org/taxonomy/p/taxonomy-history?taxnode_id=201901724","ICTVonline=201901724")</f>
        <v>ICTVonline=201901724</v>
      </c>
      <c r="X4371" s="1" t="s">
        <v>13556</v>
      </c>
      <c r="Y4371" s="1" t="s">
        <v>13557</v>
      </c>
      <c r="Z4371" s="1" t="s">
        <v>13558</v>
      </c>
      <c r="AA4371" s="1">
        <v>201900000</v>
      </c>
      <c r="AB4371" s="1">
        <v>35</v>
      </c>
    </row>
    <row r="4372" spans="1:28" x14ac:dyDescent="0.2">
      <c r="A4372" s="1">
        <v>11184</v>
      </c>
      <c r="B4372" s="1" t="s">
        <v>6839</v>
      </c>
      <c r="D4372" s="1" t="s">
        <v>11735</v>
      </c>
      <c r="F4372" s="1" t="s">
        <v>5540</v>
      </c>
      <c r="G4372" s="1" t="s">
        <v>5541</v>
      </c>
      <c r="H4372" s="1" t="s">
        <v>5556</v>
      </c>
      <c r="J4372" s="1" t="s">
        <v>999</v>
      </c>
      <c r="L4372" s="1" t="s">
        <v>1425</v>
      </c>
      <c r="N4372" s="1" t="s">
        <v>1370</v>
      </c>
      <c r="P4372" s="1" t="s">
        <v>3530</v>
      </c>
      <c r="Q4372" s="3">
        <v>0</v>
      </c>
      <c r="R4372" s="23" t="s">
        <v>12893</v>
      </c>
      <c r="S4372" s="23" t="s">
        <v>6846</v>
      </c>
      <c r="T4372" s="23" t="s">
        <v>4866</v>
      </c>
      <c r="U4372" s="3">
        <v>35</v>
      </c>
      <c r="W4372" s="45" t="str">
        <f>HYPERLINK("http://ictvonline.org/taxonomy/p/taxonomy-history?taxnode_id=201901725","ICTVonline=201901725")</f>
        <v>ICTVonline=201901725</v>
      </c>
      <c r="X4372" s="1" t="s">
        <v>13559</v>
      </c>
      <c r="Y4372" s="1" t="s">
        <v>13560</v>
      </c>
      <c r="Z4372" s="1" t="s">
        <v>13561</v>
      </c>
      <c r="AA4372" s="1">
        <v>201900000</v>
      </c>
      <c r="AB4372" s="1">
        <v>35</v>
      </c>
    </row>
    <row r="4373" spans="1:28" x14ac:dyDescent="0.2">
      <c r="A4373" s="1">
        <v>11186</v>
      </c>
      <c r="B4373" s="1" t="s">
        <v>6839</v>
      </c>
      <c r="D4373" s="1" t="s">
        <v>11735</v>
      </c>
      <c r="F4373" s="1" t="s">
        <v>5540</v>
      </c>
      <c r="G4373" s="1" t="s">
        <v>5541</v>
      </c>
      <c r="H4373" s="1" t="s">
        <v>5556</v>
      </c>
      <c r="J4373" s="1" t="s">
        <v>999</v>
      </c>
      <c r="L4373" s="1" t="s">
        <v>1425</v>
      </c>
      <c r="N4373" s="1" t="s">
        <v>1370</v>
      </c>
      <c r="P4373" s="1" t="s">
        <v>3531</v>
      </c>
      <c r="Q4373" s="3">
        <v>0</v>
      </c>
      <c r="R4373" s="23" t="s">
        <v>12893</v>
      </c>
      <c r="S4373" s="23" t="s">
        <v>6846</v>
      </c>
      <c r="T4373" s="23" t="s">
        <v>4866</v>
      </c>
      <c r="U4373" s="3">
        <v>35</v>
      </c>
      <c r="W4373" s="45" t="str">
        <f>HYPERLINK("http://ictvonline.org/taxonomy/p/taxonomy-history?taxnode_id=201901726","ICTVonline=201901726")</f>
        <v>ICTVonline=201901726</v>
      </c>
      <c r="X4373" s="1" t="s">
        <v>13562</v>
      </c>
      <c r="Y4373" s="1" t="s">
        <v>13563</v>
      </c>
      <c r="Z4373" s="1" t="s">
        <v>13564</v>
      </c>
      <c r="AA4373" s="1">
        <v>201900000</v>
      </c>
      <c r="AB4373" s="1">
        <v>35</v>
      </c>
    </row>
    <row r="4374" spans="1:28" x14ac:dyDescent="0.2">
      <c r="A4374" s="1">
        <v>11188</v>
      </c>
      <c r="B4374" s="1" t="s">
        <v>6839</v>
      </c>
      <c r="D4374" s="1" t="s">
        <v>11735</v>
      </c>
      <c r="F4374" s="1" t="s">
        <v>5540</v>
      </c>
      <c r="G4374" s="1" t="s">
        <v>5541</v>
      </c>
      <c r="H4374" s="1" t="s">
        <v>5556</v>
      </c>
      <c r="J4374" s="1" t="s">
        <v>999</v>
      </c>
      <c r="L4374" s="1" t="s">
        <v>1425</v>
      </c>
      <c r="N4374" s="1" t="s">
        <v>1370</v>
      </c>
      <c r="P4374" s="1" t="s">
        <v>3532</v>
      </c>
      <c r="Q4374" s="3">
        <v>0</v>
      </c>
      <c r="R4374" s="23" t="s">
        <v>12893</v>
      </c>
      <c r="S4374" s="23" t="s">
        <v>6846</v>
      </c>
      <c r="T4374" s="23" t="s">
        <v>4866</v>
      </c>
      <c r="U4374" s="3">
        <v>35</v>
      </c>
      <c r="W4374" s="45" t="str">
        <f>HYPERLINK("http://ictvonline.org/taxonomy/p/taxonomy-history?taxnode_id=201901727","ICTVonline=201901727")</f>
        <v>ICTVonline=201901727</v>
      </c>
      <c r="X4374" s="1" t="s">
        <v>13565</v>
      </c>
      <c r="Y4374" s="1" t="s">
        <v>13566</v>
      </c>
      <c r="Z4374" s="1" t="s">
        <v>13567</v>
      </c>
      <c r="AA4374" s="1">
        <v>201900000</v>
      </c>
      <c r="AB4374" s="1">
        <v>35</v>
      </c>
    </row>
    <row r="4375" spans="1:28" x14ac:dyDescent="0.2">
      <c r="A4375" s="1">
        <v>11190</v>
      </c>
      <c r="B4375" s="1" t="s">
        <v>6839</v>
      </c>
      <c r="D4375" s="1" t="s">
        <v>11735</v>
      </c>
      <c r="F4375" s="1" t="s">
        <v>5540</v>
      </c>
      <c r="G4375" s="1" t="s">
        <v>5541</v>
      </c>
      <c r="H4375" s="1" t="s">
        <v>5556</v>
      </c>
      <c r="J4375" s="1" t="s">
        <v>999</v>
      </c>
      <c r="L4375" s="1" t="s">
        <v>1425</v>
      </c>
      <c r="N4375" s="1" t="s">
        <v>1370</v>
      </c>
      <c r="P4375" s="1" t="s">
        <v>5039</v>
      </c>
      <c r="Q4375" s="3">
        <v>0</v>
      </c>
      <c r="R4375" s="23" t="s">
        <v>12893</v>
      </c>
      <c r="S4375" s="23" t="s">
        <v>6846</v>
      </c>
      <c r="T4375" s="23" t="s">
        <v>4866</v>
      </c>
      <c r="U4375" s="3">
        <v>35</v>
      </c>
      <c r="W4375" s="45" t="str">
        <f>HYPERLINK("http://ictvonline.org/taxonomy/p/taxonomy-history?taxnode_id=201905581","ICTVonline=201905581")</f>
        <v>ICTVonline=201905581</v>
      </c>
      <c r="AA4375" s="1">
        <v>201900000</v>
      </c>
      <c r="AB4375" s="1">
        <v>35</v>
      </c>
    </row>
    <row r="4376" spans="1:28" x14ac:dyDescent="0.2">
      <c r="A4376" s="1">
        <v>11192</v>
      </c>
      <c r="B4376" s="1" t="s">
        <v>6839</v>
      </c>
      <c r="D4376" s="1" t="s">
        <v>11735</v>
      </c>
      <c r="F4376" s="1" t="s">
        <v>5540</v>
      </c>
      <c r="G4376" s="1" t="s">
        <v>5541</v>
      </c>
      <c r="H4376" s="1" t="s">
        <v>5556</v>
      </c>
      <c r="J4376" s="1" t="s">
        <v>999</v>
      </c>
      <c r="L4376" s="1" t="s">
        <v>1425</v>
      </c>
      <c r="N4376" s="1" t="s">
        <v>1370</v>
      </c>
      <c r="P4376" s="1" t="s">
        <v>2285</v>
      </c>
      <c r="Q4376" s="3">
        <v>0</v>
      </c>
      <c r="R4376" s="23" t="s">
        <v>12893</v>
      </c>
      <c r="S4376" s="23" t="s">
        <v>6846</v>
      </c>
      <c r="T4376" s="23" t="s">
        <v>4866</v>
      </c>
      <c r="U4376" s="3">
        <v>35</v>
      </c>
      <c r="W4376" s="45" t="str">
        <f>HYPERLINK("http://ictvonline.org/taxonomy/p/taxonomy-history?taxnode_id=201901728","ICTVonline=201901728")</f>
        <v>ICTVonline=201901728</v>
      </c>
      <c r="X4376" s="1" t="s">
        <v>13568</v>
      </c>
      <c r="Y4376" s="1" t="s">
        <v>13569</v>
      </c>
      <c r="Z4376" s="1" t="s">
        <v>13570</v>
      </c>
      <c r="AA4376" s="1">
        <v>201900000</v>
      </c>
      <c r="AB4376" s="1">
        <v>35</v>
      </c>
    </row>
    <row r="4377" spans="1:28" x14ac:dyDescent="0.2">
      <c r="A4377" s="1">
        <v>11194</v>
      </c>
      <c r="B4377" s="1" t="s">
        <v>6839</v>
      </c>
      <c r="D4377" s="1" t="s">
        <v>11735</v>
      </c>
      <c r="F4377" s="1" t="s">
        <v>5540</v>
      </c>
      <c r="G4377" s="1" t="s">
        <v>5541</v>
      </c>
      <c r="H4377" s="1" t="s">
        <v>5556</v>
      </c>
      <c r="J4377" s="1" t="s">
        <v>999</v>
      </c>
      <c r="L4377" s="1" t="s">
        <v>1425</v>
      </c>
      <c r="N4377" s="1" t="s">
        <v>1370</v>
      </c>
      <c r="P4377" s="1" t="s">
        <v>3533</v>
      </c>
      <c r="Q4377" s="3">
        <v>0</v>
      </c>
      <c r="R4377" s="23" t="s">
        <v>12893</v>
      </c>
      <c r="S4377" s="23" t="s">
        <v>6846</v>
      </c>
      <c r="T4377" s="23" t="s">
        <v>4866</v>
      </c>
      <c r="U4377" s="3">
        <v>35</v>
      </c>
      <c r="W4377" s="45" t="str">
        <f>HYPERLINK("http://ictvonline.org/taxonomy/p/taxonomy-history?taxnode_id=201901729","ICTVonline=201901729")</f>
        <v>ICTVonline=201901729</v>
      </c>
      <c r="X4377" s="1" t="s">
        <v>13571</v>
      </c>
      <c r="Y4377" s="1" t="s">
        <v>13572</v>
      </c>
      <c r="Z4377" s="1" t="s">
        <v>13573</v>
      </c>
      <c r="AA4377" s="1">
        <v>201900000</v>
      </c>
      <c r="AB4377" s="1">
        <v>35</v>
      </c>
    </row>
    <row r="4378" spans="1:28" x14ac:dyDescent="0.2">
      <c r="A4378" s="1">
        <v>11196</v>
      </c>
      <c r="B4378" s="1" t="s">
        <v>6839</v>
      </c>
      <c r="D4378" s="1" t="s">
        <v>11735</v>
      </c>
      <c r="F4378" s="1" t="s">
        <v>5540</v>
      </c>
      <c r="G4378" s="1" t="s">
        <v>5541</v>
      </c>
      <c r="H4378" s="1" t="s">
        <v>5556</v>
      </c>
      <c r="J4378" s="1" t="s">
        <v>999</v>
      </c>
      <c r="L4378" s="1" t="s">
        <v>1425</v>
      </c>
      <c r="N4378" s="1" t="s">
        <v>1370</v>
      </c>
      <c r="P4378" s="1" t="s">
        <v>3534</v>
      </c>
      <c r="Q4378" s="3">
        <v>0</v>
      </c>
      <c r="R4378" s="23" t="s">
        <v>12893</v>
      </c>
      <c r="S4378" s="23" t="s">
        <v>6846</v>
      </c>
      <c r="T4378" s="23" t="s">
        <v>4866</v>
      </c>
      <c r="U4378" s="3">
        <v>35</v>
      </c>
      <c r="W4378" s="45" t="str">
        <f>HYPERLINK("http://ictvonline.org/taxonomy/p/taxonomy-history?taxnode_id=201901730","ICTVonline=201901730")</f>
        <v>ICTVonline=201901730</v>
      </c>
      <c r="X4378" s="1" t="s">
        <v>13574</v>
      </c>
      <c r="Y4378" s="1" t="s">
        <v>13575</v>
      </c>
      <c r="Z4378" s="1" t="s">
        <v>13576</v>
      </c>
      <c r="AA4378" s="1">
        <v>201900000</v>
      </c>
      <c r="AB4378" s="1">
        <v>35</v>
      </c>
    </row>
    <row r="4379" spans="1:28" x14ac:dyDescent="0.2">
      <c r="A4379" s="1">
        <v>11198</v>
      </c>
      <c r="B4379" s="1" t="s">
        <v>6839</v>
      </c>
      <c r="D4379" s="1" t="s">
        <v>11735</v>
      </c>
      <c r="F4379" s="1" t="s">
        <v>5540</v>
      </c>
      <c r="G4379" s="1" t="s">
        <v>5541</v>
      </c>
      <c r="H4379" s="1" t="s">
        <v>5556</v>
      </c>
      <c r="J4379" s="1" t="s">
        <v>999</v>
      </c>
      <c r="L4379" s="1" t="s">
        <v>1425</v>
      </c>
      <c r="N4379" s="1" t="s">
        <v>1370</v>
      </c>
      <c r="P4379" s="1" t="s">
        <v>3535</v>
      </c>
      <c r="Q4379" s="3">
        <v>0</v>
      </c>
      <c r="R4379" s="23" t="s">
        <v>12893</v>
      </c>
      <c r="S4379" s="23" t="s">
        <v>6846</v>
      </c>
      <c r="T4379" s="23" t="s">
        <v>4866</v>
      </c>
      <c r="U4379" s="3">
        <v>35</v>
      </c>
      <c r="W4379" s="45" t="str">
        <f>HYPERLINK("http://ictvonline.org/taxonomy/p/taxonomy-history?taxnode_id=201901731","ICTVonline=201901731")</f>
        <v>ICTVonline=201901731</v>
      </c>
      <c r="X4379" s="1" t="s">
        <v>13577</v>
      </c>
      <c r="Y4379" s="1" t="s">
        <v>13578</v>
      </c>
      <c r="Z4379" s="1" t="s">
        <v>13579</v>
      </c>
      <c r="AA4379" s="1">
        <v>201900000</v>
      </c>
      <c r="AB4379" s="1">
        <v>35</v>
      </c>
    </row>
    <row r="4380" spans="1:28" x14ac:dyDescent="0.2">
      <c r="A4380" s="1">
        <v>11200</v>
      </c>
      <c r="B4380" s="1" t="s">
        <v>6839</v>
      </c>
      <c r="D4380" s="1" t="s">
        <v>11735</v>
      </c>
      <c r="F4380" s="1" t="s">
        <v>5540</v>
      </c>
      <c r="G4380" s="1" t="s">
        <v>5541</v>
      </c>
      <c r="H4380" s="1" t="s">
        <v>5556</v>
      </c>
      <c r="J4380" s="1" t="s">
        <v>999</v>
      </c>
      <c r="L4380" s="1" t="s">
        <v>1425</v>
      </c>
      <c r="N4380" s="1" t="s">
        <v>1370</v>
      </c>
      <c r="P4380" s="1" t="s">
        <v>5040</v>
      </c>
      <c r="Q4380" s="3">
        <v>0</v>
      </c>
      <c r="R4380" s="23" t="s">
        <v>12893</v>
      </c>
      <c r="S4380" s="23" t="s">
        <v>6846</v>
      </c>
      <c r="T4380" s="23" t="s">
        <v>4866</v>
      </c>
      <c r="U4380" s="3">
        <v>35</v>
      </c>
      <c r="W4380" s="45" t="str">
        <f>HYPERLINK("http://ictvonline.org/taxonomy/p/taxonomy-history?taxnode_id=201905582","ICTVonline=201905582")</f>
        <v>ICTVonline=201905582</v>
      </c>
      <c r="AA4380" s="1">
        <v>201900000</v>
      </c>
      <c r="AB4380" s="1">
        <v>35</v>
      </c>
    </row>
    <row r="4381" spans="1:28" x14ac:dyDescent="0.2">
      <c r="A4381" s="1">
        <v>11202</v>
      </c>
      <c r="B4381" s="1" t="s">
        <v>6839</v>
      </c>
      <c r="D4381" s="1" t="s">
        <v>11735</v>
      </c>
      <c r="F4381" s="1" t="s">
        <v>5540</v>
      </c>
      <c r="G4381" s="1" t="s">
        <v>5541</v>
      </c>
      <c r="H4381" s="1" t="s">
        <v>5556</v>
      </c>
      <c r="J4381" s="1" t="s">
        <v>999</v>
      </c>
      <c r="L4381" s="1" t="s">
        <v>1425</v>
      </c>
      <c r="N4381" s="1" t="s">
        <v>1370</v>
      </c>
      <c r="P4381" s="1" t="s">
        <v>3536</v>
      </c>
      <c r="Q4381" s="3">
        <v>0</v>
      </c>
      <c r="R4381" s="23" t="s">
        <v>12893</v>
      </c>
      <c r="S4381" s="23" t="s">
        <v>6846</v>
      </c>
      <c r="T4381" s="23" t="s">
        <v>4866</v>
      </c>
      <c r="U4381" s="3">
        <v>35</v>
      </c>
      <c r="W4381" s="45" t="str">
        <f>HYPERLINK("http://ictvonline.org/taxonomy/p/taxonomy-history?taxnode_id=201901732","ICTVonline=201901732")</f>
        <v>ICTVonline=201901732</v>
      </c>
      <c r="X4381" s="1" t="s">
        <v>13580</v>
      </c>
      <c r="Y4381" s="1" t="s">
        <v>13581</v>
      </c>
      <c r="Z4381" s="1" t="s">
        <v>13582</v>
      </c>
      <c r="AA4381" s="1">
        <v>201900000</v>
      </c>
      <c r="AB4381" s="1">
        <v>35</v>
      </c>
    </row>
    <row r="4382" spans="1:28" x14ac:dyDescent="0.2">
      <c r="A4382" s="1">
        <v>11204</v>
      </c>
      <c r="B4382" s="1" t="s">
        <v>6839</v>
      </c>
      <c r="D4382" s="1" t="s">
        <v>11735</v>
      </c>
      <c r="F4382" s="1" t="s">
        <v>5540</v>
      </c>
      <c r="G4382" s="1" t="s">
        <v>5541</v>
      </c>
      <c r="H4382" s="1" t="s">
        <v>5556</v>
      </c>
      <c r="J4382" s="1" t="s">
        <v>999</v>
      </c>
      <c r="L4382" s="1" t="s">
        <v>1425</v>
      </c>
      <c r="N4382" s="1" t="s">
        <v>1370</v>
      </c>
      <c r="P4382" s="1" t="s">
        <v>3537</v>
      </c>
      <c r="Q4382" s="3">
        <v>1</v>
      </c>
      <c r="R4382" s="23" t="s">
        <v>12893</v>
      </c>
      <c r="S4382" s="23" t="s">
        <v>6846</v>
      </c>
      <c r="T4382" s="23" t="s">
        <v>4866</v>
      </c>
      <c r="U4382" s="3">
        <v>35</v>
      </c>
      <c r="W4382" s="45" t="str">
        <f>HYPERLINK("http://ictvonline.org/taxonomy/p/taxonomy-history?taxnode_id=201901733","ICTVonline=201901733")</f>
        <v>ICTVonline=201901733</v>
      </c>
      <c r="X4382" s="1" t="s">
        <v>13583</v>
      </c>
      <c r="Y4382" s="1" t="s">
        <v>13584</v>
      </c>
      <c r="Z4382" s="1" t="s">
        <v>13585</v>
      </c>
      <c r="AA4382" s="1">
        <v>201900000</v>
      </c>
      <c r="AB4382" s="1">
        <v>35</v>
      </c>
    </row>
    <row r="4383" spans="1:28" x14ac:dyDescent="0.2">
      <c r="A4383" s="1">
        <v>11206</v>
      </c>
      <c r="B4383" s="1" t="s">
        <v>6839</v>
      </c>
      <c r="D4383" s="1" t="s">
        <v>11735</v>
      </c>
      <c r="F4383" s="1" t="s">
        <v>5540</v>
      </c>
      <c r="G4383" s="1" t="s">
        <v>5541</v>
      </c>
      <c r="H4383" s="1" t="s">
        <v>5556</v>
      </c>
      <c r="J4383" s="1" t="s">
        <v>999</v>
      </c>
      <c r="L4383" s="1" t="s">
        <v>1425</v>
      </c>
      <c r="N4383" s="1" t="s">
        <v>1370</v>
      </c>
      <c r="P4383" s="1" t="s">
        <v>3538</v>
      </c>
      <c r="Q4383" s="3">
        <v>0</v>
      </c>
      <c r="R4383" s="23" t="s">
        <v>12893</v>
      </c>
      <c r="S4383" s="23" t="s">
        <v>6846</v>
      </c>
      <c r="T4383" s="23" t="s">
        <v>4866</v>
      </c>
      <c r="U4383" s="3">
        <v>35</v>
      </c>
      <c r="W4383" s="45" t="str">
        <f>HYPERLINK("http://ictvonline.org/taxonomy/p/taxonomy-history?taxnode_id=201901734","ICTVonline=201901734")</f>
        <v>ICTVonline=201901734</v>
      </c>
      <c r="X4383" s="1" t="s">
        <v>13586</v>
      </c>
      <c r="Y4383" s="1" t="s">
        <v>13587</v>
      </c>
      <c r="Z4383" s="1" t="s">
        <v>13588</v>
      </c>
      <c r="AA4383" s="1">
        <v>201900000</v>
      </c>
      <c r="AB4383" s="1">
        <v>35</v>
      </c>
    </row>
    <row r="4384" spans="1:28" x14ac:dyDescent="0.2">
      <c r="A4384" s="1">
        <v>11208</v>
      </c>
      <c r="B4384" s="1" t="s">
        <v>6839</v>
      </c>
      <c r="D4384" s="1" t="s">
        <v>11735</v>
      </c>
      <c r="F4384" s="1" t="s">
        <v>5540</v>
      </c>
      <c r="G4384" s="1" t="s">
        <v>5541</v>
      </c>
      <c r="H4384" s="1" t="s">
        <v>5556</v>
      </c>
      <c r="J4384" s="1" t="s">
        <v>999</v>
      </c>
      <c r="L4384" s="1" t="s">
        <v>1425</v>
      </c>
      <c r="N4384" s="1" t="s">
        <v>1370</v>
      </c>
      <c r="P4384" s="1" t="s">
        <v>13589</v>
      </c>
      <c r="Q4384" s="3">
        <v>0</v>
      </c>
      <c r="R4384" s="23" t="s">
        <v>12893</v>
      </c>
      <c r="S4384" s="23" t="s">
        <v>6846</v>
      </c>
      <c r="T4384" s="23" t="s">
        <v>4864</v>
      </c>
      <c r="U4384" s="3">
        <v>35</v>
      </c>
      <c r="V4384" s="3" t="s">
        <v>13590</v>
      </c>
      <c r="W4384" s="45" t="str">
        <f>HYPERLINK("http://ictvonline.org/taxonomy/p/taxonomy-history?taxnode_id=201908672","ICTVonline=201908672")</f>
        <v>ICTVonline=201908672</v>
      </c>
      <c r="X4384" s="1" t="s">
        <v>13591</v>
      </c>
      <c r="Y4384" s="1" t="s">
        <v>13592</v>
      </c>
      <c r="Z4384" s="1" t="s">
        <v>13593</v>
      </c>
      <c r="AA4384" s="1">
        <v>201900000</v>
      </c>
      <c r="AB4384" s="1">
        <v>35</v>
      </c>
    </row>
    <row r="4385" spans="1:28" x14ac:dyDescent="0.2">
      <c r="A4385" s="1">
        <v>11210</v>
      </c>
      <c r="B4385" s="1" t="s">
        <v>6839</v>
      </c>
      <c r="D4385" s="1" t="s">
        <v>11735</v>
      </c>
      <c r="F4385" s="1" t="s">
        <v>5540</v>
      </c>
      <c r="G4385" s="1" t="s">
        <v>5541</v>
      </c>
      <c r="H4385" s="1" t="s">
        <v>5556</v>
      </c>
      <c r="J4385" s="1" t="s">
        <v>999</v>
      </c>
      <c r="L4385" s="1" t="s">
        <v>1425</v>
      </c>
      <c r="N4385" s="1" t="s">
        <v>1370</v>
      </c>
      <c r="P4385" s="1" t="s">
        <v>3539</v>
      </c>
      <c r="Q4385" s="3">
        <v>0</v>
      </c>
      <c r="R4385" s="23" t="s">
        <v>12893</v>
      </c>
      <c r="S4385" s="23" t="s">
        <v>6846</v>
      </c>
      <c r="T4385" s="23" t="s">
        <v>4866</v>
      </c>
      <c r="U4385" s="3">
        <v>35</v>
      </c>
      <c r="W4385" s="45" t="str">
        <f>HYPERLINK("http://ictvonline.org/taxonomy/p/taxonomy-history?taxnode_id=201901735","ICTVonline=201901735")</f>
        <v>ICTVonline=201901735</v>
      </c>
      <c r="X4385" s="1" t="s">
        <v>13594</v>
      </c>
      <c r="Y4385" s="1" t="s">
        <v>13595</v>
      </c>
      <c r="Z4385" s="1" t="s">
        <v>13596</v>
      </c>
      <c r="AA4385" s="1">
        <v>201900000</v>
      </c>
      <c r="AB4385" s="1">
        <v>35</v>
      </c>
    </row>
    <row r="4386" spans="1:28" x14ac:dyDescent="0.2">
      <c r="A4386" s="1">
        <v>11214</v>
      </c>
      <c r="B4386" s="1" t="s">
        <v>6839</v>
      </c>
      <c r="D4386" s="1" t="s">
        <v>11735</v>
      </c>
      <c r="F4386" s="1" t="s">
        <v>5540</v>
      </c>
      <c r="G4386" s="1" t="s">
        <v>5541</v>
      </c>
      <c r="H4386" s="1" t="s">
        <v>5556</v>
      </c>
      <c r="J4386" s="1" t="s">
        <v>999</v>
      </c>
      <c r="L4386" s="1" t="s">
        <v>1425</v>
      </c>
      <c r="N4386" s="1" t="s">
        <v>13597</v>
      </c>
      <c r="P4386" s="1" t="s">
        <v>13598</v>
      </c>
      <c r="Q4386" s="3">
        <v>1</v>
      </c>
      <c r="R4386" s="23" t="s">
        <v>12893</v>
      </c>
      <c r="S4386" s="23" t="s">
        <v>6846</v>
      </c>
      <c r="T4386" s="23" t="s">
        <v>6031</v>
      </c>
      <c r="U4386" s="3">
        <v>35</v>
      </c>
      <c r="V4386" s="3" t="s">
        <v>13599</v>
      </c>
      <c r="W4386" s="45" t="str">
        <f>HYPERLINK("http://ictvonline.org/taxonomy/p/taxonomy-history?taxnode_id=201901785","ICTVonline=201901785")</f>
        <v>ICTVonline=201901785</v>
      </c>
      <c r="X4386" s="1" t="s">
        <v>13600</v>
      </c>
      <c r="Y4386" s="1" t="s">
        <v>13601</v>
      </c>
      <c r="Z4386" s="1" t="s">
        <v>13602</v>
      </c>
      <c r="AA4386" s="1">
        <v>201900000</v>
      </c>
      <c r="AB4386" s="1">
        <v>35</v>
      </c>
    </row>
    <row r="4387" spans="1:28" x14ac:dyDescent="0.2">
      <c r="A4387" s="1">
        <v>11218</v>
      </c>
      <c r="B4387" s="1" t="s">
        <v>6839</v>
      </c>
      <c r="D4387" s="1" t="s">
        <v>11735</v>
      </c>
      <c r="F4387" s="1" t="s">
        <v>5540</v>
      </c>
      <c r="G4387" s="1" t="s">
        <v>5541</v>
      </c>
      <c r="H4387" s="1" t="s">
        <v>5556</v>
      </c>
      <c r="J4387" s="1" t="s">
        <v>999</v>
      </c>
      <c r="L4387" s="1" t="s">
        <v>1425</v>
      </c>
      <c r="N4387" s="1" t="s">
        <v>1116</v>
      </c>
      <c r="P4387" s="1" t="s">
        <v>3540</v>
      </c>
      <c r="Q4387" s="3">
        <v>0</v>
      </c>
      <c r="R4387" s="23" t="s">
        <v>12893</v>
      </c>
      <c r="S4387" s="23" t="s">
        <v>6846</v>
      </c>
      <c r="T4387" s="23" t="s">
        <v>4866</v>
      </c>
      <c r="U4387" s="3">
        <v>35</v>
      </c>
      <c r="W4387" s="45" t="str">
        <f>HYPERLINK("http://ictvonline.org/taxonomy/p/taxonomy-history?taxnode_id=201901737","ICTVonline=201901737")</f>
        <v>ICTVonline=201901737</v>
      </c>
      <c r="X4387" s="1" t="s">
        <v>13603</v>
      </c>
      <c r="Y4387" s="1" t="s">
        <v>13604</v>
      </c>
      <c r="Z4387" s="1" t="s">
        <v>13605</v>
      </c>
      <c r="AA4387" s="1">
        <v>201900000</v>
      </c>
      <c r="AB4387" s="1">
        <v>35</v>
      </c>
    </row>
    <row r="4388" spans="1:28" x14ac:dyDescent="0.2">
      <c r="A4388" s="1">
        <v>11220</v>
      </c>
      <c r="B4388" s="1" t="s">
        <v>6839</v>
      </c>
      <c r="D4388" s="1" t="s">
        <v>11735</v>
      </c>
      <c r="F4388" s="1" t="s">
        <v>5540</v>
      </c>
      <c r="G4388" s="1" t="s">
        <v>5541</v>
      </c>
      <c r="H4388" s="1" t="s">
        <v>5556</v>
      </c>
      <c r="J4388" s="1" t="s">
        <v>999</v>
      </c>
      <c r="L4388" s="1" t="s">
        <v>1425</v>
      </c>
      <c r="N4388" s="1" t="s">
        <v>1116</v>
      </c>
      <c r="P4388" s="1" t="s">
        <v>4888</v>
      </c>
      <c r="Q4388" s="3">
        <v>0</v>
      </c>
      <c r="R4388" s="23" t="s">
        <v>12893</v>
      </c>
      <c r="S4388" s="23" t="s">
        <v>6846</v>
      </c>
      <c r="T4388" s="23" t="s">
        <v>4866</v>
      </c>
      <c r="U4388" s="3">
        <v>35</v>
      </c>
      <c r="W4388" s="45" t="str">
        <f>HYPERLINK("http://ictvonline.org/taxonomy/p/taxonomy-history?taxnode_id=201901738","ICTVonline=201901738")</f>
        <v>ICTVonline=201901738</v>
      </c>
      <c r="AA4388" s="1">
        <v>201900000</v>
      </c>
      <c r="AB4388" s="1">
        <v>35</v>
      </c>
    </row>
    <row r="4389" spans="1:28" x14ac:dyDescent="0.2">
      <c r="A4389" s="1">
        <v>11222</v>
      </c>
      <c r="B4389" s="1" t="s">
        <v>6839</v>
      </c>
      <c r="D4389" s="1" t="s">
        <v>11735</v>
      </c>
      <c r="F4389" s="1" t="s">
        <v>5540</v>
      </c>
      <c r="G4389" s="1" t="s">
        <v>5541</v>
      </c>
      <c r="H4389" s="1" t="s">
        <v>5556</v>
      </c>
      <c r="J4389" s="1" t="s">
        <v>999</v>
      </c>
      <c r="L4389" s="1" t="s">
        <v>1425</v>
      </c>
      <c r="N4389" s="1" t="s">
        <v>1116</v>
      </c>
      <c r="P4389" s="1" t="s">
        <v>4889</v>
      </c>
      <c r="Q4389" s="3">
        <v>1</v>
      </c>
      <c r="R4389" s="23" t="s">
        <v>12893</v>
      </c>
      <c r="S4389" s="23" t="s">
        <v>6846</v>
      </c>
      <c r="T4389" s="23" t="s">
        <v>4866</v>
      </c>
      <c r="U4389" s="3">
        <v>35</v>
      </c>
      <c r="W4389" s="45" t="str">
        <f>HYPERLINK("http://ictvonline.org/taxonomy/p/taxonomy-history?taxnode_id=201901739","ICTVonline=201901739")</f>
        <v>ICTVonline=201901739</v>
      </c>
      <c r="AA4389" s="1">
        <v>201900000</v>
      </c>
      <c r="AB4389" s="1">
        <v>35</v>
      </c>
    </row>
    <row r="4390" spans="1:28" x14ac:dyDescent="0.2">
      <c r="A4390" s="1">
        <v>11224</v>
      </c>
      <c r="B4390" s="1" t="s">
        <v>6839</v>
      </c>
      <c r="D4390" s="1" t="s">
        <v>11735</v>
      </c>
      <c r="F4390" s="1" t="s">
        <v>5540</v>
      </c>
      <c r="G4390" s="1" t="s">
        <v>5541</v>
      </c>
      <c r="H4390" s="1" t="s">
        <v>5556</v>
      </c>
      <c r="J4390" s="1" t="s">
        <v>999</v>
      </c>
      <c r="L4390" s="1" t="s">
        <v>1425</v>
      </c>
      <c r="N4390" s="1" t="s">
        <v>1116</v>
      </c>
      <c r="P4390" s="1" t="s">
        <v>3541</v>
      </c>
      <c r="Q4390" s="3">
        <v>0</v>
      </c>
      <c r="R4390" s="23" t="s">
        <v>12893</v>
      </c>
      <c r="S4390" s="23" t="s">
        <v>6846</v>
      </c>
      <c r="T4390" s="23" t="s">
        <v>4866</v>
      </c>
      <c r="U4390" s="3">
        <v>35</v>
      </c>
      <c r="W4390" s="45" t="str">
        <f>HYPERLINK("http://ictvonline.org/taxonomy/p/taxonomy-history?taxnode_id=201901740","ICTVonline=201901740")</f>
        <v>ICTVonline=201901740</v>
      </c>
      <c r="X4390" s="1" t="s">
        <v>13606</v>
      </c>
      <c r="Y4390" s="1" t="s">
        <v>13607</v>
      </c>
      <c r="Z4390" s="1" t="s">
        <v>13608</v>
      </c>
      <c r="AA4390" s="1">
        <v>201900000</v>
      </c>
      <c r="AB4390" s="1">
        <v>35</v>
      </c>
    </row>
    <row r="4391" spans="1:28" x14ac:dyDescent="0.2">
      <c r="A4391" s="1">
        <v>11228</v>
      </c>
      <c r="B4391" s="1" t="s">
        <v>6839</v>
      </c>
      <c r="D4391" s="1" t="s">
        <v>11735</v>
      </c>
      <c r="F4391" s="1" t="s">
        <v>5540</v>
      </c>
      <c r="G4391" s="1" t="s">
        <v>5541</v>
      </c>
      <c r="H4391" s="1" t="s">
        <v>5556</v>
      </c>
      <c r="J4391" s="1" t="s">
        <v>999</v>
      </c>
      <c r="L4391" s="1" t="s">
        <v>1425</v>
      </c>
      <c r="N4391" s="1" t="s">
        <v>13609</v>
      </c>
      <c r="P4391" s="1" t="s">
        <v>13610</v>
      </c>
      <c r="Q4391" s="3">
        <v>0</v>
      </c>
      <c r="R4391" s="23" t="s">
        <v>12893</v>
      </c>
      <c r="S4391" s="23" t="s">
        <v>6846</v>
      </c>
      <c r="T4391" s="23" t="s">
        <v>4864</v>
      </c>
      <c r="U4391" s="3">
        <v>35</v>
      </c>
      <c r="V4391" s="3" t="s">
        <v>13611</v>
      </c>
      <c r="W4391" s="45" t="str">
        <f>HYPERLINK("http://ictvonline.org/taxonomy/p/taxonomy-history?taxnode_id=201907696","ICTVonline=201907696")</f>
        <v>ICTVonline=201907696</v>
      </c>
      <c r="X4391" s="1" t="s">
        <v>13612</v>
      </c>
      <c r="Y4391" s="1" t="s">
        <v>13613</v>
      </c>
      <c r="Z4391" s="1" t="s">
        <v>13614</v>
      </c>
      <c r="AA4391" s="1">
        <v>201900000</v>
      </c>
      <c r="AB4391" s="1">
        <v>35</v>
      </c>
    </row>
    <row r="4392" spans="1:28" x14ac:dyDescent="0.2">
      <c r="A4392" s="1">
        <v>11230</v>
      </c>
      <c r="B4392" s="1" t="s">
        <v>6839</v>
      </c>
      <c r="D4392" s="1" t="s">
        <v>11735</v>
      </c>
      <c r="F4392" s="1" t="s">
        <v>5540</v>
      </c>
      <c r="G4392" s="1" t="s">
        <v>5541</v>
      </c>
      <c r="H4392" s="1" t="s">
        <v>5556</v>
      </c>
      <c r="J4392" s="1" t="s">
        <v>999</v>
      </c>
      <c r="L4392" s="1" t="s">
        <v>1425</v>
      </c>
      <c r="N4392" s="1" t="s">
        <v>13609</v>
      </c>
      <c r="P4392" s="1" t="s">
        <v>13615</v>
      </c>
      <c r="Q4392" s="3">
        <v>0</v>
      </c>
      <c r="R4392" s="23" t="s">
        <v>12893</v>
      </c>
      <c r="S4392" s="23" t="s">
        <v>6846</v>
      </c>
      <c r="T4392" s="23" t="s">
        <v>4864</v>
      </c>
      <c r="U4392" s="3">
        <v>35</v>
      </c>
      <c r="V4392" s="3" t="s">
        <v>13611</v>
      </c>
      <c r="W4392" s="45" t="str">
        <f>HYPERLINK("http://ictvonline.org/taxonomy/p/taxonomy-history?taxnode_id=201907697","ICTVonline=201907697")</f>
        <v>ICTVonline=201907697</v>
      </c>
      <c r="X4392" s="1" t="s">
        <v>13616</v>
      </c>
      <c r="Y4392" s="1" t="s">
        <v>13617</v>
      </c>
      <c r="Z4392" s="1">
        <v>954</v>
      </c>
      <c r="AA4392" s="1">
        <v>201900000</v>
      </c>
      <c r="AB4392" s="1">
        <v>35</v>
      </c>
    </row>
    <row r="4393" spans="1:28" x14ac:dyDescent="0.2">
      <c r="A4393" s="1">
        <v>11232</v>
      </c>
      <c r="B4393" s="1" t="s">
        <v>6839</v>
      </c>
      <c r="D4393" s="1" t="s">
        <v>11735</v>
      </c>
      <c r="F4393" s="1" t="s">
        <v>5540</v>
      </c>
      <c r="G4393" s="1" t="s">
        <v>5541</v>
      </c>
      <c r="H4393" s="1" t="s">
        <v>5556</v>
      </c>
      <c r="J4393" s="1" t="s">
        <v>999</v>
      </c>
      <c r="L4393" s="1" t="s">
        <v>1425</v>
      </c>
      <c r="N4393" s="1" t="s">
        <v>13609</v>
      </c>
      <c r="P4393" s="1" t="s">
        <v>13618</v>
      </c>
      <c r="Q4393" s="3">
        <v>1</v>
      </c>
      <c r="R4393" s="23" t="s">
        <v>12893</v>
      </c>
      <c r="S4393" s="23" t="s">
        <v>6846</v>
      </c>
      <c r="T4393" s="23" t="s">
        <v>4864</v>
      </c>
      <c r="U4393" s="3">
        <v>35</v>
      </c>
      <c r="V4393" s="3" t="s">
        <v>13611</v>
      </c>
      <c r="W4393" s="45" t="str">
        <f>HYPERLINK("http://ictvonline.org/taxonomy/p/taxonomy-history?taxnode_id=201907693","ICTVonline=201907693")</f>
        <v>ICTVonline=201907693</v>
      </c>
      <c r="X4393" s="1" t="s">
        <v>13619</v>
      </c>
      <c r="Y4393" s="1" t="s">
        <v>13620</v>
      </c>
      <c r="Z4393" s="1" t="s">
        <v>13621</v>
      </c>
      <c r="AA4393" s="1">
        <v>201900000</v>
      </c>
      <c r="AB4393" s="1">
        <v>35</v>
      </c>
    </row>
    <row r="4394" spans="1:28" x14ac:dyDescent="0.2">
      <c r="A4394" s="1">
        <v>11234</v>
      </c>
      <c r="B4394" s="1" t="s">
        <v>6839</v>
      </c>
      <c r="D4394" s="1" t="s">
        <v>11735</v>
      </c>
      <c r="F4394" s="1" t="s">
        <v>5540</v>
      </c>
      <c r="G4394" s="1" t="s">
        <v>5541</v>
      </c>
      <c r="H4394" s="1" t="s">
        <v>5556</v>
      </c>
      <c r="J4394" s="1" t="s">
        <v>999</v>
      </c>
      <c r="L4394" s="1" t="s">
        <v>1425</v>
      </c>
      <c r="N4394" s="1" t="s">
        <v>13609</v>
      </c>
      <c r="P4394" s="1" t="s">
        <v>13622</v>
      </c>
      <c r="Q4394" s="3">
        <v>0</v>
      </c>
      <c r="R4394" s="23" t="s">
        <v>12893</v>
      </c>
      <c r="S4394" s="23" t="s">
        <v>6846</v>
      </c>
      <c r="T4394" s="23" t="s">
        <v>4864</v>
      </c>
      <c r="U4394" s="3">
        <v>35</v>
      </c>
      <c r="V4394" s="3" t="s">
        <v>13611</v>
      </c>
      <c r="W4394" s="45" t="str">
        <f>HYPERLINK("http://ictvonline.org/taxonomy/p/taxonomy-history?taxnode_id=201907695","ICTVonline=201907695")</f>
        <v>ICTVonline=201907695</v>
      </c>
      <c r="X4394" s="1" t="s">
        <v>13623</v>
      </c>
      <c r="Y4394" s="1" t="s">
        <v>13624</v>
      </c>
      <c r="Z4394" s="1" t="s">
        <v>13625</v>
      </c>
      <c r="AA4394" s="1">
        <v>201900000</v>
      </c>
      <c r="AB4394" s="1">
        <v>35</v>
      </c>
    </row>
    <row r="4395" spans="1:28" x14ac:dyDescent="0.2">
      <c r="A4395" s="1">
        <v>11236</v>
      </c>
      <c r="B4395" s="1" t="s">
        <v>6839</v>
      </c>
      <c r="D4395" s="1" t="s">
        <v>11735</v>
      </c>
      <c r="F4395" s="1" t="s">
        <v>5540</v>
      </c>
      <c r="G4395" s="1" t="s">
        <v>5541</v>
      </c>
      <c r="H4395" s="1" t="s">
        <v>5556</v>
      </c>
      <c r="J4395" s="1" t="s">
        <v>999</v>
      </c>
      <c r="L4395" s="1" t="s">
        <v>1425</v>
      </c>
      <c r="N4395" s="1" t="s">
        <v>13609</v>
      </c>
      <c r="P4395" s="1" t="s">
        <v>13626</v>
      </c>
      <c r="Q4395" s="3">
        <v>0</v>
      </c>
      <c r="R4395" s="23" t="s">
        <v>12893</v>
      </c>
      <c r="S4395" s="23" t="s">
        <v>6846</v>
      </c>
      <c r="T4395" s="23" t="s">
        <v>4864</v>
      </c>
      <c r="U4395" s="3">
        <v>35</v>
      </c>
      <c r="V4395" s="3" t="s">
        <v>13611</v>
      </c>
      <c r="W4395" s="45" t="str">
        <f>HYPERLINK("http://ictvonline.org/taxonomy/p/taxonomy-history?taxnode_id=201907694","ICTVonline=201907694")</f>
        <v>ICTVonline=201907694</v>
      </c>
      <c r="X4395" s="1" t="s">
        <v>13627</v>
      </c>
      <c r="Y4395" s="1" t="s">
        <v>13628</v>
      </c>
      <c r="Z4395" s="1" t="s">
        <v>13629</v>
      </c>
      <c r="AA4395" s="1">
        <v>201900000</v>
      </c>
      <c r="AB4395" s="1">
        <v>35</v>
      </c>
    </row>
    <row r="4396" spans="1:28" x14ac:dyDescent="0.2">
      <c r="A4396" s="1">
        <v>11240</v>
      </c>
      <c r="B4396" s="1" t="s">
        <v>6839</v>
      </c>
      <c r="D4396" s="1" t="s">
        <v>11735</v>
      </c>
      <c r="F4396" s="1" t="s">
        <v>5540</v>
      </c>
      <c r="G4396" s="1" t="s">
        <v>5541</v>
      </c>
      <c r="H4396" s="1" t="s">
        <v>5556</v>
      </c>
      <c r="J4396" s="1" t="s">
        <v>999</v>
      </c>
      <c r="L4396" s="1" t="s">
        <v>1425</v>
      </c>
      <c r="N4396" s="1" t="s">
        <v>2144</v>
      </c>
      <c r="P4396" s="1" t="s">
        <v>3542</v>
      </c>
      <c r="Q4396" s="3">
        <v>0</v>
      </c>
      <c r="R4396" s="23" t="s">
        <v>12893</v>
      </c>
      <c r="S4396" s="23" t="s">
        <v>6846</v>
      </c>
      <c r="T4396" s="23" t="s">
        <v>4866</v>
      </c>
      <c r="U4396" s="3">
        <v>35</v>
      </c>
      <c r="W4396" s="45" t="str">
        <f>HYPERLINK("http://ictvonline.org/taxonomy/p/taxonomy-history?taxnode_id=201901753","ICTVonline=201901753")</f>
        <v>ICTVonline=201901753</v>
      </c>
      <c r="X4396" s="1" t="s">
        <v>13630</v>
      </c>
      <c r="Y4396" s="1" t="s">
        <v>13631</v>
      </c>
      <c r="Z4396" s="1" t="s">
        <v>13632</v>
      </c>
      <c r="AA4396" s="1">
        <v>201900000</v>
      </c>
      <c r="AB4396" s="1">
        <v>35</v>
      </c>
    </row>
    <row r="4397" spans="1:28" x14ac:dyDescent="0.2">
      <c r="A4397" s="1">
        <v>11242</v>
      </c>
      <c r="B4397" s="1" t="s">
        <v>6839</v>
      </c>
      <c r="D4397" s="1" t="s">
        <v>11735</v>
      </c>
      <c r="F4397" s="1" t="s">
        <v>5540</v>
      </c>
      <c r="G4397" s="1" t="s">
        <v>5541</v>
      </c>
      <c r="H4397" s="1" t="s">
        <v>5556</v>
      </c>
      <c r="J4397" s="1" t="s">
        <v>999</v>
      </c>
      <c r="L4397" s="1" t="s">
        <v>1425</v>
      </c>
      <c r="N4397" s="1" t="s">
        <v>2144</v>
      </c>
      <c r="P4397" s="1" t="s">
        <v>3543</v>
      </c>
      <c r="Q4397" s="3">
        <v>1</v>
      </c>
      <c r="R4397" s="23" t="s">
        <v>12893</v>
      </c>
      <c r="S4397" s="23" t="s">
        <v>6846</v>
      </c>
      <c r="T4397" s="23" t="s">
        <v>4866</v>
      </c>
      <c r="U4397" s="3">
        <v>35</v>
      </c>
      <c r="W4397" s="45" t="str">
        <f>HYPERLINK("http://ictvonline.org/taxonomy/p/taxonomy-history?taxnode_id=201901754","ICTVonline=201901754")</f>
        <v>ICTVonline=201901754</v>
      </c>
      <c r="X4397" s="1" t="s">
        <v>13633</v>
      </c>
      <c r="Y4397" s="1" t="s">
        <v>13634</v>
      </c>
      <c r="Z4397" s="1" t="s">
        <v>13635</v>
      </c>
      <c r="AA4397" s="1">
        <v>201900000</v>
      </c>
      <c r="AB4397" s="1">
        <v>35</v>
      </c>
    </row>
    <row r="4398" spans="1:28" x14ac:dyDescent="0.2">
      <c r="A4398" s="1">
        <v>11244</v>
      </c>
      <c r="B4398" s="1" t="s">
        <v>6839</v>
      </c>
      <c r="D4398" s="1" t="s">
        <v>11735</v>
      </c>
      <c r="F4398" s="1" t="s">
        <v>5540</v>
      </c>
      <c r="G4398" s="1" t="s">
        <v>5541</v>
      </c>
      <c r="H4398" s="1" t="s">
        <v>5556</v>
      </c>
      <c r="J4398" s="1" t="s">
        <v>999</v>
      </c>
      <c r="L4398" s="1" t="s">
        <v>1425</v>
      </c>
      <c r="N4398" s="1" t="s">
        <v>2144</v>
      </c>
      <c r="P4398" s="1" t="s">
        <v>3544</v>
      </c>
      <c r="Q4398" s="3">
        <v>0</v>
      </c>
      <c r="R4398" s="23" t="s">
        <v>12893</v>
      </c>
      <c r="S4398" s="23" t="s">
        <v>6846</v>
      </c>
      <c r="T4398" s="23" t="s">
        <v>4866</v>
      </c>
      <c r="U4398" s="3">
        <v>35</v>
      </c>
      <c r="W4398" s="45" t="str">
        <f>HYPERLINK("http://ictvonline.org/taxonomy/p/taxonomy-history?taxnode_id=201901755","ICTVonline=201901755")</f>
        <v>ICTVonline=201901755</v>
      </c>
      <c r="X4398" s="1" t="s">
        <v>13636</v>
      </c>
      <c r="Y4398" s="1" t="s">
        <v>13637</v>
      </c>
      <c r="Z4398" s="1" t="s">
        <v>13638</v>
      </c>
      <c r="AA4398" s="1">
        <v>201900000</v>
      </c>
      <c r="AB4398" s="1">
        <v>35</v>
      </c>
    </row>
    <row r="4399" spans="1:28" x14ac:dyDescent="0.2">
      <c r="A4399" s="1">
        <v>11248</v>
      </c>
      <c r="B4399" s="1" t="s">
        <v>6839</v>
      </c>
      <c r="D4399" s="1" t="s">
        <v>11735</v>
      </c>
      <c r="F4399" s="1" t="s">
        <v>5540</v>
      </c>
      <c r="G4399" s="1" t="s">
        <v>5541</v>
      </c>
      <c r="H4399" s="1" t="s">
        <v>5556</v>
      </c>
      <c r="J4399" s="1" t="s">
        <v>999</v>
      </c>
      <c r="L4399" s="1" t="s">
        <v>1425</v>
      </c>
      <c r="N4399" s="1" t="s">
        <v>2145</v>
      </c>
      <c r="P4399" s="1" t="s">
        <v>2146</v>
      </c>
      <c r="Q4399" s="3">
        <v>0</v>
      </c>
      <c r="R4399" s="23" t="s">
        <v>12893</v>
      </c>
      <c r="S4399" s="23" t="s">
        <v>6846</v>
      </c>
      <c r="T4399" s="23" t="s">
        <v>4866</v>
      </c>
      <c r="U4399" s="3">
        <v>35</v>
      </c>
      <c r="W4399" s="45" t="str">
        <f>HYPERLINK("http://ictvonline.org/taxonomy/p/taxonomy-history?taxnode_id=201901757","ICTVonline=201901757")</f>
        <v>ICTVonline=201901757</v>
      </c>
      <c r="AA4399" s="1">
        <v>201900000</v>
      </c>
      <c r="AB4399" s="1">
        <v>35</v>
      </c>
    </row>
    <row r="4400" spans="1:28" x14ac:dyDescent="0.2">
      <c r="A4400" s="1">
        <v>11250</v>
      </c>
      <c r="B4400" s="1" t="s">
        <v>6839</v>
      </c>
      <c r="D4400" s="1" t="s">
        <v>11735</v>
      </c>
      <c r="F4400" s="1" t="s">
        <v>5540</v>
      </c>
      <c r="G4400" s="1" t="s">
        <v>5541</v>
      </c>
      <c r="H4400" s="1" t="s">
        <v>5556</v>
      </c>
      <c r="J4400" s="1" t="s">
        <v>999</v>
      </c>
      <c r="L4400" s="1" t="s">
        <v>1425</v>
      </c>
      <c r="N4400" s="1" t="s">
        <v>2145</v>
      </c>
      <c r="P4400" s="1" t="s">
        <v>2147</v>
      </c>
      <c r="Q4400" s="3">
        <v>0</v>
      </c>
      <c r="R4400" s="23" t="s">
        <v>12893</v>
      </c>
      <c r="S4400" s="23" t="s">
        <v>6846</v>
      </c>
      <c r="T4400" s="23" t="s">
        <v>4866</v>
      </c>
      <c r="U4400" s="3">
        <v>35</v>
      </c>
      <c r="W4400" s="45" t="str">
        <f>HYPERLINK("http://ictvonline.org/taxonomy/p/taxonomy-history?taxnode_id=201901758","ICTVonline=201901758")</f>
        <v>ICTVonline=201901758</v>
      </c>
      <c r="AA4400" s="1">
        <v>201900000</v>
      </c>
      <c r="AB4400" s="1">
        <v>35</v>
      </c>
    </row>
    <row r="4401" spans="1:28" x14ac:dyDescent="0.2">
      <c r="A4401" s="1">
        <v>11252</v>
      </c>
      <c r="B4401" s="1" t="s">
        <v>6839</v>
      </c>
      <c r="D4401" s="1" t="s">
        <v>11735</v>
      </c>
      <c r="F4401" s="1" t="s">
        <v>5540</v>
      </c>
      <c r="G4401" s="1" t="s">
        <v>5541</v>
      </c>
      <c r="H4401" s="1" t="s">
        <v>5556</v>
      </c>
      <c r="J4401" s="1" t="s">
        <v>999</v>
      </c>
      <c r="L4401" s="1" t="s">
        <v>1425</v>
      </c>
      <c r="N4401" s="1" t="s">
        <v>2145</v>
      </c>
      <c r="P4401" s="1" t="s">
        <v>2148</v>
      </c>
      <c r="Q4401" s="3">
        <v>0</v>
      </c>
      <c r="R4401" s="23" t="s">
        <v>12893</v>
      </c>
      <c r="S4401" s="23" t="s">
        <v>6846</v>
      </c>
      <c r="T4401" s="23" t="s">
        <v>4866</v>
      </c>
      <c r="U4401" s="3">
        <v>35</v>
      </c>
      <c r="W4401" s="45" t="str">
        <f>HYPERLINK("http://ictvonline.org/taxonomy/p/taxonomy-history?taxnode_id=201901759","ICTVonline=201901759")</f>
        <v>ICTVonline=201901759</v>
      </c>
      <c r="AA4401" s="1">
        <v>201900000</v>
      </c>
      <c r="AB4401" s="1">
        <v>35</v>
      </c>
    </row>
    <row r="4402" spans="1:28" x14ac:dyDescent="0.2">
      <c r="A4402" s="1">
        <v>11254</v>
      </c>
      <c r="B4402" s="1" t="s">
        <v>6839</v>
      </c>
      <c r="D4402" s="1" t="s">
        <v>11735</v>
      </c>
      <c r="F4402" s="1" t="s">
        <v>5540</v>
      </c>
      <c r="G4402" s="1" t="s">
        <v>5541</v>
      </c>
      <c r="H4402" s="1" t="s">
        <v>5556</v>
      </c>
      <c r="J4402" s="1" t="s">
        <v>999</v>
      </c>
      <c r="L4402" s="1" t="s">
        <v>1425</v>
      </c>
      <c r="N4402" s="1" t="s">
        <v>2145</v>
      </c>
      <c r="P4402" s="1" t="s">
        <v>2149</v>
      </c>
      <c r="Q4402" s="3">
        <v>1</v>
      </c>
      <c r="R4402" s="23" t="s">
        <v>12893</v>
      </c>
      <c r="S4402" s="23" t="s">
        <v>6846</v>
      </c>
      <c r="T4402" s="23" t="s">
        <v>4866</v>
      </c>
      <c r="U4402" s="3">
        <v>35</v>
      </c>
      <c r="W4402" s="45" t="str">
        <f>HYPERLINK("http://ictvonline.org/taxonomy/p/taxonomy-history?taxnode_id=201901760","ICTVonline=201901760")</f>
        <v>ICTVonline=201901760</v>
      </c>
      <c r="Y4402" s="1" t="s">
        <v>13639</v>
      </c>
      <c r="AA4402" s="1">
        <v>201900000</v>
      </c>
      <c r="AB4402" s="1">
        <v>35</v>
      </c>
    </row>
    <row r="4403" spans="1:28" x14ac:dyDescent="0.2">
      <c r="A4403" s="1">
        <v>11256</v>
      </c>
      <c r="B4403" s="1" t="s">
        <v>6839</v>
      </c>
      <c r="D4403" s="1" t="s">
        <v>11735</v>
      </c>
      <c r="F4403" s="1" t="s">
        <v>5540</v>
      </c>
      <c r="G4403" s="1" t="s">
        <v>5541</v>
      </c>
      <c r="H4403" s="1" t="s">
        <v>5556</v>
      </c>
      <c r="J4403" s="1" t="s">
        <v>999</v>
      </c>
      <c r="L4403" s="1" t="s">
        <v>1425</v>
      </c>
      <c r="N4403" s="1" t="s">
        <v>2145</v>
      </c>
      <c r="P4403" s="1" t="s">
        <v>2150</v>
      </c>
      <c r="Q4403" s="3">
        <v>0</v>
      </c>
      <c r="R4403" s="23" t="s">
        <v>12893</v>
      </c>
      <c r="S4403" s="23" t="s">
        <v>6846</v>
      </c>
      <c r="T4403" s="23" t="s">
        <v>4866</v>
      </c>
      <c r="U4403" s="3">
        <v>35</v>
      </c>
      <c r="W4403" s="45" t="str">
        <f>HYPERLINK("http://ictvonline.org/taxonomy/p/taxonomy-history?taxnode_id=201901761","ICTVonline=201901761")</f>
        <v>ICTVonline=201901761</v>
      </c>
      <c r="Y4403" s="1" t="s">
        <v>13640</v>
      </c>
      <c r="AA4403" s="1">
        <v>201900000</v>
      </c>
      <c r="AB4403" s="1">
        <v>35</v>
      </c>
    </row>
    <row r="4404" spans="1:28" x14ac:dyDescent="0.2">
      <c r="A4404" s="1">
        <v>11258</v>
      </c>
      <c r="B4404" s="1" t="s">
        <v>6839</v>
      </c>
      <c r="D4404" s="1" t="s">
        <v>11735</v>
      </c>
      <c r="F4404" s="1" t="s">
        <v>5540</v>
      </c>
      <c r="G4404" s="1" t="s">
        <v>5541</v>
      </c>
      <c r="H4404" s="1" t="s">
        <v>5556</v>
      </c>
      <c r="J4404" s="1" t="s">
        <v>999</v>
      </c>
      <c r="L4404" s="1" t="s">
        <v>1425</v>
      </c>
      <c r="N4404" s="1" t="s">
        <v>2145</v>
      </c>
      <c r="P4404" s="1" t="s">
        <v>2151</v>
      </c>
      <c r="Q4404" s="3">
        <v>0</v>
      </c>
      <c r="R4404" s="23" t="s">
        <v>12893</v>
      </c>
      <c r="S4404" s="23" t="s">
        <v>6846</v>
      </c>
      <c r="T4404" s="23" t="s">
        <v>4866</v>
      </c>
      <c r="U4404" s="3">
        <v>35</v>
      </c>
      <c r="W4404" s="45" t="str">
        <f>HYPERLINK("http://ictvonline.org/taxonomy/p/taxonomy-history?taxnode_id=201901762","ICTVonline=201901762")</f>
        <v>ICTVonline=201901762</v>
      </c>
      <c r="AA4404" s="1">
        <v>201900000</v>
      </c>
      <c r="AB4404" s="1">
        <v>35</v>
      </c>
    </row>
    <row r="4405" spans="1:28" x14ac:dyDescent="0.2">
      <c r="A4405" s="1">
        <v>11260</v>
      </c>
      <c r="B4405" s="1" t="s">
        <v>6839</v>
      </c>
      <c r="D4405" s="1" t="s">
        <v>11735</v>
      </c>
      <c r="F4405" s="1" t="s">
        <v>5540</v>
      </c>
      <c r="G4405" s="1" t="s">
        <v>5541</v>
      </c>
      <c r="H4405" s="1" t="s">
        <v>5556</v>
      </c>
      <c r="J4405" s="1" t="s">
        <v>999</v>
      </c>
      <c r="L4405" s="1" t="s">
        <v>1425</v>
      </c>
      <c r="N4405" s="1" t="s">
        <v>2145</v>
      </c>
      <c r="P4405" s="1" t="s">
        <v>2152</v>
      </c>
      <c r="Q4405" s="3">
        <v>0</v>
      </c>
      <c r="R4405" s="23" t="s">
        <v>12893</v>
      </c>
      <c r="S4405" s="23" t="s">
        <v>6846</v>
      </c>
      <c r="T4405" s="23" t="s">
        <v>4866</v>
      </c>
      <c r="U4405" s="3">
        <v>35</v>
      </c>
      <c r="W4405" s="45" t="str">
        <f>HYPERLINK("http://ictvonline.org/taxonomy/p/taxonomy-history?taxnode_id=201901763","ICTVonline=201901763")</f>
        <v>ICTVonline=201901763</v>
      </c>
      <c r="AA4405" s="1">
        <v>201900000</v>
      </c>
      <c r="AB4405" s="1">
        <v>35</v>
      </c>
    </row>
    <row r="4406" spans="1:28" x14ac:dyDescent="0.2">
      <c r="A4406" s="1">
        <v>11264</v>
      </c>
      <c r="B4406" s="1" t="s">
        <v>6839</v>
      </c>
      <c r="D4406" s="1" t="s">
        <v>11735</v>
      </c>
      <c r="F4406" s="1" t="s">
        <v>5540</v>
      </c>
      <c r="G4406" s="1" t="s">
        <v>5541</v>
      </c>
      <c r="H4406" s="1" t="s">
        <v>5556</v>
      </c>
      <c r="J4406" s="1" t="s">
        <v>999</v>
      </c>
      <c r="L4406" s="1" t="s">
        <v>1425</v>
      </c>
      <c r="N4406" s="1" t="s">
        <v>2286</v>
      </c>
      <c r="P4406" s="1" t="s">
        <v>3545</v>
      </c>
      <c r="Q4406" s="3">
        <v>1</v>
      </c>
      <c r="R4406" s="23" t="s">
        <v>12893</v>
      </c>
      <c r="S4406" s="23" t="s">
        <v>6846</v>
      </c>
      <c r="T4406" s="23" t="s">
        <v>4866</v>
      </c>
      <c r="U4406" s="3">
        <v>35</v>
      </c>
      <c r="W4406" s="45" t="str">
        <f>HYPERLINK("http://ictvonline.org/taxonomy/p/taxonomy-history?taxnode_id=201901765","ICTVonline=201901765")</f>
        <v>ICTVonline=201901765</v>
      </c>
      <c r="X4406" s="1" t="s">
        <v>13641</v>
      </c>
      <c r="Y4406" s="1" t="s">
        <v>13642</v>
      </c>
      <c r="Z4406" s="1" t="s">
        <v>13643</v>
      </c>
      <c r="AA4406" s="1">
        <v>201900000</v>
      </c>
      <c r="AB4406" s="1">
        <v>35</v>
      </c>
    </row>
    <row r="4407" spans="1:28" x14ac:dyDescent="0.2">
      <c r="A4407" s="1">
        <v>11266</v>
      </c>
      <c r="B4407" s="1" t="s">
        <v>6839</v>
      </c>
      <c r="D4407" s="1" t="s">
        <v>11735</v>
      </c>
      <c r="F4407" s="1" t="s">
        <v>5540</v>
      </c>
      <c r="G4407" s="1" t="s">
        <v>5541</v>
      </c>
      <c r="H4407" s="1" t="s">
        <v>5556</v>
      </c>
      <c r="J4407" s="1" t="s">
        <v>999</v>
      </c>
      <c r="L4407" s="1" t="s">
        <v>1425</v>
      </c>
      <c r="N4407" s="1" t="s">
        <v>2286</v>
      </c>
      <c r="P4407" s="1" t="s">
        <v>3546</v>
      </c>
      <c r="Q4407" s="3">
        <v>0</v>
      </c>
      <c r="R4407" s="23" t="s">
        <v>12893</v>
      </c>
      <c r="S4407" s="23" t="s">
        <v>6846</v>
      </c>
      <c r="T4407" s="23" t="s">
        <v>4866</v>
      </c>
      <c r="U4407" s="3">
        <v>35</v>
      </c>
      <c r="W4407" s="45" t="str">
        <f>HYPERLINK("http://ictvonline.org/taxonomy/p/taxonomy-history?taxnode_id=201901766","ICTVonline=201901766")</f>
        <v>ICTVonline=201901766</v>
      </c>
      <c r="X4407" s="1" t="s">
        <v>13644</v>
      </c>
      <c r="Y4407" s="1" t="s">
        <v>13645</v>
      </c>
      <c r="Z4407" s="1" t="s">
        <v>13646</v>
      </c>
      <c r="AA4407" s="1">
        <v>201900000</v>
      </c>
      <c r="AB4407" s="1">
        <v>35</v>
      </c>
    </row>
    <row r="4408" spans="1:28" x14ac:dyDescent="0.2">
      <c r="A4408" s="1">
        <v>11270</v>
      </c>
      <c r="B4408" s="1" t="s">
        <v>6839</v>
      </c>
      <c r="D4408" s="1" t="s">
        <v>11735</v>
      </c>
      <c r="F4408" s="1" t="s">
        <v>5540</v>
      </c>
      <c r="G4408" s="1" t="s">
        <v>5541</v>
      </c>
      <c r="H4408" s="1" t="s">
        <v>5556</v>
      </c>
      <c r="J4408" s="1" t="s">
        <v>999</v>
      </c>
      <c r="L4408" s="1" t="s">
        <v>1425</v>
      </c>
      <c r="N4408" s="1" t="s">
        <v>4501</v>
      </c>
      <c r="P4408" s="1" t="s">
        <v>4502</v>
      </c>
      <c r="Q4408" s="3">
        <v>0</v>
      </c>
      <c r="R4408" s="23" t="s">
        <v>12893</v>
      </c>
      <c r="S4408" s="23" t="s">
        <v>6846</v>
      </c>
      <c r="T4408" s="23" t="s">
        <v>4866</v>
      </c>
      <c r="U4408" s="3">
        <v>35</v>
      </c>
      <c r="W4408" s="45" t="str">
        <f>HYPERLINK("http://ictvonline.org/taxonomy/p/taxonomy-history?taxnode_id=201901768","ICTVonline=201901768")</f>
        <v>ICTVonline=201901768</v>
      </c>
      <c r="Y4408" s="1" t="s">
        <v>13647</v>
      </c>
      <c r="Z4408" s="1" t="s">
        <v>13648</v>
      </c>
      <c r="AA4408" s="1">
        <v>201900000</v>
      </c>
      <c r="AB4408" s="1">
        <v>35</v>
      </c>
    </row>
    <row r="4409" spans="1:28" x14ac:dyDescent="0.2">
      <c r="A4409" s="1">
        <v>11272</v>
      </c>
      <c r="B4409" s="1" t="s">
        <v>6839</v>
      </c>
      <c r="D4409" s="1" t="s">
        <v>11735</v>
      </c>
      <c r="F4409" s="1" t="s">
        <v>5540</v>
      </c>
      <c r="G4409" s="1" t="s">
        <v>5541</v>
      </c>
      <c r="H4409" s="1" t="s">
        <v>5556</v>
      </c>
      <c r="J4409" s="1" t="s">
        <v>999</v>
      </c>
      <c r="L4409" s="1" t="s">
        <v>1425</v>
      </c>
      <c r="N4409" s="1" t="s">
        <v>4501</v>
      </c>
      <c r="P4409" s="1" t="s">
        <v>4503</v>
      </c>
      <c r="Q4409" s="3">
        <v>0</v>
      </c>
      <c r="R4409" s="23" t="s">
        <v>12893</v>
      </c>
      <c r="S4409" s="23" t="s">
        <v>6846</v>
      </c>
      <c r="T4409" s="23" t="s">
        <v>4866</v>
      </c>
      <c r="U4409" s="3">
        <v>35</v>
      </c>
      <c r="W4409" s="45" t="str">
        <f>HYPERLINK("http://ictvonline.org/taxonomy/p/taxonomy-history?taxnode_id=201901769","ICTVonline=201901769")</f>
        <v>ICTVonline=201901769</v>
      </c>
      <c r="Y4409" s="1" t="s">
        <v>13649</v>
      </c>
      <c r="Z4409" s="1" t="s">
        <v>13650</v>
      </c>
      <c r="AA4409" s="1">
        <v>201900000</v>
      </c>
      <c r="AB4409" s="1">
        <v>35</v>
      </c>
    </row>
    <row r="4410" spans="1:28" x14ac:dyDescent="0.2">
      <c r="A4410" s="1">
        <v>11274</v>
      </c>
      <c r="B4410" s="1" t="s">
        <v>6839</v>
      </c>
      <c r="D4410" s="1" t="s">
        <v>11735</v>
      </c>
      <c r="F4410" s="1" t="s">
        <v>5540</v>
      </c>
      <c r="G4410" s="1" t="s">
        <v>5541</v>
      </c>
      <c r="H4410" s="1" t="s">
        <v>5556</v>
      </c>
      <c r="J4410" s="1" t="s">
        <v>999</v>
      </c>
      <c r="L4410" s="1" t="s">
        <v>1425</v>
      </c>
      <c r="N4410" s="1" t="s">
        <v>4501</v>
      </c>
      <c r="P4410" s="1" t="s">
        <v>13651</v>
      </c>
      <c r="Q4410" s="3">
        <v>0</v>
      </c>
      <c r="R4410" s="23" t="s">
        <v>12893</v>
      </c>
      <c r="S4410" s="23" t="s">
        <v>6846</v>
      </c>
      <c r="T4410" s="23" t="s">
        <v>4864</v>
      </c>
      <c r="U4410" s="3">
        <v>35</v>
      </c>
      <c r="V4410" s="3" t="s">
        <v>13652</v>
      </c>
      <c r="W4410" s="45" t="str">
        <f>HYPERLINK("http://ictvonline.org/taxonomy/p/taxonomy-history?taxnode_id=201907405","ICTVonline=201907405")</f>
        <v>ICTVonline=201907405</v>
      </c>
      <c r="X4410" s="1" t="s">
        <v>13653</v>
      </c>
      <c r="Y4410" s="1" t="s">
        <v>13654</v>
      </c>
      <c r="Z4410" s="1" t="s">
        <v>13655</v>
      </c>
      <c r="AA4410" s="1">
        <v>201900000</v>
      </c>
      <c r="AB4410" s="1">
        <v>35</v>
      </c>
    </row>
    <row r="4411" spans="1:28" x14ac:dyDescent="0.2">
      <c r="A4411" s="1">
        <v>11276</v>
      </c>
      <c r="B4411" s="1" t="s">
        <v>6839</v>
      </c>
      <c r="D4411" s="1" t="s">
        <v>11735</v>
      </c>
      <c r="F4411" s="1" t="s">
        <v>5540</v>
      </c>
      <c r="G4411" s="1" t="s">
        <v>5541</v>
      </c>
      <c r="H4411" s="1" t="s">
        <v>5556</v>
      </c>
      <c r="J4411" s="1" t="s">
        <v>999</v>
      </c>
      <c r="L4411" s="1" t="s">
        <v>1425</v>
      </c>
      <c r="N4411" s="1" t="s">
        <v>4501</v>
      </c>
      <c r="P4411" s="1" t="s">
        <v>13656</v>
      </c>
      <c r="Q4411" s="3">
        <v>0</v>
      </c>
      <c r="R4411" s="23" t="s">
        <v>12893</v>
      </c>
      <c r="S4411" s="23" t="s">
        <v>6846</v>
      </c>
      <c r="T4411" s="23" t="s">
        <v>4864</v>
      </c>
      <c r="U4411" s="3">
        <v>35</v>
      </c>
      <c r="V4411" s="3" t="s">
        <v>13652</v>
      </c>
      <c r="W4411" s="45" t="str">
        <f>HYPERLINK("http://ictvonline.org/taxonomy/p/taxonomy-history?taxnode_id=201907406","ICTVonline=201907406")</f>
        <v>ICTVonline=201907406</v>
      </c>
      <c r="X4411" s="1" t="s">
        <v>13657</v>
      </c>
      <c r="Y4411" s="1" t="s">
        <v>13658</v>
      </c>
      <c r="Z4411" s="1" t="s">
        <v>13659</v>
      </c>
      <c r="AA4411" s="1">
        <v>201900000</v>
      </c>
      <c r="AB4411" s="1">
        <v>35</v>
      </c>
    </row>
    <row r="4412" spans="1:28" x14ac:dyDescent="0.2">
      <c r="A4412" s="1">
        <v>11278</v>
      </c>
      <c r="B4412" s="1" t="s">
        <v>6839</v>
      </c>
      <c r="D4412" s="1" t="s">
        <v>11735</v>
      </c>
      <c r="F4412" s="1" t="s">
        <v>5540</v>
      </c>
      <c r="G4412" s="1" t="s">
        <v>5541</v>
      </c>
      <c r="H4412" s="1" t="s">
        <v>5556</v>
      </c>
      <c r="J4412" s="1" t="s">
        <v>999</v>
      </c>
      <c r="L4412" s="1" t="s">
        <v>1425</v>
      </c>
      <c r="N4412" s="1" t="s">
        <v>4501</v>
      </c>
      <c r="P4412" s="1" t="s">
        <v>13660</v>
      </c>
      <c r="Q4412" s="3">
        <v>0</v>
      </c>
      <c r="R4412" s="23" t="s">
        <v>12893</v>
      </c>
      <c r="S4412" s="23" t="s">
        <v>6846</v>
      </c>
      <c r="T4412" s="23" t="s">
        <v>4864</v>
      </c>
      <c r="U4412" s="3">
        <v>35</v>
      </c>
      <c r="V4412" s="3" t="s">
        <v>13652</v>
      </c>
      <c r="W4412" s="45" t="str">
        <f>HYPERLINK("http://ictvonline.org/taxonomy/p/taxonomy-history?taxnode_id=201907407","ICTVonline=201907407")</f>
        <v>ICTVonline=201907407</v>
      </c>
      <c r="X4412" s="1" t="s">
        <v>13661</v>
      </c>
      <c r="Y4412" s="1" t="s">
        <v>13662</v>
      </c>
      <c r="Z4412" s="1" t="s">
        <v>13663</v>
      </c>
      <c r="AA4412" s="1">
        <v>201900000</v>
      </c>
      <c r="AB4412" s="1">
        <v>35</v>
      </c>
    </row>
    <row r="4413" spans="1:28" x14ac:dyDescent="0.2">
      <c r="A4413" s="1">
        <v>11280</v>
      </c>
      <c r="B4413" s="1" t="s">
        <v>6839</v>
      </c>
      <c r="D4413" s="1" t="s">
        <v>11735</v>
      </c>
      <c r="F4413" s="1" t="s">
        <v>5540</v>
      </c>
      <c r="G4413" s="1" t="s">
        <v>5541</v>
      </c>
      <c r="H4413" s="1" t="s">
        <v>5556</v>
      </c>
      <c r="J4413" s="1" t="s">
        <v>999</v>
      </c>
      <c r="L4413" s="1" t="s">
        <v>1425</v>
      </c>
      <c r="N4413" s="1" t="s">
        <v>4501</v>
      </c>
      <c r="P4413" s="1" t="s">
        <v>4504</v>
      </c>
      <c r="Q4413" s="3">
        <v>1</v>
      </c>
      <c r="R4413" s="23" t="s">
        <v>12893</v>
      </c>
      <c r="S4413" s="23" t="s">
        <v>6846</v>
      </c>
      <c r="T4413" s="23" t="s">
        <v>4866</v>
      </c>
      <c r="U4413" s="3">
        <v>35</v>
      </c>
      <c r="W4413" s="45" t="str">
        <f>HYPERLINK("http://ictvonline.org/taxonomy/p/taxonomy-history?taxnode_id=201901770","ICTVonline=201901770")</f>
        <v>ICTVonline=201901770</v>
      </c>
      <c r="Y4413" s="1" t="s">
        <v>13664</v>
      </c>
      <c r="Z4413" s="1" t="s">
        <v>13665</v>
      </c>
      <c r="AA4413" s="1">
        <v>201900000</v>
      </c>
      <c r="AB4413" s="1">
        <v>35</v>
      </c>
    </row>
    <row r="4414" spans="1:28" x14ac:dyDescent="0.2">
      <c r="A4414" s="1">
        <v>11282</v>
      </c>
      <c r="B4414" s="1" t="s">
        <v>6839</v>
      </c>
      <c r="D4414" s="1" t="s">
        <v>11735</v>
      </c>
      <c r="F4414" s="1" t="s">
        <v>5540</v>
      </c>
      <c r="G4414" s="1" t="s">
        <v>5541</v>
      </c>
      <c r="H4414" s="1" t="s">
        <v>5556</v>
      </c>
      <c r="J4414" s="1" t="s">
        <v>999</v>
      </c>
      <c r="L4414" s="1" t="s">
        <v>1425</v>
      </c>
      <c r="N4414" s="1" t="s">
        <v>4501</v>
      </c>
      <c r="P4414" s="1" t="s">
        <v>4505</v>
      </c>
      <c r="Q4414" s="3">
        <v>0</v>
      </c>
      <c r="R4414" s="23" t="s">
        <v>12893</v>
      </c>
      <c r="S4414" s="23" t="s">
        <v>6846</v>
      </c>
      <c r="T4414" s="23" t="s">
        <v>4866</v>
      </c>
      <c r="U4414" s="3">
        <v>35</v>
      </c>
      <c r="W4414" s="45" t="str">
        <f>HYPERLINK("http://ictvonline.org/taxonomy/p/taxonomy-history?taxnode_id=201901771","ICTVonline=201901771")</f>
        <v>ICTVonline=201901771</v>
      </c>
      <c r="Y4414" s="1" t="s">
        <v>13666</v>
      </c>
      <c r="Z4414" s="1" t="s">
        <v>13667</v>
      </c>
      <c r="AA4414" s="1">
        <v>201900000</v>
      </c>
      <c r="AB4414" s="1">
        <v>35</v>
      </c>
    </row>
    <row r="4415" spans="1:28" x14ac:dyDescent="0.2">
      <c r="A4415" s="1">
        <v>11284</v>
      </c>
      <c r="B4415" s="1" t="s">
        <v>6839</v>
      </c>
      <c r="D4415" s="1" t="s">
        <v>11735</v>
      </c>
      <c r="F4415" s="1" t="s">
        <v>5540</v>
      </c>
      <c r="G4415" s="1" t="s">
        <v>5541</v>
      </c>
      <c r="H4415" s="1" t="s">
        <v>5556</v>
      </c>
      <c r="J4415" s="1" t="s">
        <v>999</v>
      </c>
      <c r="L4415" s="1" t="s">
        <v>1425</v>
      </c>
      <c r="N4415" s="1" t="s">
        <v>4501</v>
      </c>
      <c r="P4415" s="1" t="s">
        <v>4506</v>
      </c>
      <c r="Q4415" s="3">
        <v>0</v>
      </c>
      <c r="R4415" s="23" t="s">
        <v>12893</v>
      </c>
      <c r="S4415" s="23" t="s">
        <v>6846</v>
      </c>
      <c r="T4415" s="23" t="s">
        <v>4866</v>
      </c>
      <c r="U4415" s="3">
        <v>35</v>
      </c>
      <c r="W4415" s="45" t="str">
        <f>HYPERLINK("http://ictvonline.org/taxonomy/p/taxonomy-history?taxnode_id=201901772","ICTVonline=201901772")</f>
        <v>ICTVonline=201901772</v>
      </c>
      <c r="Y4415" s="1" t="s">
        <v>13668</v>
      </c>
      <c r="Z4415" s="1" t="s">
        <v>13669</v>
      </c>
      <c r="AA4415" s="1">
        <v>201900000</v>
      </c>
      <c r="AB4415" s="1">
        <v>35</v>
      </c>
    </row>
    <row r="4416" spans="1:28" x14ac:dyDescent="0.2">
      <c r="A4416" s="1">
        <v>11288</v>
      </c>
      <c r="B4416" s="1" t="s">
        <v>6839</v>
      </c>
      <c r="D4416" s="1" t="s">
        <v>11735</v>
      </c>
      <c r="F4416" s="1" t="s">
        <v>5540</v>
      </c>
      <c r="G4416" s="1" t="s">
        <v>5541</v>
      </c>
      <c r="H4416" s="1" t="s">
        <v>5556</v>
      </c>
      <c r="J4416" s="1" t="s">
        <v>999</v>
      </c>
      <c r="L4416" s="1" t="s">
        <v>1425</v>
      </c>
      <c r="N4416" s="1" t="s">
        <v>13670</v>
      </c>
      <c r="P4416" s="1" t="s">
        <v>13671</v>
      </c>
      <c r="Q4416" s="3">
        <v>0</v>
      </c>
      <c r="R4416" s="23" t="s">
        <v>12893</v>
      </c>
      <c r="S4416" s="23" t="s">
        <v>6846</v>
      </c>
      <c r="T4416" s="23" t="s">
        <v>4864</v>
      </c>
      <c r="U4416" s="3">
        <v>35</v>
      </c>
      <c r="V4416" s="3" t="s">
        <v>13672</v>
      </c>
      <c r="W4416" s="45" t="str">
        <f>HYPERLINK("http://ictvonline.org/taxonomy/p/taxonomy-history?taxnode_id=201907125","ICTVonline=201907125")</f>
        <v>ICTVonline=201907125</v>
      </c>
      <c r="X4416" s="1" t="s">
        <v>13673</v>
      </c>
      <c r="Y4416" s="1" t="s">
        <v>13674</v>
      </c>
      <c r="Z4416" s="1" t="s">
        <v>13675</v>
      </c>
      <c r="AA4416" s="1">
        <v>201900000</v>
      </c>
      <c r="AB4416" s="1">
        <v>35</v>
      </c>
    </row>
    <row r="4417" spans="1:28" x14ac:dyDescent="0.2">
      <c r="A4417" s="1">
        <v>11290</v>
      </c>
      <c r="B4417" s="1" t="s">
        <v>6839</v>
      </c>
      <c r="D4417" s="1" t="s">
        <v>11735</v>
      </c>
      <c r="F4417" s="1" t="s">
        <v>5540</v>
      </c>
      <c r="G4417" s="1" t="s">
        <v>5541</v>
      </c>
      <c r="H4417" s="1" t="s">
        <v>5556</v>
      </c>
      <c r="J4417" s="1" t="s">
        <v>999</v>
      </c>
      <c r="L4417" s="1" t="s">
        <v>1425</v>
      </c>
      <c r="N4417" s="1" t="s">
        <v>13670</v>
      </c>
      <c r="P4417" s="1" t="s">
        <v>13676</v>
      </c>
      <c r="Q4417" s="3">
        <v>0</v>
      </c>
      <c r="R4417" s="23" t="s">
        <v>12893</v>
      </c>
      <c r="S4417" s="23" t="s">
        <v>6846</v>
      </c>
      <c r="T4417" s="23" t="s">
        <v>4864</v>
      </c>
      <c r="U4417" s="3">
        <v>35</v>
      </c>
      <c r="V4417" s="3" t="s">
        <v>13672</v>
      </c>
      <c r="W4417" s="45" t="str">
        <f>HYPERLINK("http://ictvonline.org/taxonomy/p/taxonomy-history?taxnode_id=201907126","ICTVonline=201907126")</f>
        <v>ICTVonline=201907126</v>
      </c>
      <c r="X4417" s="1" t="s">
        <v>13677</v>
      </c>
      <c r="Y4417" s="1" t="s">
        <v>13678</v>
      </c>
      <c r="Z4417" s="1" t="s">
        <v>13679</v>
      </c>
      <c r="AA4417" s="1">
        <v>201900000</v>
      </c>
      <c r="AB4417" s="1">
        <v>35</v>
      </c>
    </row>
    <row r="4418" spans="1:28" x14ac:dyDescent="0.2">
      <c r="A4418" s="1">
        <v>11292</v>
      </c>
      <c r="B4418" s="1" t="s">
        <v>6839</v>
      </c>
      <c r="D4418" s="1" t="s">
        <v>11735</v>
      </c>
      <c r="F4418" s="1" t="s">
        <v>5540</v>
      </c>
      <c r="G4418" s="1" t="s">
        <v>5541</v>
      </c>
      <c r="H4418" s="1" t="s">
        <v>5556</v>
      </c>
      <c r="J4418" s="1" t="s">
        <v>999</v>
      </c>
      <c r="L4418" s="1" t="s">
        <v>1425</v>
      </c>
      <c r="N4418" s="1" t="s">
        <v>13670</v>
      </c>
      <c r="P4418" s="1" t="s">
        <v>13680</v>
      </c>
      <c r="Q4418" s="3">
        <v>0</v>
      </c>
      <c r="R4418" s="23" t="s">
        <v>12893</v>
      </c>
      <c r="S4418" s="23" t="s">
        <v>6846</v>
      </c>
      <c r="T4418" s="23" t="s">
        <v>4864</v>
      </c>
      <c r="U4418" s="3">
        <v>35</v>
      </c>
      <c r="V4418" s="3" t="s">
        <v>13672</v>
      </c>
      <c r="W4418" s="45" t="str">
        <f>HYPERLINK("http://ictvonline.org/taxonomy/p/taxonomy-history?taxnode_id=201907128","ICTVonline=201907128")</f>
        <v>ICTVonline=201907128</v>
      </c>
      <c r="X4418" s="1" t="s">
        <v>13681</v>
      </c>
      <c r="Y4418" s="1" t="s">
        <v>13682</v>
      </c>
      <c r="Z4418" s="1" t="s">
        <v>13683</v>
      </c>
      <c r="AA4418" s="1">
        <v>201900000</v>
      </c>
      <c r="AB4418" s="1">
        <v>35</v>
      </c>
    </row>
    <row r="4419" spans="1:28" x14ac:dyDescent="0.2">
      <c r="A4419" s="1">
        <v>11294</v>
      </c>
      <c r="B4419" s="1" t="s">
        <v>6839</v>
      </c>
      <c r="D4419" s="1" t="s">
        <v>11735</v>
      </c>
      <c r="F4419" s="1" t="s">
        <v>5540</v>
      </c>
      <c r="G4419" s="1" t="s">
        <v>5541</v>
      </c>
      <c r="H4419" s="1" t="s">
        <v>5556</v>
      </c>
      <c r="J4419" s="1" t="s">
        <v>999</v>
      </c>
      <c r="L4419" s="1" t="s">
        <v>1425</v>
      </c>
      <c r="N4419" s="1" t="s">
        <v>13670</v>
      </c>
      <c r="P4419" s="1" t="s">
        <v>13684</v>
      </c>
      <c r="Q4419" s="3">
        <v>0</v>
      </c>
      <c r="R4419" s="23" t="s">
        <v>12893</v>
      </c>
      <c r="S4419" s="23" t="s">
        <v>6846</v>
      </c>
      <c r="T4419" s="23" t="s">
        <v>4864</v>
      </c>
      <c r="U4419" s="3">
        <v>35</v>
      </c>
      <c r="V4419" s="3" t="s">
        <v>13672</v>
      </c>
      <c r="W4419" s="45" t="str">
        <f>HYPERLINK("http://ictvonline.org/taxonomy/p/taxonomy-history?taxnode_id=201907129","ICTVonline=201907129")</f>
        <v>ICTVonline=201907129</v>
      </c>
      <c r="X4419" s="1" t="s">
        <v>13685</v>
      </c>
      <c r="Y4419" s="1" t="s">
        <v>13686</v>
      </c>
      <c r="Z4419" s="1" t="s">
        <v>13687</v>
      </c>
      <c r="AA4419" s="1">
        <v>201900000</v>
      </c>
      <c r="AB4419" s="1">
        <v>35</v>
      </c>
    </row>
    <row r="4420" spans="1:28" x14ac:dyDescent="0.2">
      <c r="A4420" s="1">
        <v>11296</v>
      </c>
      <c r="B4420" s="1" t="s">
        <v>6839</v>
      </c>
      <c r="D4420" s="1" t="s">
        <v>11735</v>
      </c>
      <c r="F4420" s="1" t="s">
        <v>5540</v>
      </c>
      <c r="G4420" s="1" t="s">
        <v>5541</v>
      </c>
      <c r="H4420" s="1" t="s">
        <v>5556</v>
      </c>
      <c r="J4420" s="1" t="s">
        <v>999</v>
      </c>
      <c r="L4420" s="1" t="s">
        <v>1425</v>
      </c>
      <c r="N4420" s="1" t="s">
        <v>13670</v>
      </c>
      <c r="P4420" s="1" t="s">
        <v>13688</v>
      </c>
      <c r="Q4420" s="3">
        <v>1</v>
      </c>
      <c r="R4420" s="23" t="s">
        <v>12893</v>
      </c>
      <c r="S4420" s="23" t="s">
        <v>6846</v>
      </c>
      <c r="T4420" s="23" t="s">
        <v>4864</v>
      </c>
      <c r="U4420" s="3">
        <v>35</v>
      </c>
      <c r="V4420" s="3" t="s">
        <v>13672</v>
      </c>
      <c r="W4420" s="45" t="str">
        <f>HYPERLINK("http://ictvonline.org/taxonomy/p/taxonomy-history?taxnode_id=201907124","ICTVonline=201907124")</f>
        <v>ICTVonline=201907124</v>
      </c>
      <c r="X4420" s="1" t="s">
        <v>13689</v>
      </c>
      <c r="Y4420" s="1" t="s">
        <v>13690</v>
      </c>
      <c r="Z4420" s="1" t="s">
        <v>13691</v>
      </c>
      <c r="AA4420" s="1">
        <v>201900000</v>
      </c>
      <c r="AB4420" s="1">
        <v>35</v>
      </c>
    </row>
    <row r="4421" spans="1:28" x14ac:dyDescent="0.2">
      <c r="A4421" s="1">
        <v>11298</v>
      </c>
      <c r="B4421" s="1" t="s">
        <v>6839</v>
      </c>
      <c r="D4421" s="1" t="s">
        <v>11735</v>
      </c>
      <c r="F4421" s="1" t="s">
        <v>5540</v>
      </c>
      <c r="G4421" s="1" t="s">
        <v>5541</v>
      </c>
      <c r="H4421" s="1" t="s">
        <v>5556</v>
      </c>
      <c r="J4421" s="1" t="s">
        <v>999</v>
      </c>
      <c r="L4421" s="1" t="s">
        <v>1425</v>
      </c>
      <c r="N4421" s="1" t="s">
        <v>13670</v>
      </c>
      <c r="P4421" s="1" t="s">
        <v>13692</v>
      </c>
      <c r="Q4421" s="3">
        <v>0</v>
      </c>
      <c r="R4421" s="23" t="s">
        <v>12893</v>
      </c>
      <c r="S4421" s="23" t="s">
        <v>6846</v>
      </c>
      <c r="T4421" s="23" t="s">
        <v>4864</v>
      </c>
      <c r="U4421" s="3">
        <v>35</v>
      </c>
      <c r="V4421" s="3" t="s">
        <v>13672</v>
      </c>
      <c r="W4421" s="45" t="str">
        <f>HYPERLINK("http://ictvonline.org/taxonomy/p/taxonomy-history?taxnode_id=201907127","ICTVonline=201907127")</f>
        <v>ICTVonline=201907127</v>
      </c>
      <c r="X4421" s="1" t="s">
        <v>13693</v>
      </c>
      <c r="Y4421" s="1" t="s">
        <v>13694</v>
      </c>
      <c r="Z4421" s="1" t="s">
        <v>13695</v>
      </c>
      <c r="AA4421" s="1">
        <v>201900000</v>
      </c>
      <c r="AB4421" s="1">
        <v>35</v>
      </c>
    </row>
    <row r="4422" spans="1:28" x14ac:dyDescent="0.2">
      <c r="A4422" s="1">
        <v>11302</v>
      </c>
      <c r="B4422" s="1" t="s">
        <v>6839</v>
      </c>
      <c r="D4422" s="1" t="s">
        <v>11735</v>
      </c>
      <c r="F4422" s="1" t="s">
        <v>5540</v>
      </c>
      <c r="G4422" s="1" t="s">
        <v>5541</v>
      </c>
      <c r="H4422" s="1" t="s">
        <v>5556</v>
      </c>
      <c r="J4422" s="1" t="s">
        <v>999</v>
      </c>
      <c r="L4422" s="1" t="s">
        <v>1425</v>
      </c>
      <c r="N4422" s="1" t="s">
        <v>2153</v>
      </c>
      <c r="P4422" s="1" t="s">
        <v>4507</v>
      </c>
      <c r="Q4422" s="3">
        <v>0</v>
      </c>
      <c r="R4422" s="23" t="s">
        <v>12893</v>
      </c>
      <c r="S4422" s="23" t="s">
        <v>6846</v>
      </c>
      <c r="T4422" s="23" t="s">
        <v>4866</v>
      </c>
      <c r="U4422" s="3">
        <v>35</v>
      </c>
      <c r="W4422" s="45" t="str">
        <f>HYPERLINK("http://ictvonline.org/taxonomy/p/taxonomy-history?taxnode_id=201901774","ICTVonline=201901774")</f>
        <v>ICTVonline=201901774</v>
      </c>
      <c r="Y4422" s="1" t="s">
        <v>13696</v>
      </c>
      <c r="Z4422" s="1" t="s">
        <v>13697</v>
      </c>
      <c r="AA4422" s="1">
        <v>201900000</v>
      </c>
      <c r="AB4422" s="1">
        <v>35</v>
      </c>
    </row>
    <row r="4423" spans="1:28" x14ac:dyDescent="0.2">
      <c r="A4423" s="1">
        <v>11304</v>
      </c>
      <c r="B4423" s="1" t="s">
        <v>6839</v>
      </c>
      <c r="D4423" s="1" t="s">
        <v>11735</v>
      </c>
      <c r="F4423" s="1" t="s">
        <v>5540</v>
      </c>
      <c r="G4423" s="1" t="s">
        <v>5541</v>
      </c>
      <c r="H4423" s="1" t="s">
        <v>5556</v>
      </c>
      <c r="J4423" s="1" t="s">
        <v>999</v>
      </c>
      <c r="L4423" s="1" t="s">
        <v>1425</v>
      </c>
      <c r="N4423" s="1" t="s">
        <v>2153</v>
      </c>
      <c r="P4423" s="1" t="s">
        <v>5041</v>
      </c>
      <c r="Q4423" s="3">
        <v>0</v>
      </c>
      <c r="R4423" s="23" t="s">
        <v>12893</v>
      </c>
      <c r="S4423" s="23" t="s">
        <v>6846</v>
      </c>
      <c r="T4423" s="23" t="s">
        <v>4866</v>
      </c>
      <c r="U4423" s="3">
        <v>35</v>
      </c>
      <c r="W4423" s="45" t="str">
        <f>HYPERLINK("http://ictvonline.org/taxonomy/p/taxonomy-history?taxnode_id=201905583","ICTVonline=201905583")</f>
        <v>ICTVonline=201905583</v>
      </c>
      <c r="AA4423" s="1">
        <v>201900000</v>
      </c>
      <c r="AB4423" s="1">
        <v>35</v>
      </c>
    </row>
    <row r="4424" spans="1:28" x14ac:dyDescent="0.2">
      <c r="A4424" s="1">
        <v>11306</v>
      </c>
      <c r="B4424" s="1" t="s">
        <v>6839</v>
      </c>
      <c r="D4424" s="1" t="s">
        <v>11735</v>
      </c>
      <c r="F4424" s="1" t="s">
        <v>5540</v>
      </c>
      <c r="G4424" s="1" t="s">
        <v>5541</v>
      </c>
      <c r="H4424" s="1" t="s">
        <v>5556</v>
      </c>
      <c r="J4424" s="1" t="s">
        <v>999</v>
      </c>
      <c r="L4424" s="1" t="s">
        <v>1425</v>
      </c>
      <c r="N4424" s="1" t="s">
        <v>2153</v>
      </c>
      <c r="P4424" s="1" t="s">
        <v>3547</v>
      </c>
      <c r="Q4424" s="3">
        <v>0</v>
      </c>
      <c r="R4424" s="23" t="s">
        <v>12893</v>
      </c>
      <c r="S4424" s="23" t="s">
        <v>6846</v>
      </c>
      <c r="T4424" s="23" t="s">
        <v>4866</v>
      </c>
      <c r="U4424" s="3">
        <v>35</v>
      </c>
      <c r="W4424" s="45" t="str">
        <f>HYPERLINK("http://ictvonline.org/taxonomy/p/taxonomy-history?taxnode_id=201901775","ICTVonline=201901775")</f>
        <v>ICTVonline=201901775</v>
      </c>
      <c r="X4424" s="1" t="s">
        <v>13698</v>
      </c>
      <c r="Y4424" s="1" t="s">
        <v>13699</v>
      </c>
      <c r="Z4424" s="1" t="s">
        <v>13700</v>
      </c>
      <c r="AA4424" s="1">
        <v>201900000</v>
      </c>
      <c r="AB4424" s="1">
        <v>35</v>
      </c>
    </row>
    <row r="4425" spans="1:28" x14ac:dyDescent="0.2">
      <c r="A4425" s="1">
        <v>11308</v>
      </c>
      <c r="B4425" s="1" t="s">
        <v>6839</v>
      </c>
      <c r="D4425" s="1" t="s">
        <v>11735</v>
      </c>
      <c r="F4425" s="1" t="s">
        <v>5540</v>
      </c>
      <c r="G4425" s="1" t="s">
        <v>5541</v>
      </c>
      <c r="H4425" s="1" t="s">
        <v>5556</v>
      </c>
      <c r="J4425" s="1" t="s">
        <v>999</v>
      </c>
      <c r="L4425" s="1" t="s">
        <v>1425</v>
      </c>
      <c r="N4425" s="1" t="s">
        <v>2153</v>
      </c>
      <c r="P4425" s="1" t="s">
        <v>4508</v>
      </c>
      <c r="Q4425" s="3">
        <v>0</v>
      </c>
      <c r="R4425" s="23" t="s">
        <v>12893</v>
      </c>
      <c r="S4425" s="23" t="s">
        <v>6846</v>
      </c>
      <c r="T4425" s="23" t="s">
        <v>4866</v>
      </c>
      <c r="U4425" s="3">
        <v>35</v>
      </c>
      <c r="W4425" s="45" t="str">
        <f>HYPERLINK("http://ictvonline.org/taxonomy/p/taxonomy-history?taxnode_id=201901776","ICTVonline=201901776")</f>
        <v>ICTVonline=201901776</v>
      </c>
      <c r="Y4425" s="1" t="s">
        <v>13701</v>
      </c>
      <c r="Z4425" s="1" t="s">
        <v>13702</v>
      </c>
      <c r="AA4425" s="1">
        <v>201900000</v>
      </c>
      <c r="AB4425" s="1">
        <v>35</v>
      </c>
    </row>
    <row r="4426" spans="1:28" x14ac:dyDescent="0.2">
      <c r="A4426" s="1">
        <v>11310</v>
      </c>
      <c r="B4426" s="1" t="s">
        <v>6839</v>
      </c>
      <c r="D4426" s="1" t="s">
        <v>11735</v>
      </c>
      <c r="F4426" s="1" t="s">
        <v>5540</v>
      </c>
      <c r="G4426" s="1" t="s">
        <v>5541</v>
      </c>
      <c r="H4426" s="1" t="s">
        <v>5556</v>
      </c>
      <c r="J4426" s="1" t="s">
        <v>999</v>
      </c>
      <c r="L4426" s="1" t="s">
        <v>1425</v>
      </c>
      <c r="N4426" s="1" t="s">
        <v>2153</v>
      </c>
      <c r="P4426" s="1" t="s">
        <v>4509</v>
      </c>
      <c r="Q4426" s="3">
        <v>0</v>
      </c>
      <c r="R4426" s="23" t="s">
        <v>12893</v>
      </c>
      <c r="S4426" s="23" t="s">
        <v>6846</v>
      </c>
      <c r="T4426" s="23" t="s">
        <v>4866</v>
      </c>
      <c r="U4426" s="3">
        <v>35</v>
      </c>
      <c r="W4426" s="45" t="str">
        <f>HYPERLINK("http://ictvonline.org/taxonomy/p/taxonomy-history?taxnode_id=201901777","ICTVonline=201901777")</f>
        <v>ICTVonline=201901777</v>
      </c>
      <c r="Y4426" s="1" t="s">
        <v>13703</v>
      </c>
      <c r="Z4426" s="1" t="s">
        <v>13704</v>
      </c>
      <c r="AA4426" s="1">
        <v>201900000</v>
      </c>
      <c r="AB4426" s="1">
        <v>35</v>
      </c>
    </row>
    <row r="4427" spans="1:28" x14ac:dyDescent="0.2">
      <c r="A4427" s="1">
        <v>11312</v>
      </c>
      <c r="B4427" s="1" t="s">
        <v>6839</v>
      </c>
      <c r="D4427" s="1" t="s">
        <v>11735</v>
      </c>
      <c r="F4427" s="1" t="s">
        <v>5540</v>
      </c>
      <c r="G4427" s="1" t="s">
        <v>5541</v>
      </c>
      <c r="H4427" s="1" t="s">
        <v>5556</v>
      </c>
      <c r="J4427" s="1" t="s">
        <v>999</v>
      </c>
      <c r="L4427" s="1" t="s">
        <v>1425</v>
      </c>
      <c r="N4427" s="1" t="s">
        <v>2153</v>
      </c>
      <c r="P4427" s="1" t="s">
        <v>4510</v>
      </c>
      <c r="Q4427" s="3">
        <v>0</v>
      </c>
      <c r="R4427" s="23" t="s">
        <v>12893</v>
      </c>
      <c r="S4427" s="23" t="s">
        <v>6846</v>
      </c>
      <c r="T4427" s="23" t="s">
        <v>4866</v>
      </c>
      <c r="U4427" s="3">
        <v>35</v>
      </c>
      <c r="W4427" s="45" t="str">
        <f>HYPERLINK("http://ictvonline.org/taxonomy/p/taxonomy-history?taxnode_id=201901778","ICTVonline=201901778")</f>
        <v>ICTVonline=201901778</v>
      </c>
      <c r="Y4427" s="1" t="s">
        <v>13705</v>
      </c>
      <c r="Z4427" s="1" t="s">
        <v>13706</v>
      </c>
      <c r="AA4427" s="1">
        <v>201900000</v>
      </c>
      <c r="AB4427" s="1">
        <v>35</v>
      </c>
    </row>
    <row r="4428" spans="1:28" x14ac:dyDescent="0.2">
      <c r="A4428" s="1">
        <v>11314</v>
      </c>
      <c r="B4428" s="1" t="s">
        <v>6839</v>
      </c>
      <c r="D4428" s="1" t="s">
        <v>11735</v>
      </c>
      <c r="F4428" s="1" t="s">
        <v>5540</v>
      </c>
      <c r="G4428" s="1" t="s">
        <v>5541</v>
      </c>
      <c r="H4428" s="1" t="s">
        <v>5556</v>
      </c>
      <c r="J4428" s="1" t="s">
        <v>999</v>
      </c>
      <c r="L4428" s="1" t="s">
        <v>1425</v>
      </c>
      <c r="N4428" s="1" t="s">
        <v>2153</v>
      </c>
      <c r="P4428" s="1" t="s">
        <v>3548</v>
      </c>
      <c r="Q4428" s="3">
        <v>1</v>
      </c>
      <c r="R4428" s="23" t="s">
        <v>12893</v>
      </c>
      <c r="S4428" s="23" t="s">
        <v>6846</v>
      </c>
      <c r="T4428" s="23" t="s">
        <v>4866</v>
      </c>
      <c r="U4428" s="3">
        <v>35</v>
      </c>
      <c r="W4428" s="45" t="str">
        <f>HYPERLINK("http://ictvonline.org/taxonomy/p/taxonomy-history?taxnode_id=201901779","ICTVonline=201901779")</f>
        <v>ICTVonline=201901779</v>
      </c>
      <c r="X4428" s="1" t="s">
        <v>13707</v>
      </c>
      <c r="Y4428" s="1" t="s">
        <v>13708</v>
      </c>
      <c r="Z4428" s="1" t="s">
        <v>13709</v>
      </c>
      <c r="AA4428" s="1">
        <v>201900000</v>
      </c>
      <c r="AB4428" s="1">
        <v>35</v>
      </c>
    </row>
    <row r="4429" spans="1:28" x14ac:dyDescent="0.2">
      <c r="A4429" s="1">
        <v>11318</v>
      </c>
      <c r="B4429" s="1" t="s">
        <v>6839</v>
      </c>
      <c r="D4429" s="1" t="s">
        <v>11735</v>
      </c>
      <c r="F4429" s="1" t="s">
        <v>5540</v>
      </c>
      <c r="G4429" s="1" t="s">
        <v>5541</v>
      </c>
      <c r="H4429" s="1" t="s">
        <v>5556</v>
      </c>
      <c r="J4429" s="1" t="s">
        <v>999</v>
      </c>
      <c r="L4429" s="1" t="s">
        <v>1425</v>
      </c>
      <c r="N4429" s="1" t="s">
        <v>2287</v>
      </c>
      <c r="P4429" s="1" t="s">
        <v>3549</v>
      </c>
      <c r="Q4429" s="3">
        <v>1</v>
      </c>
      <c r="R4429" s="23" t="s">
        <v>12893</v>
      </c>
      <c r="S4429" s="23" t="s">
        <v>6846</v>
      </c>
      <c r="T4429" s="23" t="s">
        <v>4866</v>
      </c>
      <c r="U4429" s="3">
        <v>35</v>
      </c>
      <c r="W4429" s="45" t="str">
        <f>HYPERLINK("http://ictvonline.org/taxonomy/p/taxonomy-history?taxnode_id=201901781","ICTVonline=201901781")</f>
        <v>ICTVonline=201901781</v>
      </c>
      <c r="X4429" s="1" t="s">
        <v>13710</v>
      </c>
      <c r="Y4429" s="1" t="s">
        <v>13711</v>
      </c>
      <c r="Z4429" s="1" t="s">
        <v>13712</v>
      </c>
      <c r="AA4429" s="1">
        <v>201900000</v>
      </c>
      <c r="AB4429" s="1">
        <v>35</v>
      </c>
    </row>
    <row r="4430" spans="1:28" x14ac:dyDescent="0.2">
      <c r="A4430" s="1">
        <v>11320</v>
      </c>
      <c r="B4430" s="1" t="s">
        <v>6839</v>
      </c>
      <c r="D4430" s="1" t="s">
        <v>11735</v>
      </c>
      <c r="F4430" s="1" t="s">
        <v>5540</v>
      </c>
      <c r="G4430" s="1" t="s">
        <v>5541</v>
      </c>
      <c r="H4430" s="1" t="s">
        <v>5556</v>
      </c>
      <c r="J4430" s="1" t="s">
        <v>999</v>
      </c>
      <c r="L4430" s="1" t="s">
        <v>1425</v>
      </c>
      <c r="N4430" s="1" t="s">
        <v>2287</v>
      </c>
      <c r="P4430" s="1" t="s">
        <v>4511</v>
      </c>
      <c r="Q4430" s="3">
        <v>0</v>
      </c>
      <c r="R4430" s="23" t="s">
        <v>12893</v>
      </c>
      <c r="S4430" s="23" t="s">
        <v>6846</v>
      </c>
      <c r="T4430" s="23" t="s">
        <v>4866</v>
      </c>
      <c r="U4430" s="3">
        <v>35</v>
      </c>
      <c r="W4430" s="45" t="str">
        <f>HYPERLINK("http://ictvonline.org/taxonomy/p/taxonomy-history?taxnode_id=201901782","ICTVonline=201901782")</f>
        <v>ICTVonline=201901782</v>
      </c>
      <c r="Y4430" s="1" t="s">
        <v>13713</v>
      </c>
      <c r="Z4430" s="1" t="s">
        <v>13714</v>
      </c>
      <c r="AA4430" s="1">
        <v>201900000</v>
      </c>
      <c r="AB4430" s="1">
        <v>35</v>
      </c>
    </row>
    <row r="4431" spans="1:28" x14ac:dyDescent="0.2">
      <c r="A4431" s="1">
        <v>11322</v>
      </c>
      <c r="B4431" s="1" t="s">
        <v>6839</v>
      </c>
      <c r="D4431" s="1" t="s">
        <v>11735</v>
      </c>
      <c r="F4431" s="1" t="s">
        <v>5540</v>
      </c>
      <c r="G4431" s="1" t="s">
        <v>5541</v>
      </c>
      <c r="H4431" s="1" t="s">
        <v>5556</v>
      </c>
      <c r="J4431" s="1" t="s">
        <v>999</v>
      </c>
      <c r="L4431" s="1" t="s">
        <v>1425</v>
      </c>
      <c r="N4431" s="1" t="s">
        <v>2287</v>
      </c>
      <c r="P4431" s="1" t="s">
        <v>3550</v>
      </c>
      <c r="Q4431" s="3">
        <v>0</v>
      </c>
      <c r="R4431" s="23" t="s">
        <v>12893</v>
      </c>
      <c r="S4431" s="23" t="s">
        <v>6846</v>
      </c>
      <c r="T4431" s="23" t="s">
        <v>4866</v>
      </c>
      <c r="U4431" s="3">
        <v>35</v>
      </c>
      <c r="W4431" s="45" t="str">
        <f>HYPERLINK("http://ictvonline.org/taxonomy/p/taxonomy-history?taxnode_id=201901783","ICTVonline=201901783")</f>
        <v>ICTVonline=201901783</v>
      </c>
      <c r="X4431" s="1" t="s">
        <v>13715</v>
      </c>
      <c r="Y4431" s="1" t="s">
        <v>13716</v>
      </c>
      <c r="Z4431" s="1" t="s">
        <v>13717</v>
      </c>
      <c r="AA4431" s="1">
        <v>201900000</v>
      </c>
      <c r="AB4431" s="1">
        <v>35</v>
      </c>
    </row>
    <row r="4432" spans="1:28" x14ac:dyDescent="0.2">
      <c r="A4432" s="1">
        <v>11326</v>
      </c>
      <c r="B4432" s="1" t="s">
        <v>6839</v>
      </c>
      <c r="D4432" s="1" t="s">
        <v>11735</v>
      </c>
      <c r="F4432" s="1" t="s">
        <v>5540</v>
      </c>
      <c r="G4432" s="1" t="s">
        <v>5541</v>
      </c>
      <c r="H4432" s="1" t="s">
        <v>5556</v>
      </c>
      <c r="J4432" s="1" t="s">
        <v>999</v>
      </c>
      <c r="L4432" s="1" t="s">
        <v>1425</v>
      </c>
      <c r="N4432" s="1" t="s">
        <v>1506</v>
      </c>
      <c r="P4432" s="1" t="s">
        <v>3551</v>
      </c>
      <c r="Q4432" s="3">
        <v>1</v>
      </c>
      <c r="R4432" s="23" t="s">
        <v>12893</v>
      </c>
      <c r="S4432" s="23" t="s">
        <v>6846</v>
      </c>
      <c r="T4432" s="23" t="s">
        <v>4866</v>
      </c>
      <c r="U4432" s="3">
        <v>35</v>
      </c>
      <c r="W4432" s="45" t="str">
        <f>HYPERLINK("http://ictvonline.org/taxonomy/p/taxonomy-history?taxnode_id=201901787","ICTVonline=201901787")</f>
        <v>ICTVonline=201901787</v>
      </c>
      <c r="X4432" s="1" t="s">
        <v>13718</v>
      </c>
      <c r="Y4432" s="1" t="s">
        <v>13719</v>
      </c>
      <c r="Z4432" s="1" t="s">
        <v>13720</v>
      </c>
      <c r="AA4432" s="1">
        <v>201900000</v>
      </c>
      <c r="AB4432" s="1">
        <v>35</v>
      </c>
    </row>
    <row r="4433" spans="1:28" x14ac:dyDescent="0.2">
      <c r="A4433" s="1">
        <v>11330</v>
      </c>
      <c r="B4433" s="1" t="s">
        <v>6839</v>
      </c>
      <c r="D4433" s="1" t="s">
        <v>11735</v>
      </c>
      <c r="F4433" s="1" t="s">
        <v>5540</v>
      </c>
      <c r="G4433" s="1" t="s">
        <v>5541</v>
      </c>
      <c r="H4433" s="1" t="s">
        <v>5556</v>
      </c>
      <c r="J4433" s="1" t="s">
        <v>999</v>
      </c>
      <c r="L4433" s="1" t="s">
        <v>1425</v>
      </c>
      <c r="N4433" s="1" t="s">
        <v>1427</v>
      </c>
      <c r="P4433" s="1" t="s">
        <v>3552</v>
      </c>
      <c r="Q4433" s="3">
        <v>0</v>
      </c>
      <c r="R4433" s="23" t="s">
        <v>12893</v>
      </c>
      <c r="S4433" s="23" t="s">
        <v>6846</v>
      </c>
      <c r="T4433" s="23" t="s">
        <v>4866</v>
      </c>
      <c r="U4433" s="3">
        <v>35</v>
      </c>
      <c r="W4433" s="45" t="str">
        <f>HYPERLINK("http://ictvonline.org/taxonomy/p/taxonomy-history?taxnode_id=201901789","ICTVonline=201901789")</f>
        <v>ICTVonline=201901789</v>
      </c>
      <c r="X4433" s="1" t="s">
        <v>13721</v>
      </c>
      <c r="Y4433" s="1" t="s">
        <v>13722</v>
      </c>
      <c r="Z4433" s="1" t="s">
        <v>13723</v>
      </c>
      <c r="AA4433" s="1">
        <v>201900000</v>
      </c>
      <c r="AB4433" s="1">
        <v>35</v>
      </c>
    </row>
    <row r="4434" spans="1:28" x14ac:dyDescent="0.2">
      <c r="A4434" s="1">
        <v>11332</v>
      </c>
      <c r="B4434" s="1" t="s">
        <v>6839</v>
      </c>
      <c r="D4434" s="1" t="s">
        <v>11735</v>
      </c>
      <c r="F4434" s="1" t="s">
        <v>5540</v>
      </c>
      <c r="G4434" s="1" t="s">
        <v>5541</v>
      </c>
      <c r="H4434" s="1" t="s">
        <v>5556</v>
      </c>
      <c r="J4434" s="1" t="s">
        <v>999</v>
      </c>
      <c r="L4434" s="1" t="s">
        <v>1425</v>
      </c>
      <c r="N4434" s="1" t="s">
        <v>1427</v>
      </c>
      <c r="P4434" s="1" t="s">
        <v>4512</v>
      </c>
      <c r="Q4434" s="3">
        <v>0</v>
      </c>
      <c r="R4434" s="23" t="s">
        <v>12893</v>
      </c>
      <c r="S4434" s="23" t="s">
        <v>6846</v>
      </c>
      <c r="T4434" s="23" t="s">
        <v>4866</v>
      </c>
      <c r="U4434" s="3">
        <v>35</v>
      </c>
      <c r="W4434" s="45" t="str">
        <f>HYPERLINK("http://ictvonline.org/taxonomy/p/taxonomy-history?taxnode_id=201901790","ICTVonline=201901790")</f>
        <v>ICTVonline=201901790</v>
      </c>
      <c r="Y4434" s="1" t="s">
        <v>13724</v>
      </c>
      <c r="Z4434" s="1" t="s">
        <v>13725</v>
      </c>
      <c r="AA4434" s="1">
        <v>201900000</v>
      </c>
      <c r="AB4434" s="1">
        <v>35</v>
      </c>
    </row>
    <row r="4435" spans="1:28" x14ac:dyDescent="0.2">
      <c r="A4435" s="1">
        <v>11334</v>
      </c>
      <c r="B4435" s="1" t="s">
        <v>6839</v>
      </c>
      <c r="D4435" s="1" t="s">
        <v>11735</v>
      </c>
      <c r="F4435" s="1" t="s">
        <v>5540</v>
      </c>
      <c r="G4435" s="1" t="s">
        <v>5541</v>
      </c>
      <c r="H4435" s="1" t="s">
        <v>5556</v>
      </c>
      <c r="J4435" s="1" t="s">
        <v>999</v>
      </c>
      <c r="L4435" s="1" t="s">
        <v>1425</v>
      </c>
      <c r="N4435" s="1" t="s">
        <v>1427</v>
      </c>
      <c r="P4435" s="1" t="s">
        <v>3553</v>
      </c>
      <c r="Q4435" s="3">
        <v>0</v>
      </c>
      <c r="R4435" s="23" t="s">
        <v>12893</v>
      </c>
      <c r="S4435" s="23" t="s">
        <v>6846</v>
      </c>
      <c r="T4435" s="23" t="s">
        <v>4866</v>
      </c>
      <c r="U4435" s="3">
        <v>35</v>
      </c>
      <c r="W4435" s="45" t="str">
        <f>HYPERLINK("http://ictvonline.org/taxonomy/p/taxonomy-history?taxnode_id=201901791","ICTVonline=201901791")</f>
        <v>ICTVonline=201901791</v>
      </c>
      <c r="X4435" s="1" t="s">
        <v>13726</v>
      </c>
      <c r="Y4435" s="1" t="s">
        <v>13727</v>
      </c>
      <c r="Z4435" s="1" t="s">
        <v>13728</v>
      </c>
      <c r="AA4435" s="1">
        <v>201900000</v>
      </c>
      <c r="AB4435" s="1">
        <v>35</v>
      </c>
    </row>
    <row r="4436" spans="1:28" x14ac:dyDescent="0.2">
      <c r="A4436" s="1">
        <v>11336</v>
      </c>
      <c r="B4436" s="1" t="s">
        <v>6839</v>
      </c>
      <c r="D4436" s="1" t="s">
        <v>11735</v>
      </c>
      <c r="F4436" s="1" t="s">
        <v>5540</v>
      </c>
      <c r="G4436" s="1" t="s">
        <v>5541</v>
      </c>
      <c r="H4436" s="1" t="s">
        <v>5556</v>
      </c>
      <c r="J4436" s="1" t="s">
        <v>999</v>
      </c>
      <c r="L4436" s="1" t="s">
        <v>1425</v>
      </c>
      <c r="N4436" s="1" t="s">
        <v>1427</v>
      </c>
      <c r="P4436" s="1" t="s">
        <v>3554</v>
      </c>
      <c r="Q4436" s="3">
        <v>0</v>
      </c>
      <c r="R4436" s="23" t="s">
        <v>12893</v>
      </c>
      <c r="S4436" s="23" t="s">
        <v>6846</v>
      </c>
      <c r="T4436" s="23" t="s">
        <v>4866</v>
      </c>
      <c r="U4436" s="3">
        <v>35</v>
      </c>
      <c r="W4436" s="45" t="str">
        <f>HYPERLINK("http://ictvonline.org/taxonomy/p/taxonomy-history?taxnode_id=201901792","ICTVonline=201901792")</f>
        <v>ICTVonline=201901792</v>
      </c>
      <c r="X4436" s="1" t="s">
        <v>13729</v>
      </c>
      <c r="Y4436" s="1" t="s">
        <v>13730</v>
      </c>
      <c r="Z4436" s="1" t="s">
        <v>13731</v>
      </c>
      <c r="AA4436" s="1">
        <v>201900000</v>
      </c>
      <c r="AB4436" s="1">
        <v>35</v>
      </c>
    </row>
    <row r="4437" spans="1:28" x14ac:dyDescent="0.2">
      <c r="A4437" s="1">
        <v>11338</v>
      </c>
      <c r="B4437" s="1" t="s">
        <v>6839</v>
      </c>
      <c r="D4437" s="1" t="s">
        <v>11735</v>
      </c>
      <c r="F4437" s="1" t="s">
        <v>5540</v>
      </c>
      <c r="G4437" s="1" t="s">
        <v>5541</v>
      </c>
      <c r="H4437" s="1" t="s">
        <v>5556</v>
      </c>
      <c r="J4437" s="1" t="s">
        <v>999</v>
      </c>
      <c r="L4437" s="1" t="s">
        <v>1425</v>
      </c>
      <c r="N4437" s="1" t="s">
        <v>1427</v>
      </c>
      <c r="P4437" s="1" t="s">
        <v>3555</v>
      </c>
      <c r="Q4437" s="3">
        <v>0</v>
      </c>
      <c r="R4437" s="23" t="s">
        <v>12893</v>
      </c>
      <c r="S4437" s="23" t="s">
        <v>6846</v>
      </c>
      <c r="T4437" s="23" t="s">
        <v>4866</v>
      </c>
      <c r="U4437" s="3">
        <v>35</v>
      </c>
      <c r="W4437" s="45" t="str">
        <f>HYPERLINK("http://ictvonline.org/taxonomy/p/taxonomy-history?taxnode_id=201901793","ICTVonline=201901793")</f>
        <v>ICTVonline=201901793</v>
      </c>
      <c r="X4437" s="1" t="s">
        <v>13732</v>
      </c>
      <c r="Y4437" s="1" t="s">
        <v>13733</v>
      </c>
      <c r="Z4437" s="1" t="s">
        <v>13734</v>
      </c>
      <c r="AA4437" s="1">
        <v>201900000</v>
      </c>
      <c r="AB4437" s="1">
        <v>35</v>
      </c>
    </row>
    <row r="4438" spans="1:28" x14ac:dyDescent="0.2">
      <c r="A4438" s="1">
        <v>11340</v>
      </c>
      <c r="B4438" s="1" t="s">
        <v>6839</v>
      </c>
      <c r="D4438" s="1" t="s">
        <v>11735</v>
      </c>
      <c r="F4438" s="1" t="s">
        <v>5540</v>
      </c>
      <c r="G4438" s="1" t="s">
        <v>5541</v>
      </c>
      <c r="H4438" s="1" t="s">
        <v>5556</v>
      </c>
      <c r="J4438" s="1" t="s">
        <v>999</v>
      </c>
      <c r="L4438" s="1" t="s">
        <v>1425</v>
      </c>
      <c r="N4438" s="1" t="s">
        <v>1427</v>
      </c>
      <c r="P4438" s="1" t="s">
        <v>3556</v>
      </c>
      <c r="Q4438" s="3">
        <v>1</v>
      </c>
      <c r="R4438" s="23" t="s">
        <v>12893</v>
      </c>
      <c r="S4438" s="23" t="s">
        <v>6846</v>
      </c>
      <c r="T4438" s="23" t="s">
        <v>4866</v>
      </c>
      <c r="U4438" s="3">
        <v>35</v>
      </c>
      <c r="W4438" s="45" t="str">
        <f>HYPERLINK("http://ictvonline.org/taxonomy/p/taxonomy-history?taxnode_id=201901794","ICTVonline=201901794")</f>
        <v>ICTVonline=201901794</v>
      </c>
      <c r="X4438" s="1" t="s">
        <v>13735</v>
      </c>
      <c r="Y4438" s="1" t="s">
        <v>13736</v>
      </c>
      <c r="Z4438" s="1" t="s">
        <v>13737</v>
      </c>
      <c r="AA4438" s="1">
        <v>201900000</v>
      </c>
      <c r="AB4438" s="1">
        <v>35</v>
      </c>
    </row>
    <row r="4439" spans="1:28" x14ac:dyDescent="0.2">
      <c r="A4439" s="1">
        <v>11342</v>
      </c>
      <c r="B4439" s="1" t="s">
        <v>6839</v>
      </c>
      <c r="D4439" s="1" t="s">
        <v>11735</v>
      </c>
      <c r="F4439" s="1" t="s">
        <v>5540</v>
      </c>
      <c r="G4439" s="1" t="s">
        <v>5541</v>
      </c>
      <c r="H4439" s="1" t="s">
        <v>5556</v>
      </c>
      <c r="J4439" s="1" t="s">
        <v>999</v>
      </c>
      <c r="L4439" s="1" t="s">
        <v>1425</v>
      </c>
      <c r="N4439" s="1" t="s">
        <v>1427</v>
      </c>
      <c r="P4439" s="1" t="s">
        <v>3557</v>
      </c>
      <c r="Q4439" s="3">
        <v>0</v>
      </c>
      <c r="R4439" s="23" t="s">
        <v>12893</v>
      </c>
      <c r="S4439" s="23" t="s">
        <v>6846</v>
      </c>
      <c r="T4439" s="23" t="s">
        <v>4866</v>
      </c>
      <c r="U4439" s="3">
        <v>35</v>
      </c>
      <c r="W4439" s="45" t="str">
        <f>HYPERLINK("http://ictvonline.org/taxonomy/p/taxonomy-history?taxnode_id=201901795","ICTVonline=201901795")</f>
        <v>ICTVonline=201901795</v>
      </c>
      <c r="X4439" s="1" t="s">
        <v>13738</v>
      </c>
      <c r="Y4439" s="1" t="s">
        <v>13739</v>
      </c>
      <c r="Z4439" s="1" t="s">
        <v>13740</v>
      </c>
      <c r="AA4439" s="1">
        <v>201900000</v>
      </c>
      <c r="AB4439" s="1">
        <v>35</v>
      </c>
    </row>
    <row r="4440" spans="1:28" x14ac:dyDescent="0.2">
      <c r="A4440" s="1">
        <v>11344</v>
      </c>
      <c r="B4440" s="1" t="s">
        <v>6839</v>
      </c>
      <c r="D4440" s="1" t="s">
        <v>11735</v>
      </c>
      <c r="F4440" s="1" t="s">
        <v>5540</v>
      </c>
      <c r="G4440" s="1" t="s">
        <v>5541</v>
      </c>
      <c r="H4440" s="1" t="s">
        <v>5556</v>
      </c>
      <c r="J4440" s="1" t="s">
        <v>999</v>
      </c>
      <c r="L4440" s="1" t="s">
        <v>1425</v>
      </c>
      <c r="N4440" s="1" t="s">
        <v>1427</v>
      </c>
      <c r="P4440" s="1" t="s">
        <v>4513</v>
      </c>
      <c r="Q4440" s="3">
        <v>0</v>
      </c>
      <c r="R4440" s="23" t="s">
        <v>12893</v>
      </c>
      <c r="S4440" s="23" t="s">
        <v>6846</v>
      </c>
      <c r="T4440" s="23" t="s">
        <v>4866</v>
      </c>
      <c r="U4440" s="3">
        <v>35</v>
      </c>
      <c r="W4440" s="45" t="str">
        <f>HYPERLINK("http://ictvonline.org/taxonomy/p/taxonomy-history?taxnode_id=201901796","ICTVonline=201901796")</f>
        <v>ICTVonline=201901796</v>
      </c>
      <c r="Y4440" s="1" t="s">
        <v>13741</v>
      </c>
      <c r="Z4440" s="1" t="s">
        <v>13742</v>
      </c>
      <c r="AA4440" s="1">
        <v>201900000</v>
      </c>
      <c r="AB4440" s="1">
        <v>35</v>
      </c>
    </row>
    <row r="4441" spans="1:28" x14ac:dyDescent="0.2">
      <c r="A4441" s="1">
        <v>11346</v>
      </c>
      <c r="B4441" s="1" t="s">
        <v>6839</v>
      </c>
      <c r="D4441" s="1" t="s">
        <v>11735</v>
      </c>
      <c r="F4441" s="1" t="s">
        <v>5540</v>
      </c>
      <c r="G4441" s="1" t="s">
        <v>5541</v>
      </c>
      <c r="H4441" s="1" t="s">
        <v>5556</v>
      </c>
      <c r="J4441" s="1" t="s">
        <v>999</v>
      </c>
      <c r="L4441" s="1" t="s">
        <v>1425</v>
      </c>
      <c r="N4441" s="1" t="s">
        <v>1427</v>
      </c>
      <c r="P4441" s="1" t="s">
        <v>4514</v>
      </c>
      <c r="Q4441" s="3">
        <v>0</v>
      </c>
      <c r="R4441" s="23" t="s">
        <v>12893</v>
      </c>
      <c r="S4441" s="23" t="s">
        <v>6846</v>
      </c>
      <c r="T4441" s="23" t="s">
        <v>4866</v>
      </c>
      <c r="U4441" s="3">
        <v>35</v>
      </c>
      <c r="W4441" s="45" t="str">
        <f>HYPERLINK("http://ictvonline.org/taxonomy/p/taxonomy-history?taxnode_id=201901797","ICTVonline=201901797")</f>
        <v>ICTVonline=201901797</v>
      </c>
      <c r="Y4441" s="1" t="s">
        <v>13743</v>
      </c>
      <c r="Z4441" s="1" t="s">
        <v>13744</v>
      </c>
      <c r="AA4441" s="1">
        <v>201900000</v>
      </c>
      <c r="AB4441" s="1">
        <v>35</v>
      </c>
    </row>
    <row r="4442" spans="1:28" x14ac:dyDescent="0.2">
      <c r="A4442" s="1">
        <v>11348</v>
      </c>
      <c r="B4442" s="1" t="s">
        <v>6839</v>
      </c>
      <c r="D4442" s="1" t="s">
        <v>11735</v>
      </c>
      <c r="F4442" s="1" t="s">
        <v>5540</v>
      </c>
      <c r="G4442" s="1" t="s">
        <v>5541</v>
      </c>
      <c r="H4442" s="1" t="s">
        <v>5556</v>
      </c>
      <c r="J4442" s="1" t="s">
        <v>999</v>
      </c>
      <c r="L4442" s="1" t="s">
        <v>1425</v>
      </c>
      <c r="N4442" s="1" t="s">
        <v>1427</v>
      </c>
      <c r="P4442" s="1" t="s">
        <v>3558</v>
      </c>
      <c r="Q4442" s="3">
        <v>0</v>
      </c>
      <c r="R4442" s="23" t="s">
        <v>12893</v>
      </c>
      <c r="S4442" s="23" t="s">
        <v>6846</v>
      </c>
      <c r="T4442" s="23" t="s">
        <v>4866</v>
      </c>
      <c r="U4442" s="3">
        <v>35</v>
      </c>
      <c r="W4442" s="45" t="str">
        <f>HYPERLINK("http://ictvonline.org/taxonomy/p/taxonomy-history?taxnode_id=201901798","ICTVonline=201901798")</f>
        <v>ICTVonline=201901798</v>
      </c>
      <c r="X4442" s="1" t="s">
        <v>13745</v>
      </c>
      <c r="Y4442" s="1" t="s">
        <v>13746</v>
      </c>
      <c r="Z4442" s="1" t="s">
        <v>13747</v>
      </c>
      <c r="AA4442" s="1">
        <v>201900000</v>
      </c>
      <c r="AB4442" s="1">
        <v>35</v>
      </c>
    </row>
    <row r="4443" spans="1:28" x14ac:dyDescent="0.2">
      <c r="A4443" s="1">
        <v>11350</v>
      </c>
      <c r="B4443" s="1" t="s">
        <v>6839</v>
      </c>
      <c r="D4443" s="1" t="s">
        <v>11735</v>
      </c>
      <c r="F4443" s="1" t="s">
        <v>5540</v>
      </c>
      <c r="G4443" s="1" t="s">
        <v>5541</v>
      </c>
      <c r="H4443" s="1" t="s">
        <v>5556</v>
      </c>
      <c r="J4443" s="1" t="s">
        <v>999</v>
      </c>
      <c r="L4443" s="1" t="s">
        <v>1425</v>
      </c>
      <c r="N4443" s="1" t="s">
        <v>1427</v>
      </c>
      <c r="P4443" s="1" t="s">
        <v>4515</v>
      </c>
      <c r="Q4443" s="3">
        <v>0</v>
      </c>
      <c r="R4443" s="23" t="s">
        <v>12893</v>
      </c>
      <c r="S4443" s="23" t="s">
        <v>6846</v>
      </c>
      <c r="T4443" s="23" t="s">
        <v>4866</v>
      </c>
      <c r="U4443" s="3">
        <v>35</v>
      </c>
      <c r="W4443" s="45" t="str">
        <f>HYPERLINK("http://ictvonline.org/taxonomy/p/taxonomy-history?taxnode_id=201901799","ICTVonline=201901799")</f>
        <v>ICTVonline=201901799</v>
      </c>
      <c r="Y4443" s="1" t="s">
        <v>13748</v>
      </c>
      <c r="Z4443" s="1" t="s">
        <v>13749</v>
      </c>
      <c r="AA4443" s="1">
        <v>201900000</v>
      </c>
      <c r="AB4443" s="1">
        <v>35</v>
      </c>
    </row>
    <row r="4444" spans="1:28" x14ac:dyDescent="0.2">
      <c r="A4444" s="1">
        <v>11352</v>
      </c>
      <c r="B4444" s="1" t="s">
        <v>6839</v>
      </c>
      <c r="D4444" s="1" t="s">
        <v>11735</v>
      </c>
      <c r="F4444" s="1" t="s">
        <v>5540</v>
      </c>
      <c r="G4444" s="1" t="s">
        <v>5541</v>
      </c>
      <c r="H4444" s="1" t="s">
        <v>5556</v>
      </c>
      <c r="J4444" s="1" t="s">
        <v>999</v>
      </c>
      <c r="L4444" s="1" t="s">
        <v>1425</v>
      </c>
      <c r="N4444" s="1" t="s">
        <v>1427</v>
      </c>
      <c r="P4444" s="1" t="s">
        <v>3559</v>
      </c>
      <c r="Q4444" s="3">
        <v>0</v>
      </c>
      <c r="R4444" s="23" t="s">
        <v>12893</v>
      </c>
      <c r="S4444" s="23" t="s">
        <v>6846</v>
      </c>
      <c r="T4444" s="23" t="s">
        <v>4866</v>
      </c>
      <c r="U4444" s="3">
        <v>35</v>
      </c>
      <c r="W4444" s="45" t="str">
        <f>HYPERLINK("http://ictvonline.org/taxonomy/p/taxonomy-history?taxnode_id=201901800","ICTVonline=201901800")</f>
        <v>ICTVonline=201901800</v>
      </c>
      <c r="X4444" s="1" t="s">
        <v>13750</v>
      </c>
      <c r="Y4444" s="1" t="s">
        <v>13751</v>
      </c>
      <c r="Z4444" s="1" t="s">
        <v>13752</v>
      </c>
      <c r="AA4444" s="1">
        <v>201900000</v>
      </c>
      <c r="AB4444" s="1">
        <v>35</v>
      </c>
    </row>
    <row r="4445" spans="1:28" x14ac:dyDescent="0.2">
      <c r="A4445" s="1">
        <v>11354</v>
      </c>
      <c r="B4445" s="1" t="s">
        <v>6839</v>
      </c>
      <c r="D4445" s="1" t="s">
        <v>11735</v>
      </c>
      <c r="F4445" s="1" t="s">
        <v>5540</v>
      </c>
      <c r="G4445" s="1" t="s">
        <v>5541</v>
      </c>
      <c r="H4445" s="1" t="s">
        <v>5556</v>
      </c>
      <c r="J4445" s="1" t="s">
        <v>999</v>
      </c>
      <c r="L4445" s="1" t="s">
        <v>1425</v>
      </c>
      <c r="N4445" s="1" t="s">
        <v>1427</v>
      </c>
      <c r="P4445" s="1" t="s">
        <v>4516</v>
      </c>
      <c r="Q4445" s="3">
        <v>0</v>
      </c>
      <c r="R4445" s="23" t="s">
        <v>12893</v>
      </c>
      <c r="S4445" s="23" t="s">
        <v>6846</v>
      </c>
      <c r="T4445" s="23" t="s">
        <v>4866</v>
      </c>
      <c r="U4445" s="3">
        <v>35</v>
      </c>
      <c r="W4445" s="45" t="str">
        <f>HYPERLINK("http://ictvonline.org/taxonomy/p/taxonomy-history?taxnode_id=201901801","ICTVonline=201901801")</f>
        <v>ICTVonline=201901801</v>
      </c>
      <c r="Y4445" s="1" t="s">
        <v>13753</v>
      </c>
      <c r="Z4445" s="1" t="s">
        <v>13754</v>
      </c>
      <c r="AA4445" s="1">
        <v>201900000</v>
      </c>
      <c r="AB4445" s="1">
        <v>35</v>
      </c>
    </row>
    <row r="4446" spans="1:28" x14ac:dyDescent="0.2">
      <c r="A4446" s="1">
        <v>11356</v>
      </c>
      <c r="B4446" s="1" t="s">
        <v>6839</v>
      </c>
      <c r="D4446" s="1" t="s">
        <v>11735</v>
      </c>
      <c r="F4446" s="1" t="s">
        <v>5540</v>
      </c>
      <c r="G4446" s="1" t="s">
        <v>5541</v>
      </c>
      <c r="H4446" s="1" t="s">
        <v>5556</v>
      </c>
      <c r="J4446" s="1" t="s">
        <v>999</v>
      </c>
      <c r="L4446" s="1" t="s">
        <v>1425</v>
      </c>
      <c r="N4446" s="1" t="s">
        <v>1427</v>
      </c>
      <c r="P4446" s="1" t="s">
        <v>3560</v>
      </c>
      <c r="Q4446" s="3">
        <v>0</v>
      </c>
      <c r="R4446" s="23" t="s">
        <v>12893</v>
      </c>
      <c r="S4446" s="23" t="s">
        <v>6846</v>
      </c>
      <c r="T4446" s="23" t="s">
        <v>4866</v>
      </c>
      <c r="U4446" s="3">
        <v>35</v>
      </c>
      <c r="W4446" s="45" t="str">
        <f>HYPERLINK("http://ictvonline.org/taxonomy/p/taxonomy-history?taxnode_id=201901802","ICTVonline=201901802")</f>
        <v>ICTVonline=201901802</v>
      </c>
      <c r="X4446" s="1" t="s">
        <v>13755</v>
      </c>
      <c r="Z4446" s="1" t="s">
        <v>13756</v>
      </c>
      <c r="AA4446" s="1">
        <v>201900000</v>
      </c>
      <c r="AB4446" s="1">
        <v>35</v>
      </c>
    </row>
    <row r="4447" spans="1:28" x14ac:dyDescent="0.2">
      <c r="A4447" s="1">
        <v>11358</v>
      </c>
      <c r="B4447" s="1" t="s">
        <v>6839</v>
      </c>
      <c r="D4447" s="1" t="s">
        <v>11735</v>
      </c>
      <c r="F4447" s="1" t="s">
        <v>5540</v>
      </c>
      <c r="G4447" s="1" t="s">
        <v>5541</v>
      </c>
      <c r="H4447" s="1" t="s">
        <v>5556</v>
      </c>
      <c r="J4447" s="1" t="s">
        <v>999</v>
      </c>
      <c r="L4447" s="1" t="s">
        <v>1425</v>
      </c>
      <c r="N4447" s="1" t="s">
        <v>1427</v>
      </c>
      <c r="P4447" s="1" t="s">
        <v>4517</v>
      </c>
      <c r="Q4447" s="3">
        <v>0</v>
      </c>
      <c r="R4447" s="23" t="s">
        <v>12893</v>
      </c>
      <c r="S4447" s="23" t="s">
        <v>6846</v>
      </c>
      <c r="T4447" s="23" t="s">
        <v>4866</v>
      </c>
      <c r="U4447" s="3">
        <v>35</v>
      </c>
      <c r="W4447" s="45" t="str">
        <f>HYPERLINK("http://ictvonline.org/taxonomy/p/taxonomy-history?taxnode_id=201901803","ICTVonline=201901803")</f>
        <v>ICTVonline=201901803</v>
      </c>
      <c r="Y4447" s="1" t="s">
        <v>13757</v>
      </c>
      <c r="Z4447" s="1" t="s">
        <v>13758</v>
      </c>
      <c r="AA4447" s="1">
        <v>201900000</v>
      </c>
      <c r="AB4447" s="1">
        <v>35</v>
      </c>
    </row>
    <row r="4448" spans="1:28" x14ac:dyDescent="0.2">
      <c r="A4448" s="1">
        <v>11360</v>
      </c>
      <c r="B4448" s="1" t="s">
        <v>6839</v>
      </c>
      <c r="D4448" s="1" t="s">
        <v>11735</v>
      </c>
      <c r="F4448" s="1" t="s">
        <v>5540</v>
      </c>
      <c r="G4448" s="1" t="s">
        <v>5541</v>
      </c>
      <c r="H4448" s="1" t="s">
        <v>5556</v>
      </c>
      <c r="J4448" s="1" t="s">
        <v>999</v>
      </c>
      <c r="L4448" s="1" t="s">
        <v>1425</v>
      </c>
      <c r="N4448" s="1" t="s">
        <v>1427</v>
      </c>
      <c r="P4448" s="1" t="s">
        <v>4518</v>
      </c>
      <c r="Q4448" s="3">
        <v>0</v>
      </c>
      <c r="R4448" s="23" t="s">
        <v>12893</v>
      </c>
      <c r="S4448" s="23" t="s">
        <v>6846</v>
      </c>
      <c r="T4448" s="23" t="s">
        <v>4866</v>
      </c>
      <c r="U4448" s="3">
        <v>35</v>
      </c>
      <c r="W4448" s="45" t="str">
        <f>HYPERLINK("http://ictvonline.org/taxonomy/p/taxonomy-history?taxnode_id=201901804","ICTVonline=201901804")</f>
        <v>ICTVonline=201901804</v>
      </c>
      <c r="Y4448" s="1" t="s">
        <v>13759</v>
      </c>
      <c r="Z4448" s="1" t="s">
        <v>13760</v>
      </c>
      <c r="AA4448" s="1">
        <v>201900000</v>
      </c>
      <c r="AB4448" s="1">
        <v>35</v>
      </c>
    </row>
    <row r="4449" spans="1:28" x14ac:dyDescent="0.2">
      <c r="A4449" s="1">
        <v>11366</v>
      </c>
      <c r="B4449" s="1" t="s">
        <v>6839</v>
      </c>
      <c r="D4449" s="1" t="s">
        <v>11735</v>
      </c>
      <c r="F4449" s="1" t="s">
        <v>5540</v>
      </c>
      <c r="G4449" s="1" t="s">
        <v>5541</v>
      </c>
      <c r="H4449" s="1" t="s">
        <v>5556</v>
      </c>
      <c r="J4449" s="1" t="s">
        <v>999</v>
      </c>
      <c r="L4449" s="1" t="s">
        <v>3561</v>
      </c>
      <c r="N4449" s="1" t="s">
        <v>3562</v>
      </c>
      <c r="P4449" s="1" t="s">
        <v>3563</v>
      </c>
      <c r="Q4449" s="3">
        <v>1</v>
      </c>
      <c r="R4449" s="23" t="s">
        <v>12893</v>
      </c>
      <c r="S4449" s="23" t="s">
        <v>6846</v>
      </c>
      <c r="T4449" s="23" t="s">
        <v>4866</v>
      </c>
      <c r="U4449" s="3">
        <v>35</v>
      </c>
      <c r="W4449" s="45" t="str">
        <f>HYPERLINK("http://ictvonline.org/taxonomy/p/taxonomy-history?taxnode_id=201901808","ICTVonline=201901808")</f>
        <v>ICTVonline=201901808</v>
      </c>
      <c r="Y4449" s="1" t="s">
        <v>13761</v>
      </c>
      <c r="Z4449" s="1" t="s">
        <v>13762</v>
      </c>
      <c r="AA4449" s="1">
        <v>201900000</v>
      </c>
      <c r="AB4449" s="1">
        <v>35</v>
      </c>
    </row>
    <row r="4450" spans="1:28" x14ac:dyDescent="0.2">
      <c r="A4450" s="1">
        <v>11372</v>
      </c>
      <c r="B4450" s="1" t="s">
        <v>6839</v>
      </c>
      <c r="D4450" s="1" t="s">
        <v>11735</v>
      </c>
      <c r="F4450" s="1" t="s">
        <v>5540</v>
      </c>
      <c r="G4450" s="1" t="s">
        <v>5541</v>
      </c>
      <c r="H4450" s="1" t="s">
        <v>5556</v>
      </c>
      <c r="J4450" s="1" t="s">
        <v>999</v>
      </c>
      <c r="L4450" s="1" t="s">
        <v>5617</v>
      </c>
      <c r="N4450" s="1" t="s">
        <v>3564</v>
      </c>
      <c r="P4450" s="1" t="s">
        <v>5618</v>
      </c>
      <c r="Q4450" s="3">
        <v>0</v>
      </c>
      <c r="R4450" s="23" t="s">
        <v>12893</v>
      </c>
      <c r="S4450" s="23" t="s">
        <v>6846</v>
      </c>
      <c r="T4450" s="23" t="s">
        <v>4866</v>
      </c>
      <c r="U4450" s="3">
        <v>35</v>
      </c>
      <c r="W4450" s="45" t="str">
        <f>HYPERLINK("http://ictvonline.org/taxonomy/p/taxonomy-history?taxnode_id=201906262","ICTVonline=201906262")</f>
        <v>ICTVonline=201906262</v>
      </c>
      <c r="X4450" s="1" t="s">
        <v>13763</v>
      </c>
      <c r="Y4450" s="1" t="s">
        <v>13764</v>
      </c>
      <c r="Z4450" s="1" t="s">
        <v>13765</v>
      </c>
      <c r="AA4450" s="1">
        <v>201900000</v>
      </c>
      <c r="AB4450" s="1">
        <v>35</v>
      </c>
    </row>
    <row r="4451" spans="1:28" x14ac:dyDescent="0.2">
      <c r="A4451" s="1">
        <v>11374</v>
      </c>
      <c r="B4451" s="1" t="s">
        <v>6839</v>
      </c>
      <c r="D4451" s="1" t="s">
        <v>11735</v>
      </c>
      <c r="F4451" s="1" t="s">
        <v>5540</v>
      </c>
      <c r="G4451" s="1" t="s">
        <v>5541</v>
      </c>
      <c r="H4451" s="1" t="s">
        <v>5556</v>
      </c>
      <c r="J4451" s="1" t="s">
        <v>999</v>
      </c>
      <c r="L4451" s="1" t="s">
        <v>5617</v>
      </c>
      <c r="N4451" s="1" t="s">
        <v>3564</v>
      </c>
      <c r="P4451" s="1" t="s">
        <v>5619</v>
      </c>
      <c r="Q4451" s="3">
        <v>0</v>
      </c>
      <c r="R4451" s="23" t="s">
        <v>12893</v>
      </c>
      <c r="S4451" s="23" t="s">
        <v>6846</v>
      </c>
      <c r="T4451" s="23" t="s">
        <v>4866</v>
      </c>
      <c r="U4451" s="3">
        <v>35</v>
      </c>
      <c r="W4451" s="45" t="str">
        <f>HYPERLINK("http://ictvonline.org/taxonomy/p/taxonomy-history?taxnode_id=201906265","ICTVonline=201906265")</f>
        <v>ICTVonline=201906265</v>
      </c>
      <c r="X4451" s="1" t="s">
        <v>13766</v>
      </c>
      <c r="Y4451" s="1" t="s">
        <v>13767</v>
      </c>
      <c r="Z4451" s="1" t="s">
        <v>13768</v>
      </c>
      <c r="AA4451" s="1">
        <v>201900000</v>
      </c>
      <c r="AB4451" s="1">
        <v>35</v>
      </c>
    </row>
    <row r="4452" spans="1:28" x14ac:dyDescent="0.2">
      <c r="A4452" s="1">
        <v>11376</v>
      </c>
      <c r="B4452" s="1" t="s">
        <v>6839</v>
      </c>
      <c r="D4452" s="1" t="s">
        <v>11735</v>
      </c>
      <c r="F4452" s="1" t="s">
        <v>5540</v>
      </c>
      <c r="G4452" s="1" t="s">
        <v>5541</v>
      </c>
      <c r="H4452" s="1" t="s">
        <v>5556</v>
      </c>
      <c r="J4452" s="1" t="s">
        <v>999</v>
      </c>
      <c r="L4452" s="1" t="s">
        <v>5617</v>
      </c>
      <c r="N4452" s="1" t="s">
        <v>3564</v>
      </c>
      <c r="P4452" s="1" t="s">
        <v>5620</v>
      </c>
      <c r="Q4452" s="3">
        <v>0</v>
      </c>
      <c r="R4452" s="23" t="s">
        <v>12893</v>
      </c>
      <c r="S4452" s="23" t="s">
        <v>6846</v>
      </c>
      <c r="T4452" s="23" t="s">
        <v>4866</v>
      </c>
      <c r="U4452" s="3">
        <v>35</v>
      </c>
      <c r="W4452" s="45" t="str">
        <f>HYPERLINK("http://ictvonline.org/taxonomy/p/taxonomy-history?taxnode_id=201906263","ICTVonline=201906263")</f>
        <v>ICTVonline=201906263</v>
      </c>
      <c r="X4452" s="1" t="s">
        <v>13769</v>
      </c>
      <c r="Y4452" s="1" t="s">
        <v>13770</v>
      </c>
      <c r="Z4452" s="1" t="s">
        <v>13771</v>
      </c>
      <c r="AA4452" s="1">
        <v>201900000</v>
      </c>
      <c r="AB4452" s="1">
        <v>35</v>
      </c>
    </row>
    <row r="4453" spans="1:28" x14ac:dyDescent="0.2">
      <c r="A4453" s="1">
        <v>11378</v>
      </c>
      <c r="B4453" s="1" t="s">
        <v>6839</v>
      </c>
      <c r="D4453" s="1" t="s">
        <v>11735</v>
      </c>
      <c r="F4453" s="1" t="s">
        <v>5540</v>
      </c>
      <c r="G4453" s="1" t="s">
        <v>5541</v>
      </c>
      <c r="H4453" s="1" t="s">
        <v>5556</v>
      </c>
      <c r="J4453" s="1" t="s">
        <v>999</v>
      </c>
      <c r="L4453" s="1" t="s">
        <v>5617</v>
      </c>
      <c r="N4453" s="1" t="s">
        <v>3564</v>
      </c>
      <c r="P4453" s="1" t="s">
        <v>5621</v>
      </c>
      <c r="Q4453" s="3">
        <v>0</v>
      </c>
      <c r="R4453" s="23" t="s">
        <v>12893</v>
      </c>
      <c r="S4453" s="23" t="s">
        <v>6846</v>
      </c>
      <c r="T4453" s="23" t="s">
        <v>4866</v>
      </c>
      <c r="U4453" s="3">
        <v>35</v>
      </c>
      <c r="W4453" s="45" t="str">
        <f>HYPERLINK("http://ictvonline.org/taxonomy/p/taxonomy-history?taxnode_id=201906261","ICTVonline=201906261")</f>
        <v>ICTVonline=201906261</v>
      </c>
      <c r="X4453" s="1" t="s">
        <v>13772</v>
      </c>
      <c r="Y4453" s="1" t="s">
        <v>13773</v>
      </c>
      <c r="Z4453" s="1" t="s">
        <v>13774</v>
      </c>
      <c r="AA4453" s="1">
        <v>201900000</v>
      </c>
      <c r="AB4453" s="1">
        <v>35</v>
      </c>
    </row>
    <row r="4454" spans="1:28" x14ac:dyDescent="0.2">
      <c r="A4454" s="1">
        <v>11380</v>
      </c>
      <c r="B4454" s="1" t="s">
        <v>6839</v>
      </c>
      <c r="D4454" s="1" t="s">
        <v>11735</v>
      </c>
      <c r="F4454" s="1" t="s">
        <v>5540</v>
      </c>
      <c r="G4454" s="1" t="s">
        <v>5541</v>
      </c>
      <c r="H4454" s="1" t="s">
        <v>5556</v>
      </c>
      <c r="J4454" s="1" t="s">
        <v>999</v>
      </c>
      <c r="L4454" s="1" t="s">
        <v>5617</v>
      </c>
      <c r="N4454" s="1" t="s">
        <v>3564</v>
      </c>
      <c r="P4454" s="1" t="s">
        <v>5622</v>
      </c>
      <c r="Q4454" s="3">
        <v>0</v>
      </c>
      <c r="R4454" s="23" t="s">
        <v>12893</v>
      </c>
      <c r="S4454" s="23" t="s">
        <v>6846</v>
      </c>
      <c r="T4454" s="23" t="s">
        <v>4866</v>
      </c>
      <c r="U4454" s="3">
        <v>35</v>
      </c>
      <c r="W4454" s="45" t="str">
        <f>HYPERLINK("http://ictvonline.org/taxonomy/p/taxonomy-history?taxnode_id=201906260","ICTVonline=201906260")</f>
        <v>ICTVonline=201906260</v>
      </c>
      <c r="X4454" s="1" t="s">
        <v>13775</v>
      </c>
      <c r="Y4454" s="1" t="s">
        <v>13776</v>
      </c>
      <c r="Z4454" s="1" t="s">
        <v>13777</v>
      </c>
      <c r="AA4454" s="1">
        <v>201900000</v>
      </c>
      <c r="AB4454" s="1">
        <v>35</v>
      </c>
    </row>
    <row r="4455" spans="1:28" x14ac:dyDescent="0.2">
      <c r="A4455" s="1">
        <v>11382</v>
      </c>
      <c r="B4455" s="1" t="s">
        <v>6839</v>
      </c>
      <c r="D4455" s="1" t="s">
        <v>11735</v>
      </c>
      <c r="F4455" s="1" t="s">
        <v>5540</v>
      </c>
      <c r="G4455" s="1" t="s">
        <v>5541</v>
      </c>
      <c r="H4455" s="1" t="s">
        <v>5556</v>
      </c>
      <c r="J4455" s="1" t="s">
        <v>999</v>
      </c>
      <c r="L4455" s="1" t="s">
        <v>5617</v>
      </c>
      <c r="N4455" s="1" t="s">
        <v>3564</v>
      </c>
      <c r="P4455" s="1" t="s">
        <v>5623</v>
      </c>
      <c r="Q4455" s="3">
        <v>0</v>
      </c>
      <c r="R4455" s="23" t="s">
        <v>12893</v>
      </c>
      <c r="S4455" s="23" t="s">
        <v>6846</v>
      </c>
      <c r="T4455" s="23" t="s">
        <v>4866</v>
      </c>
      <c r="U4455" s="3">
        <v>35</v>
      </c>
      <c r="W4455" s="45" t="str">
        <f>HYPERLINK("http://ictvonline.org/taxonomy/p/taxonomy-history?taxnode_id=201906264","ICTVonline=201906264")</f>
        <v>ICTVonline=201906264</v>
      </c>
      <c r="X4455" s="1" t="s">
        <v>13778</v>
      </c>
      <c r="Y4455" s="1" t="s">
        <v>13779</v>
      </c>
      <c r="Z4455" s="1" t="s">
        <v>13780</v>
      </c>
      <c r="AA4455" s="1">
        <v>201900000</v>
      </c>
      <c r="AB4455" s="1">
        <v>35</v>
      </c>
    </row>
    <row r="4456" spans="1:28" x14ac:dyDescent="0.2">
      <c r="A4456" s="1">
        <v>11384</v>
      </c>
      <c r="B4456" s="1" t="s">
        <v>6839</v>
      </c>
      <c r="D4456" s="1" t="s">
        <v>11735</v>
      </c>
      <c r="F4456" s="1" t="s">
        <v>5540</v>
      </c>
      <c r="G4456" s="1" t="s">
        <v>5541</v>
      </c>
      <c r="H4456" s="1" t="s">
        <v>5556</v>
      </c>
      <c r="J4456" s="1" t="s">
        <v>999</v>
      </c>
      <c r="L4456" s="1" t="s">
        <v>5617</v>
      </c>
      <c r="N4456" s="1" t="s">
        <v>3564</v>
      </c>
      <c r="P4456" s="1" t="s">
        <v>3565</v>
      </c>
      <c r="Q4456" s="3">
        <v>1</v>
      </c>
      <c r="R4456" s="23" t="s">
        <v>12893</v>
      </c>
      <c r="S4456" s="23" t="s">
        <v>6846</v>
      </c>
      <c r="T4456" s="23" t="s">
        <v>4866</v>
      </c>
      <c r="U4456" s="3">
        <v>35</v>
      </c>
      <c r="W4456" s="45" t="str">
        <f>HYPERLINK("http://ictvonline.org/taxonomy/p/taxonomy-history?taxnode_id=201901812","ICTVonline=201901812")</f>
        <v>ICTVonline=201901812</v>
      </c>
      <c r="X4456" s="1" t="s">
        <v>13781</v>
      </c>
      <c r="Y4456" s="1" t="s">
        <v>13782</v>
      </c>
      <c r="Z4456" s="1" t="s">
        <v>13783</v>
      </c>
      <c r="AA4456" s="1">
        <v>201900000</v>
      </c>
      <c r="AB4456" s="1">
        <v>35</v>
      </c>
    </row>
    <row r="4457" spans="1:28" x14ac:dyDescent="0.2">
      <c r="A4457" s="1">
        <v>11394</v>
      </c>
      <c r="B4457" s="1" t="s">
        <v>6839</v>
      </c>
      <c r="D4457" s="1" t="s">
        <v>11735</v>
      </c>
      <c r="F4457" s="1" t="s">
        <v>5540</v>
      </c>
      <c r="G4457" s="1" t="s">
        <v>5541</v>
      </c>
      <c r="H4457" s="1" t="s">
        <v>5624</v>
      </c>
      <c r="J4457" s="1" t="s">
        <v>5625</v>
      </c>
      <c r="L4457" s="1" t="s">
        <v>5626</v>
      </c>
      <c r="N4457" s="1" t="s">
        <v>5627</v>
      </c>
      <c r="P4457" s="1" t="s">
        <v>5628</v>
      </c>
      <c r="Q4457" s="3">
        <v>1</v>
      </c>
      <c r="R4457" s="23" t="s">
        <v>12893</v>
      </c>
      <c r="S4457" s="23" t="s">
        <v>6846</v>
      </c>
      <c r="T4457" s="23" t="s">
        <v>4866</v>
      </c>
      <c r="U4457" s="3">
        <v>35</v>
      </c>
      <c r="W4457" s="45" t="str">
        <f>HYPERLINK("http://ictvonline.org/taxonomy/p/taxonomy-history?taxnode_id=201906075","ICTVonline=201906075")</f>
        <v>ICTVonline=201906075</v>
      </c>
      <c r="X4457" s="1" t="s">
        <v>13784</v>
      </c>
      <c r="Y4457" s="1" t="s">
        <v>13785</v>
      </c>
      <c r="Z4457" s="1" t="s">
        <v>13786</v>
      </c>
      <c r="AA4457" s="1">
        <v>201900000</v>
      </c>
      <c r="AB4457" s="1">
        <v>35</v>
      </c>
    </row>
    <row r="4458" spans="1:28" x14ac:dyDescent="0.2">
      <c r="A4458" s="1">
        <v>11396</v>
      </c>
      <c r="B4458" s="1" t="s">
        <v>6839</v>
      </c>
      <c r="D4458" s="1" t="s">
        <v>11735</v>
      </c>
      <c r="F4458" s="1" t="s">
        <v>5540</v>
      </c>
      <c r="G4458" s="1" t="s">
        <v>5541</v>
      </c>
      <c r="H4458" s="1" t="s">
        <v>5624</v>
      </c>
      <c r="J4458" s="1" t="s">
        <v>5625</v>
      </c>
      <c r="L4458" s="1" t="s">
        <v>5626</v>
      </c>
      <c r="N4458" s="1" t="s">
        <v>5627</v>
      </c>
      <c r="P4458" s="1" t="s">
        <v>5629</v>
      </c>
      <c r="Q4458" s="3">
        <v>0</v>
      </c>
      <c r="R4458" s="23" t="s">
        <v>12893</v>
      </c>
      <c r="S4458" s="23" t="s">
        <v>6846</v>
      </c>
      <c r="T4458" s="23" t="s">
        <v>4866</v>
      </c>
      <c r="U4458" s="3">
        <v>35</v>
      </c>
      <c r="W4458" s="45" t="str">
        <f>HYPERLINK("http://ictvonline.org/taxonomy/p/taxonomy-history?taxnode_id=201906076","ICTVonline=201906076")</f>
        <v>ICTVonline=201906076</v>
      </c>
      <c r="X4458" s="1" t="s">
        <v>13787</v>
      </c>
      <c r="Y4458" s="1" t="s">
        <v>13788</v>
      </c>
      <c r="Z4458" s="1" t="s">
        <v>13789</v>
      </c>
      <c r="AA4458" s="1">
        <v>201900000</v>
      </c>
      <c r="AB4458" s="1">
        <v>35</v>
      </c>
    </row>
    <row r="4459" spans="1:28" x14ac:dyDescent="0.2">
      <c r="A4459" s="1">
        <v>11408</v>
      </c>
      <c r="B4459" s="1" t="s">
        <v>6839</v>
      </c>
      <c r="D4459" s="1" t="s">
        <v>11735</v>
      </c>
      <c r="F4459" s="1" t="s">
        <v>5540</v>
      </c>
      <c r="G4459" s="1" t="s">
        <v>5630</v>
      </c>
      <c r="H4459" s="1" t="s">
        <v>5631</v>
      </c>
      <c r="J4459" s="1" t="s">
        <v>4050</v>
      </c>
      <c r="L4459" s="1" t="s">
        <v>1058</v>
      </c>
      <c r="N4459" s="1" t="s">
        <v>5927</v>
      </c>
      <c r="P4459" s="1" t="s">
        <v>5928</v>
      </c>
      <c r="Q4459" s="3">
        <v>0</v>
      </c>
      <c r="R4459" s="23" t="s">
        <v>13790</v>
      </c>
      <c r="S4459" s="23" t="s">
        <v>6847</v>
      </c>
      <c r="T4459" s="23" t="s">
        <v>4866</v>
      </c>
      <c r="U4459" s="3">
        <v>35</v>
      </c>
      <c r="W4459" s="45" t="str">
        <f>HYPERLINK("http://ictvonline.org/taxonomy/p/taxonomy-history?taxnode_id=201906321","ICTVonline=201906321")</f>
        <v>ICTVonline=201906321</v>
      </c>
      <c r="X4459" s="1" t="s">
        <v>13791</v>
      </c>
      <c r="Y4459" s="1" t="s">
        <v>13792</v>
      </c>
      <c r="Z4459" s="1" t="s">
        <v>13793</v>
      </c>
      <c r="AA4459" s="1">
        <v>201900000</v>
      </c>
      <c r="AB4459" s="1">
        <v>35</v>
      </c>
    </row>
    <row r="4460" spans="1:28" x14ac:dyDescent="0.2">
      <c r="A4460" s="1">
        <v>11410</v>
      </c>
      <c r="B4460" s="1" t="s">
        <v>6839</v>
      </c>
      <c r="D4460" s="1" t="s">
        <v>11735</v>
      </c>
      <c r="F4460" s="1" t="s">
        <v>5540</v>
      </c>
      <c r="G4460" s="1" t="s">
        <v>5630</v>
      </c>
      <c r="H4460" s="1" t="s">
        <v>5631</v>
      </c>
      <c r="J4460" s="1" t="s">
        <v>4050</v>
      </c>
      <c r="L4460" s="1" t="s">
        <v>1058</v>
      </c>
      <c r="N4460" s="1" t="s">
        <v>5927</v>
      </c>
      <c r="P4460" s="1" t="s">
        <v>5929</v>
      </c>
      <c r="Q4460" s="3">
        <v>1</v>
      </c>
      <c r="R4460" s="23" t="s">
        <v>13790</v>
      </c>
      <c r="S4460" s="23" t="s">
        <v>6847</v>
      </c>
      <c r="T4460" s="23" t="s">
        <v>4866</v>
      </c>
      <c r="U4460" s="3">
        <v>35</v>
      </c>
      <c r="W4460" s="45" t="str">
        <f>HYPERLINK("http://ictvonline.org/taxonomy/p/taxonomy-history?taxnode_id=201906320","ICTVonline=201906320")</f>
        <v>ICTVonline=201906320</v>
      </c>
      <c r="X4460" s="1" t="s">
        <v>13794</v>
      </c>
      <c r="Y4460" s="1" t="s">
        <v>13795</v>
      </c>
      <c r="Z4460" s="1" t="s">
        <v>13796</v>
      </c>
      <c r="AA4460" s="1">
        <v>201900000</v>
      </c>
      <c r="AB4460" s="1">
        <v>35</v>
      </c>
    </row>
    <row r="4461" spans="1:28" x14ac:dyDescent="0.2">
      <c r="A4461" s="1">
        <v>11414</v>
      </c>
      <c r="B4461" s="1" t="s">
        <v>6839</v>
      </c>
      <c r="D4461" s="1" t="s">
        <v>11735</v>
      </c>
      <c r="F4461" s="1" t="s">
        <v>5540</v>
      </c>
      <c r="G4461" s="1" t="s">
        <v>5630</v>
      </c>
      <c r="H4461" s="1" t="s">
        <v>5631</v>
      </c>
      <c r="J4461" s="1" t="s">
        <v>4050</v>
      </c>
      <c r="L4461" s="1" t="s">
        <v>1058</v>
      </c>
      <c r="N4461" s="1" t="s">
        <v>5230</v>
      </c>
      <c r="P4461" s="1" t="s">
        <v>5231</v>
      </c>
      <c r="Q4461" s="3">
        <v>1</v>
      </c>
      <c r="R4461" s="23" t="s">
        <v>13790</v>
      </c>
      <c r="S4461" s="23" t="s">
        <v>6847</v>
      </c>
      <c r="T4461" s="23" t="s">
        <v>4866</v>
      </c>
      <c r="U4461" s="3">
        <v>35</v>
      </c>
      <c r="W4461" s="45" t="str">
        <f>HYPERLINK("http://ictvonline.org/taxonomy/p/taxonomy-history?taxnode_id=201905740","ICTVonline=201905740")</f>
        <v>ICTVonline=201905740</v>
      </c>
      <c r="AA4461" s="1">
        <v>201900000</v>
      </c>
      <c r="AB4461" s="1">
        <v>35</v>
      </c>
    </row>
    <row r="4462" spans="1:28" x14ac:dyDescent="0.2">
      <c r="A4462" s="1">
        <v>11416</v>
      </c>
      <c r="B4462" s="1" t="s">
        <v>6839</v>
      </c>
      <c r="D4462" s="1" t="s">
        <v>11735</v>
      </c>
      <c r="F4462" s="1" t="s">
        <v>5540</v>
      </c>
      <c r="G4462" s="1" t="s">
        <v>5630</v>
      </c>
      <c r="H4462" s="1" t="s">
        <v>5631</v>
      </c>
      <c r="J4462" s="1" t="s">
        <v>4050</v>
      </c>
      <c r="L4462" s="1" t="s">
        <v>1058</v>
      </c>
      <c r="N4462" s="1" t="s">
        <v>5230</v>
      </c>
      <c r="P4462" s="1" t="s">
        <v>13797</v>
      </c>
      <c r="Q4462" s="3">
        <v>0</v>
      </c>
      <c r="R4462" s="23" t="s">
        <v>13790</v>
      </c>
      <c r="S4462" s="23" t="s">
        <v>6847</v>
      </c>
      <c r="T4462" s="23" t="s">
        <v>4864</v>
      </c>
      <c r="U4462" s="3">
        <v>35</v>
      </c>
      <c r="V4462" s="3" t="s">
        <v>13798</v>
      </c>
      <c r="W4462" s="45" t="str">
        <f>HYPERLINK("http://ictvonline.org/taxonomy/p/taxonomy-history?taxnode_id=201907277","ICTVonline=201907277")</f>
        <v>ICTVonline=201907277</v>
      </c>
      <c r="X4462" s="1" t="s">
        <v>13799</v>
      </c>
      <c r="Y4462" s="1" t="s">
        <v>13800</v>
      </c>
      <c r="Z4462" s="1" t="s">
        <v>13801</v>
      </c>
      <c r="AA4462" s="1">
        <v>201900000</v>
      </c>
      <c r="AB4462" s="1">
        <v>35</v>
      </c>
    </row>
    <row r="4463" spans="1:28" x14ac:dyDescent="0.2">
      <c r="A4463" s="1">
        <v>11418</v>
      </c>
      <c r="B4463" s="1" t="s">
        <v>6839</v>
      </c>
      <c r="D4463" s="1" t="s">
        <v>11735</v>
      </c>
      <c r="F4463" s="1" t="s">
        <v>5540</v>
      </c>
      <c r="G4463" s="1" t="s">
        <v>5630</v>
      </c>
      <c r="H4463" s="1" t="s">
        <v>5631</v>
      </c>
      <c r="J4463" s="1" t="s">
        <v>4050</v>
      </c>
      <c r="L4463" s="1" t="s">
        <v>1058</v>
      </c>
      <c r="N4463" s="1" t="s">
        <v>5230</v>
      </c>
      <c r="P4463" s="1" t="s">
        <v>13802</v>
      </c>
      <c r="Q4463" s="3">
        <v>0</v>
      </c>
      <c r="R4463" s="23" t="s">
        <v>13790</v>
      </c>
      <c r="S4463" s="23" t="s">
        <v>6847</v>
      </c>
      <c r="T4463" s="23" t="s">
        <v>4864</v>
      </c>
      <c r="U4463" s="3">
        <v>35</v>
      </c>
      <c r="V4463" s="3" t="s">
        <v>13798</v>
      </c>
      <c r="W4463" s="45" t="str">
        <f>HYPERLINK("http://ictvonline.org/taxonomy/p/taxonomy-history?taxnode_id=201907278","ICTVonline=201907278")</f>
        <v>ICTVonline=201907278</v>
      </c>
      <c r="X4463" s="1" t="s">
        <v>13803</v>
      </c>
      <c r="Y4463" s="1" t="s">
        <v>13804</v>
      </c>
      <c r="Z4463" s="1" t="s">
        <v>13805</v>
      </c>
      <c r="AA4463" s="1">
        <v>201900000</v>
      </c>
      <c r="AB4463" s="1">
        <v>35</v>
      </c>
    </row>
    <row r="4464" spans="1:28" x14ac:dyDescent="0.2">
      <c r="A4464" s="1">
        <v>11420</v>
      </c>
      <c r="B4464" s="1" t="s">
        <v>6839</v>
      </c>
      <c r="D4464" s="1" t="s">
        <v>11735</v>
      </c>
      <c r="F4464" s="1" t="s">
        <v>5540</v>
      </c>
      <c r="G4464" s="1" t="s">
        <v>5630</v>
      </c>
      <c r="H4464" s="1" t="s">
        <v>5631</v>
      </c>
      <c r="J4464" s="1" t="s">
        <v>4050</v>
      </c>
      <c r="L4464" s="1" t="s">
        <v>1058</v>
      </c>
      <c r="N4464" s="1" t="s">
        <v>5230</v>
      </c>
      <c r="P4464" s="1" t="s">
        <v>13806</v>
      </c>
      <c r="Q4464" s="3">
        <v>0</v>
      </c>
      <c r="R4464" s="23" t="s">
        <v>13790</v>
      </c>
      <c r="S4464" s="23" t="s">
        <v>6847</v>
      </c>
      <c r="T4464" s="23" t="s">
        <v>4864</v>
      </c>
      <c r="U4464" s="3">
        <v>35</v>
      </c>
      <c r="V4464" s="3" t="s">
        <v>13798</v>
      </c>
      <c r="W4464" s="45" t="str">
        <f>HYPERLINK("http://ictvonline.org/taxonomy/p/taxonomy-history?taxnode_id=201907279","ICTVonline=201907279")</f>
        <v>ICTVonline=201907279</v>
      </c>
      <c r="X4464" s="1" t="s">
        <v>13807</v>
      </c>
      <c r="Y4464" s="1" t="s">
        <v>13808</v>
      </c>
      <c r="Z4464" s="1" t="s">
        <v>13809</v>
      </c>
      <c r="AA4464" s="1">
        <v>201900000</v>
      </c>
      <c r="AB4464" s="1">
        <v>35</v>
      </c>
    </row>
    <row r="4465" spans="1:28" x14ac:dyDescent="0.2">
      <c r="A4465" s="1">
        <v>11424</v>
      </c>
      <c r="B4465" s="1" t="s">
        <v>6839</v>
      </c>
      <c r="D4465" s="1" t="s">
        <v>11735</v>
      </c>
      <c r="F4465" s="1" t="s">
        <v>5540</v>
      </c>
      <c r="G4465" s="1" t="s">
        <v>5630</v>
      </c>
      <c r="H4465" s="1" t="s">
        <v>5631</v>
      </c>
      <c r="J4465" s="1" t="s">
        <v>4050</v>
      </c>
      <c r="L4465" s="1" t="s">
        <v>1058</v>
      </c>
      <c r="N4465" s="1" t="s">
        <v>2622</v>
      </c>
      <c r="P4465" s="1" t="s">
        <v>2623</v>
      </c>
      <c r="Q4465" s="3">
        <v>0</v>
      </c>
      <c r="R4465" s="23" t="s">
        <v>13790</v>
      </c>
      <c r="S4465" s="23" t="s">
        <v>6847</v>
      </c>
      <c r="T4465" s="23" t="s">
        <v>4866</v>
      </c>
      <c r="U4465" s="3">
        <v>35</v>
      </c>
      <c r="W4465" s="45" t="str">
        <f>HYPERLINK("http://ictvonline.org/taxonomy/p/taxonomy-history?taxnode_id=201902570","ICTVonline=201902570")</f>
        <v>ICTVonline=201902570</v>
      </c>
      <c r="AA4465" s="1">
        <v>201900000</v>
      </c>
      <c r="AB4465" s="1">
        <v>35</v>
      </c>
    </row>
    <row r="4466" spans="1:28" x14ac:dyDescent="0.2">
      <c r="A4466" s="1">
        <v>11426</v>
      </c>
      <c r="B4466" s="1" t="s">
        <v>6839</v>
      </c>
      <c r="D4466" s="1" t="s">
        <v>11735</v>
      </c>
      <c r="F4466" s="1" t="s">
        <v>5540</v>
      </c>
      <c r="G4466" s="1" t="s">
        <v>5630</v>
      </c>
      <c r="H4466" s="1" t="s">
        <v>5631</v>
      </c>
      <c r="J4466" s="1" t="s">
        <v>4050</v>
      </c>
      <c r="L4466" s="1" t="s">
        <v>1058</v>
      </c>
      <c r="N4466" s="1" t="s">
        <v>2622</v>
      </c>
      <c r="P4466" s="1" t="s">
        <v>13810</v>
      </c>
      <c r="Q4466" s="3">
        <v>0</v>
      </c>
      <c r="R4466" s="23" t="s">
        <v>13790</v>
      </c>
      <c r="S4466" s="23" t="s">
        <v>6847</v>
      </c>
      <c r="T4466" s="23" t="s">
        <v>4864</v>
      </c>
      <c r="U4466" s="3">
        <v>35</v>
      </c>
      <c r="V4466" s="3" t="s">
        <v>13811</v>
      </c>
      <c r="W4466" s="45" t="str">
        <f>HYPERLINK("http://ictvonline.org/taxonomy/p/taxonomy-history?taxnode_id=201907461","ICTVonline=201907461")</f>
        <v>ICTVonline=201907461</v>
      </c>
      <c r="X4466" s="1" t="s">
        <v>13812</v>
      </c>
      <c r="Y4466" s="1" t="s">
        <v>13813</v>
      </c>
      <c r="Z4466" s="1" t="s">
        <v>13814</v>
      </c>
      <c r="AA4466" s="1">
        <v>201900000</v>
      </c>
      <c r="AB4466" s="1">
        <v>35</v>
      </c>
    </row>
    <row r="4467" spans="1:28" x14ac:dyDescent="0.2">
      <c r="A4467" s="1">
        <v>11428</v>
      </c>
      <c r="B4467" s="1" t="s">
        <v>6839</v>
      </c>
      <c r="D4467" s="1" t="s">
        <v>11735</v>
      </c>
      <c r="F4467" s="1" t="s">
        <v>5540</v>
      </c>
      <c r="G4467" s="1" t="s">
        <v>5630</v>
      </c>
      <c r="H4467" s="1" t="s">
        <v>5631</v>
      </c>
      <c r="J4467" s="1" t="s">
        <v>4050</v>
      </c>
      <c r="L4467" s="1" t="s">
        <v>1058</v>
      </c>
      <c r="N4467" s="1" t="s">
        <v>2622</v>
      </c>
      <c r="P4467" s="1" t="s">
        <v>5232</v>
      </c>
      <c r="Q4467" s="3">
        <v>0</v>
      </c>
      <c r="R4467" s="23" t="s">
        <v>13790</v>
      </c>
      <c r="S4467" s="23" t="s">
        <v>6847</v>
      </c>
      <c r="T4467" s="23" t="s">
        <v>4866</v>
      </c>
      <c r="U4467" s="3">
        <v>35</v>
      </c>
      <c r="W4467" s="45" t="str">
        <f>HYPERLINK("http://ictvonline.org/taxonomy/p/taxonomy-history?taxnode_id=201902579","ICTVonline=201902579")</f>
        <v>ICTVonline=201902579</v>
      </c>
      <c r="AA4467" s="1">
        <v>201900000</v>
      </c>
      <c r="AB4467" s="1">
        <v>35</v>
      </c>
    </row>
    <row r="4468" spans="1:28" x14ac:dyDescent="0.2">
      <c r="A4468" s="1">
        <v>11430</v>
      </c>
      <c r="B4468" s="1" t="s">
        <v>6839</v>
      </c>
      <c r="D4468" s="1" t="s">
        <v>11735</v>
      </c>
      <c r="F4468" s="1" t="s">
        <v>5540</v>
      </c>
      <c r="G4468" s="1" t="s">
        <v>5630</v>
      </c>
      <c r="H4468" s="1" t="s">
        <v>5631</v>
      </c>
      <c r="J4468" s="1" t="s">
        <v>4050</v>
      </c>
      <c r="L4468" s="1" t="s">
        <v>1058</v>
      </c>
      <c r="N4468" s="1" t="s">
        <v>2622</v>
      </c>
      <c r="P4468" s="1" t="s">
        <v>2624</v>
      </c>
      <c r="Q4468" s="3">
        <v>0</v>
      </c>
      <c r="R4468" s="23" t="s">
        <v>13790</v>
      </c>
      <c r="S4468" s="23" t="s">
        <v>6847</v>
      </c>
      <c r="T4468" s="23" t="s">
        <v>4866</v>
      </c>
      <c r="U4468" s="3">
        <v>35</v>
      </c>
      <c r="W4468" s="45" t="str">
        <f>HYPERLINK("http://ictvonline.org/taxonomy/p/taxonomy-history?taxnode_id=201902572","ICTVonline=201902572")</f>
        <v>ICTVonline=201902572</v>
      </c>
      <c r="AA4468" s="1">
        <v>201900000</v>
      </c>
      <c r="AB4468" s="1">
        <v>35</v>
      </c>
    </row>
    <row r="4469" spans="1:28" x14ac:dyDescent="0.2">
      <c r="A4469" s="1">
        <v>11432</v>
      </c>
      <c r="B4469" s="1" t="s">
        <v>6839</v>
      </c>
      <c r="D4469" s="1" t="s">
        <v>11735</v>
      </c>
      <c r="F4469" s="1" t="s">
        <v>5540</v>
      </c>
      <c r="G4469" s="1" t="s">
        <v>5630</v>
      </c>
      <c r="H4469" s="1" t="s">
        <v>5631</v>
      </c>
      <c r="J4469" s="1" t="s">
        <v>4050</v>
      </c>
      <c r="L4469" s="1" t="s">
        <v>1058</v>
      </c>
      <c r="N4469" s="1" t="s">
        <v>2622</v>
      </c>
      <c r="P4469" s="1" t="s">
        <v>5233</v>
      </c>
      <c r="Q4469" s="3">
        <v>0</v>
      </c>
      <c r="R4469" s="23" t="s">
        <v>13790</v>
      </c>
      <c r="S4469" s="23" t="s">
        <v>6847</v>
      </c>
      <c r="T4469" s="23" t="s">
        <v>4866</v>
      </c>
      <c r="U4469" s="3">
        <v>35</v>
      </c>
      <c r="W4469" s="45" t="str">
        <f>HYPERLINK("http://ictvonline.org/taxonomy/p/taxonomy-history?taxnode_id=201902597","ICTVonline=201902597")</f>
        <v>ICTVonline=201902597</v>
      </c>
      <c r="AA4469" s="1">
        <v>201900000</v>
      </c>
      <c r="AB4469" s="1">
        <v>35</v>
      </c>
    </row>
    <row r="4470" spans="1:28" x14ac:dyDescent="0.2">
      <c r="A4470" s="1">
        <v>11434</v>
      </c>
      <c r="B4470" s="1" t="s">
        <v>6839</v>
      </c>
      <c r="D4470" s="1" t="s">
        <v>11735</v>
      </c>
      <c r="F4470" s="1" t="s">
        <v>5540</v>
      </c>
      <c r="G4470" s="1" t="s">
        <v>5630</v>
      </c>
      <c r="H4470" s="1" t="s">
        <v>5631</v>
      </c>
      <c r="J4470" s="1" t="s">
        <v>4050</v>
      </c>
      <c r="L4470" s="1" t="s">
        <v>1058</v>
      </c>
      <c r="N4470" s="1" t="s">
        <v>2622</v>
      </c>
      <c r="P4470" s="1" t="s">
        <v>5234</v>
      </c>
      <c r="Q4470" s="3">
        <v>0</v>
      </c>
      <c r="R4470" s="23" t="s">
        <v>13790</v>
      </c>
      <c r="S4470" s="23" t="s">
        <v>6847</v>
      </c>
      <c r="T4470" s="23" t="s">
        <v>4866</v>
      </c>
      <c r="U4470" s="3">
        <v>35</v>
      </c>
      <c r="W4470" s="45" t="str">
        <f>HYPERLINK("http://ictvonline.org/taxonomy/p/taxonomy-history?taxnode_id=201902595","ICTVonline=201902595")</f>
        <v>ICTVonline=201902595</v>
      </c>
      <c r="AA4470" s="1">
        <v>201900000</v>
      </c>
      <c r="AB4470" s="1">
        <v>35</v>
      </c>
    </row>
    <row r="4471" spans="1:28" x14ac:dyDescent="0.2">
      <c r="A4471" s="1">
        <v>11436</v>
      </c>
      <c r="B4471" s="1" t="s">
        <v>6839</v>
      </c>
      <c r="D4471" s="1" t="s">
        <v>11735</v>
      </c>
      <c r="F4471" s="1" t="s">
        <v>5540</v>
      </c>
      <c r="G4471" s="1" t="s">
        <v>5630</v>
      </c>
      <c r="H4471" s="1" t="s">
        <v>5631</v>
      </c>
      <c r="J4471" s="1" t="s">
        <v>4050</v>
      </c>
      <c r="L4471" s="1" t="s">
        <v>1058</v>
      </c>
      <c r="N4471" s="1" t="s">
        <v>2622</v>
      </c>
      <c r="P4471" s="1" t="s">
        <v>2625</v>
      </c>
      <c r="Q4471" s="3">
        <v>0</v>
      </c>
      <c r="R4471" s="23" t="s">
        <v>13790</v>
      </c>
      <c r="S4471" s="23" t="s">
        <v>6847</v>
      </c>
      <c r="T4471" s="23" t="s">
        <v>4866</v>
      </c>
      <c r="U4471" s="3">
        <v>35</v>
      </c>
      <c r="W4471" s="45" t="str">
        <f>HYPERLINK("http://ictvonline.org/taxonomy/p/taxonomy-history?taxnode_id=201902573","ICTVonline=201902573")</f>
        <v>ICTVonline=201902573</v>
      </c>
      <c r="AA4471" s="1">
        <v>201900000</v>
      </c>
      <c r="AB4471" s="1">
        <v>35</v>
      </c>
    </row>
    <row r="4472" spans="1:28" x14ac:dyDescent="0.2">
      <c r="A4472" s="1">
        <v>11438</v>
      </c>
      <c r="B4472" s="1" t="s">
        <v>6839</v>
      </c>
      <c r="D4472" s="1" t="s">
        <v>11735</v>
      </c>
      <c r="F4472" s="1" t="s">
        <v>5540</v>
      </c>
      <c r="G4472" s="1" t="s">
        <v>5630</v>
      </c>
      <c r="H4472" s="1" t="s">
        <v>5631</v>
      </c>
      <c r="J4472" s="1" t="s">
        <v>4050</v>
      </c>
      <c r="L4472" s="1" t="s">
        <v>1058</v>
      </c>
      <c r="N4472" s="1" t="s">
        <v>2622</v>
      </c>
      <c r="P4472" s="1" t="s">
        <v>13815</v>
      </c>
      <c r="Q4472" s="3">
        <v>0</v>
      </c>
      <c r="R4472" s="23" t="s">
        <v>13790</v>
      </c>
      <c r="S4472" s="23" t="s">
        <v>6847</v>
      </c>
      <c r="T4472" s="23" t="s">
        <v>4864</v>
      </c>
      <c r="U4472" s="3">
        <v>35</v>
      </c>
      <c r="V4472" s="3" t="s">
        <v>13816</v>
      </c>
      <c r="W4472" s="45" t="str">
        <f>HYPERLINK("http://ictvonline.org/taxonomy/p/taxonomy-history?taxnode_id=201907288","ICTVonline=201907288")</f>
        <v>ICTVonline=201907288</v>
      </c>
      <c r="X4472" s="1" t="s">
        <v>13817</v>
      </c>
      <c r="Y4472" s="1" t="s">
        <v>13818</v>
      </c>
      <c r="Z4472" s="1" t="s">
        <v>13819</v>
      </c>
      <c r="AA4472" s="1">
        <v>201900000</v>
      </c>
      <c r="AB4472" s="1">
        <v>35</v>
      </c>
    </row>
    <row r="4473" spans="1:28" x14ac:dyDescent="0.2">
      <c r="A4473" s="1">
        <v>11440</v>
      </c>
      <c r="B4473" s="1" t="s">
        <v>6839</v>
      </c>
      <c r="D4473" s="1" t="s">
        <v>11735</v>
      </c>
      <c r="F4473" s="1" t="s">
        <v>5540</v>
      </c>
      <c r="G4473" s="1" t="s">
        <v>5630</v>
      </c>
      <c r="H4473" s="1" t="s">
        <v>5631</v>
      </c>
      <c r="J4473" s="1" t="s">
        <v>4050</v>
      </c>
      <c r="L4473" s="1" t="s">
        <v>1058</v>
      </c>
      <c r="N4473" s="1" t="s">
        <v>2622</v>
      </c>
      <c r="P4473" s="1" t="s">
        <v>2626</v>
      </c>
      <c r="Q4473" s="3">
        <v>0</v>
      </c>
      <c r="R4473" s="23" t="s">
        <v>13790</v>
      </c>
      <c r="S4473" s="23" t="s">
        <v>6847</v>
      </c>
      <c r="T4473" s="23" t="s">
        <v>4866</v>
      </c>
      <c r="U4473" s="3">
        <v>35</v>
      </c>
      <c r="W4473" s="45" t="str">
        <f>HYPERLINK("http://ictvonline.org/taxonomy/p/taxonomy-history?taxnode_id=201902574","ICTVonline=201902574")</f>
        <v>ICTVonline=201902574</v>
      </c>
      <c r="AA4473" s="1">
        <v>201900000</v>
      </c>
      <c r="AB4473" s="1">
        <v>35</v>
      </c>
    </row>
    <row r="4474" spans="1:28" x14ac:dyDescent="0.2">
      <c r="A4474" s="1">
        <v>11442</v>
      </c>
      <c r="B4474" s="1" t="s">
        <v>6839</v>
      </c>
      <c r="D4474" s="1" t="s">
        <v>11735</v>
      </c>
      <c r="F4474" s="1" t="s">
        <v>5540</v>
      </c>
      <c r="G4474" s="1" t="s">
        <v>5630</v>
      </c>
      <c r="H4474" s="1" t="s">
        <v>5631</v>
      </c>
      <c r="J4474" s="1" t="s">
        <v>4050</v>
      </c>
      <c r="L4474" s="1" t="s">
        <v>1058</v>
      </c>
      <c r="N4474" s="1" t="s">
        <v>2622</v>
      </c>
      <c r="P4474" s="1" t="s">
        <v>2627</v>
      </c>
      <c r="Q4474" s="3">
        <v>0</v>
      </c>
      <c r="R4474" s="23" t="s">
        <v>13790</v>
      </c>
      <c r="S4474" s="23" t="s">
        <v>6847</v>
      </c>
      <c r="T4474" s="23" t="s">
        <v>4866</v>
      </c>
      <c r="U4474" s="3">
        <v>35</v>
      </c>
      <c r="W4474" s="45" t="str">
        <f>HYPERLINK("http://ictvonline.org/taxonomy/p/taxonomy-history?taxnode_id=201902575","ICTVonline=201902575")</f>
        <v>ICTVonline=201902575</v>
      </c>
      <c r="AA4474" s="1">
        <v>201900000</v>
      </c>
      <c r="AB4474" s="1">
        <v>35</v>
      </c>
    </row>
    <row r="4475" spans="1:28" x14ac:dyDescent="0.2">
      <c r="A4475" s="1">
        <v>11444</v>
      </c>
      <c r="B4475" s="1" t="s">
        <v>6839</v>
      </c>
      <c r="D4475" s="1" t="s">
        <v>11735</v>
      </c>
      <c r="F4475" s="1" t="s">
        <v>5540</v>
      </c>
      <c r="G4475" s="1" t="s">
        <v>5630</v>
      </c>
      <c r="H4475" s="1" t="s">
        <v>5631</v>
      </c>
      <c r="J4475" s="1" t="s">
        <v>4050</v>
      </c>
      <c r="L4475" s="1" t="s">
        <v>1058</v>
      </c>
      <c r="N4475" s="1" t="s">
        <v>2622</v>
      </c>
      <c r="P4475" s="1" t="s">
        <v>3628</v>
      </c>
      <c r="Q4475" s="3">
        <v>0</v>
      </c>
      <c r="R4475" s="23" t="s">
        <v>13790</v>
      </c>
      <c r="S4475" s="23" t="s">
        <v>6847</v>
      </c>
      <c r="T4475" s="23" t="s">
        <v>4866</v>
      </c>
      <c r="U4475" s="3">
        <v>35</v>
      </c>
      <c r="W4475" s="45" t="str">
        <f>HYPERLINK("http://ictvonline.org/taxonomy/p/taxonomy-history?taxnode_id=201902576","ICTVonline=201902576")</f>
        <v>ICTVonline=201902576</v>
      </c>
      <c r="X4475" s="1" t="s">
        <v>13820</v>
      </c>
      <c r="Y4475" s="1" t="s">
        <v>13821</v>
      </c>
      <c r="Z4475" s="1" t="s">
        <v>13822</v>
      </c>
      <c r="AA4475" s="1">
        <v>201900000</v>
      </c>
      <c r="AB4475" s="1">
        <v>35</v>
      </c>
    </row>
    <row r="4476" spans="1:28" x14ac:dyDescent="0.2">
      <c r="A4476" s="1">
        <v>11446</v>
      </c>
      <c r="B4476" s="1" t="s">
        <v>6839</v>
      </c>
      <c r="D4476" s="1" t="s">
        <v>11735</v>
      </c>
      <c r="F4476" s="1" t="s">
        <v>5540</v>
      </c>
      <c r="G4476" s="1" t="s">
        <v>5630</v>
      </c>
      <c r="H4476" s="1" t="s">
        <v>5631</v>
      </c>
      <c r="J4476" s="1" t="s">
        <v>4050</v>
      </c>
      <c r="L4476" s="1" t="s">
        <v>1058</v>
      </c>
      <c r="N4476" s="1" t="s">
        <v>2622</v>
      </c>
      <c r="P4476" s="1" t="s">
        <v>2628</v>
      </c>
      <c r="Q4476" s="3">
        <v>0</v>
      </c>
      <c r="R4476" s="23" t="s">
        <v>13790</v>
      </c>
      <c r="S4476" s="23" t="s">
        <v>6847</v>
      </c>
      <c r="T4476" s="23" t="s">
        <v>4866</v>
      </c>
      <c r="U4476" s="3">
        <v>35</v>
      </c>
      <c r="W4476" s="45" t="str">
        <f>HYPERLINK("http://ictvonline.org/taxonomy/p/taxonomy-history?taxnode_id=201902577","ICTVonline=201902577")</f>
        <v>ICTVonline=201902577</v>
      </c>
      <c r="AA4476" s="1">
        <v>201900000</v>
      </c>
      <c r="AB4476" s="1">
        <v>35</v>
      </c>
    </row>
    <row r="4477" spans="1:28" x14ac:dyDescent="0.2">
      <c r="A4477" s="1">
        <v>11448</v>
      </c>
      <c r="B4477" s="1" t="s">
        <v>6839</v>
      </c>
      <c r="D4477" s="1" t="s">
        <v>11735</v>
      </c>
      <c r="F4477" s="1" t="s">
        <v>5540</v>
      </c>
      <c r="G4477" s="1" t="s">
        <v>5630</v>
      </c>
      <c r="H4477" s="1" t="s">
        <v>5631</v>
      </c>
      <c r="J4477" s="1" t="s">
        <v>4050</v>
      </c>
      <c r="L4477" s="1" t="s">
        <v>1058</v>
      </c>
      <c r="N4477" s="1" t="s">
        <v>2622</v>
      </c>
      <c r="P4477" s="1" t="s">
        <v>2629</v>
      </c>
      <c r="Q4477" s="3">
        <v>0</v>
      </c>
      <c r="R4477" s="23" t="s">
        <v>13790</v>
      </c>
      <c r="S4477" s="23" t="s">
        <v>6847</v>
      </c>
      <c r="T4477" s="23" t="s">
        <v>4866</v>
      </c>
      <c r="U4477" s="3">
        <v>35</v>
      </c>
      <c r="W4477" s="45" t="str">
        <f>HYPERLINK("http://ictvonline.org/taxonomy/p/taxonomy-history?taxnode_id=201902578","ICTVonline=201902578")</f>
        <v>ICTVonline=201902578</v>
      </c>
      <c r="AA4477" s="1">
        <v>201900000</v>
      </c>
      <c r="AB4477" s="1">
        <v>35</v>
      </c>
    </row>
    <row r="4478" spans="1:28" x14ac:dyDescent="0.2">
      <c r="A4478" s="1">
        <v>11450</v>
      </c>
      <c r="B4478" s="1" t="s">
        <v>6839</v>
      </c>
      <c r="D4478" s="1" t="s">
        <v>11735</v>
      </c>
      <c r="F4478" s="1" t="s">
        <v>5540</v>
      </c>
      <c r="G4478" s="1" t="s">
        <v>5630</v>
      </c>
      <c r="H4478" s="1" t="s">
        <v>5631</v>
      </c>
      <c r="J4478" s="1" t="s">
        <v>4050</v>
      </c>
      <c r="L4478" s="1" t="s">
        <v>1058</v>
      </c>
      <c r="N4478" s="1" t="s">
        <v>2622</v>
      </c>
      <c r="P4478" s="1" t="s">
        <v>2630</v>
      </c>
      <c r="Q4478" s="3">
        <v>0</v>
      </c>
      <c r="R4478" s="23" t="s">
        <v>13790</v>
      </c>
      <c r="S4478" s="23" t="s">
        <v>6847</v>
      </c>
      <c r="T4478" s="23" t="s">
        <v>4866</v>
      </c>
      <c r="U4478" s="3">
        <v>35</v>
      </c>
      <c r="W4478" s="45" t="str">
        <f>HYPERLINK("http://ictvonline.org/taxonomy/p/taxonomy-history?taxnode_id=201902580","ICTVonline=201902580")</f>
        <v>ICTVonline=201902580</v>
      </c>
      <c r="AA4478" s="1">
        <v>201900000</v>
      </c>
      <c r="AB4478" s="1">
        <v>35</v>
      </c>
    </row>
    <row r="4479" spans="1:28" x14ac:dyDescent="0.2">
      <c r="A4479" s="1">
        <v>11452</v>
      </c>
      <c r="B4479" s="1" t="s">
        <v>6839</v>
      </c>
      <c r="D4479" s="1" t="s">
        <v>11735</v>
      </c>
      <c r="F4479" s="1" t="s">
        <v>5540</v>
      </c>
      <c r="G4479" s="1" t="s">
        <v>5630</v>
      </c>
      <c r="H4479" s="1" t="s">
        <v>5631</v>
      </c>
      <c r="J4479" s="1" t="s">
        <v>4050</v>
      </c>
      <c r="L4479" s="1" t="s">
        <v>1058</v>
      </c>
      <c r="N4479" s="1" t="s">
        <v>2622</v>
      </c>
      <c r="P4479" s="1" t="s">
        <v>2631</v>
      </c>
      <c r="Q4479" s="3">
        <v>0</v>
      </c>
      <c r="R4479" s="23" t="s">
        <v>13790</v>
      </c>
      <c r="S4479" s="23" t="s">
        <v>6847</v>
      </c>
      <c r="T4479" s="23" t="s">
        <v>4866</v>
      </c>
      <c r="U4479" s="3">
        <v>35</v>
      </c>
      <c r="W4479" s="45" t="str">
        <f>HYPERLINK("http://ictvonline.org/taxonomy/p/taxonomy-history?taxnode_id=201902581","ICTVonline=201902581")</f>
        <v>ICTVonline=201902581</v>
      </c>
      <c r="AA4479" s="1">
        <v>201900000</v>
      </c>
      <c r="AB4479" s="1">
        <v>35</v>
      </c>
    </row>
    <row r="4480" spans="1:28" x14ac:dyDescent="0.2">
      <c r="A4480" s="1">
        <v>11454</v>
      </c>
      <c r="B4480" s="1" t="s">
        <v>6839</v>
      </c>
      <c r="D4480" s="1" t="s">
        <v>11735</v>
      </c>
      <c r="F4480" s="1" t="s">
        <v>5540</v>
      </c>
      <c r="G4480" s="1" t="s">
        <v>5630</v>
      </c>
      <c r="H4480" s="1" t="s">
        <v>5631</v>
      </c>
      <c r="J4480" s="1" t="s">
        <v>4050</v>
      </c>
      <c r="L4480" s="1" t="s">
        <v>1058</v>
      </c>
      <c r="N4480" s="1" t="s">
        <v>2622</v>
      </c>
      <c r="P4480" s="1" t="s">
        <v>4570</v>
      </c>
      <c r="Q4480" s="3">
        <v>0</v>
      </c>
      <c r="R4480" s="23" t="s">
        <v>13790</v>
      </c>
      <c r="S4480" s="23" t="s">
        <v>6847</v>
      </c>
      <c r="T4480" s="23" t="s">
        <v>4866</v>
      </c>
      <c r="U4480" s="3">
        <v>35</v>
      </c>
      <c r="W4480" s="45" t="str">
        <f>HYPERLINK("http://ictvonline.org/taxonomy/p/taxonomy-history?taxnode_id=201902582","ICTVonline=201902582")</f>
        <v>ICTVonline=201902582</v>
      </c>
      <c r="Y4480" s="1" t="s">
        <v>13823</v>
      </c>
      <c r="Z4480" s="1" t="s">
        <v>13824</v>
      </c>
      <c r="AA4480" s="1">
        <v>201900000</v>
      </c>
      <c r="AB4480" s="1">
        <v>35</v>
      </c>
    </row>
    <row r="4481" spans="1:28" x14ac:dyDescent="0.2">
      <c r="A4481" s="1">
        <v>11456</v>
      </c>
      <c r="B4481" s="1" t="s">
        <v>6839</v>
      </c>
      <c r="D4481" s="1" t="s">
        <v>11735</v>
      </c>
      <c r="F4481" s="1" t="s">
        <v>5540</v>
      </c>
      <c r="G4481" s="1" t="s">
        <v>5630</v>
      </c>
      <c r="H4481" s="1" t="s">
        <v>5631</v>
      </c>
      <c r="J4481" s="1" t="s">
        <v>4050</v>
      </c>
      <c r="L4481" s="1" t="s">
        <v>1058</v>
      </c>
      <c r="N4481" s="1" t="s">
        <v>2622</v>
      </c>
      <c r="P4481" s="1" t="s">
        <v>2632</v>
      </c>
      <c r="Q4481" s="3">
        <v>0</v>
      </c>
      <c r="R4481" s="23" t="s">
        <v>13790</v>
      </c>
      <c r="S4481" s="23" t="s">
        <v>6847</v>
      </c>
      <c r="T4481" s="23" t="s">
        <v>4866</v>
      </c>
      <c r="U4481" s="3">
        <v>35</v>
      </c>
      <c r="W4481" s="45" t="str">
        <f>HYPERLINK("http://ictvonline.org/taxonomy/p/taxonomy-history?taxnode_id=201902583","ICTVonline=201902583")</f>
        <v>ICTVonline=201902583</v>
      </c>
      <c r="AA4481" s="1">
        <v>201900000</v>
      </c>
      <c r="AB4481" s="1">
        <v>35</v>
      </c>
    </row>
    <row r="4482" spans="1:28" x14ac:dyDescent="0.2">
      <c r="A4482" s="1">
        <v>11458</v>
      </c>
      <c r="B4482" s="1" t="s">
        <v>6839</v>
      </c>
      <c r="D4482" s="1" t="s">
        <v>11735</v>
      </c>
      <c r="F4482" s="1" t="s">
        <v>5540</v>
      </c>
      <c r="G4482" s="1" t="s">
        <v>5630</v>
      </c>
      <c r="H4482" s="1" t="s">
        <v>5631</v>
      </c>
      <c r="J4482" s="1" t="s">
        <v>4050</v>
      </c>
      <c r="L4482" s="1" t="s">
        <v>1058</v>
      </c>
      <c r="N4482" s="1" t="s">
        <v>2622</v>
      </c>
      <c r="P4482" s="1" t="s">
        <v>2633</v>
      </c>
      <c r="Q4482" s="3">
        <v>0</v>
      </c>
      <c r="R4482" s="23" t="s">
        <v>13790</v>
      </c>
      <c r="S4482" s="23" t="s">
        <v>6847</v>
      </c>
      <c r="T4482" s="23" t="s">
        <v>4866</v>
      </c>
      <c r="U4482" s="3">
        <v>35</v>
      </c>
      <c r="W4482" s="45" t="str">
        <f>HYPERLINK("http://ictvonline.org/taxonomy/p/taxonomy-history?taxnode_id=201902584","ICTVonline=201902584")</f>
        <v>ICTVonline=201902584</v>
      </c>
      <c r="AA4482" s="1">
        <v>201900000</v>
      </c>
      <c r="AB4482" s="1">
        <v>35</v>
      </c>
    </row>
    <row r="4483" spans="1:28" x14ac:dyDescent="0.2">
      <c r="A4483" s="1">
        <v>11460</v>
      </c>
      <c r="B4483" s="1" t="s">
        <v>6839</v>
      </c>
      <c r="D4483" s="1" t="s">
        <v>11735</v>
      </c>
      <c r="F4483" s="1" t="s">
        <v>5540</v>
      </c>
      <c r="G4483" s="1" t="s">
        <v>5630</v>
      </c>
      <c r="H4483" s="1" t="s">
        <v>5631</v>
      </c>
      <c r="J4483" s="1" t="s">
        <v>4050</v>
      </c>
      <c r="L4483" s="1" t="s">
        <v>1058</v>
      </c>
      <c r="N4483" s="1" t="s">
        <v>2622</v>
      </c>
      <c r="P4483" s="1" t="s">
        <v>2634</v>
      </c>
      <c r="Q4483" s="3">
        <v>0</v>
      </c>
      <c r="R4483" s="23" t="s">
        <v>13790</v>
      </c>
      <c r="S4483" s="23" t="s">
        <v>6847</v>
      </c>
      <c r="T4483" s="23" t="s">
        <v>4866</v>
      </c>
      <c r="U4483" s="3">
        <v>35</v>
      </c>
      <c r="W4483" s="45" t="str">
        <f>HYPERLINK("http://ictvonline.org/taxonomy/p/taxonomy-history?taxnode_id=201902585","ICTVonline=201902585")</f>
        <v>ICTVonline=201902585</v>
      </c>
      <c r="Y4483" s="1" t="s">
        <v>13825</v>
      </c>
      <c r="Z4483" s="1" t="s">
        <v>13826</v>
      </c>
      <c r="AA4483" s="1">
        <v>201900000</v>
      </c>
      <c r="AB4483" s="1">
        <v>35</v>
      </c>
    </row>
    <row r="4484" spans="1:28" x14ac:dyDescent="0.2">
      <c r="A4484" s="1">
        <v>11462</v>
      </c>
      <c r="B4484" s="1" t="s">
        <v>6839</v>
      </c>
      <c r="D4484" s="1" t="s">
        <v>11735</v>
      </c>
      <c r="F4484" s="1" t="s">
        <v>5540</v>
      </c>
      <c r="G4484" s="1" t="s">
        <v>5630</v>
      </c>
      <c r="H4484" s="1" t="s">
        <v>5631</v>
      </c>
      <c r="J4484" s="1" t="s">
        <v>4050</v>
      </c>
      <c r="L4484" s="1" t="s">
        <v>1058</v>
      </c>
      <c r="N4484" s="1" t="s">
        <v>2622</v>
      </c>
      <c r="P4484" s="1" t="s">
        <v>2635</v>
      </c>
      <c r="Q4484" s="3">
        <v>1</v>
      </c>
      <c r="R4484" s="23" t="s">
        <v>13790</v>
      </c>
      <c r="S4484" s="23" t="s">
        <v>6847</v>
      </c>
      <c r="T4484" s="23" t="s">
        <v>4866</v>
      </c>
      <c r="U4484" s="3">
        <v>35</v>
      </c>
      <c r="W4484" s="45" t="str">
        <f>HYPERLINK("http://ictvonline.org/taxonomy/p/taxonomy-history?taxnode_id=201902586","ICTVonline=201902586")</f>
        <v>ICTVonline=201902586</v>
      </c>
      <c r="AA4484" s="1">
        <v>201900000</v>
      </c>
      <c r="AB4484" s="1">
        <v>35</v>
      </c>
    </row>
    <row r="4485" spans="1:28" x14ac:dyDescent="0.2">
      <c r="A4485" s="1">
        <v>11464</v>
      </c>
      <c r="B4485" s="1" t="s">
        <v>6839</v>
      </c>
      <c r="D4485" s="1" t="s">
        <v>11735</v>
      </c>
      <c r="F4485" s="1" t="s">
        <v>5540</v>
      </c>
      <c r="G4485" s="1" t="s">
        <v>5630</v>
      </c>
      <c r="H4485" s="1" t="s">
        <v>5631</v>
      </c>
      <c r="J4485" s="1" t="s">
        <v>4050</v>
      </c>
      <c r="L4485" s="1" t="s">
        <v>1058</v>
      </c>
      <c r="N4485" s="1" t="s">
        <v>2622</v>
      </c>
      <c r="P4485" s="1" t="s">
        <v>2636</v>
      </c>
      <c r="Q4485" s="3">
        <v>0</v>
      </c>
      <c r="R4485" s="23" t="s">
        <v>13790</v>
      </c>
      <c r="S4485" s="23" t="s">
        <v>6847</v>
      </c>
      <c r="T4485" s="23" t="s">
        <v>4866</v>
      </c>
      <c r="U4485" s="3">
        <v>35</v>
      </c>
      <c r="W4485" s="45" t="str">
        <f>HYPERLINK("http://ictvonline.org/taxonomy/p/taxonomy-history?taxnode_id=201902587","ICTVonline=201902587")</f>
        <v>ICTVonline=201902587</v>
      </c>
      <c r="AA4485" s="1">
        <v>201900000</v>
      </c>
      <c r="AB4485" s="1">
        <v>35</v>
      </c>
    </row>
    <row r="4486" spans="1:28" x14ac:dyDescent="0.2">
      <c r="A4486" s="1">
        <v>11466</v>
      </c>
      <c r="B4486" s="1" t="s">
        <v>6839</v>
      </c>
      <c r="D4486" s="1" t="s">
        <v>11735</v>
      </c>
      <c r="F4486" s="1" t="s">
        <v>5540</v>
      </c>
      <c r="G4486" s="1" t="s">
        <v>5630</v>
      </c>
      <c r="H4486" s="1" t="s">
        <v>5631</v>
      </c>
      <c r="J4486" s="1" t="s">
        <v>4050</v>
      </c>
      <c r="L4486" s="1" t="s">
        <v>1058</v>
      </c>
      <c r="N4486" s="1" t="s">
        <v>2622</v>
      </c>
      <c r="P4486" s="1" t="s">
        <v>3629</v>
      </c>
      <c r="Q4486" s="3">
        <v>0</v>
      </c>
      <c r="R4486" s="23" t="s">
        <v>13790</v>
      </c>
      <c r="S4486" s="23" t="s">
        <v>6847</v>
      </c>
      <c r="T4486" s="23" t="s">
        <v>4866</v>
      </c>
      <c r="U4486" s="3">
        <v>35</v>
      </c>
      <c r="W4486" s="45" t="str">
        <f>HYPERLINK("http://ictvonline.org/taxonomy/p/taxonomy-history?taxnode_id=201902588","ICTVonline=201902588")</f>
        <v>ICTVonline=201902588</v>
      </c>
      <c r="X4486" s="1" t="s">
        <v>13827</v>
      </c>
      <c r="Y4486" s="1" t="s">
        <v>13828</v>
      </c>
      <c r="Z4486" s="1" t="s">
        <v>13829</v>
      </c>
      <c r="AA4486" s="1">
        <v>201900000</v>
      </c>
      <c r="AB4486" s="1">
        <v>35</v>
      </c>
    </row>
    <row r="4487" spans="1:28" x14ac:dyDescent="0.2">
      <c r="A4487" s="1">
        <v>11468</v>
      </c>
      <c r="B4487" s="1" t="s">
        <v>6839</v>
      </c>
      <c r="D4487" s="1" t="s">
        <v>11735</v>
      </c>
      <c r="F4487" s="1" t="s">
        <v>5540</v>
      </c>
      <c r="G4487" s="1" t="s">
        <v>5630</v>
      </c>
      <c r="H4487" s="1" t="s">
        <v>5631</v>
      </c>
      <c r="J4487" s="1" t="s">
        <v>4050</v>
      </c>
      <c r="L4487" s="1" t="s">
        <v>1058</v>
      </c>
      <c r="N4487" s="1" t="s">
        <v>2622</v>
      </c>
      <c r="P4487" s="1" t="s">
        <v>2637</v>
      </c>
      <c r="Q4487" s="3">
        <v>0</v>
      </c>
      <c r="R4487" s="23" t="s">
        <v>13790</v>
      </c>
      <c r="S4487" s="23" t="s">
        <v>6847</v>
      </c>
      <c r="T4487" s="23" t="s">
        <v>4866</v>
      </c>
      <c r="U4487" s="3">
        <v>35</v>
      </c>
      <c r="W4487" s="45" t="str">
        <f>HYPERLINK("http://ictvonline.org/taxonomy/p/taxonomy-history?taxnode_id=201902589","ICTVonline=201902589")</f>
        <v>ICTVonline=201902589</v>
      </c>
      <c r="Y4487" s="1" t="s">
        <v>13830</v>
      </c>
      <c r="Z4487" s="1" t="s">
        <v>13831</v>
      </c>
      <c r="AA4487" s="1">
        <v>201900000</v>
      </c>
      <c r="AB4487" s="1">
        <v>35</v>
      </c>
    </row>
    <row r="4488" spans="1:28" x14ac:dyDescent="0.2">
      <c r="A4488" s="1">
        <v>11470</v>
      </c>
      <c r="B4488" s="1" t="s">
        <v>6839</v>
      </c>
      <c r="D4488" s="1" t="s">
        <v>11735</v>
      </c>
      <c r="F4488" s="1" t="s">
        <v>5540</v>
      </c>
      <c r="G4488" s="1" t="s">
        <v>5630</v>
      </c>
      <c r="H4488" s="1" t="s">
        <v>5631</v>
      </c>
      <c r="J4488" s="1" t="s">
        <v>4050</v>
      </c>
      <c r="L4488" s="1" t="s">
        <v>1058</v>
      </c>
      <c r="N4488" s="1" t="s">
        <v>2622</v>
      </c>
      <c r="P4488" s="1" t="s">
        <v>2638</v>
      </c>
      <c r="Q4488" s="3">
        <v>0</v>
      </c>
      <c r="R4488" s="23" t="s">
        <v>13790</v>
      </c>
      <c r="S4488" s="23" t="s">
        <v>6847</v>
      </c>
      <c r="T4488" s="23" t="s">
        <v>4866</v>
      </c>
      <c r="U4488" s="3">
        <v>35</v>
      </c>
      <c r="W4488" s="45" t="str">
        <f>HYPERLINK("http://ictvonline.org/taxonomy/p/taxonomy-history?taxnode_id=201902590","ICTVonline=201902590")</f>
        <v>ICTVonline=201902590</v>
      </c>
      <c r="AA4488" s="1">
        <v>201900000</v>
      </c>
      <c r="AB4488" s="1">
        <v>35</v>
      </c>
    </row>
    <row r="4489" spans="1:28" x14ac:dyDescent="0.2">
      <c r="A4489" s="1">
        <v>11472</v>
      </c>
      <c r="B4489" s="1" t="s">
        <v>6839</v>
      </c>
      <c r="D4489" s="1" t="s">
        <v>11735</v>
      </c>
      <c r="F4489" s="1" t="s">
        <v>5540</v>
      </c>
      <c r="G4489" s="1" t="s">
        <v>5630</v>
      </c>
      <c r="H4489" s="1" t="s">
        <v>5631</v>
      </c>
      <c r="J4489" s="1" t="s">
        <v>4050</v>
      </c>
      <c r="L4489" s="1" t="s">
        <v>1058</v>
      </c>
      <c r="N4489" s="1" t="s">
        <v>2622</v>
      </c>
      <c r="P4489" s="1" t="s">
        <v>2639</v>
      </c>
      <c r="Q4489" s="3">
        <v>0</v>
      </c>
      <c r="R4489" s="23" t="s">
        <v>13790</v>
      </c>
      <c r="S4489" s="23" t="s">
        <v>6847</v>
      </c>
      <c r="T4489" s="23" t="s">
        <v>4866</v>
      </c>
      <c r="U4489" s="3">
        <v>35</v>
      </c>
      <c r="W4489" s="45" t="str">
        <f>HYPERLINK("http://ictvonline.org/taxonomy/p/taxonomy-history?taxnode_id=201902591","ICTVonline=201902591")</f>
        <v>ICTVonline=201902591</v>
      </c>
      <c r="AA4489" s="1">
        <v>201900000</v>
      </c>
      <c r="AB4489" s="1">
        <v>35</v>
      </c>
    </row>
    <row r="4490" spans="1:28" x14ac:dyDescent="0.2">
      <c r="A4490" s="1">
        <v>11474</v>
      </c>
      <c r="B4490" s="1" t="s">
        <v>6839</v>
      </c>
      <c r="D4490" s="1" t="s">
        <v>11735</v>
      </c>
      <c r="F4490" s="1" t="s">
        <v>5540</v>
      </c>
      <c r="G4490" s="1" t="s">
        <v>5630</v>
      </c>
      <c r="H4490" s="1" t="s">
        <v>5631</v>
      </c>
      <c r="J4490" s="1" t="s">
        <v>4050</v>
      </c>
      <c r="L4490" s="1" t="s">
        <v>1058</v>
      </c>
      <c r="N4490" s="1" t="s">
        <v>2622</v>
      </c>
      <c r="P4490" s="1" t="s">
        <v>3630</v>
      </c>
      <c r="Q4490" s="3">
        <v>0</v>
      </c>
      <c r="R4490" s="23" t="s">
        <v>13790</v>
      </c>
      <c r="S4490" s="23" t="s">
        <v>6847</v>
      </c>
      <c r="T4490" s="23" t="s">
        <v>4866</v>
      </c>
      <c r="U4490" s="3">
        <v>35</v>
      </c>
      <c r="W4490" s="45" t="str">
        <f>HYPERLINK("http://ictvonline.org/taxonomy/p/taxonomy-history?taxnode_id=201902592","ICTVonline=201902592")</f>
        <v>ICTVonline=201902592</v>
      </c>
      <c r="X4490" s="1" t="s">
        <v>13832</v>
      </c>
      <c r="Y4490" s="1" t="s">
        <v>13833</v>
      </c>
      <c r="Z4490" s="1" t="s">
        <v>13834</v>
      </c>
      <c r="AA4490" s="1">
        <v>201900000</v>
      </c>
      <c r="AB4490" s="1">
        <v>35</v>
      </c>
    </row>
    <row r="4491" spans="1:28" x14ac:dyDescent="0.2">
      <c r="A4491" s="1">
        <v>11476</v>
      </c>
      <c r="B4491" s="1" t="s">
        <v>6839</v>
      </c>
      <c r="D4491" s="1" t="s">
        <v>11735</v>
      </c>
      <c r="F4491" s="1" t="s">
        <v>5540</v>
      </c>
      <c r="G4491" s="1" t="s">
        <v>5630</v>
      </c>
      <c r="H4491" s="1" t="s">
        <v>5631</v>
      </c>
      <c r="J4491" s="1" t="s">
        <v>4050</v>
      </c>
      <c r="L4491" s="1" t="s">
        <v>1058</v>
      </c>
      <c r="N4491" s="1" t="s">
        <v>2622</v>
      </c>
      <c r="P4491" s="1" t="s">
        <v>2640</v>
      </c>
      <c r="Q4491" s="3">
        <v>0</v>
      </c>
      <c r="R4491" s="23" t="s">
        <v>13790</v>
      </c>
      <c r="S4491" s="23" t="s">
        <v>6847</v>
      </c>
      <c r="T4491" s="23" t="s">
        <v>4866</v>
      </c>
      <c r="U4491" s="3">
        <v>35</v>
      </c>
      <c r="W4491" s="45" t="str">
        <f>HYPERLINK("http://ictvonline.org/taxonomy/p/taxonomy-history?taxnode_id=201902593","ICTVonline=201902593")</f>
        <v>ICTVonline=201902593</v>
      </c>
      <c r="AA4491" s="1">
        <v>201900000</v>
      </c>
      <c r="AB4491" s="1">
        <v>35</v>
      </c>
    </row>
    <row r="4492" spans="1:28" x14ac:dyDescent="0.2">
      <c r="A4492" s="1">
        <v>11478</v>
      </c>
      <c r="B4492" s="1" t="s">
        <v>6839</v>
      </c>
      <c r="D4492" s="1" t="s">
        <v>11735</v>
      </c>
      <c r="F4492" s="1" t="s">
        <v>5540</v>
      </c>
      <c r="G4492" s="1" t="s">
        <v>5630</v>
      </c>
      <c r="H4492" s="1" t="s">
        <v>5631</v>
      </c>
      <c r="J4492" s="1" t="s">
        <v>4050</v>
      </c>
      <c r="L4492" s="1" t="s">
        <v>1058</v>
      </c>
      <c r="N4492" s="1" t="s">
        <v>2622</v>
      </c>
      <c r="P4492" s="1" t="s">
        <v>5235</v>
      </c>
      <c r="Q4492" s="3">
        <v>0</v>
      </c>
      <c r="R4492" s="23" t="s">
        <v>13790</v>
      </c>
      <c r="S4492" s="23" t="s">
        <v>6847</v>
      </c>
      <c r="T4492" s="23" t="s">
        <v>4866</v>
      </c>
      <c r="U4492" s="3">
        <v>35</v>
      </c>
      <c r="W4492" s="45" t="str">
        <f>HYPERLINK("http://ictvonline.org/taxonomy/p/taxonomy-history?taxnode_id=201902594","ICTVonline=201902594")</f>
        <v>ICTVonline=201902594</v>
      </c>
      <c r="AA4492" s="1">
        <v>201900000</v>
      </c>
      <c r="AB4492" s="1">
        <v>35</v>
      </c>
    </row>
    <row r="4493" spans="1:28" x14ac:dyDescent="0.2">
      <c r="A4493" s="1">
        <v>11480</v>
      </c>
      <c r="B4493" s="1" t="s">
        <v>6839</v>
      </c>
      <c r="D4493" s="1" t="s">
        <v>11735</v>
      </c>
      <c r="F4493" s="1" t="s">
        <v>5540</v>
      </c>
      <c r="G4493" s="1" t="s">
        <v>5630</v>
      </c>
      <c r="H4493" s="1" t="s">
        <v>5631</v>
      </c>
      <c r="J4493" s="1" t="s">
        <v>4050</v>
      </c>
      <c r="L4493" s="1" t="s">
        <v>1058</v>
      </c>
      <c r="N4493" s="1" t="s">
        <v>2622</v>
      </c>
      <c r="P4493" s="1" t="s">
        <v>2641</v>
      </c>
      <c r="Q4493" s="3">
        <v>0</v>
      </c>
      <c r="R4493" s="23" t="s">
        <v>13790</v>
      </c>
      <c r="S4493" s="23" t="s">
        <v>6847</v>
      </c>
      <c r="T4493" s="23" t="s">
        <v>4866</v>
      </c>
      <c r="U4493" s="3">
        <v>35</v>
      </c>
      <c r="W4493" s="45" t="str">
        <f>HYPERLINK("http://ictvonline.org/taxonomy/p/taxonomy-history?taxnode_id=201902596","ICTVonline=201902596")</f>
        <v>ICTVonline=201902596</v>
      </c>
      <c r="AA4493" s="1">
        <v>201900000</v>
      </c>
      <c r="AB4493" s="1">
        <v>35</v>
      </c>
    </row>
    <row r="4494" spans="1:28" x14ac:dyDescent="0.2">
      <c r="A4494" s="1">
        <v>11482</v>
      </c>
      <c r="B4494" s="1" t="s">
        <v>6839</v>
      </c>
      <c r="D4494" s="1" t="s">
        <v>11735</v>
      </c>
      <c r="F4494" s="1" t="s">
        <v>5540</v>
      </c>
      <c r="G4494" s="1" t="s">
        <v>5630</v>
      </c>
      <c r="H4494" s="1" t="s">
        <v>5631</v>
      </c>
      <c r="J4494" s="1" t="s">
        <v>4050</v>
      </c>
      <c r="L4494" s="1" t="s">
        <v>1058</v>
      </c>
      <c r="N4494" s="1" t="s">
        <v>2622</v>
      </c>
      <c r="P4494" s="1" t="s">
        <v>13835</v>
      </c>
      <c r="Q4494" s="3">
        <v>0</v>
      </c>
      <c r="R4494" s="23" t="s">
        <v>13790</v>
      </c>
      <c r="S4494" s="23" t="s">
        <v>6847</v>
      </c>
      <c r="T4494" s="23" t="s">
        <v>4864</v>
      </c>
      <c r="U4494" s="3">
        <v>35</v>
      </c>
      <c r="V4494" s="3" t="s">
        <v>13836</v>
      </c>
      <c r="W4494" s="45" t="str">
        <f>HYPERLINK("http://ictvonline.org/taxonomy/p/taxonomy-history?taxnode_id=201907356","ICTVonline=201907356")</f>
        <v>ICTVonline=201907356</v>
      </c>
      <c r="X4494" s="1" t="s">
        <v>13837</v>
      </c>
      <c r="Y4494" s="1" t="s">
        <v>13838</v>
      </c>
      <c r="Z4494" s="1" t="s">
        <v>13839</v>
      </c>
      <c r="AA4494" s="1">
        <v>201900000</v>
      </c>
      <c r="AB4494" s="1">
        <v>35</v>
      </c>
    </row>
    <row r="4495" spans="1:28" x14ac:dyDescent="0.2">
      <c r="A4495" s="1">
        <v>11484</v>
      </c>
      <c r="B4495" s="1" t="s">
        <v>6839</v>
      </c>
      <c r="D4495" s="1" t="s">
        <v>11735</v>
      </c>
      <c r="F4495" s="1" t="s">
        <v>5540</v>
      </c>
      <c r="G4495" s="1" t="s">
        <v>5630</v>
      </c>
      <c r="H4495" s="1" t="s">
        <v>5631</v>
      </c>
      <c r="J4495" s="1" t="s">
        <v>4050</v>
      </c>
      <c r="L4495" s="1" t="s">
        <v>1058</v>
      </c>
      <c r="N4495" s="1" t="s">
        <v>2622</v>
      </c>
      <c r="P4495" s="1" t="s">
        <v>5236</v>
      </c>
      <c r="Q4495" s="3">
        <v>0</v>
      </c>
      <c r="R4495" s="23" t="s">
        <v>13790</v>
      </c>
      <c r="S4495" s="23" t="s">
        <v>6847</v>
      </c>
      <c r="T4495" s="23" t="s">
        <v>4866</v>
      </c>
      <c r="U4495" s="3">
        <v>35</v>
      </c>
      <c r="W4495" s="45" t="str">
        <f>HYPERLINK("http://ictvonline.org/taxonomy/p/taxonomy-history?taxnode_id=201905742","ICTVonline=201905742")</f>
        <v>ICTVonline=201905742</v>
      </c>
      <c r="AA4495" s="1">
        <v>201900000</v>
      </c>
      <c r="AB4495" s="1">
        <v>35</v>
      </c>
    </row>
    <row r="4496" spans="1:28" x14ac:dyDescent="0.2">
      <c r="A4496" s="1">
        <v>11486</v>
      </c>
      <c r="B4496" s="1" t="s">
        <v>6839</v>
      </c>
      <c r="D4496" s="1" t="s">
        <v>11735</v>
      </c>
      <c r="F4496" s="1" t="s">
        <v>5540</v>
      </c>
      <c r="G4496" s="1" t="s">
        <v>5630</v>
      </c>
      <c r="H4496" s="1" t="s">
        <v>5631</v>
      </c>
      <c r="J4496" s="1" t="s">
        <v>4050</v>
      </c>
      <c r="L4496" s="1" t="s">
        <v>1058</v>
      </c>
      <c r="N4496" s="1" t="s">
        <v>2622</v>
      </c>
      <c r="P4496" s="1" t="s">
        <v>5237</v>
      </c>
      <c r="Q4496" s="3">
        <v>0</v>
      </c>
      <c r="R4496" s="23" t="s">
        <v>13790</v>
      </c>
      <c r="S4496" s="23" t="s">
        <v>6847</v>
      </c>
      <c r="T4496" s="23" t="s">
        <v>4866</v>
      </c>
      <c r="U4496" s="3">
        <v>35</v>
      </c>
      <c r="W4496" s="45" t="str">
        <f>HYPERLINK("http://ictvonline.org/taxonomy/p/taxonomy-history?taxnode_id=201902571","ICTVonline=201902571")</f>
        <v>ICTVonline=201902571</v>
      </c>
      <c r="AA4496" s="1">
        <v>201900000</v>
      </c>
      <c r="AB4496" s="1">
        <v>35</v>
      </c>
    </row>
    <row r="4497" spans="1:28" x14ac:dyDescent="0.2">
      <c r="A4497" s="1">
        <v>11488</v>
      </c>
      <c r="B4497" s="1" t="s">
        <v>6839</v>
      </c>
      <c r="D4497" s="1" t="s">
        <v>11735</v>
      </c>
      <c r="F4497" s="1" t="s">
        <v>5540</v>
      </c>
      <c r="G4497" s="1" t="s">
        <v>5630</v>
      </c>
      <c r="H4497" s="1" t="s">
        <v>5631</v>
      </c>
      <c r="J4497" s="1" t="s">
        <v>4050</v>
      </c>
      <c r="L4497" s="1" t="s">
        <v>1058</v>
      </c>
      <c r="N4497" s="1" t="s">
        <v>2622</v>
      </c>
      <c r="P4497" s="1" t="s">
        <v>4571</v>
      </c>
      <c r="Q4497" s="3">
        <v>0</v>
      </c>
      <c r="R4497" s="23" t="s">
        <v>13790</v>
      </c>
      <c r="S4497" s="23" t="s">
        <v>6847</v>
      </c>
      <c r="T4497" s="23" t="s">
        <v>4866</v>
      </c>
      <c r="U4497" s="3">
        <v>35</v>
      </c>
      <c r="W4497" s="45" t="str">
        <f>HYPERLINK("http://ictvonline.org/taxonomy/p/taxonomy-history?taxnode_id=201902598","ICTVonline=201902598")</f>
        <v>ICTVonline=201902598</v>
      </c>
      <c r="Y4497" s="1" t="s">
        <v>13840</v>
      </c>
      <c r="Z4497" s="1" t="s">
        <v>13841</v>
      </c>
      <c r="AA4497" s="1">
        <v>201900000</v>
      </c>
      <c r="AB4497" s="1">
        <v>35</v>
      </c>
    </row>
    <row r="4498" spans="1:28" x14ac:dyDescent="0.2">
      <c r="A4498" s="1">
        <v>11490</v>
      </c>
      <c r="B4498" s="1" t="s">
        <v>6839</v>
      </c>
      <c r="D4498" s="1" t="s">
        <v>11735</v>
      </c>
      <c r="F4498" s="1" t="s">
        <v>5540</v>
      </c>
      <c r="G4498" s="1" t="s">
        <v>5630</v>
      </c>
      <c r="H4498" s="1" t="s">
        <v>5631</v>
      </c>
      <c r="J4498" s="1" t="s">
        <v>4050</v>
      </c>
      <c r="L4498" s="1" t="s">
        <v>1058</v>
      </c>
      <c r="N4498" s="1" t="s">
        <v>2622</v>
      </c>
      <c r="P4498" s="1" t="s">
        <v>5238</v>
      </c>
      <c r="Q4498" s="3">
        <v>0</v>
      </c>
      <c r="R4498" s="23" t="s">
        <v>13790</v>
      </c>
      <c r="S4498" s="23" t="s">
        <v>6847</v>
      </c>
      <c r="T4498" s="23" t="s">
        <v>4866</v>
      </c>
      <c r="U4498" s="3">
        <v>35</v>
      </c>
      <c r="W4498" s="45" t="str">
        <f>HYPERLINK("http://ictvonline.org/taxonomy/p/taxonomy-history?taxnode_id=201905743","ICTVonline=201905743")</f>
        <v>ICTVonline=201905743</v>
      </c>
      <c r="AA4498" s="1">
        <v>201900000</v>
      </c>
      <c r="AB4498" s="1">
        <v>35</v>
      </c>
    </row>
    <row r="4499" spans="1:28" x14ac:dyDescent="0.2">
      <c r="A4499" s="1">
        <v>11492</v>
      </c>
      <c r="B4499" s="1" t="s">
        <v>6839</v>
      </c>
      <c r="D4499" s="1" t="s">
        <v>11735</v>
      </c>
      <c r="F4499" s="1" t="s">
        <v>5540</v>
      </c>
      <c r="G4499" s="1" t="s">
        <v>5630</v>
      </c>
      <c r="H4499" s="1" t="s">
        <v>5631</v>
      </c>
      <c r="J4499" s="1" t="s">
        <v>4050</v>
      </c>
      <c r="L4499" s="1" t="s">
        <v>1058</v>
      </c>
      <c r="N4499" s="1" t="s">
        <v>2622</v>
      </c>
      <c r="P4499" s="1" t="s">
        <v>2642</v>
      </c>
      <c r="Q4499" s="3">
        <v>0</v>
      </c>
      <c r="R4499" s="23" t="s">
        <v>13790</v>
      </c>
      <c r="S4499" s="23" t="s">
        <v>6847</v>
      </c>
      <c r="T4499" s="23" t="s">
        <v>4866</v>
      </c>
      <c r="U4499" s="3">
        <v>35</v>
      </c>
      <c r="W4499" s="45" t="str">
        <f>HYPERLINK("http://ictvonline.org/taxonomy/p/taxonomy-history?taxnode_id=201902599","ICTVonline=201902599")</f>
        <v>ICTVonline=201902599</v>
      </c>
      <c r="AA4499" s="1">
        <v>201900000</v>
      </c>
      <c r="AB4499" s="1">
        <v>35</v>
      </c>
    </row>
    <row r="4500" spans="1:28" x14ac:dyDescent="0.2">
      <c r="A4500" s="1">
        <v>11494</v>
      </c>
      <c r="B4500" s="1" t="s">
        <v>6839</v>
      </c>
      <c r="D4500" s="1" t="s">
        <v>11735</v>
      </c>
      <c r="F4500" s="1" t="s">
        <v>5540</v>
      </c>
      <c r="G4500" s="1" t="s">
        <v>5630</v>
      </c>
      <c r="H4500" s="1" t="s">
        <v>5631</v>
      </c>
      <c r="J4500" s="1" t="s">
        <v>4050</v>
      </c>
      <c r="L4500" s="1" t="s">
        <v>1058</v>
      </c>
      <c r="N4500" s="1" t="s">
        <v>2622</v>
      </c>
      <c r="P4500" s="1" t="s">
        <v>2643</v>
      </c>
      <c r="Q4500" s="3">
        <v>0</v>
      </c>
      <c r="R4500" s="23" t="s">
        <v>13790</v>
      </c>
      <c r="S4500" s="23" t="s">
        <v>6847</v>
      </c>
      <c r="T4500" s="23" t="s">
        <v>4866</v>
      </c>
      <c r="U4500" s="3">
        <v>35</v>
      </c>
      <c r="W4500" s="45" t="str">
        <f>HYPERLINK("http://ictvonline.org/taxonomy/p/taxonomy-history?taxnode_id=201902600","ICTVonline=201902600")</f>
        <v>ICTVonline=201902600</v>
      </c>
      <c r="AA4500" s="1">
        <v>201900000</v>
      </c>
      <c r="AB4500" s="1">
        <v>35</v>
      </c>
    </row>
    <row r="4501" spans="1:28" x14ac:dyDescent="0.2">
      <c r="A4501" s="1">
        <v>11496</v>
      </c>
      <c r="B4501" s="1" t="s">
        <v>6839</v>
      </c>
      <c r="D4501" s="1" t="s">
        <v>11735</v>
      </c>
      <c r="F4501" s="1" t="s">
        <v>5540</v>
      </c>
      <c r="G4501" s="1" t="s">
        <v>5630</v>
      </c>
      <c r="H4501" s="1" t="s">
        <v>5631</v>
      </c>
      <c r="J4501" s="1" t="s">
        <v>4050</v>
      </c>
      <c r="L4501" s="1" t="s">
        <v>1058</v>
      </c>
      <c r="N4501" s="1" t="s">
        <v>2622</v>
      </c>
      <c r="P4501" s="1" t="s">
        <v>3631</v>
      </c>
      <c r="Q4501" s="3">
        <v>0</v>
      </c>
      <c r="R4501" s="23" t="s">
        <v>13790</v>
      </c>
      <c r="S4501" s="23" t="s">
        <v>6847</v>
      </c>
      <c r="T4501" s="23" t="s">
        <v>4866</v>
      </c>
      <c r="U4501" s="3">
        <v>35</v>
      </c>
      <c r="W4501" s="45" t="str">
        <f>HYPERLINK("http://ictvonline.org/taxonomy/p/taxonomy-history?taxnode_id=201902601","ICTVonline=201902601")</f>
        <v>ICTVonline=201902601</v>
      </c>
      <c r="X4501" s="1" t="s">
        <v>13842</v>
      </c>
      <c r="Y4501" s="1" t="s">
        <v>13843</v>
      </c>
      <c r="Z4501" s="1" t="s">
        <v>13844</v>
      </c>
      <c r="AA4501" s="1">
        <v>201900000</v>
      </c>
      <c r="AB4501" s="1">
        <v>35</v>
      </c>
    </row>
    <row r="4502" spans="1:28" x14ac:dyDescent="0.2">
      <c r="A4502" s="1">
        <v>11498</v>
      </c>
      <c r="B4502" s="1" t="s">
        <v>6839</v>
      </c>
      <c r="D4502" s="1" t="s">
        <v>11735</v>
      </c>
      <c r="F4502" s="1" t="s">
        <v>5540</v>
      </c>
      <c r="G4502" s="1" t="s">
        <v>5630</v>
      </c>
      <c r="H4502" s="1" t="s">
        <v>5631</v>
      </c>
      <c r="J4502" s="1" t="s">
        <v>4050</v>
      </c>
      <c r="L4502" s="1" t="s">
        <v>1058</v>
      </c>
      <c r="N4502" s="1" t="s">
        <v>2622</v>
      </c>
      <c r="P4502" s="1" t="s">
        <v>2644</v>
      </c>
      <c r="Q4502" s="3">
        <v>0</v>
      </c>
      <c r="R4502" s="23" t="s">
        <v>13790</v>
      </c>
      <c r="S4502" s="23" t="s">
        <v>6847</v>
      </c>
      <c r="T4502" s="23" t="s">
        <v>4866</v>
      </c>
      <c r="U4502" s="3">
        <v>35</v>
      </c>
      <c r="W4502" s="45" t="str">
        <f>HYPERLINK("http://ictvonline.org/taxonomy/p/taxonomy-history?taxnode_id=201902602","ICTVonline=201902602")</f>
        <v>ICTVonline=201902602</v>
      </c>
      <c r="AA4502" s="1">
        <v>201900000</v>
      </c>
      <c r="AB4502" s="1">
        <v>35</v>
      </c>
    </row>
    <row r="4503" spans="1:28" x14ac:dyDescent="0.2">
      <c r="A4503" s="1">
        <v>11500</v>
      </c>
      <c r="B4503" s="1" t="s">
        <v>6839</v>
      </c>
      <c r="D4503" s="1" t="s">
        <v>11735</v>
      </c>
      <c r="F4503" s="1" t="s">
        <v>5540</v>
      </c>
      <c r="G4503" s="1" t="s">
        <v>5630</v>
      </c>
      <c r="H4503" s="1" t="s">
        <v>5631</v>
      </c>
      <c r="J4503" s="1" t="s">
        <v>4050</v>
      </c>
      <c r="L4503" s="1" t="s">
        <v>1058</v>
      </c>
      <c r="N4503" s="1" t="s">
        <v>2622</v>
      </c>
      <c r="P4503" s="1" t="s">
        <v>13845</v>
      </c>
      <c r="Q4503" s="3">
        <v>0</v>
      </c>
      <c r="R4503" s="23" t="s">
        <v>13790</v>
      </c>
      <c r="S4503" s="23" t="s">
        <v>6847</v>
      </c>
      <c r="T4503" s="23" t="s">
        <v>4864</v>
      </c>
      <c r="U4503" s="3">
        <v>35</v>
      </c>
      <c r="V4503" s="3" t="s">
        <v>13846</v>
      </c>
      <c r="W4503" s="45" t="str">
        <f>HYPERLINK("http://ictvonline.org/taxonomy/p/taxonomy-history?taxnode_id=201907185","ICTVonline=201907185")</f>
        <v>ICTVonline=201907185</v>
      </c>
      <c r="X4503" s="1" t="s">
        <v>13847</v>
      </c>
      <c r="Y4503" s="1" t="s">
        <v>13848</v>
      </c>
      <c r="Z4503" s="1" t="s">
        <v>13849</v>
      </c>
      <c r="AA4503" s="1">
        <v>201900000</v>
      </c>
      <c r="AB4503" s="1">
        <v>35</v>
      </c>
    </row>
    <row r="4504" spans="1:28" x14ac:dyDescent="0.2">
      <c r="A4504" s="1">
        <v>11504</v>
      </c>
      <c r="B4504" s="1" t="s">
        <v>6839</v>
      </c>
      <c r="D4504" s="1" t="s">
        <v>11735</v>
      </c>
      <c r="F4504" s="1" t="s">
        <v>5540</v>
      </c>
      <c r="G4504" s="1" t="s">
        <v>5630</v>
      </c>
      <c r="H4504" s="1" t="s">
        <v>5631</v>
      </c>
      <c r="J4504" s="1" t="s">
        <v>4050</v>
      </c>
      <c r="L4504" s="1" t="s">
        <v>1058</v>
      </c>
      <c r="N4504" s="1" t="s">
        <v>2645</v>
      </c>
      <c r="P4504" s="1" t="s">
        <v>5239</v>
      </c>
      <c r="Q4504" s="3">
        <v>0</v>
      </c>
      <c r="R4504" s="23" t="s">
        <v>13790</v>
      </c>
      <c r="S4504" s="23" t="s">
        <v>6847</v>
      </c>
      <c r="T4504" s="23" t="s">
        <v>4866</v>
      </c>
      <c r="U4504" s="3">
        <v>35</v>
      </c>
      <c r="W4504" s="45" t="str">
        <f>HYPERLINK("http://ictvonline.org/taxonomy/p/taxonomy-history?taxnode_id=201902605","ICTVonline=201902605")</f>
        <v>ICTVonline=201902605</v>
      </c>
      <c r="Y4504" s="1" t="s">
        <v>13850</v>
      </c>
      <c r="Z4504" s="1" t="s">
        <v>13851</v>
      </c>
      <c r="AA4504" s="1">
        <v>201900000</v>
      </c>
      <c r="AB4504" s="1">
        <v>35</v>
      </c>
    </row>
    <row r="4505" spans="1:28" x14ac:dyDescent="0.2">
      <c r="A4505" s="1">
        <v>11506</v>
      </c>
      <c r="B4505" s="1" t="s">
        <v>6839</v>
      </c>
      <c r="D4505" s="1" t="s">
        <v>11735</v>
      </c>
      <c r="F4505" s="1" t="s">
        <v>5540</v>
      </c>
      <c r="G4505" s="1" t="s">
        <v>5630</v>
      </c>
      <c r="H4505" s="1" t="s">
        <v>5631</v>
      </c>
      <c r="J4505" s="1" t="s">
        <v>4050</v>
      </c>
      <c r="L4505" s="1" t="s">
        <v>1058</v>
      </c>
      <c r="N4505" s="1" t="s">
        <v>2645</v>
      </c>
      <c r="P4505" s="1" t="s">
        <v>5240</v>
      </c>
      <c r="Q4505" s="3">
        <v>0</v>
      </c>
      <c r="R4505" s="23" t="s">
        <v>13790</v>
      </c>
      <c r="S4505" s="23" t="s">
        <v>6847</v>
      </c>
      <c r="T4505" s="23" t="s">
        <v>4866</v>
      </c>
      <c r="U4505" s="3">
        <v>35</v>
      </c>
      <c r="W4505" s="45" t="str">
        <f>HYPERLINK("http://ictvonline.org/taxonomy/p/taxonomy-history?taxnode_id=201905744","ICTVonline=201905744")</f>
        <v>ICTVonline=201905744</v>
      </c>
      <c r="AA4505" s="1">
        <v>201900000</v>
      </c>
      <c r="AB4505" s="1">
        <v>35</v>
      </c>
    </row>
    <row r="4506" spans="1:28" x14ac:dyDescent="0.2">
      <c r="A4506" s="1">
        <v>11508</v>
      </c>
      <c r="B4506" s="1" t="s">
        <v>6839</v>
      </c>
      <c r="D4506" s="1" t="s">
        <v>11735</v>
      </c>
      <c r="F4506" s="1" t="s">
        <v>5540</v>
      </c>
      <c r="G4506" s="1" t="s">
        <v>5630</v>
      </c>
      <c r="H4506" s="1" t="s">
        <v>5631</v>
      </c>
      <c r="J4506" s="1" t="s">
        <v>4050</v>
      </c>
      <c r="L4506" s="1" t="s">
        <v>1058</v>
      </c>
      <c r="N4506" s="1" t="s">
        <v>2645</v>
      </c>
      <c r="P4506" s="1" t="s">
        <v>5241</v>
      </c>
      <c r="Q4506" s="3">
        <v>1</v>
      </c>
      <c r="R4506" s="23" t="s">
        <v>13790</v>
      </c>
      <c r="S4506" s="23" t="s">
        <v>6847</v>
      </c>
      <c r="T4506" s="23" t="s">
        <v>4866</v>
      </c>
      <c r="U4506" s="3">
        <v>35</v>
      </c>
      <c r="W4506" s="45" t="str">
        <f>HYPERLINK("http://ictvonline.org/taxonomy/p/taxonomy-history?taxnode_id=201902604","ICTVonline=201902604")</f>
        <v>ICTVonline=201902604</v>
      </c>
      <c r="Y4506" s="1" t="s">
        <v>13852</v>
      </c>
      <c r="Z4506" s="1" t="s">
        <v>13853</v>
      </c>
      <c r="AA4506" s="1">
        <v>201900000</v>
      </c>
      <c r="AB4506" s="1">
        <v>35</v>
      </c>
    </row>
    <row r="4507" spans="1:28" x14ac:dyDescent="0.2">
      <c r="A4507" s="1">
        <v>11510</v>
      </c>
      <c r="B4507" s="1" t="s">
        <v>6839</v>
      </c>
      <c r="D4507" s="1" t="s">
        <v>11735</v>
      </c>
      <c r="F4507" s="1" t="s">
        <v>5540</v>
      </c>
      <c r="G4507" s="1" t="s">
        <v>5630</v>
      </c>
      <c r="H4507" s="1" t="s">
        <v>5631</v>
      </c>
      <c r="J4507" s="1" t="s">
        <v>4050</v>
      </c>
      <c r="L4507" s="1" t="s">
        <v>1058</v>
      </c>
      <c r="N4507" s="1" t="s">
        <v>2645</v>
      </c>
      <c r="P4507" s="1" t="s">
        <v>5242</v>
      </c>
      <c r="Q4507" s="3">
        <v>0</v>
      </c>
      <c r="R4507" s="23" t="s">
        <v>13790</v>
      </c>
      <c r="S4507" s="23" t="s">
        <v>6847</v>
      </c>
      <c r="T4507" s="23" t="s">
        <v>4866</v>
      </c>
      <c r="U4507" s="3">
        <v>35</v>
      </c>
      <c r="W4507" s="45" t="str">
        <f>HYPERLINK("http://ictvonline.org/taxonomy/p/taxonomy-history?taxnode_id=201905745","ICTVonline=201905745")</f>
        <v>ICTVonline=201905745</v>
      </c>
      <c r="AA4507" s="1">
        <v>201900000</v>
      </c>
      <c r="AB4507" s="1">
        <v>35</v>
      </c>
    </row>
    <row r="4508" spans="1:28" x14ac:dyDescent="0.2">
      <c r="A4508" s="1">
        <v>11512</v>
      </c>
      <c r="B4508" s="1" t="s">
        <v>6839</v>
      </c>
      <c r="D4508" s="1" t="s">
        <v>11735</v>
      </c>
      <c r="F4508" s="1" t="s">
        <v>5540</v>
      </c>
      <c r="G4508" s="1" t="s">
        <v>5630</v>
      </c>
      <c r="H4508" s="1" t="s">
        <v>5631</v>
      </c>
      <c r="J4508" s="1" t="s">
        <v>4050</v>
      </c>
      <c r="L4508" s="1" t="s">
        <v>1058</v>
      </c>
      <c r="N4508" s="1" t="s">
        <v>2645</v>
      </c>
      <c r="P4508" s="1" t="s">
        <v>5243</v>
      </c>
      <c r="Q4508" s="3">
        <v>0</v>
      </c>
      <c r="R4508" s="23" t="s">
        <v>13790</v>
      </c>
      <c r="S4508" s="23" t="s">
        <v>6847</v>
      </c>
      <c r="T4508" s="23" t="s">
        <v>4866</v>
      </c>
      <c r="U4508" s="3">
        <v>35</v>
      </c>
      <c r="W4508" s="45" t="str">
        <f>HYPERLINK("http://ictvonline.org/taxonomy/p/taxonomy-history?taxnode_id=201902606","ICTVonline=201902606")</f>
        <v>ICTVonline=201902606</v>
      </c>
      <c r="Y4508" s="1" t="s">
        <v>13854</v>
      </c>
      <c r="Z4508" s="1" t="s">
        <v>13855</v>
      </c>
      <c r="AA4508" s="1">
        <v>201900000</v>
      </c>
      <c r="AB4508" s="1">
        <v>35</v>
      </c>
    </row>
    <row r="4509" spans="1:28" x14ac:dyDescent="0.2">
      <c r="A4509" s="1">
        <v>11518</v>
      </c>
      <c r="B4509" s="1" t="s">
        <v>6839</v>
      </c>
      <c r="D4509" s="1" t="s">
        <v>11735</v>
      </c>
      <c r="F4509" s="1" t="s">
        <v>5540</v>
      </c>
      <c r="G4509" s="1" t="s">
        <v>5630</v>
      </c>
      <c r="H4509" s="1" t="s">
        <v>5631</v>
      </c>
      <c r="J4509" s="1" t="s">
        <v>4050</v>
      </c>
      <c r="L4509" s="1" t="s">
        <v>5632</v>
      </c>
      <c r="N4509" s="1" t="s">
        <v>5633</v>
      </c>
      <c r="P4509" s="1" t="s">
        <v>5634</v>
      </c>
      <c r="Q4509" s="3">
        <v>1</v>
      </c>
      <c r="R4509" s="23" t="s">
        <v>12893</v>
      </c>
      <c r="S4509" s="23" t="s">
        <v>6847</v>
      </c>
      <c r="T4509" s="23" t="s">
        <v>4866</v>
      </c>
      <c r="U4509" s="3">
        <v>35</v>
      </c>
      <c r="W4509" s="45" t="str">
        <f>HYPERLINK("http://ictvonline.org/taxonomy/p/taxonomy-history?taxnode_id=201906209","ICTVonline=201906209")</f>
        <v>ICTVonline=201906209</v>
      </c>
      <c r="X4509" s="1" t="s">
        <v>13856</v>
      </c>
      <c r="Y4509" s="1" t="s">
        <v>13857</v>
      </c>
      <c r="Z4509" s="1" t="s">
        <v>13858</v>
      </c>
      <c r="AA4509" s="1">
        <v>201900000</v>
      </c>
      <c r="AB4509" s="1">
        <v>35</v>
      </c>
    </row>
    <row r="4510" spans="1:28" x14ac:dyDescent="0.2">
      <c r="A4510" s="1">
        <v>11524</v>
      </c>
      <c r="B4510" s="1" t="s">
        <v>6839</v>
      </c>
      <c r="D4510" s="1" t="s">
        <v>11735</v>
      </c>
      <c r="F4510" s="1" t="s">
        <v>5540</v>
      </c>
      <c r="G4510" s="1" t="s">
        <v>5630</v>
      </c>
      <c r="H4510" s="1" t="s">
        <v>5631</v>
      </c>
      <c r="J4510" s="1" t="s">
        <v>4050</v>
      </c>
      <c r="L4510" s="1" t="s">
        <v>4051</v>
      </c>
      <c r="N4510" s="1" t="s">
        <v>549</v>
      </c>
      <c r="P4510" s="1" t="s">
        <v>4085</v>
      </c>
      <c r="Q4510" s="3">
        <v>0</v>
      </c>
      <c r="R4510" s="23" t="s">
        <v>12893</v>
      </c>
      <c r="S4510" s="23" t="s">
        <v>6847</v>
      </c>
      <c r="T4510" s="23" t="s">
        <v>4866</v>
      </c>
      <c r="U4510" s="3">
        <v>35</v>
      </c>
      <c r="W4510" s="45" t="str">
        <f>HYPERLINK("http://ictvonline.org/taxonomy/p/taxonomy-history?taxnode_id=201900009","ICTVonline=201900009")</f>
        <v>ICTVonline=201900009</v>
      </c>
      <c r="Y4510" s="1" t="s">
        <v>13859</v>
      </c>
      <c r="Z4510" s="1" t="s">
        <v>13860</v>
      </c>
      <c r="AA4510" s="1">
        <v>201900000</v>
      </c>
      <c r="AB4510" s="1">
        <v>35</v>
      </c>
    </row>
    <row r="4511" spans="1:28" x14ac:dyDescent="0.2">
      <c r="A4511" s="1">
        <v>11526</v>
      </c>
      <c r="B4511" s="1" t="s">
        <v>6839</v>
      </c>
      <c r="D4511" s="1" t="s">
        <v>11735</v>
      </c>
      <c r="F4511" s="1" t="s">
        <v>5540</v>
      </c>
      <c r="G4511" s="1" t="s">
        <v>5630</v>
      </c>
      <c r="H4511" s="1" t="s">
        <v>5631</v>
      </c>
      <c r="J4511" s="1" t="s">
        <v>4050</v>
      </c>
      <c r="L4511" s="1" t="s">
        <v>4051</v>
      </c>
      <c r="N4511" s="1" t="s">
        <v>549</v>
      </c>
      <c r="P4511" s="1" t="s">
        <v>13861</v>
      </c>
      <c r="Q4511" s="3">
        <v>0</v>
      </c>
      <c r="R4511" s="23" t="s">
        <v>12893</v>
      </c>
      <c r="S4511" s="23" t="s">
        <v>6847</v>
      </c>
      <c r="T4511" s="23" t="s">
        <v>4864</v>
      </c>
      <c r="U4511" s="3">
        <v>35</v>
      </c>
      <c r="V4511" s="3" t="s">
        <v>13862</v>
      </c>
      <c r="W4511" s="45" t="str">
        <f>HYPERLINK("http://ictvonline.org/taxonomy/p/taxonomy-history?taxnode_id=201907357","ICTVonline=201907357")</f>
        <v>ICTVonline=201907357</v>
      </c>
      <c r="X4511" s="1" t="s">
        <v>13863</v>
      </c>
      <c r="Y4511" s="1" t="s">
        <v>13864</v>
      </c>
      <c r="Z4511" s="1" t="s">
        <v>13865</v>
      </c>
      <c r="AA4511" s="1">
        <v>201900000</v>
      </c>
      <c r="AB4511" s="1">
        <v>35</v>
      </c>
    </row>
    <row r="4512" spans="1:28" x14ac:dyDescent="0.2">
      <c r="A4512" s="1">
        <v>11528</v>
      </c>
      <c r="B4512" s="1" t="s">
        <v>6839</v>
      </c>
      <c r="D4512" s="1" t="s">
        <v>11735</v>
      </c>
      <c r="F4512" s="1" t="s">
        <v>5540</v>
      </c>
      <c r="G4512" s="1" t="s">
        <v>5630</v>
      </c>
      <c r="H4512" s="1" t="s">
        <v>5631</v>
      </c>
      <c r="J4512" s="1" t="s">
        <v>4050</v>
      </c>
      <c r="L4512" s="1" t="s">
        <v>4051</v>
      </c>
      <c r="N4512" s="1" t="s">
        <v>549</v>
      </c>
      <c r="P4512" s="1" t="s">
        <v>4002</v>
      </c>
      <c r="Q4512" s="3">
        <v>1</v>
      </c>
      <c r="R4512" s="23" t="s">
        <v>12893</v>
      </c>
      <c r="S4512" s="23" t="s">
        <v>6847</v>
      </c>
      <c r="T4512" s="23" t="s">
        <v>4866</v>
      </c>
      <c r="U4512" s="3">
        <v>35</v>
      </c>
      <c r="W4512" s="45" t="str">
        <f>HYPERLINK("http://ictvonline.org/taxonomy/p/taxonomy-history?taxnode_id=201900010","ICTVonline=201900010")</f>
        <v>ICTVonline=201900010</v>
      </c>
      <c r="AA4512" s="1">
        <v>201900000</v>
      </c>
      <c r="AB4512" s="1">
        <v>35</v>
      </c>
    </row>
    <row r="4513" spans="1:28" x14ac:dyDescent="0.2">
      <c r="A4513" s="1">
        <v>11530</v>
      </c>
      <c r="B4513" s="1" t="s">
        <v>6839</v>
      </c>
      <c r="D4513" s="1" t="s">
        <v>11735</v>
      </c>
      <c r="F4513" s="1" t="s">
        <v>5540</v>
      </c>
      <c r="G4513" s="1" t="s">
        <v>5630</v>
      </c>
      <c r="H4513" s="1" t="s">
        <v>5631</v>
      </c>
      <c r="J4513" s="1" t="s">
        <v>4050</v>
      </c>
      <c r="L4513" s="1" t="s">
        <v>4051</v>
      </c>
      <c r="N4513" s="1" t="s">
        <v>549</v>
      </c>
      <c r="P4513" s="1" t="s">
        <v>4003</v>
      </c>
      <c r="Q4513" s="3">
        <v>0</v>
      </c>
      <c r="R4513" s="23" t="s">
        <v>12893</v>
      </c>
      <c r="S4513" s="23" t="s">
        <v>6847</v>
      </c>
      <c r="T4513" s="23" t="s">
        <v>4866</v>
      </c>
      <c r="U4513" s="3">
        <v>35</v>
      </c>
      <c r="W4513" s="45" t="str">
        <f>HYPERLINK("http://ictvonline.org/taxonomy/p/taxonomy-history?taxnode_id=201900011","ICTVonline=201900011")</f>
        <v>ICTVonline=201900011</v>
      </c>
      <c r="AA4513" s="1">
        <v>201900000</v>
      </c>
      <c r="AB4513" s="1">
        <v>35</v>
      </c>
    </row>
    <row r="4514" spans="1:28" x14ac:dyDescent="0.2">
      <c r="A4514" s="1">
        <v>11532</v>
      </c>
      <c r="B4514" s="1" t="s">
        <v>6839</v>
      </c>
      <c r="D4514" s="1" t="s">
        <v>11735</v>
      </c>
      <c r="F4514" s="1" t="s">
        <v>5540</v>
      </c>
      <c r="G4514" s="1" t="s">
        <v>5630</v>
      </c>
      <c r="H4514" s="1" t="s">
        <v>5631</v>
      </c>
      <c r="J4514" s="1" t="s">
        <v>4050</v>
      </c>
      <c r="L4514" s="1" t="s">
        <v>4051</v>
      </c>
      <c r="N4514" s="1" t="s">
        <v>549</v>
      </c>
      <c r="P4514" s="1" t="s">
        <v>4004</v>
      </c>
      <c r="Q4514" s="3">
        <v>0</v>
      </c>
      <c r="R4514" s="23" t="s">
        <v>12893</v>
      </c>
      <c r="S4514" s="23" t="s">
        <v>6847</v>
      </c>
      <c r="T4514" s="23" t="s">
        <v>4866</v>
      </c>
      <c r="U4514" s="3">
        <v>35</v>
      </c>
      <c r="W4514" s="45" t="str">
        <f>HYPERLINK("http://ictvonline.org/taxonomy/p/taxonomy-history?taxnode_id=201900012","ICTVonline=201900012")</f>
        <v>ICTVonline=201900012</v>
      </c>
      <c r="AA4514" s="1">
        <v>201900000</v>
      </c>
      <c r="AB4514" s="1">
        <v>35</v>
      </c>
    </row>
    <row r="4515" spans="1:28" x14ac:dyDescent="0.2">
      <c r="A4515" s="1">
        <v>11534</v>
      </c>
      <c r="B4515" s="1" t="s">
        <v>6839</v>
      </c>
      <c r="D4515" s="1" t="s">
        <v>11735</v>
      </c>
      <c r="F4515" s="1" t="s">
        <v>5540</v>
      </c>
      <c r="G4515" s="1" t="s">
        <v>5630</v>
      </c>
      <c r="H4515" s="1" t="s">
        <v>5631</v>
      </c>
      <c r="J4515" s="1" t="s">
        <v>4050</v>
      </c>
      <c r="L4515" s="1" t="s">
        <v>4051</v>
      </c>
      <c r="N4515" s="1" t="s">
        <v>549</v>
      </c>
      <c r="P4515" s="1" t="s">
        <v>4005</v>
      </c>
      <c r="Q4515" s="3">
        <v>0</v>
      </c>
      <c r="R4515" s="23" t="s">
        <v>12893</v>
      </c>
      <c r="S4515" s="23" t="s">
        <v>6847</v>
      </c>
      <c r="T4515" s="23" t="s">
        <v>4866</v>
      </c>
      <c r="U4515" s="3">
        <v>35</v>
      </c>
      <c r="W4515" s="45" t="str">
        <f>HYPERLINK("http://ictvonline.org/taxonomy/p/taxonomy-history?taxnode_id=201900013","ICTVonline=201900013")</f>
        <v>ICTVonline=201900013</v>
      </c>
      <c r="AA4515" s="1">
        <v>201900000</v>
      </c>
      <c r="AB4515" s="1">
        <v>35</v>
      </c>
    </row>
    <row r="4516" spans="1:28" x14ac:dyDescent="0.2">
      <c r="A4516" s="1">
        <v>11536</v>
      </c>
      <c r="B4516" s="1" t="s">
        <v>6839</v>
      </c>
      <c r="D4516" s="1" t="s">
        <v>11735</v>
      </c>
      <c r="F4516" s="1" t="s">
        <v>5540</v>
      </c>
      <c r="G4516" s="1" t="s">
        <v>5630</v>
      </c>
      <c r="H4516" s="1" t="s">
        <v>5631</v>
      </c>
      <c r="J4516" s="1" t="s">
        <v>4050</v>
      </c>
      <c r="L4516" s="1" t="s">
        <v>4051</v>
      </c>
      <c r="N4516" s="1" t="s">
        <v>549</v>
      </c>
      <c r="P4516" s="1" t="s">
        <v>4086</v>
      </c>
      <c r="Q4516" s="3">
        <v>0</v>
      </c>
      <c r="R4516" s="23" t="s">
        <v>12893</v>
      </c>
      <c r="S4516" s="23" t="s">
        <v>6847</v>
      </c>
      <c r="T4516" s="23" t="s">
        <v>4866</v>
      </c>
      <c r="U4516" s="3">
        <v>35</v>
      </c>
      <c r="W4516" s="45" t="str">
        <f>HYPERLINK("http://ictvonline.org/taxonomy/p/taxonomy-history?taxnode_id=201900014","ICTVonline=201900014")</f>
        <v>ICTVonline=201900014</v>
      </c>
      <c r="Y4516" s="1" t="s">
        <v>13866</v>
      </c>
      <c r="Z4516" s="1" t="s">
        <v>13867</v>
      </c>
      <c r="AA4516" s="1">
        <v>201900000</v>
      </c>
      <c r="AB4516" s="1">
        <v>35</v>
      </c>
    </row>
    <row r="4517" spans="1:28" x14ac:dyDescent="0.2">
      <c r="A4517" s="1">
        <v>11538</v>
      </c>
      <c r="B4517" s="1" t="s">
        <v>6839</v>
      </c>
      <c r="D4517" s="1" t="s">
        <v>11735</v>
      </c>
      <c r="F4517" s="1" t="s">
        <v>5540</v>
      </c>
      <c r="G4517" s="1" t="s">
        <v>5630</v>
      </c>
      <c r="H4517" s="1" t="s">
        <v>5631</v>
      </c>
      <c r="J4517" s="1" t="s">
        <v>4050</v>
      </c>
      <c r="L4517" s="1" t="s">
        <v>4051</v>
      </c>
      <c r="N4517" s="1" t="s">
        <v>549</v>
      </c>
      <c r="P4517" s="1" t="s">
        <v>13868</v>
      </c>
      <c r="Q4517" s="3">
        <v>0</v>
      </c>
      <c r="R4517" s="23" t="s">
        <v>12893</v>
      </c>
      <c r="S4517" s="23" t="s">
        <v>6847</v>
      </c>
      <c r="T4517" s="23" t="s">
        <v>4864</v>
      </c>
      <c r="U4517" s="3">
        <v>35</v>
      </c>
      <c r="V4517" s="3" t="s">
        <v>13869</v>
      </c>
      <c r="W4517" s="45" t="str">
        <f>HYPERLINK("http://ictvonline.org/taxonomy/p/taxonomy-history?taxnode_id=201907368","ICTVonline=201907368")</f>
        <v>ICTVonline=201907368</v>
      </c>
      <c r="X4517" s="1" t="s">
        <v>13870</v>
      </c>
      <c r="Y4517" s="1" t="s">
        <v>13871</v>
      </c>
      <c r="Z4517" s="1" t="s">
        <v>13872</v>
      </c>
      <c r="AA4517" s="1">
        <v>201900000</v>
      </c>
      <c r="AB4517" s="1">
        <v>35</v>
      </c>
    </row>
    <row r="4518" spans="1:28" x14ac:dyDescent="0.2">
      <c r="A4518" s="1">
        <v>11540</v>
      </c>
      <c r="B4518" s="1" t="s">
        <v>6839</v>
      </c>
      <c r="D4518" s="1" t="s">
        <v>11735</v>
      </c>
      <c r="F4518" s="1" t="s">
        <v>5540</v>
      </c>
      <c r="G4518" s="1" t="s">
        <v>5630</v>
      </c>
      <c r="H4518" s="1" t="s">
        <v>5631</v>
      </c>
      <c r="J4518" s="1" t="s">
        <v>4050</v>
      </c>
      <c r="L4518" s="1" t="s">
        <v>4051</v>
      </c>
      <c r="N4518" s="1" t="s">
        <v>549</v>
      </c>
      <c r="P4518" s="1" t="s">
        <v>4006</v>
      </c>
      <c r="Q4518" s="3">
        <v>0</v>
      </c>
      <c r="R4518" s="23" t="s">
        <v>12893</v>
      </c>
      <c r="S4518" s="23" t="s">
        <v>6847</v>
      </c>
      <c r="T4518" s="23" t="s">
        <v>4866</v>
      </c>
      <c r="U4518" s="3">
        <v>35</v>
      </c>
      <c r="W4518" s="45" t="str">
        <f>HYPERLINK("http://ictvonline.org/taxonomy/p/taxonomy-history?taxnode_id=201900015","ICTVonline=201900015")</f>
        <v>ICTVonline=201900015</v>
      </c>
      <c r="AA4518" s="1">
        <v>201900000</v>
      </c>
      <c r="AB4518" s="1">
        <v>35</v>
      </c>
    </row>
    <row r="4519" spans="1:28" x14ac:dyDescent="0.2">
      <c r="A4519" s="1">
        <v>11542</v>
      </c>
      <c r="B4519" s="1" t="s">
        <v>6839</v>
      </c>
      <c r="D4519" s="1" t="s">
        <v>11735</v>
      </c>
      <c r="F4519" s="1" t="s">
        <v>5540</v>
      </c>
      <c r="G4519" s="1" t="s">
        <v>5630</v>
      </c>
      <c r="H4519" s="1" t="s">
        <v>5631</v>
      </c>
      <c r="J4519" s="1" t="s">
        <v>4050</v>
      </c>
      <c r="L4519" s="1" t="s">
        <v>4051</v>
      </c>
      <c r="N4519" s="1" t="s">
        <v>549</v>
      </c>
      <c r="P4519" s="1" t="s">
        <v>4087</v>
      </c>
      <c r="Q4519" s="3">
        <v>0</v>
      </c>
      <c r="R4519" s="23" t="s">
        <v>12893</v>
      </c>
      <c r="S4519" s="23" t="s">
        <v>6847</v>
      </c>
      <c r="T4519" s="23" t="s">
        <v>4866</v>
      </c>
      <c r="U4519" s="3">
        <v>35</v>
      </c>
      <c r="W4519" s="45" t="str">
        <f>HYPERLINK("http://ictvonline.org/taxonomy/p/taxonomy-history?taxnode_id=201900016","ICTVonline=201900016")</f>
        <v>ICTVonline=201900016</v>
      </c>
      <c r="Y4519" s="1" t="s">
        <v>13873</v>
      </c>
      <c r="Z4519" s="1" t="s">
        <v>13874</v>
      </c>
      <c r="AA4519" s="1">
        <v>201900000</v>
      </c>
      <c r="AB4519" s="1">
        <v>35</v>
      </c>
    </row>
    <row r="4520" spans="1:28" x14ac:dyDescent="0.2">
      <c r="A4520" s="1">
        <v>11544</v>
      </c>
      <c r="B4520" s="1" t="s">
        <v>6839</v>
      </c>
      <c r="D4520" s="1" t="s">
        <v>11735</v>
      </c>
      <c r="F4520" s="1" t="s">
        <v>5540</v>
      </c>
      <c r="G4520" s="1" t="s">
        <v>5630</v>
      </c>
      <c r="H4520" s="1" t="s">
        <v>5631</v>
      </c>
      <c r="J4520" s="1" t="s">
        <v>4050</v>
      </c>
      <c r="L4520" s="1" t="s">
        <v>4051</v>
      </c>
      <c r="N4520" s="1" t="s">
        <v>549</v>
      </c>
      <c r="P4520" s="1" t="s">
        <v>4007</v>
      </c>
      <c r="Q4520" s="3">
        <v>0</v>
      </c>
      <c r="R4520" s="23" t="s">
        <v>12893</v>
      </c>
      <c r="S4520" s="23" t="s">
        <v>6847</v>
      </c>
      <c r="T4520" s="23" t="s">
        <v>4866</v>
      </c>
      <c r="U4520" s="3">
        <v>35</v>
      </c>
      <c r="W4520" s="45" t="str">
        <f>HYPERLINK("http://ictvonline.org/taxonomy/p/taxonomy-history?taxnode_id=201900017","ICTVonline=201900017")</f>
        <v>ICTVonline=201900017</v>
      </c>
      <c r="AA4520" s="1">
        <v>201900000</v>
      </c>
      <c r="AB4520" s="1">
        <v>35</v>
      </c>
    </row>
    <row r="4521" spans="1:28" x14ac:dyDescent="0.2">
      <c r="A4521" s="1">
        <v>11551</v>
      </c>
      <c r="B4521" s="1" t="s">
        <v>6839</v>
      </c>
      <c r="D4521" s="1" t="s">
        <v>11735</v>
      </c>
      <c r="F4521" s="1" t="s">
        <v>5540</v>
      </c>
      <c r="G4521" s="1" t="s">
        <v>5630</v>
      </c>
      <c r="H4521" s="1" t="s">
        <v>5631</v>
      </c>
      <c r="J4521" s="1" t="s">
        <v>4050</v>
      </c>
      <c r="L4521" s="1" t="s">
        <v>4052</v>
      </c>
      <c r="M4521" s="1" t="s">
        <v>5930</v>
      </c>
      <c r="N4521" s="1" t="s">
        <v>5931</v>
      </c>
      <c r="P4521" s="1" t="s">
        <v>5932</v>
      </c>
      <c r="Q4521" s="3">
        <v>1</v>
      </c>
      <c r="R4521" s="23" t="s">
        <v>12893</v>
      </c>
      <c r="S4521" s="23" t="s">
        <v>6847</v>
      </c>
      <c r="T4521" s="23" t="s">
        <v>4866</v>
      </c>
      <c r="U4521" s="3">
        <v>35</v>
      </c>
      <c r="W4521" s="45" t="str">
        <f>HYPERLINK("http://ictvonline.org/taxonomy/p/taxonomy-history?taxnode_id=201906428","ICTVonline=201906428")</f>
        <v>ICTVonline=201906428</v>
      </c>
      <c r="X4521" s="1" t="s">
        <v>13875</v>
      </c>
      <c r="Y4521" s="1" t="s">
        <v>13876</v>
      </c>
      <c r="Z4521" s="1" t="s">
        <v>13877</v>
      </c>
      <c r="AA4521" s="1">
        <v>201900000</v>
      </c>
      <c r="AB4521" s="1">
        <v>35</v>
      </c>
    </row>
    <row r="4522" spans="1:28" x14ac:dyDescent="0.2">
      <c r="A4522" s="1">
        <v>11553</v>
      </c>
      <c r="B4522" s="1" t="s">
        <v>6839</v>
      </c>
      <c r="D4522" s="1" t="s">
        <v>11735</v>
      </c>
      <c r="F4522" s="1" t="s">
        <v>5540</v>
      </c>
      <c r="G4522" s="1" t="s">
        <v>5630</v>
      </c>
      <c r="H4522" s="1" t="s">
        <v>5631</v>
      </c>
      <c r="J4522" s="1" t="s">
        <v>4050</v>
      </c>
      <c r="L4522" s="1" t="s">
        <v>4052</v>
      </c>
      <c r="M4522" s="1" t="s">
        <v>5930</v>
      </c>
      <c r="N4522" s="1" t="s">
        <v>5931</v>
      </c>
      <c r="P4522" s="1" t="s">
        <v>5933</v>
      </c>
      <c r="Q4522" s="3">
        <v>0</v>
      </c>
      <c r="R4522" s="23" t="s">
        <v>12893</v>
      </c>
      <c r="S4522" s="23" t="s">
        <v>6847</v>
      </c>
      <c r="T4522" s="23" t="s">
        <v>4866</v>
      </c>
      <c r="U4522" s="3">
        <v>35</v>
      </c>
      <c r="W4522" s="45" t="str">
        <f>HYPERLINK("http://ictvonline.org/taxonomy/p/taxonomy-history?taxnode_id=201906430","ICTVonline=201906430")</f>
        <v>ICTVonline=201906430</v>
      </c>
      <c r="X4522" s="1" t="s">
        <v>13878</v>
      </c>
      <c r="Y4522" s="1" t="s">
        <v>13879</v>
      </c>
      <c r="Z4522" s="1" t="s">
        <v>13880</v>
      </c>
      <c r="AA4522" s="1">
        <v>201900000</v>
      </c>
      <c r="AB4522" s="1">
        <v>35</v>
      </c>
    </row>
    <row r="4523" spans="1:28" x14ac:dyDescent="0.2">
      <c r="A4523" s="1">
        <v>11555</v>
      </c>
      <c r="B4523" s="1" t="s">
        <v>6839</v>
      </c>
      <c r="D4523" s="1" t="s">
        <v>11735</v>
      </c>
      <c r="F4523" s="1" t="s">
        <v>5540</v>
      </c>
      <c r="G4523" s="1" t="s">
        <v>5630</v>
      </c>
      <c r="H4523" s="1" t="s">
        <v>5631</v>
      </c>
      <c r="J4523" s="1" t="s">
        <v>4050</v>
      </c>
      <c r="L4523" s="1" t="s">
        <v>4052</v>
      </c>
      <c r="M4523" s="1" t="s">
        <v>5930</v>
      </c>
      <c r="N4523" s="1" t="s">
        <v>5931</v>
      </c>
      <c r="P4523" s="1" t="s">
        <v>5934</v>
      </c>
      <c r="Q4523" s="3">
        <v>0</v>
      </c>
      <c r="R4523" s="23" t="s">
        <v>12893</v>
      </c>
      <c r="S4523" s="23" t="s">
        <v>6847</v>
      </c>
      <c r="T4523" s="23" t="s">
        <v>4866</v>
      </c>
      <c r="U4523" s="3">
        <v>35</v>
      </c>
      <c r="W4523" s="45" t="str">
        <f>HYPERLINK("http://ictvonline.org/taxonomy/p/taxonomy-history?taxnode_id=201906429","ICTVonline=201906429")</f>
        <v>ICTVonline=201906429</v>
      </c>
      <c r="X4523" s="1" t="s">
        <v>13881</v>
      </c>
      <c r="Y4523" s="1" t="s">
        <v>13882</v>
      </c>
      <c r="Z4523" s="1" t="s">
        <v>13883</v>
      </c>
      <c r="AA4523" s="1">
        <v>201900000</v>
      </c>
      <c r="AB4523" s="1">
        <v>35</v>
      </c>
    </row>
    <row r="4524" spans="1:28" x14ac:dyDescent="0.2">
      <c r="A4524" s="1">
        <v>11561</v>
      </c>
      <c r="B4524" s="1" t="s">
        <v>6839</v>
      </c>
      <c r="D4524" s="1" t="s">
        <v>11735</v>
      </c>
      <c r="F4524" s="1" t="s">
        <v>5540</v>
      </c>
      <c r="G4524" s="1" t="s">
        <v>5630</v>
      </c>
      <c r="H4524" s="1" t="s">
        <v>5631</v>
      </c>
      <c r="J4524" s="1" t="s">
        <v>4050</v>
      </c>
      <c r="L4524" s="1" t="s">
        <v>4052</v>
      </c>
      <c r="M4524" s="1" t="s">
        <v>5935</v>
      </c>
      <c r="N4524" s="1" t="s">
        <v>5936</v>
      </c>
      <c r="P4524" s="1" t="s">
        <v>5937</v>
      </c>
      <c r="Q4524" s="3">
        <v>1</v>
      </c>
      <c r="R4524" s="23" t="s">
        <v>12893</v>
      </c>
      <c r="S4524" s="23" t="s">
        <v>6847</v>
      </c>
      <c r="T4524" s="23" t="s">
        <v>4866</v>
      </c>
      <c r="U4524" s="3">
        <v>35</v>
      </c>
      <c r="W4524" s="45" t="str">
        <f>HYPERLINK("http://ictvonline.org/taxonomy/p/taxonomy-history?taxnode_id=201906433","ICTVonline=201906433")</f>
        <v>ICTVonline=201906433</v>
      </c>
      <c r="X4524" s="1" t="s">
        <v>13884</v>
      </c>
      <c r="Y4524" s="1" t="s">
        <v>13885</v>
      </c>
      <c r="Z4524" s="1" t="s">
        <v>13886</v>
      </c>
      <c r="AA4524" s="1">
        <v>201900000</v>
      </c>
      <c r="AB4524" s="1">
        <v>35</v>
      </c>
    </row>
    <row r="4525" spans="1:28" x14ac:dyDescent="0.2">
      <c r="A4525" s="1">
        <v>11567</v>
      </c>
      <c r="B4525" s="1" t="s">
        <v>6839</v>
      </c>
      <c r="D4525" s="1" t="s">
        <v>11735</v>
      </c>
      <c r="F4525" s="1" t="s">
        <v>5540</v>
      </c>
      <c r="G4525" s="1" t="s">
        <v>5630</v>
      </c>
      <c r="H4525" s="1" t="s">
        <v>5631</v>
      </c>
      <c r="J4525" s="1" t="s">
        <v>4050</v>
      </c>
      <c r="L4525" s="1" t="s">
        <v>4052</v>
      </c>
      <c r="M4525" s="1" t="s">
        <v>5938</v>
      </c>
      <c r="N4525" s="1" t="s">
        <v>5635</v>
      </c>
      <c r="P4525" s="1" t="s">
        <v>13887</v>
      </c>
      <c r="Q4525" s="3">
        <v>0</v>
      </c>
      <c r="R4525" s="23" t="s">
        <v>12893</v>
      </c>
      <c r="S4525" s="23" t="s">
        <v>6847</v>
      </c>
      <c r="T4525" s="23" t="s">
        <v>4864</v>
      </c>
      <c r="U4525" s="3">
        <v>35</v>
      </c>
      <c r="V4525" s="3" t="s">
        <v>13888</v>
      </c>
      <c r="W4525" s="45" t="str">
        <f>HYPERLINK("http://ictvonline.org/taxonomy/p/taxonomy-history?taxnode_id=201907442","ICTVonline=201907442")</f>
        <v>ICTVonline=201907442</v>
      </c>
      <c r="X4525" s="1" t="s">
        <v>13889</v>
      </c>
      <c r="Y4525" s="1" t="s">
        <v>13890</v>
      </c>
      <c r="Z4525" s="1" t="s">
        <v>13891</v>
      </c>
      <c r="AA4525" s="1">
        <v>201900000</v>
      </c>
      <c r="AB4525" s="1">
        <v>35</v>
      </c>
    </row>
    <row r="4526" spans="1:28" x14ac:dyDescent="0.2">
      <c r="A4526" s="1">
        <v>11569</v>
      </c>
      <c r="B4526" s="1" t="s">
        <v>6839</v>
      </c>
      <c r="D4526" s="1" t="s">
        <v>11735</v>
      </c>
      <c r="F4526" s="1" t="s">
        <v>5540</v>
      </c>
      <c r="G4526" s="1" t="s">
        <v>5630</v>
      </c>
      <c r="H4526" s="1" t="s">
        <v>5631</v>
      </c>
      <c r="J4526" s="1" t="s">
        <v>4050</v>
      </c>
      <c r="L4526" s="1" t="s">
        <v>4052</v>
      </c>
      <c r="M4526" s="1" t="s">
        <v>5938</v>
      </c>
      <c r="N4526" s="1" t="s">
        <v>5635</v>
      </c>
      <c r="P4526" s="1" t="s">
        <v>5636</v>
      </c>
      <c r="Q4526" s="3">
        <v>1</v>
      </c>
      <c r="R4526" s="23" t="s">
        <v>12893</v>
      </c>
      <c r="S4526" s="23" t="s">
        <v>6847</v>
      </c>
      <c r="T4526" s="23" t="s">
        <v>4866</v>
      </c>
      <c r="U4526" s="3">
        <v>35</v>
      </c>
      <c r="W4526" s="45" t="str">
        <f>HYPERLINK("http://ictvonline.org/taxonomy/p/taxonomy-history?taxnode_id=201900044","ICTVonline=201900044")</f>
        <v>ICTVonline=201900044</v>
      </c>
      <c r="X4526" s="1" t="s">
        <v>13892</v>
      </c>
      <c r="Y4526" s="1" t="s">
        <v>13893</v>
      </c>
      <c r="Z4526" s="1" t="s">
        <v>13894</v>
      </c>
      <c r="AA4526" s="1">
        <v>201900000</v>
      </c>
      <c r="AB4526" s="1">
        <v>35</v>
      </c>
    </row>
    <row r="4527" spans="1:28" x14ac:dyDescent="0.2">
      <c r="A4527" s="1">
        <v>11573</v>
      </c>
      <c r="B4527" s="1" t="s">
        <v>6839</v>
      </c>
      <c r="D4527" s="1" t="s">
        <v>11735</v>
      </c>
      <c r="F4527" s="1" t="s">
        <v>5540</v>
      </c>
      <c r="G4527" s="1" t="s">
        <v>5630</v>
      </c>
      <c r="H4527" s="1" t="s">
        <v>5631</v>
      </c>
      <c r="J4527" s="1" t="s">
        <v>4050</v>
      </c>
      <c r="L4527" s="1" t="s">
        <v>4052</v>
      </c>
      <c r="M4527" s="1" t="s">
        <v>5938</v>
      </c>
      <c r="N4527" s="1" t="s">
        <v>5637</v>
      </c>
      <c r="P4527" s="1" t="s">
        <v>5638</v>
      </c>
      <c r="Q4527" s="3">
        <v>0</v>
      </c>
      <c r="R4527" s="23" t="s">
        <v>12893</v>
      </c>
      <c r="S4527" s="23" t="s">
        <v>6847</v>
      </c>
      <c r="T4527" s="23" t="s">
        <v>4866</v>
      </c>
      <c r="U4527" s="3">
        <v>35</v>
      </c>
      <c r="W4527" s="45" t="str">
        <f>HYPERLINK("http://ictvonline.org/taxonomy/p/taxonomy-history?taxnode_id=201900043","ICTVonline=201900043")</f>
        <v>ICTVonline=201900043</v>
      </c>
      <c r="X4527" s="1" t="s">
        <v>13895</v>
      </c>
      <c r="Y4527" s="1" t="s">
        <v>13896</v>
      </c>
      <c r="Z4527" s="1" t="s">
        <v>13897</v>
      </c>
      <c r="AA4527" s="1">
        <v>201900000</v>
      </c>
      <c r="AB4527" s="1">
        <v>35</v>
      </c>
    </row>
    <row r="4528" spans="1:28" x14ac:dyDescent="0.2">
      <c r="A4528" s="1">
        <v>11575</v>
      </c>
      <c r="B4528" s="1" t="s">
        <v>6839</v>
      </c>
      <c r="D4528" s="1" t="s">
        <v>11735</v>
      </c>
      <c r="F4528" s="1" t="s">
        <v>5540</v>
      </c>
      <c r="G4528" s="1" t="s">
        <v>5630</v>
      </c>
      <c r="H4528" s="1" t="s">
        <v>5631</v>
      </c>
      <c r="J4528" s="1" t="s">
        <v>4050</v>
      </c>
      <c r="L4528" s="1" t="s">
        <v>4052</v>
      </c>
      <c r="M4528" s="1" t="s">
        <v>5938</v>
      </c>
      <c r="N4528" s="1" t="s">
        <v>5637</v>
      </c>
      <c r="P4528" s="1" t="s">
        <v>5639</v>
      </c>
      <c r="Q4528" s="3">
        <v>1</v>
      </c>
      <c r="R4528" s="23" t="s">
        <v>12893</v>
      </c>
      <c r="S4528" s="23" t="s">
        <v>6847</v>
      </c>
      <c r="T4528" s="23" t="s">
        <v>4866</v>
      </c>
      <c r="U4528" s="3">
        <v>35</v>
      </c>
      <c r="W4528" s="45" t="str">
        <f>HYPERLINK("http://ictvonline.org/taxonomy/p/taxonomy-history?taxnode_id=201900049","ICTVonline=201900049")</f>
        <v>ICTVonline=201900049</v>
      </c>
      <c r="X4528" s="1" t="s">
        <v>13898</v>
      </c>
      <c r="Y4528" s="1" t="s">
        <v>13899</v>
      </c>
      <c r="Z4528" s="1" t="s">
        <v>13900</v>
      </c>
      <c r="AA4528" s="1">
        <v>201900000</v>
      </c>
      <c r="AB4528" s="1">
        <v>35</v>
      </c>
    </row>
    <row r="4529" spans="1:28" x14ac:dyDescent="0.2">
      <c r="A4529" s="1">
        <v>11577</v>
      </c>
      <c r="B4529" s="1" t="s">
        <v>6839</v>
      </c>
      <c r="D4529" s="1" t="s">
        <v>11735</v>
      </c>
      <c r="F4529" s="1" t="s">
        <v>5540</v>
      </c>
      <c r="G4529" s="1" t="s">
        <v>5630</v>
      </c>
      <c r="H4529" s="1" t="s">
        <v>5631</v>
      </c>
      <c r="J4529" s="1" t="s">
        <v>4050</v>
      </c>
      <c r="L4529" s="1" t="s">
        <v>4052</v>
      </c>
      <c r="M4529" s="1" t="s">
        <v>5938</v>
      </c>
      <c r="N4529" s="1" t="s">
        <v>5637</v>
      </c>
      <c r="P4529" s="1" t="s">
        <v>5640</v>
      </c>
      <c r="Q4529" s="3">
        <v>0</v>
      </c>
      <c r="R4529" s="23" t="s">
        <v>12893</v>
      </c>
      <c r="S4529" s="23" t="s">
        <v>6847</v>
      </c>
      <c r="T4529" s="23" t="s">
        <v>4866</v>
      </c>
      <c r="U4529" s="3">
        <v>35</v>
      </c>
      <c r="W4529" s="45" t="str">
        <f>HYPERLINK("http://ictvonline.org/taxonomy/p/taxonomy-history?taxnode_id=201900053","ICTVonline=201900053")</f>
        <v>ICTVonline=201900053</v>
      </c>
      <c r="X4529" s="1" t="s">
        <v>13901</v>
      </c>
      <c r="Y4529" s="1" t="s">
        <v>13902</v>
      </c>
      <c r="Z4529" s="1" t="s">
        <v>13903</v>
      </c>
      <c r="AA4529" s="1">
        <v>201900000</v>
      </c>
      <c r="AB4529" s="1">
        <v>35</v>
      </c>
    </row>
    <row r="4530" spans="1:28" x14ac:dyDescent="0.2">
      <c r="A4530" s="1">
        <v>11581</v>
      </c>
      <c r="B4530" s="1" t="s">
        <v>6839</v>
      </c>
      <c r="D4530" s="1" t="s">
        <v>11735</v>
      </c>
      <c r="F4530" s="1" t="s">
        <v>5540</v>
      </c>
      <c r="G4530" s="1" t="s">
        <v>5630</v>
      </c>
      <c r="H4530" s="1" t="s">
        <v>5631</v>
      </c>
      <c r="J4530" s="1" t="s">
        <v>4050</v>
      </c>
      <c r="L4530" s="1" t="s">
        <v>4052</v>
      </c>
      <c r="M4530" s="1" t="s">
        <v>5938</v>
      </c>
      <c r="N4530" s="1" t="s">
        <v>4053</v>
      </c>
      <c r="P4530" s="1" t="s">
        <v>4008</v>
      </c>
      <c r="Q4530" s="3">
        <v>0</v>
      </c>
      <c r="R4530" s="23" t="s">
        <v>12893</v>
      </c>
      <c r="S4530" s="23" t="s">
        <v>6847</v>
      </c>
      <c r="T4530" s="23" t="s">
        <v>4866</v>
      </c>
      <c r="U4530" s="3">
        <v>35</v>
      </c>
      <c r="W4530" s="45" t="str">
        <f>HYPERLINK("http://ictvonline.org/taxonomy/p/taxonomy-history?taxnode_id=201900022","ICTVonline=201900022")</f>
        <v>ICTVonline=201900022</v>
      </c>
      <c r="AA4530" s="1">
        <v>201900000</v>
      </c>
      <c r="AB4530" s="1">
        <v>35</v>
      </c>
    </row>
    <row r="4531" spans="1:28" x14ac:dyDescent="0.2">
      <c r="A4531" s="1">
        <v>11583</v>
      </c>
      <c r="B4531" s="1" t="s">
        <v>6839</v>
      </c>
      <c r="D4531" s="1" t="s">
        <v>11735</v>
      </c>
      <c r="F4531" s="1" t="s">
        <v>5540</v>
      </c>
      <c r="G4531" s="1" t="s">
        <v>5630</v>
      </c>
      <c r="H4531" s="1" t="s">
        <v>5631</v>
      </c>
      <c r="J4531" s="1" t="s">
        <v>4050</v>
      </c>
      <c r="L4531" s="1" t="s">
        <v>4052</v>
      </c>
      <c r="M4531" s="1" t="s">
        <v>5938</v>
      </c>
      <c r="N4531" s="1" t="s">
        <v>4053</v>
      </c>
      <c r="P4531" s="1" t="s">
        <v>4088</v>
      </c>
      <c r="Q4531" s="3">
        <v>0</v>
      </c>
      <c r="R4531" s="23" t="s">
        <v>12893</v>
      </c>
      <c r="S4531" s="23" t="s">
        <v>6847</v>
      </c>
      <c r="T4531" s="23" t="s">
        <v>4866</v>
      </c>
      <c r="U4531" s="3">
        <v>35</v>
      </c>
      <c r="W4531" s="45" t="str">
        <f>HYPERLINK("http://ictvonline.org/taxonomy/p/taxonomy-history?taxnode_id=201900023","ICTVonline=201900023")</f>
        <v>ICTVonline=201900023</v>
      </c>
      <c r="Y4531" s="1" t="s">
        <v>13904</v>
      </c>
      <c r="Z4531" s="1" t="s">
        <v>13905</v>
      </c>
      <c r="AA4531" s="1">
        <v>201900000</v>
      </c>
      <c r="AB4531" s="1">
        <v>35</v>
      </c>
    </row>
    <row r="4532" spans="1:28" x14ac:dyDescent="0.2">
      <c r="A4532" s="1">
        <v>11585</v>
      </c>
      <c r="B4532" s="1" t="s">
        <v>6839</v>
      </c>
      <c r="D4532" s="1" t="s">
        <v>11735</v>
      </c>
      <c r="F4532" s="1" t="s">
        <v>5540</v>
      </c>
      <c r="G4532" s="1" t="s">
        <v>5630</v>
      </c>
      <c r="H4532" s="1" t="s">
        <v>5631</v>
      </c>
      <c r="J4532" s="1" t="s">
        <v>4050</v>
      </c>
      <c r="L4532" s="1" t="s">
        <v>4052</v>
      </c>
      <c r="M4532" s="1" t="s">
        <v>5938</v>
      </c>
      <c r="N4532" s="1" t="s">
        <v>4053</v>
      </c>
      <c r="P4532" s="1" t="s">
        <v>4089</v>
      </c>
      <c r="Q4532" s="3">
        <v>0</v>
      </c>
      <c r="R4532" s="23" t="s">
        <v>12893</v>
      </c>
      <c r="S4532" s="23" t="s">
        <v>6847</v>
      </c>
      <c r="T4532" s="23" t="s">
        <v>4866</v>
      </c>
      <c r="U4532" s="3">
        <v>35</v>
      </c>
      <c r="W4532" s="45" t="str">
        <f>HYPERLINK("http://ictvonline.org/taxonomy/p/taxonomy-history?taxnode_id=201900024","ICTVonline=201900024")</f>
        <v>ICTVonline=201900024</v>
      </c>
      <c r="Y4532" s="1" t="s">
        <v>13906</v>
      </c>
      <c r="Z4532" s="1" t="s">
        <v>13907</v>
      </c>
      <c r="AA4532" s="1">
        <v>201900000</v>
      </c>
      <c r="AB4532" s="1">
        <v>35</v>
      </c>
    </row>
    <row r="4533" spans="1:28" x14ac:dyDescent="0.2">
      <c r="A4533" s="1">
        <v>11587</v>
      </c>
      <c r="B4533" s="1" t="s">
        <v>6839</v>
      </c>
      <c r="D4533" s="1" t="s">
        <v>11735</v>
      </c>
      <c r="F4533" s="1" t="s">
        <v>5540</v>
      </c>
      <c r="G4533" s="1" t="s">
        <v>5630</v>
      </c>
      <c r="H4533" s="1" t="s">
        <v>5631</v>
      </c>
      <c r="J4533" s="1" t="s">
        <v>4050</v>
      </c>
      <c r="L4533" s="1" t="s">
        <v>4052</v>
      </c>
      <c r="M4533" s="1" t="s">
        <v>5938</v>
      </c>
      <c r="N4533" s="1" t="s">
        <v>4053</v>
      </c>
      <c r="P4533" s="1" t="s">
        <v>4009</v>
      </c>
      <c r="Q4533" s="3">
        <v>0</v>
      </c>
      <c r="R4533" s="23" t="s">
        <v>12893</v>
      </c>
      <c r="S4533" s="23" t="s">
        <v>6847</v>
      </c>
      <c r="T4533" s="23" t="s">
        <v>4866</v>
      </c>
      <c r="U4533" s="3">
        <v>35</v>
      </c>
      <c r="W4533" s="45" t="str">
        <f>HYPERLINK("http://ictvonline.org/taxonomy/p/taxonomy-history?taxnode_id=201900025","ICTVonline=201900025")</f>
        <v>ICTVonline=201900025</v>
      </c>
      <c r="AA4533" s="1">
        <v>201900000</v>
      </c>
      <c r="AB4533" s="1">
        <v>35</v>
      </c>
    </row>
    <row r="4534" spans="1:28" x14ac:dyDescent="0.2">
      <c r="A4534" s="1">
        <v>11589</v>
      </c>
      <c r="B4534" s="1" t="s">
        <v>6839</v>
      </c>
      <c r="D4534" s="1" t="s">
        <v>11735</v>
      </c>
      <c r="F4534" s="1" t="s">
        <v>5540</v>
      </c>
      <c r="G4534" s="1" t="s">
        <v>5630</v>
      </c>
      <c r="H4534" s="1" t="s">
        <v>5631</v>
      </c>
      <c r="J4534" s="1" t="s">
        <v>4050</v>
      </c>
      <c r="L4534" s="1" t="s">
        <v>4052</v>
      </c>
      <c r="M4534" s="1" t="s">
        <v>5938</v>
      </c>
      <c r="N4534" s="1" t="s">
        <v>4053</v>
      </c>
      <c r="P4534" s="1" t="s">
        <v>4010</v>
      </c>
      <c r="Q4534" s="3">
        <v>0</v>
      </c>
      <c r="R4534" s="23" t="s">
        <v>12893</v>
      </c>
      <c r="S4534" s="23" t="s">
        <v>6847</v>
      </c>
      <c r="T4534" s="23" t="s">
        <v>4866</v>
      </c>
      <c r="U4534" s="3">
        <v>35</v>
      </c>
      <c r="W4534" s="45" t="str">
        <f>HYPERLINK("http://ictvonline.org/taxonomy/p/taxonomy-history?taxnode_id=201900026","ICTVonline=201900026")</f>
        <v>ICTVonline=201900026</v>
      </c>
      <c r="AA4534" s="1">
        <v>201900000</v>
      </c>
      <c r="AB4534" s="1">
        <v>35</v>
      </c>
    </row>
    <row r="4535" spans="1:28" x14ac:dyDescent="0.2">
      <c r="A4535" s="1">
        <v>11591</v>
      </c>
      <c r="B4535" s="1" t="s">
        <v>6839</v>
      </c>
      <c r="D4535" s="1" t="s">
        <v>11735</v>
      </c>
      <c r="F4535" s="1" t="s">
        <v>5540</v>
      </c>
      <c r="G4535" s="1" t="s">
        <v>5630</v>
      </c>
      <c r="H4535" s="1" t="s">
        <v>5631</v>
      </c>
      <c r="J4535" s="1" t="s">
        <v>4050</v>
      </c>
      <c r="L4535" s="1" t="s">
        <v>4052</v>
      </c>
      <c r="M4535" s="1" t="s">
        <v>5938</v>
      </c>
      <c r="N4535" s="1" t="s">
        <v>4053</v>
      </c>
      <c r="P4535" s="1" t="s">
        <v>4090</v>
      </c>
      <c r="Q4535" s="3">
        <v>0</v>
      </c>
      <c r="R4535" s="23" t="s">
        <v>12893</v>
      </c>
      <c r="S4535" s="23" t="s">
        <v>6847</v>
      </c>
      <c r="T4535" s="23" t="s">
        <v>4866</v>
      </c>
      <c r="U4535" s="3">
        <v>35</v>
      </c>
      <c r="W4535" s="45" t="str">
        <f>HYPERLINK("http://ictvonline.org/taxonomy/p/taxonomy-history?taxnode_id=201900027","ICTVonline=201900027")</f>
        <v>ICTVonline=201900027</v>
      </c>
      <c r="Y4535" s="1" t="s">
        <v>13908</v>
      </c>
      <c r="Z4535" s="1" t="s">
        <v>13909</v>
      </c>
      <c r="AA4535" s="1">
        <v>201900000</v>
      </c>
      <c r="AB4535" s="1">
        <v>35</v>
      </c>
    </row>
    <row r="4536" spans="1:28" x14ac:dyDescent="0.2">
      <c r="A4536" s="1">
        <v>11593</v>
      </c>
      <c r="B4536" s="1" t="s">
        <v>6839</v>
      </c>
      <c r="D4536" s="1" t="s">
        <v>11735</v>
      </c>
      <c r="F4536" s="1" t="s">
        <v>5540</v>
      </c>
      <c r="G4536" s="1" t="s">
        <v>5630</v>
      </c>
      <c r="H4536" s="1" t="s">
        <v>5631</v>
      </c>
      <c r="J4536" s="1" t="s">
        <v>4050</v>
      </c>
      <c r="L4536" s="1" t="s">
        <v>4052</v>
      </c>
      <c r="M4536" s="1" t="s">
        <v>5938</v>
      </c>
      <c r="N4536" s="1" t="s">
        <v>4053</v>
      </c>
      <c r="P4536" s="1" t="s">
        <v>4091</v>
      </c>
      <c r="Q4536" s="3">
        <v>0</v>
      </c>
      <c r="R4536" s="23" t="s">
        <v>12893</v>
      </c>
      <c r="S4536" s="23" t="s">
        <v>6847</v>
      </c>
      <c r="T4536" s="23" t="s">
        <v>4866</v>
      </c>
      <c r="U4536" s="3">
        <v>35</v>
      </c>
      <c r="W4536" s="45" t="str">
        <f>HYPERLINK("http://ictvonline.org/taxonomy/p/taxonomy-history?taxnode_id=201900028","ICTVonline=201900028")</f>
        <v>ICTVonline=201900028</v>
      </c>
      <c r="Y4536" s="1" t="s">
        <v>13910</v>
      </c>
      <c r="Z4536" s="1" t="s">
        <v>13911</v>
      </c>
      <c r="AA4536" s="1">
        <v>201900000</v>
      </c>
      <c r="AB4536" s="1">
        <v>35</v>
      </c>
    </row>
    <row r="4537" spans="1:28" x14ac:dyDescent="0.2">
      <c r="A4537" s="1">
        <v>11595</v>
      </c>
      <c r="B4537" s="1" t="s">
        <v>6839</v>
      </c>
      <c r="D4537" s="1" t="s">
        <v>11735</v>
      </c>
      <c r="F4537" s="1" t="s">
        <v>5540</v>
      </c>
      <c r="G4537" s="1" t="s">
        <v>5630</v>
      </c>
      <c r="H4537" s="1" t="s">
        <v>5631</v>
      </c>
      <c r="J4537" s="1" t="s">
        <v>4050</v>
      </c>
      <c r="L4537" s="1" t="s">
        <v>4052</v>
      </c>
      <c r="M4537" s="1" t="s">
        <v>5938</v>
      </c>
      <c r="N4537" s="1" t="s">
        <v>4053</v>
      </c>
      <c r="P4537" s="1" t="s">
        <v>4011</v>
      </c>
      <c r="Q4537" s="3">
        <v>0</v>
      </c>
      <c r="R4537" s="23" t="s">
        <v>12893</v>
      </c>
      <c r="S4537" s="23" t="s">
        <v>6847</v>
      </c>
      <c r="T4537" s="23" t="s">
        <v>4866</v>
      </c>
      <c r="U4537" s="3">
        <v>35</v>
      </c>
      <c r="W4537" s="45" t="str">
        <f>HYPERLINK("http://ictvonline.org/taxonomy/p/taxonomy-history?taxnode_id=201900029","ICTVonline=201900029")</f>
        <v>ICTVonline=201900029</v>
      </c>
      <c r="AA4537" s="1">
        <v>201900000</v>
      </c>
      <c r="AB4537" s="1">
        <v>35</v>
      </c>
    </row>
    <row r="4538" spans="1:28" x14ac:dyDescent="0.2">
      <c r="A4538" s="1">
        <v>11597</v>
      </c>
      <c r="B4538" s="1" t="s">
        <v>6839</v>
      </c>
      <c r="D4538" s="1" t="s">
        <v>11735</v>
      </c>
      <c r="F4538" s="1" t="s">
        <v>5540</v>
      </c>
      <c r="G4538" s="1" t="s">
        <v>5630</v>
      </c>
      <c r="H4538" s="1" t="s">
        <v>5631</v>
      </c>
      <c r="J4538" s="1" t="s">
        <v>4050</v>
      </c>
      <c r="L4538" s="1" t="s">
        <v>4052</v>
      </c>
      <c r="M4538" s="1" t="s">
        <v>5938</v>
      </c>
      <c r="N4538" s="1" t="s">
        <v>4053</v>
      </c>
      <c r="P4538" s="1" t="s">
        <v>4092</v>
      </c>
      <c r="Q4538" s="3">
        <v>0</v>
      </c>
      <c r="R4538" s="23" t="s">
        <v>12893</v>
      </c>
      <c r="S4538" s="23" t="s">
        <v>6847</v>
      </c>
      <c r="T4538" s="23" t="s">
        <v>4866</v>
      </c>
      <c r="U4538" s="3">
        <v>35</v>
      </c>
      <c r="W4538" s="45" t="str">
        <f>HYPERLINK("http://ictvonline.org/taxonomy/p/taxonomy-history?taxnode_id=201900030","ICTVonline=201900030")</f>
        <v>ICTVonline=201900030</v>
      </c>
      <c r="Y4538" s="1" t="s">
        <v>13912</v>
      </c>
      <c r="Z4538" s="1" t="s">
        <v>13913</v>
      </c>
      <c r="AA4538" s="1">
        <v>201900000</v>
      </c>
      <c r="AB4538" s="1">
        <v>35</v>
      </c>
    </row>
    <row r="4539" spans="1:28" x14ac:dyDescent="0.2">
      <c r="A4539" s="1">
        <v>11599</v>
      </c>
      <c r="B4539" s="1" t="s">
        <v>6839</v>
      </c>
      <c r="D4539" s="1" t="s">
        <v>11735</v>
      </c>
      <c r="F4539" s="1" t="s">
        <v>5540</v>
      </c>
      <c r="G4539" s="1" t="s">
        <v>5630</v>
      </c>
      <c r="H4539" s="1" t="s">
        <v>5631</v>
      </c>
      <c r="J4539" s="1" t="s">
        <v>4050</v>
      </c>
      <c r="L4539" s="1" t="s">
        <v>4052</v>
      </c>
      <c r="M4539" s="1" t="s">
        <v>5938</v>
      </c>
      <c r="N4539" s="1" t="s">
        <v>4053</v>
      </c>
      <c r="P4539" s="1" t="s">
        <v>4093</v>
      </c>
      <c r="Q4539" s="3">
        <v>0</v>
      </c>
      <c r="R4539" s="23" t="s">
        <v>12893</v>
      </c>
      <c r="S4539" s="23" t="s">
        <v>6847</v>
      </c>
      <c r="T4539" s="23" t="s">
        <v>4866</v>
      </c>
      <c r="U4539" s="3">
        <v>35</v>
      </c>
      <c r="W4539" s="45" t="str">
        <f>HYPERLINK("http://ictvonline.org/taxonomy/p/taxonomy-history?taxnode_id=201900031","ICTVonline=201900031")</f>
        <v>ICTVonline=201900031</v>
      </c>
      <c r="Y4539" s="1" t="s">
        <v>13914</v>
      </c>
      <c r="Z4539" s="1" t="s">
        <v>13915</v>
      </c>
      <c r="AA4539" s="1">
        <v>201900000</v>
      </c>
      <c r="AB4539" s="1">
        <v>35</v>
      </c>
    </row>
    <row r="4540" spans="1:28" x14ac:dyDescent="0.2">
      <c r="A4540" s="1">
        <v>11601</v>
      </c>
      <c r="B4540" s="1" t="s">
        <v>6839</v>
      </c>
      <c r="D4540" s="1" t="s">
        <v>11735</v>
      </c>
      <c r="F4540" s="1" t="s">
        <v>5540</v>
      </c>
      <c r="G4540" s="1" t="s">
        <v>5630</v>
      </c>
      <c r="H4540" s="1" t="s">
        <v>5631</v>
      </c>
      <c r="J4540" s="1" t="s">
        <v>4050</v>
      </c>
      <c r="L4540" s="1" t="s">
        <v>4052</v>
      </c>
      <c r="M4540" s="1" t="s">
        <v>5938</v>
      </c>
      <c r="N4540" s="1" t="s">
        <v>4053</v>
      </c>
      <c r="P4540" s="1" t="s">
        <v>4094</v>
      </c>
      <c r="Q4540" s="3">
        <v>0</v>
      </c>
      <c r="R4540" s="23" t="s">
        <v>12893</v>
      </c>
      <c r="S4540" s="23" t="s">
        <v>6847</v>
      </c>
      <c r="T4540" s="23" t="s">
        <v>4866</v>
      </c>
      <c r="U4540" s="3">
        <v>35</v>
      </c>
      <c r="W4540" s="45" t="str">
        <f>HYPERLINK("http://ictvonline.org/taxonomy/p/taxonomy-history?taxnode_id=201900032","ICTVonline=201900032")</f>
        <v>ICTVonline=201900032</v>
      </c>
      <c r="Y4540" s="1" t="s">
        <v>13916</v>
      </c>
      <c r="Z4540" s="1" t="s">
        <v>13917</v>
      </c>
      <c r="AA4540" s="1">
        <v>201900000</v>
      </c>
      <c r="AB4540" s="1">
        <v>35</v>
      </c>
    </row>
    <row r="4541" spans="1:28" x14ac:dyDescent="0.2">
      <c r="A4541" s="1">
        <v>11603</v>
      </c>
      <c r="B4541" s="1" t="s">
        <v>6839</v>
      </c>
      <c r="D4541" s="1" t="s">
        <v>11735</v>
      </c>
      <c r="F4541" s="1" t="s">
        <v>5540</v>
      </c>
      <c r="G4541" s="1" t="s">
        <v>5630</v>
      </c>
      <c r="H4541" s="1" t="s">
        <v>5631</v>
      </c>
      <c r="J4541" s="1" t="s">
        <v>4050</v>
      </c>
      <c r="L4541" s="1" t="s">
        <v>4052</v>
      </c>
      <c r="M4541" s="1" t="s">
        <v>5938</v>
      </c>
      <c r="N4541" s="1" t="s">
        <v>4053</v>
      </c>
      <c r="P4541" s="1" t="s">
        <v>4012</v>
      </c>
      <c r="Q4541" s="3">
        <v>0</v>
      </c>
      <c r="R4541" s="23" t="s">
        <v>12893</v>
      </c>
      <c r="S4541" s="23" t="s">
        <v>6847</v>
      </c>
      <c r="T4541" s="23" t="s">
        <v>4866</v>
      </c>
      <c r="U4541" s="3">
        <v>35</v>
      </c>
      <c r="W4541" s="45" t="str">
        <f>HYPERLINK("http://ictvonline.org/taxonomy/p/taxonomy-history?taxnode_id=201900033","ICTVonline=201900033")</f>
        <v>ICTVonline=201900033</v>
      </c>
      <c r="AA4541" s="1">
        <v>201900000</v>
      </c>
      <c r="AB4541" s="1">
        <v>35</v>
      </c>
    </row>
    <row r="4542" spans="1:28" x14ac:dyDescent="0.2">
      <c r="A4542" s="1">
        <v>11605</v>
      </c>
      <c r="B4542" s="1" t="s">
        <v>6839</v>
      </c>
      <c r="D4542" s="1" t="s">
        <v>11735</v>
      </c>
      <c r="F4542" s="1" t="s">
        <v>5540</v>
      </c>
      <c r="G4542" s="1" t="s">
        <v>5630</v>
      </c>
      <c r="H4542" s="1" t="s">
        <v>5631</v>
      </c>
      <c r="J4542" s="1" t="s">
        <v>4050</v>
      </c>
      <c r="L4542" s="1" t="s">
        <v>4052</v>
      </c>
      <c r="M4542" s="1" t="s">
        <v>5938</v>
      </c>
      <c r="N4542" s="1" t="s">
        <v>4053</v>
      </c>
      <c r="P4542" s="1" t="s">
        <v>4013</v>
      </c>
      <c r="Q4542" s="3">
        <v>0</v>
      </c>
      <c r="R4542" s="23" t="s">
        <v>12893</v>
      </c>
      <c r="S4542" s="23" t="s">
        <v>6847</v>
      </c>
      <c r="T4542" s="23" t="s">
        <v>4866</v>
      </c>
      <c r="U4542" s="3">
        <v>35</v>
      </c>
      <c r="W4542" s="45" t="str">
        <f>HYPERLINK("http://ictvonline.org/taxonomy/p/taxonomy-history?taxnode_id=201900034","ICTVonline=201900034")</f>
        <v>ICTVonline=201900034</v>
      </c>
      <c r="AA4542" s="1">
        <v>201900000</v>
      </c>
      <c r="AB4542" s="1">
        <v>35</v>
      </c>
    </row>
    <row r="4543" spans="1:28" x14ac:dyDescent="0.2">
      <c r="A4543" s="1">
        <v>11607</v>
      </c>
      <c r="B4543" s="1" t="s">
        <v>6839</v>
      </c>
      <c r="D4543" s="1" t="s">
        <v>11735</v>
      </c>
      <c r="F4543" s="1" t="s">
        <v>5540</v>
      </c>
      <c r="G4543" s="1" t="s">
        <v>5630</v>
      </c>
      <c r="H4543" s="1" t="s">
        <v>5631</v>
      </c>
      <c r="J4543" s="1" t="s">
        <v>4050</v>
      </c>
      <c r="L4543" s="1" t="s">
        <v>4052</v>
      </c>
      <c r="M4543" s="1" t="s">
        <v>5938</v>
      </c>
      <c r="N4543" s="1" t="s">
        <v>4053</v>
      </c>
      <c r="P4543" s="1" t="s">
        <v>4095</v>
      </c>
      <c r="Q4543" s="3">
        <v>0</v>
      </c>
      <c r="R4543" s="23" t="s">
        <v>12893</v>
      </c>
      <c r="S4543" s="23" t="s">
        <v>6847</v>
      </c>
      <c r="T4543" s="23" t="s">
        <v>4866</v>
      </c>
      <c r="U4543" s="3">
        <v>35</v>
      </c>
      <c r="W4543" s="45" t="str">
        <f>HYPERLINK("http://ictvonline.org/taxonomy/p/taxonomy-history?taxnode_id=201900035","ICTVonline=201900035")</f>
        <v>ICTVonline=201900035</v>
      </c>
      <c r="Y4543" s="1" t="s">
        <v>13918</v>
      </c>
      <c r="Z4543" s="1" t="s">
        <v>13919</v>
      </c>
      <c r="AA4543" s="1">
        <v>201900000</v>
      </c>
      <c r="AB4543" s="1">
        <v>35</v>
      </c>
    </row>
    <row r="4544" spans="1:28" x14ac:dyDescent="0.2">
      <c r="A4544" s="1">
        <v>11609</v>
      </c>
      <c r="B4544" s="1" t="s">
        <v>6839</v>
      </c>
      <c r="D4544" s="1" t="s">
        <v>11735</v>
      </c>
      <c r="F4544" s="1" t="s">
        <v>5540</v>
      </c>
      <c r="G4544" s="1" t="s">
        <v>5630</v>
      </c>
      <c r="H4544" s="1" t="s">
        <v>5631</v>
      </c>
      <c r="J4544" s="1" t="s">
        <v>4050</v>
      </c>
      <c r="L4544" s="1" t="s">
        <v>4052</v>
      </c>
      <c r="M4544" s="1" t="s">
        <v>5938</v>
      </c>
      <c r="N4544" s="1" t="s">
        <v>4053</v>
      </c>
      <c r="P4544" s="1" t="s">
        <v>4096</v>
      </c>
      <c r="Q4544" s="3">
        <v>0</v>
      </c>
      <c r="R4544" s="23" t="s">
        <v>12893</v>
      </c>
      <c r="S4544" s="23" t="s">
        <v>6847</v>
      </c>
      <c r="T4544" s="23" t="s">
        <v>4866</v>
      </c>
      <c r="U4544" s="3">
        <v>35</v>
      </c>
      <c r="W4544" s="45" t="str">
        <f>HYPERLINK("http://ictvonline.org/taxonomy/p/taxonomy-history?taxnode_id=201900036","ICTVonline=201900036")</f>
        <v>ICTVonline=201900036</v>
      </c>
      <c r="Y4544" s="1" t="s">
        <v>13920</v>
      </c>
      <c r="Z4544" s="1" t="s">
        <v>13921</v>
      </c>
      <c r="AA4544" s="1">
        <v>201900000</v>
      </c>
      <c r="AB4544" s="1">
        <v>35</v>
      </c>
    </row>
    <row r="4545" spans="1:28" x14ac:dyDescent="0.2">
      <c r="A4545" s="1">
        <v>11611</v>
      </c>
      <c r="B4545" s="1" t="s">
        <v>6839</v>
      </c>
      <c r="D4545" s="1" t="s">
        <v>11735</v>
      </c>
      <c r="F4545" s="1" t="s">
        <v>5540</v>
      </c>
      <c r="G4545" s="1" t="s">
        <v>5630</v>
      </c>
      <c r="H4545" s="1" t="s">
        <v>5631</v>
      </c>
      <c r="J4545" s="1" t="s">
        <v>4050</v>
      </c>
      <c r="L4545" s="1" t="s">
        <v>4052</v>
      </c>
      <c r="M4545" s="1" t="s">
        <v>5938</v>
      </c>
      <c r="N4545" s="1" t="s">
        <v>4053</v>
      </c>
      <c r="P4545" s="1" t="s">
        <v>4014</v>
      </c>
      <c r="Q4545" s="3">
        <v>1</v>
      </c>
      <c r="R4545" s="23" t="s">
        <v>12893</v>
      </c>
      <c r="S4545" s="23" t="s">
        <v>6847</v>
      </c>
      <c r="T4545" s="23" t="s">
        <v>4866</v>
      </c>
      <c r="U4545" s="3">
        <v>35</v>
      </c>
      <c r="W4545" s="45" t="str">
        <f>HYPERLINK("http://ictvonline.org/taxonomy/p/taxonomy-history?taxnode_id=201900037","ICTVonline=201900037")</f>
        <v>ICTVonline=201900037</v>
      </c>
      <c r="AA4545" s="1">
        <v>201900000</v>
      </c>
      <c r="AB4545" s="1">
        <v>35</v>
      </c>
    </row>
    <row r="4546" spans="1:28" x14ac:dyDescent="0.2">
      <c r="A4546" s="1">
        <v>11613</v>
      </c>
      <c r="B4546" s="1" t="s">
        <v>6839</v>
      </c>
      <c r="D4546" s="1" t="s">
        <v>11735</v>
      </c>
      <c r="F4546" s="1" t="s">
        <v>5540</v>
      </c>
      <c r="G4546" s="1" t="s">
        <v>5630</v>
      </c>
      <c r="H4546" s="1" t="s">
        <v>5631</v>
      </c>
      <c r="J4546" s="1" t="s">
        <v>4050</v>
      </c>
      <c r="L4546" s="1" t="s">
        <v>4052</v>
      </c>
      <c r="M4546" s="1" t="s">
        <v>5938</v>
      </c>
      <c r="N4546" s="1" t="s">
        <v>4053</v>
      </c>
      <c r="P4546" s="1" t="s">
        <v>4097</v>
      </c>
      <c r="Q4546" s="3">
        <v>0</v>
      </c>
      <c r="R4546" s="23" t="s">
        <v>12893</v>
      </c>
      <c r="S4546" s="23" t="s">
        <v>6847</v>
      </c>
      <c r="T4546" s="23" t="s">
        <v>4866</v>
      </c>
      <c r="U4546" s="3">
        <v>35</v>
      </c>
      <c r="W4546" s="45" t="str">
        <f>HYPERLINK("http://ictvonline.org/taxonomy/p/taxonomy-history?taxnode_id=201900039","ICTVonline=201900039")</f>
        <v>ICTVonline=201900039</v>
      </c>
      <c r="Y4546" s="1" t="s">
        <v>13922</v>
      </c>
      <c r="Z4546" s="1" t="s">
        <v>13923</v>
      </c>
      <c r="AA4546" s="1">
        <v>201900000</v>
      </c>
      <c r="AB4546" s="1">
        <v>35</v>
      </c>
    </row>
    <row r="4547" spans="1:28" x14ac:dyDescent="0.2">
      <c r="A4547" s="1">
        <v>11615</v>
      </c>
      <c r="B4547" s="1" t="s">
        <v>6839</v>
      </c>
      <c r="D4547" s="1" t="s">
        <v>11735</v>
      </c>
      <c r="F4547" s="1" t="s">
        <v>5540</v>
      </c>
      <c r="G4547" s="1" t="s">
        <v>5630</v>
      </c>
      <c r="H4547" s="1" t="s">
        <v>5631</v>
      </c>
      <c r="J4547" s="1" t="s">
        <v>4050</v>
      </c>
      <c r="L4547" s="1" t="s">
        <v>4052</v>
      </c>
      <c r="M4547" s="1" t="s">
        <v>5938</v>
      </c>
      <c r="N4547" s="1" t="s">
        <v>4053</v>
      </c>
      <c r="P4547" s="1" t="s">
        <v>4098</v>
      </c>
      <c r="Q4547" s="3">
        <v>0</v>
      </c>
      <c r="R4547" s="23" t="s">
        <v>12893</v>
      </c>
      <c r="S4547" s="23" t="s">
        <v>6847</v>
      </c>
      <c r="T4547" s="23" t="s">
        <v>4866</v>
      </c>
      <c r="U4547" s="3">
        <v>35</v>
      </c>
      <c r="W4547" s="45" t="str">
        <f>HYPERLINK("http://ictvonline.org/taxonomy/p/taxonomy-history?taxnode_id=201900040","ICTVonline=201900040")</f>
        <v>ICTVonline=201900040</v>
      </c>
      <c r="Y4547" s="1" t="s">
        <v>13924</v>
      </c>
      <c r="Z4547" s="1" t="s">
        <v>13925</v>
      </c>
      <c r="AA4547" s="1">
        <v>201900000</v>
      </c>
      <c r="AB4547" s="1">
        <v>35</v>
      </c>
    </row>
    <row r="4548" spans="1:28" x14ac:dyDescent="0.2">
      <c r="A4548" s="1">
        <v>11617</v>
      </c>
      <c r="B4548" s="1" t="s">
        <v>6839</v>
      </c>
      <c r="D4548" s="1" t="s">
        <v>11735</v>
      </c>
      <c r="F4548" s="1" t="s">
        <v>5540</v>
      </c>
      <c r="G4548" s="1" t="s">
        <v>5630</v>
      </c>
      <c r="H4548" s="1" t="s">
        <v>5631</v>
      </c>
      <c r="J4548" s="1" t="s">
        <v>4050</v>
      </c>
      <c r="L4548" s="1" t="s">
        <v>4052</v>
      </c>
      <c r="M4548" s="1" t="s">
        <v>5938</v>
      </c>
      <c r="N4548" s="1" t="s">
        <v>4053</v>
      </c>
      <c r="P4548" s="1" t="s">
        <v>4015</v>
      </c>
      <c r="Q4548" s="3">
        <v>0</v>
      </c>
      <c r="R4548" s="23" t="s">
        <v>12893</v>
      </c>
      <c r="S4548" s="23" t="s">
        <v>6847</v>
      </c>
      <c r="T4548" s="23" t="s">
        <v>4866</v>
      </c>
      <c r="U4548" s="3">
        <v>35</v>
      </c>
      <c r="W4548" s="45" t="str">
        <f>HYPERLINK("http://ictvonline.org/taxonomy/p/taxonomy-history?taxnode_id=201900041","ICTVonline=201900041")</f>
        <v>ICTVonline=201900041</v>
      </c>
      <c r="AA4548" s="1">
        <v>201900000</v>
      </c>
      <c r="AB4548" s="1">
        <v>35</v>
      </c>
    </row>
    <row r="4549" spans="1:28" x14ac:dyDescent="0.2">
      <c r="A4549" s="1">
        <v>11619</v>
      </c>
      <c r="B4549" s="1" t="s">
        <v>6839</v>
      </c>
      <c r="D4549" s="1" t="s">
        <v>11735</v>
      </c>
      <c r="F4549" s="1" t="s">
        <v>5540</v>
      </c>
      <c r="G4549" s="1" t="s">
        <v>5630</v>
      </c>
      <c r="H4549" s="1" t="s">
        <v>5631</v>
      </c>
      <c r="J4549" s="1" t="s">
        <v>4050</v>
      </c>
      <c r="L4549" s="1" t="s">
        <v>4052</v>
      </c>
      <c r="M4549" s="1" t="s">
        <v>5938</v>
      </c>
      <c r="N4549" s="1" t="s">
        <v>4053</v>
      </c>
      <c r="P4549" s="1" t="s">
        <v>4016</v>
      </c>
      <c r="Q4549" s="3">
        <v>0</v>
      </c>
      <c r="R4549" s="23" t="s">
        <v>12893</v>
      </c>
      <c r="S4549" s="23" t="s">
        <v>6847</v>
      </c>
      <c r="T4549" s="23" t="s">
        <v>4866</v>
      </c>
      <c r="U4549" s="3">
        <v>35</v>
      </c>
      <c r="W4549" s="45" t="str">
        <f>HYPERLINK("http://ictvonline.org/taxonomy/p/taxonomy-history?taxnode_id=201900042","ICTVonline=201900042")</f>
        <v>ICTVonline=201900042</v>
      </c>
      <c r="AA4549" s="1">
        <v>201900000</v>
      </c>
      <c r="AB4549" s="1">
        <v>35</v>
      </c>
    </row>
    <row r="4550" spans="1:28" x14ac:dyDescent="0.2">
      <c r="A4550" s="1">
        <v>11621</v>
      </c>
      <c r="B4550" s="1" t="s">
        <v>6839</v>
      </c>
      <c r="D4550" s="1" t="s">
        <v>11735</v>
      </c>
      <c r="F4550" s="1" t="s">
        <v>5540</v>
      </c>
      <c r="G4550" s="1" t="s">
        <v>5630</v>
      </c>
      <c r="H4550" s="1" t="s">
        <v>5631</v>
      </c>
      <c r="J4550" s="1" t="s">
        <v>4050</v>
      </c>
      <c r="L4550" s="1" t="s">
        <v>4052</v>
      </c>
      <c r="M4550" s="1" t="s">
        <v>5938</v>
      </c>
      <c r="N4550" s="1" t="s">
        <v>4053</v>
      </c>
      <c r="P4550" s="1" t="s">
        <v>4099</v>
      </c>
      <c r="Q4550" s="3">
        <v>0</v>
      </c>
      <c r="R4550" s="23" t="s">
        <v>12893</v>
      </c>
      <c r="S4550" s="23" t="s">
        <v>6847</v>
      </c>
      <c r="T4550" s="23" t="s">
        <v>4866</v>
      </c>
      <c r="U4550" s="3">
        <v>35</v>
      </c>
      <c r="W4550" s="45" t="str">
        <f>HYPERLINK("http://ictvonline.org/taxonomy/p/taxonomy-history?taxnode_id=201900045","ICTVonline=201900045")</f>
        <v>ICTVonline=201900045</v>
      </c>
      <c r="Y4550" s="1" t="s">
        <v>13926</v>
      </c>
      <c r="Z4550" s="1" t="s">
        <v>13927</v>
      </c>
      <c r="AA4550" s="1">
        <v>201900000</v>
      </c>
      <c r="AB4550" s="1">
        <v>35</v>
      </c>
    </row>
    <row r="4551" spans="1:28" x14ac:dyDescent="0.2">
      <c r="A4551" s="1">
        <v>11623</v>
      </c>
      <c r="B4551" s="1" t="s">
        <v>6839</v>
      </c>
      <c r="D4551" s="1" t="s">
        <v>11735</v>
      </c>
      <c r="F4551" s="1" t="s">
        <v>5540</v>
      </c>
      <c r="G4551" s="1" t="s">
        <v>5630</v>
      </c>
      <c r="H4551" s="1" t="s">
        <v>5631</v>
      </c>
      <c r="J4551" s="1" t="s">
        <v>4050</v>
      </c>
      <c r="L4551" s="1" t="s">
        <v>4052</v>
      </c>
      <c r="M4551" s="1" t="s">
        <v>5938</v>
      </c>
      <c r="N4551" s="1" t="s">
        <v>4053</v>
      </c>
      <c r="P4551" s="1" t="s">
        <v>4100</v>
      </c>
      <c r="Q4551" s="3">
        <v>0</v>
      </c>
      <c r="R4551" s="23" t="s">
        <v>12893</v>
      </c>
      <c r="S4551" s="23" t="s">
        <v>6847</v>
      </c>
      <c r="T4551" s="23" t="s">
        <v>4866</v>
      </c>
      <c r="U4551" s="3">
        <v>35</v>
      </c>
      <c r="W4551" s="45" t="str">
        <f>HYPERLINK("http://ictvonline.org/taxonomy/p/taxonomy-history?taxnode_id=201900046","ICTVonline=201900046")</f>
        <v>ICTVonline=201900046</v>
      </c>
      <c r="Y4551" s="1" t="s">
        <v>13928</v>
      </c>
      <c r="Z4551" s="1" t="s">
        <v>13929</v>
      </c>
      <c r="AA4551" s="1">
        <v>201900000</v>
      </c>
      <c r="AB4551" s="1">
        <v>35</v>
      </c>
    </row>
    <row r="4552" spans="1:28" x14ac:dyDescent="0.2">
      <c r="A4552" s="1">
        <v>11625</v>
      </c>
      <c r="B4552" s="1" t="s">
        <v>6839</v>
      </c>
      <c r="D4552" s="1" t="s">
        <v>11735</v>
      </c>
      <c r="F4552" s="1" t="s">
        <v>5540</v>
      </c>
      <c r="G4552" s="1" t="s">
        <v>5630</v>
      </c>
      <c r="H4552" s="1" t="s">
        <v>5631</v>
      </c>
      <c r="J4552" s="1" t="s">
        <v>4050</v>
      </c>
      <c r="L4552" s="1" t="s">
        <v>4052</v>
      </c>
      <c r="M4552" s="1" t="s">
        <v>5938</v>
      </c>
      <c r="N4552" s="1" t="s">
        <v>4053</v>
      </c>
      <c r="P4552" s="1" t="s">
        <v>4101</v>
      </c>
      <c r="Q4552" s="3">
        <v>0</v>
      </c>
      <c r="R4552" s="23" t="s">
        <v>12893</v>
      </c>
      <c r="S4552" s="23" t="s">
        <v>6847</v>
      </c>
      <c r="T4552" s="23" t="s">
        <v>4866</v>
      </c>
      <c r="U4552" s="3">
        <v>35</v>
      </c>
      <c r="W4552" s="45" t="str">
        <f>HYPERLINK("http://ictvonline.org/taxonomy/p/taxonomy-history?taxnode_id=201900047","ICTVonline=201900047")</f>
        <v>ICTVonline=201900047</v>
      </c>
      <c r="Y4552" s="1" t="s">
        <v>13930</v>
      </c>
      <c r="Z4552" s="1" t="s">
        <v>13931</v>
      </c>
      <c r="AA4552" s="1">
        <v>201900000</v>
      </c>
      <c r="AB4552" s="1">
        <v>35</v>
      </c>
    </row>
    <row r="4553" spans="1:28" x14ac:dyDescent="0.2">
      <c r="A4553" s="1">
        <v>11627</v>
      </c>
      <c r="B4553" s="1" t="s">
        <v>6839</v>
      </c>
      <c r="D4553" s="1" t="s">
        <v>11735</v>
      </c>
      <c r="F4553" s="1" t="s">
        <v>5540</v>
      </c>
      <c r="G4553" s="1" t="s">
        <v>5630</v>
      </c>
      <c r="H4553" s="1" t="s">
        <v>5631</v>
      </c>
      <c r="J4553" s="1" t="s">
        <v>4050</v>
      </c>
      <c r="L4553" s="1" t="s">
        <v>4052</v>
      </c>
      <c r="M4553" s="1" t="s">
        <v>5938</v>
      </c>
      <c r="N4553" s="1" t="s">
        <v>4053</v>
      </c>
      <c r="P4553" s="1" t="s">
        <v>4102</v>
      </c>
      <c r="Q4553" s="3">
        <v>0</v>
      </c>
      <c r="R4553" s="23" t="s">
        <v>12893</v>
      </c>
      <c r="S4553" s="23" t="s">
        <v>6847</v>
      </c>
      <c r="T4553" s="23" t="s">
        <v>4866</v>
      </c>
      <c r="U4553" s="3">
        <v>35</v>
      </c>
      <c r="W4553" s="45" t="str">
        <f>HYPERLINK("http://ictvonline.org/taxonomy/p/taxonomy-history?taxnode_id=201900048","ICTVonline=201900048")</f>
        <v>ICTVonline=201900048</v>
      </c>
      <c r="Y4553" s="1" t="s">
        <v>13932</v>
      </c>
      <c r="Z4553" s="1" t="s">
        <v>13933</v>
      </c>
      <c r="AA4553" s="1">
        <v>201900000</v>
      </c>
      <c r="AB4553" s="1">
        <v>35</v>
      </c>
    </row>
    <row r="4554" spans="1:28" x14ac:dyDescent="0.2">
      <c r="A4554" s="1">
        <v>11629</v>
      </c>
      <c r="B4554" s="1" t="s">
        <v>6839</v>
      </c>
      <c r="D4554" s="1" t="s">
        <v>11735</v>
      </c>
      <c r="F4554" s="1" t="s">
        <v>5540</v>
      </c>
      <c r="G4554" s="1" t="s">
        <v>5630</v>
      </c>
      <c r="H4554" s="1" t="s">
        <v>5631</v>
      </c>
      <c r="J4554" s="1" t="s">
        <v>4050</v>
      </c>
      <c r="L4554" s="1" t="s">
        <v>4052</v>
      </c>
      <c r="M4554" s="1" t="s">
        <v>5938</v>
      </c>
      <c r="N4554" s="1" t="s">
        <v>4053</v>
      </c>
      <c r="P4554" s="1" t="s">
        <v>4103</v>
      </c>
      <c r="Q4554" s="3">
        <v>0</v>
      </c>
      <c r="R4554" s="23" t="s">
        <v>12893</v>
      </c>
      <c r="S4554" s="23" t="s">
        <v>6847</v>
      </c>
      <c r="T4554" s="23" t="s">
        <v>4866</v>
      </c>
      <c r="U4554" s="3">
        <v>35</v>
      </c>
      <c r="W4554" s="45" t="str">
        <f>HYPERLINK("http://ictvonline.org/taxonomy/p/taxonomy-history?taxnode_id=201900050","ICTVonline=201900050")</f>
        <v>ICTVonline=201900050</v>
      </c>
      <c r="Y4554" s="1" t="s">
        <v>13934</v>
      </c>
      <c r="Z4554" s="1" t="s">
        <v>13935</v>
      </c>
      <c r="AA4554" s="1">
        <v>201900000</v>
      </c>
      <c r="AB4554" s="1">
        <v>35</v>
      </c>
    </row>
    <row r="4555" spans="1:28" x14ac:dyDescent="0.2">
      <c r="A4555" s="1">
        <v>11631</v>
      </c>
      <c r="B4555" s="1" t="s">
        <v>6839</v>
      </c>
      <c r="D4555" s="1" t="s">
        <v>11735</v>
      </c>
      <c r="F4555" s="1" t="s">
        <v>5540</v>
      </c>
      <c r="G4555" s="1" t="s">
        <v>5630</v>
      </c>
      <c r="H4555" s="1" t="s">
        <v>5631</v>
      </c>
      <c r="J4555" s="1" t="s">
        <v>4050</v>
      </c>
      <c r="L4555" s="1" t="s">
        <v>4052</v>
      </c>
      <c r="M4555" s="1" t="s">
        <v>5938</v>
      </c>
      <c r="N4555" s="1" t="s">
        <v>4053</v>
      </c>
      <c r="P4555" s="1" t="s">
        <v>4017</v>
      </c>
      <c r="Q4555" s="3">
        <v>0</v>
      </c>
      <c r="R4555" s="23" t="s">
        <v>12893</v>
      </c>
      <c r="S4555" s="23" t="s">
        <v>6847</v>
      </c>
      <c r="T4555" s="23" t="s">
        <v>4866</v>
      </c>
      <c r="U4555" s="3">
        <v>35</v>
      </c>
      <c r="W4555" s="45" t="str">
        <f>HYPERLINK("http://ictvonline.org/taxonomy/p/taxonomy-history?taxnode_id=201900051","ICTVonline=201900051")</f>
        <v>ICTVonline=201900051</v>
      </c>
      <c r="AA4555" s="1">
        <v>201900000</v>
      </c>
      <c r="AB4555" s="1">
        <v>35</v>
      </c>
    </row>
    <row r="4556" spans="1:28" x14ac:dyDescent="0.2">
      <c r="A4556" s="1">
        <v>11633</v>
      </c>
      <c r="B4556" s="1" t="s">
        <v>6839</v>
      </c>
      <c r="D4556" s="1" t="s">
        <v>11735</v>
      </c>
      <c r="F4556" s="1" t="s">
        <v>5540</v>
      </c>
      <c r="G4556" s="1" t="s">
        <v>5630</v>
      </c>
      <c r="H4556" s="1" t="s">
        <v>5631</v>
      </c>
      <c r="J4556" s="1" t="s">
        <v>4050</v>
      </c>
      <c r="L4556" s="1" t="s">
        <v>4052</v>
      </c>
      <c r="M4556" s="1" t="s">
        <v>5938</v>
      </c>
      <c r="N4556" s="1" t="s">
        <v>4053</v>
      </c>
      <c r="P4556" s="1" t="s">
        <v>4018</v>
      </c>
      <c r="Q4556" s="3">
        <v>0</v>
      </c>
      <c r="R4556" s="23" t="s">
        <v>12893</v>
      </c>
      <c r="S4556" s="23" t="s">
        <v>6847</v>
      </c>
      <c r="T4556" s="23" t="s">
        <v>4866</v>
      </c>
      <c r="U4556" s="3">
        <v>35</v>
      </c>
      <c r="W4556" s="45" t="str">
        <f>HYPERLINK("http://ictvonline.org/taxonomy/p/taxonomy-history?taxnode_id=201900052","ICTVonline=201900052")</f>
        <v>ICTVonline=201900052</v>
      </c>
      <c r="AA4556" s="1">
        <v>201900000</v>
      </c>
      <c r="AB4556" s="1">
        <v>35</v>
      </c>
    </row>
    <row r="4557" spans="1:28" x14ac:dyDescent="0.2">
      <c r="A4557" s="1">
        <v>11635</v>
      </c>
      <c r="B4557" s="1" t="s">
        <v>6839</v>
      </c>
      <c r="D4557" s="1" t="s">
        <v>11735</v>
      </c>
      <c r="F4557" s="1" t="s">
        <v>5540</v>
      </c>
      <c r="G4557" s="1" t="s">
        <v>5630</v>
      </c>
      <c r="H4557" s="1" t="s">
        <v>5631</v>
      </c>
      <c r="J4557" s="1" t="s">
        <v>4050</v>
      </c>
      <c r="L4557" s="1" t="s">
        <v>4052</v>
      </c>
      <c r="M4557" s="1" t="s">
        <v>5938</v>
      </c>
      <c r="N4557" s="1" t="s">
        <v>4053</v>
      </c>
      <c r="P4557" s="1" t="s">
        <v>4104</v>
      </c>
      <c r="Q4557" s="3">
        <v>0</v>
      </c>
      <c r="R4557" s="23" t="s">
        <v>12893</v>
      </c>
      <c r="S4557" s="23" t="s">
        <v>6847</v>
      </c>
      <c r="T4557" s="23" t="s">
        <v>4866</v>
      </c>
      <c r="U4557" s="3">
        <v>35</v>
      </c>
      <c r="W4557" s="45" t="str">
        <f>HYPERLINK("http://ictvonline.org/taxonomy/p/taxonomy-history?taxnode_id=201900054","ICTVonline=201900054")</f>
        <v>ICTVonline=201900054</v>
      </c>
      <c r="Y4557" s="1" t="s">
        <v>13936</v>
      </c>
      <c r="Z4557" s="1" t="s">
        <v>13937</v>
      </c>
      <c r="AA4557" s="1">
        <v>201900000</v>
      </c>
      <c r="AB4557" s="1">
        <v>35</v>
      </c>
    </row>
    <row r="4558" spans="1:28" x14ac:dyDescent="0.2">
      <c r="A4558" s="1">
        <v>11637</v>
      </c>
      <c r="B4558" s="1" t="s">
        <v>6839</v>
      </c>
      <c r="D4558" s="1" t="s">
        <v>11735</v>
      </c>
      <c r="F4558" s="1" t="s">
        <v>5540</v>
      </c>
      <c r="G4558" s="1" t="s">
        <v>5630</v>
      </c>
      <c r="H4558" s="1" t="s">
        <v>5631</v>
      </c>
      <c r="J4558" s="1" t="s">
        <v>4050</v>
      </c>
      <c r="L4558" s="1" t="s">
        <v>4052</v>
      </c>
      <c r="M4558" s="1" t="s">
        <v>5938</v>
      </c>
      <c r="N4558" s="1" t="s">
        <v>4053</v>
      </c>
      <c r="P4558" s="1" t="s">
        <v>4019</v>
      </c>
      <c r="Q4558" s="3">
        <v>0</v>
      </c>
      <c r="R4558" s="23" t="s">
        <v>12893</v>
      </c>
      <c r="S4558" s="23" t="s">
        <v>6847</v>
      </c>
      <c r="T4558" s="23" t="s">
        <v>4866</v>
      </c>
      <c r="U4558" s="3">
        <v>35</v>
      </c>
      <c r="W4558" s="45" t="str">
        <f>HYPERLINK("http://ictvonline.org/taxonomy/p/taxonomy-history?taxnode_id=201900055","ICTVonline=201900055")</f>
        <v>ICTVonline=201900055</v>
      </c>
      <c r="AA4558" s="1">
        <v>201900000</v>
      </c>
      <c r="AB4558" s="1">
        <v>35</v>
      </c>
    </row>
    <row r="4559" spans="1:28" x14ac:dyDescent="0.2">
      <c r="A4559" s="1">
        <v>11639</v>
      </c>
      <c r="B4559" s="1" t="s">
        <v>6839</v>
      </c>
      <c r="D4559" s="1" t="s">
        <v>11735</v>
      </c>
      <c r="F4559" s="1" t="s">
        <v>5540</v>
      </c>
      <c r="G4559" s="1" t="s">
        <v>5630</v>
      </c>
      <c r="H4559" s="1" t="s">
        <v>5631</v>
      </c>
      <c r="J4559" s="1" t="s">
        <v>4050</v>
      </c>
      <c r="L4559" s="1" t="s">
        <v>4052</v>
      </c>
      <c r="M4559" s="1" t="s">
        <v>5938</v>
      </c>
      <c r="N4559" s="1" t="s">
        <v>4053</v>
      </c>
      <c r="P4559" s="1" t="s">
        <v>5939</v>
      </c>
      <c r="Q4559" s="3">
        <v>0</v>
      </c>
      <c r="R4559" s="23" t="s">
        <v>12893</v>
      </c>
      <c r="S4559" s="23" t="s">
        <v>6847</v>
      </c>
      <c r="T4559" s="23" t="s">
        <v>4866</v>
      </c>
      <c r="U4559" s="3">
        <v>35</v>
      </c>
      <c r="W4559" s="45" t="str">
        <f>HYPERLINK("http://ictvonline.org/taxonomy/p/taxonomy-history?taxnode_id=201900021","ICTVonline=201900021")</f>
        <v>ICTVonline=201900021</v>
      </c>
      <c r="X4559" s="1" t="s">
        <v>13938</v>
      </c>
      <c r="Y4559" s="1" t="s">
        <v>13939</v>
      </c>
      <c r="Z4559" s="1" t="s">
        <v>13940</v>
      </c>
      <c r="AA4559" s="1">
        <v>201900000</v>
      </c>
      <c r="AB4559" s="1">
        <v>35</v>
      </c>
    </row>
    <row r="4560" spans="1:28" x14ac:dyDescent="0.2">
      <c r="A4560" s="1">
        <v>11641</v>
      </c>
      <c r="B4560" s="1" t="s">
        <v>6839</v>
      </c>
      <c r="D4560" s="1" t="s">
        <v>11735</v>
      </c>
      <c r="F4560" s="1" t="s">
        <v>5540</v>
      </c>
      <c r="G4560" s="1" t="s">
        <v>5630</v>
      </c>
      <c r="H4560" s="1" t="s">
        <v>5631</v>
      </c>
      <c r="J4560" s="1" t="s">
        <v>4050</v>
      </c>
      <c r="L4560" s="1" t="s">
        <v>4052</v>
      </c>
      <c r="M4560" s="1" t="s">
        <v>5938</v>
      </c>
      <c r="N4560" s="1" t="s">
        <v>4053</v>
      </c>
      <c r="P4560" s="1" t="s">
        <v>4020</v>
      </c>
      <c r="Q4560" s="3">
        <v>0</v>
      </c>
      <c r="R4560" s="23" t="s">
        <v>12893</v>
      </c>
      <c r="S4560" s="23" t="s">
        <v>6847</v>
      </c>
      <c r="T4560" s="23" t="s">
        <v>4866</v>
      </c>
      <c r="U4560" s="3">
        <v>35</v>
      </c>
      <c r="W4560" s="45" t="str">
        <f>HYPERLINK("http://ictvonline.org/taxonomy/p/taxonomy-history?taxnode_id=201900056","ICTVonline=201900056")</f>
        <v>ICTVonline=201900056</v>
      </c>
      <c r="AA4560" s="1">
        <v>201900000</v>
      </c>
      <c r="AB4560" s="1">
        <v>35</v>
      </c>
    </row>
    <row r="4561" spans="1:28" x14ac:dyDescent="0.2">
      <c r="A4561" s="1">
        <v>11643</v>
      </c>
      <c r="B4561" s="1" t="s">
        <v>6839</v>
      </c>
      <c r="D4561" s="1" t="s">
        <v>11735</v>
      </c>
      <c r="F4561" s="1" t="s">
        <v>5540</v>
      </c>
      <c r="G4561" s="1" t="s">
        <v>5630</v>
      </c>
      <c r="H4561" s="1" t="s">
        <v>5631</v>
      </c>
      <c r="J4561" s="1" t="s">
        <v>4050</v>
      </c>
      <c r="L4561" s="1" t="s">
        <v>4052</v>
      </c>
      <c r="M4561" s="1" t="s">
        <v>5938</v>
      </c>
      <c r="N4561" s="1" t="s">
        <v>4053</v>
      </c>
      <c r="P4561" s="1" t="s">
        <v>4021</v>
      </c>
      <c r="Q4561" s="3">
        <v>0</v>
      </c>
      <c r="R4561" s="23" t="s">
        <v>12893</v>
      </c>
      <c r="S4561" s="23" t="s">
        <v>6847</v>
      </c>
      <c r="T4561" s="23" t="s">
        <v>4866</v>
      </c>
      <c r="U4561" s="3">
        <v>35</v>
      </c>
      <c r="W4561" s="45" t="str">
        <f>HYPERLINK("http://ictvonline.org/taxonomy/p/taxonomy-history?taxnode_id=201900057","ICTVonline=201900057")</f>
        <v>ICTVonline=201900057</v>
      </c>
      <c r="AA4561" s="1">
        <v>201900000</v>
      </c>
      <c r="AB4561" s="1">
        <v>35</v>
      </c>
    </row>
    <row r="4562" spans="1:28" x14ac:dyDescent="0.2">
      <c r="A4562" s="1">
        <v>11645</v>
      </c>
      <c r="B4562" s="1" t="s">
        <v>6839</v>
      </c>
      <c r="D4562" s="1" t="s">
        <v>11735</v>
      </c>
      <c r="F4562" s="1" t="s">
        <v>5540</v>
      </c>
      <c r="G4562" s="1" t="s">
        <v>5630</v>
      </c>
      <c r="H4562" s="1" t="s">
        <v>5631</v>
      </c>
      <c r="J4562" s="1" t="s">
        <v>4050</v>
      </c>
      <c r="L4562" s="1" t="s">
        <v>4052</v>
      </c>
      <c r="M4562" s="1" t="s">
        <v>5938</v>
      </c>
      <c r="N4562" s="1" t="s">
        <v>4053</v>
      </c>
      <c r="P4562" s="1" t="s">
        <v>4022</v>
      </c>
      <c r="Q4562" s="3">
        <v>0</v>
      </c>
      <c r="R4562" s="23" t="s">
        <v>12893</v>
      </c>
      <c r="S4562" s="23" t="s">
        <v>6847</v>
      </c>
      <c r="T4562" s="23" t="s">
        <v>4866</v>
      </c>
      <c r="U4562" s="3">
        <v>35</v>
      </c>
      <c r="W4562" s="45" t="str">
        <f>HYPERLINK("http://ictvonline.org/taxonomy/p/taxonomy-history?taxnode_id=201900058","ICTVonline=201900058")</f>
        <v>ICTVonline=201900058</v>
      </c>
      <c r="AA4562" s="1">
        <v>201900000</v>
      </c>
      <c r="AB4562" s="1">
        <v>35</v>
      </c>
    </row>
    <row r="4563" spans="1:28" x14ac:dyDescent="0.2">
      <c r="A4563" s="1">
        <v>11647</v>
      </c>
      <c r="B4563" s="1" t="s">
        <v>6839</v>
      </c>
      <c r="D4563" s="1" t="s">
        <v>11735</v>
      </c>
      <c r="F4563" s="1" t="s">
        <v>5540</v>
      </c>
      <c r="G4563" s="1" t="s">
        <v>5630</v>
      </c>
      <c r="H4563" s="1" t="s">
        <v>5631</v>
      </c>
      <c r="J4563" s="1" t="s">
        <v>4050</v>
      </c>
      <c r="L4563" s="1" t="s">
        <v>4052</v>
      </c>
      <c r="M4563" s="1" t="s">
        <v>5938</v>
      </c>
      <c r="N4563" s="1" t="s">
        <v>4053</v>
      </c>
      <c r="P4563" s="1" t="s">
        <v>5940</v>
      </c>
      <c r="Q4563" s="3">
        <v>0</v>
      </c>
      <c r="R4563" s="23" t="s">
        <v>12893</v>
      </c>
      <c r="S4563" s="23" t="s">
        <v>6847</v>
      </c>
      <c r="T4563" s="23" t="s">
        <v>4866</v>
      </c>
      <c r="U4563" s="3">
        <v>35</v>
      </c>
      <c r="W4563" s="45" t="str">
        <f>HYPERLINK("http://ictvonline.org/taxonomy/p/taxonomy-history?taxnode_id=201906435","ICTVonline=201906435")</f>
        <v>ICTVonline=201906435</v>
      </c>
      <c r="X4563" s="1" t="s">
        <v>13941</v>
      </c>
      <c r="Y4563" s="1" t="s">
        <v>13942</v>
      </c>
      <c r="Z4563" s="1" t="s">
        <v>13943</v>
      </c>
      <c r="AA4563" s="1">
        <v>201900000</v>
      </c>
      <c r="AB4563" s="1">
        <v>35</v>
      </c>
    </row>
    <row r="4564" spans="1:28" x14ac:dyDescent="0.2">
      <c r="A4564" s="1">
        <v>11649</v>
      </c>
      <c r="B4564" s="1" t="s">
        <v>6839</v>
      </c>
      <c r="D4564" s="1" t="s">
        <v>11735</v>
      </c>
      <c r="F4564" s="1" t="s">
        <v>5540</v>
      </c>
      <c r="G4564" s="1" t="s">
        <v>5630</v>
      </c>
      <c r="H4564" s="1" t="s">
        <v>5631</v>
      </c>
      <c r="J4564" s="1" t="s">
        <v>4050</v>
      </c>
      <c r="L4564" s="1" t="s">
        <v>4052</v>
      </c>
      <c r="M4564" s="1" t="s">
        <v>5938</v>
      </c>
      <c r="N4564" s="1" t="s">
        <v>4053</v>
      </c>
      <c r="P4564" s="1" t="s">
        <v>4023</v>
      </c>
      <c r="Q4564" s="3">
        <v>0</v>
      </c>
      <c r="R4564" s="23" t="s">
        <v>12893</v>
      </c>
      <c r="S4564" s="23" t="s">
        <v>6847</v>
      </c>
      <c r="T4564" s="23" t="s">
        <v>4866</v>
      </c>
      <c r="U4564" s="3">
        <v>35</v>
      </c>
      <c r="W4564" s="45" t="str">
        <f>HYPERLINK("http://ictvonline.org/taxonomy/p/taxonomy-history?taxnode_id=201900060","ICTVonline=201900060")</f>
        <v>ICTVonline=201900060</v>
      </c>
      <c r="AA4564" s="1">
        <v>201900000</v>
      </c>
      <c r="AB4564" s="1">
        <v>35</v>
      </c>
    </row>
    <row r="4565" spans="1:28" x14ac:dyDescent="0.2">
      <c r="A4565" s="1">
        <v>11651</v>
      </c>
      <c r="B4565" s="1" t="s">
        <v>6839</v>
      </c>
      <c r="D4565" s="1" t="s">
        <v>11735</v>
      </c>
      <c r="F4565" s="1" t="s">
        <v>5540</v>
      </c>
      <c r="G4565" s="1" t="s">
        <v>5630</v>
      </c>
      <c r="H4565" s="1" t="s">
        <v>5631</v>
      </c>
      <c r="J4565" s="1" t="s">
        <v>4050</v>
      </c>
      <c r="L4565" s="1" t="s">
        <v>4052</v>
      </c>
      <c r="M4565" s="1" t="s">
        <v>5938</v>
      </c>
      <c r="N4565" s="1" t="s">
        <v>4053</v>
      </c>
      <c r="P4565" s="1" t="s">
        <v>4105</v>
      </c>
      <c r="Q4565" s="3">
        <v>0</v>
      </c>
      <c r="R4565" s="23" t="s">
        <v>12893</v>
      </c>
      <c r="S4565" s="23" t="s">
        <v>6847</v>
      </c>
      <c r="T4565" s="23" t="s">
        <v>4866</v>
      </c>
      <c r="U4565" s="3">
        <v>35</v>
      </c>
      <c r="W4565" s="45" t="str">
        <f>HYPERLINK("http://ictvonline.org/taxonomy/p/taxonomy-history?taxnode_id=201900061","ICTVonline=201900061")</f>
        <v>ICTVonline=201900061</v>
      </c>
      <c r="Y4565" s="1" t="s">
        <v>13944</v>
      </c>
      <c r="Z4565" s="1" t="s">
        <v>13945</v>
      </c>
      <c r="AA4565" s="1">
        <v>201900000</v>
      </c>
      <c r="AB4565" s="1">
        <v>35</v>
      </c>
    </row>
    <row r="4566" spans="1:28" x14ac:dyDescent="0.2">
      <c r="A4566" s="1">
        <v>11655</v>
      </c>
      <c r="B4566" s="1" t="s">
        <v>6839</v>
      </c>
      <c r="D4566" s="1" t="s">
        <v>11735</v>
      </c>
      <c r="F4566" s="1" t="s">
        <v>5540</v>
      </c>
      <c r="G4566" s="1" t="s">
        <v>5630</v>
      </c>
      <c r="H4566" s="1" t="s">
        <v>5631</v>
      </c>
      <c r="J4566" s="1" t="s">
        <v>4050</v>
      </c>
      <c r="L4566" s="1" t="s">
        <v>4052</v>
      </c>
      <c r="M4566" s="1" t="s">
        <v>5938</v>
      </c>
      <c r="N4566" s="1" t="s">
        <v>5641</v>
      </c>
      <c r="P4566" s="1" t="s">
        <v>5642</v>
      </c>
      <c r="Q4566" s="3">
        <v>0</v>
      </c>
      <c r="R4566" s="23" t="s">
        <v>12893</v>
      </c>
      <c r="S4566" s="23" t="s">
        <v>6847</v>
      </c>
      <c r="T4566" s="23" t="s">
        <v>4866</v>
      </c>
      <c r="U4566" s="3">
        <v>35</v>
      </c>
      <c r="W4566" s="45" t="str">
        <f>HYPERLINK("http://ictvonline.org/taxonomy/p/taxonomy-history?taxnode_id=201900038","ICTVonline=201900038")</f>
        <v>ICTVonline=201900038</v>
      </c>
      <c r="X4566" s="1" t="s">
        <v>13946</v>
      </c>
      <c r="Y4566" s="1" t="s">
        <v>13947</v>
      </c>
      <c r="Z4566" s="1" t="s">
        <v>13948</v>
      </c>
      <c r="AA4566" s="1">
        <v>201900000</v>
      </c>
      <c r="AB4566" s="1">
        <v>35</v>
      </c>
    </row>
    <row r="4567" spans="1:28" x14ac:dyDescent="0.2">
      <c r="A4567" s="1">
        <v>11657</v>
      </c>
      <c r="B4567" s="1" t="s">
        <v>6839</v>
      </c>
      <c r="D4567" s="1" t="s">
        <v>11735</v>
      </c>
      <c r="F4567" s="1" t="s">
        <v>5540</v>
      </c>
      <c r="G4567" s="1" t="s">
        <v>5630</v>
      </c>
      <c r="H4567" s="1" t="s">
        <v>5631</v>
      </c>
      <c r="J4567" s="1" t="s">
        <v>4050</v>
      </c>
      <c r="L4567" s="1" t="s">
        <v>4052</v>
      </c>
      <c r="M4567" s="1" t="s">
        <v>5938</v>
      </c>
      <c r="N4567" s="1" t="s">
        <v>5641</v>
      </c>
      <c r="P4567" s="1" t="s">
        <v>5643</v>
      </c>
      <c r="Q4567" s="3">
        <v>1</v>
      </c>
      <c r="R4567" s="23" t="s">
        <v>12893</v>
      </c>
      <c r="S4567" s="23" t="s">
        <v>6847</v>
      </c>
      <c r="T4567" s="23" t="s">
        <v>4866</v>
      </c>
      <c r="U4567" s="3">
        <v>35</v>
      </c>
      <c r="W4567" s="45" t="str">
        <f>HYPERLINK("http://ictvonline.org/taxonomy/p/taxonomy-history?taxnode_id=201900059","ICTVonline=201900059")</f>
        <v>ICTVonline=201900059</v>
      </c>
      <c r="X4567" s="1" t="s">
        <v>13949</v>
      </c>
      <c r="Y4567" s="1" t="s">
        <v>13950</v>
      </c>
      <c r="Z4567" s="1" t="s">
        <v>13951</v>
      </c>
      <c r="AA4567" s="1">
        <v>201900000</v>
      </c>
      <c r="AB4567" s="1">
        <v>35</v>
      </c>
    </row>
    <row r="4568" spans="1:28" x14ac:dyDescent="0.2">
      <c r="A4568" s="1">
        <v>11663</v>
      </c>
      <c r="B4568" s="1" t="s">
        <v>6839</v>
      </c>
      <c r="D4568" s="1" t="s">
        <v>11735</v>
      </c>
      <c r="F4568" s="1" t="s">
        <v>5540</v>
      </c>
      <c r="G4568" s="1" t="s">
        <v>5630</v>
      </c>
      <c r="H4568" s="1" t="s">
        <v>5631</v>
      </c>
      <c r="J4568" s="1" t="s">
        <v>4050</v>
      </c>
      <c r="L4568" s="1" t="s">
        <v>4052</v>
      </c>
      <c r="M4568" s="1" t="s">
        <v>5941</v>
      </c>
      <c r="N4568" s="1" t="s">
        <v>5942</v>
      </c>
      <c r="P4568" s="1" t="s">
        <v>5943</v>
      </c>
      <c r="Q4568" s="3">
        <v>1</v>
      </c>
      <c r="R4568" s="23" t="s">
        <v>12893</v>
      </c>
      <c r="S4568" s="23" t="s">
        <v>6847</v>
      </c>
      <c r="T4568" s="23" t="s">
        <v>4866</v>
      </c>
      <c r="U4568" s="3">
        <v>35</v>
      </c>
      <c r="W4568" s="45" t="str">
        <f>HYPERLINK("http://ictvonline.org/taxonomy/p/taxonomy-history?taxnode_id=201906438","ICTVonline=201906438")</f>
        <v>ICTVonline=201906438</v>
      </c>
      <c r="X4568" s="1" t="s">
        <v>13952</v>
      </c>
      <c r="Y4568" s="1" t="s">
        <v>13953</v>
      </c>
      <c r="Z4568" s="1" t="s">
        <v>13954</v>
      </c>
      <c r="AA4568" s="1">
        <v>201900000</v>
      </c>
      <c r="AB4568" s="1">
        <v>35</v>
      </c>
    </row>
    <row r="4569" spans="1:28" x14ac:dyDescent="0.2">
      <c r="A4569" s="1">
        <v>11670</v>
      </c>
      <c r="B4569" s="1" t="s">
        <v>6839</v>
      </c>
      <c r="D4569" s="1" t="s">
        <v>11735</v>
      </c>
      <c r="F4569" s="1" t="s">
        <v>5540</v>
      </c>
      <c r="G4569" s="1" t="s">
        <v>5630</v>
      </c>
      <c r="H4569" s="1" t="s">
        <v>5631</v>
      </c>
      <c r="J4569" s="1" t="s">
        <v>4050</v>
      </c>
      <c r="L4569" s="1" t="s">
        <v>5944</v>
      </c>
      <c r="N4569" s="1" t="s">
        <v>5945</v>
      </c>
      <c r="P4569" s="1" t="s">
        <v>5946</v>
      </c>
      <c r="Q4569" s="3">
        <v>1</v>
      </c>
      <c r="R4569" s="23" t="s">
        <v>12893</v>
      </c>
      <c r="S4569" s="23" t="s">
        <v>6847</v>
      </c>
      <c r="T4569" s="23" t="s">
        <v>4866</v>
      </c>
      <c r="U4569" s="3">
        <v>35</v>
      </c>
      <c r="W4569" s="45" t="str">
        <f>HYPERLINK("http://ictvonline.org/taxonomy/p/taxonomy-history?taxnode_id=201906595","ICTVonline=201906595")</f>
        <v>ICTVonline=201906595</v>
      </c>
      <c r="X4569" s="1" t="s">
        <v>13955</v>
      </c>
      <c r="Y4569" s="1" t="s">
        <v>13956</v>
      </c>
      <c r="Z4569" s="1" t="s">
        <v>13957</v>
      </c>
      <c r="AA4569" s="1">
        <v>201900000</v>
      </c>
      <c r="AB4569" s="1">
        <v>35</v>
      </c>
    </row>
    <row r="4570" spans="1:28" x14ac:dyDescent="0.2">
      <c r="A4570" s="1">
        <v>11676</v>
      </c>
      <c r="B4570" s="1" t="s">
        <v>6839</v>
      </c>
      <c r="D4570" s="1" t="s">
        <v>11735</v>
      </c>
      <c r="F4570" s="1" t="s">
        <v>5540</v>
      </c>
      <c r="G4570" s="1" t="s">
        <v>5630</v>
      </c>
      <c r="H4570" s="1" t="s">
        <v>5631</v>
      </c>
      <c r="J4570" s="1" t="s">
        <v>4050</v>
      </c>
      <c r="L4570" s="1" t="s">
        <v>5644</v>
      </c>
      <c r="N4570" s="1" t="s">
        <v>5645</v>
      </c>
      <c r="P4570" s="1" t="s">
        <v>5646</v>
      </c>
      <c r="Q4570" s="3">
        <v>1</v>
      </c>
      <c r="R4570" s="23" t="s">
        <v>12893</v>
      </c>
      <c r="S4570" s="23" t="s">
        <v>6847</v>
      </c>
      <c r="T4570" s="23" t="s">
        <v>4866</v>
      </c>
      <c r="U4570" s="3">
        <v>35</v>
      </c>
      <c r="W4570" s="45" t="str">
        <f>HYPERLINK("http://ictvonline.org/taxonomy/p/taxonomy-history?taxnode_id=201906215","ICTVonline=201906215")</f>
        <v>ICTVonline=201906215</v>
      </c>
      <c r="X4570" s="1" t="s">
        <v>13958</v>
      </c>
      <c r="Y4570" s="1" t="s">
        <v>13959</v>
      </c>
      <c r="Z4570" s="1" t="s">
        <v>13960</v>
      </c>
      <c r="AA4570" s="1">
        <v>201900000</v>
      </c>
      <c r="AB4570" s="1">
        <v>35</v>
      </c>
    </row>
    <row r="4571" spans="1:28" x14ac:dyDescent="0.2">
      <c r="A4571" s="1">
        <v>11682</v>
      </c>
      <c r="B4571" s="1" t="s">
        <v>6839</v>
      </c>
      <c r="D4571" s="1" t="s">
        <v>11735</v>
      </c>
      <c r="F4571" s="1" t="s">
        <v>5540</v>
      </c>
      <c r="G4571" s="1" t="s">
        <v>5630</v>
      </c>
      <c r="H4571" s="1" t="s">
        <v>5631</v>
      </c>
      <c r="J4571" s="1" t="s">
        <v>4050</v>
      </c>
      <c r="L4571" s="1" t="s">
        <v>4054</v>
      </c>
      <c r="N4571" s="1" t="s">
        <v>4055</v>
      </c>
      <c r="P4571" s="1" t="s">
        <v>4925</v>
      </c>
      <c r="Q4571" s="3">
        <v>0</v>
      </c>
      <c r="R4571" s="23" t="s">
        <v>12893</v>
      </c>
      <c r="S4571" s="23" t="s">
        <v>6847</v>
      </c>
      <c r="T4571" s="23" t="s">
        <v>4866</v>
      </c>
      <c r="U4571" s="3">
        <v>35</v>
      </c>
      <c r="W4571" s="45" t="str">
        <f>HYPERLINK("http://ictvonline.org/taxonomy/p/taxonomy-history?taxnode_id=201905462","ICTVonline=201905462")</f>
        <v>ICTVonline=201905462</v>
      </c>
      <c r="AA4571" s="1">
        <v>201900000</v>
      </c>
      <c r="AB4571" s="1">
        <v>35</v>
      </c>
    </row>
    <row r="4572" spans="1:28" x14ac:dyDescent="0.2">
      <c r="A4572" s="1">
        <v>11684</v>
      </c>
      <c r="B4572" s="1" t="s">
        <v>6839</v>
      </c>
      <c r="D4572" s="1" t="s">
        <v>11735</v>
      </c>
      <c r="F4572" s="1" t="s">
        <v>5540</v>
      </c>
      <c r="G4572" s="1" t="s">
        <v>5630</v>
      </c>
      <c r="H4572" s="1" t="s">
        <v>5631</v>
      </c>
      <c r="J4572" s="1" t="s">
        <v>4050</v>
      </c>
      <c r="L4572" s="1" t="s">
        <v>4054</v>
      </c>
      <c r="N4572" s="1" t="s">
        <v>4055</v>
      </c>
      <c r="P4572" s="1" t="s">
        <v>4926</v>
      </c>
      <c r="Q4572" s="3">
        <v>0</v>
      </c>
      <c r="R4572" s="23" t="s">
        <v>12893</v>
      </c>
      <c r="S4572" s="23" t="s">
        <v>6847</v>
      </c>
      <c r="T4572" s="23" t="s">
        <v>4866</v>
      </c>
      <c r="U4572" s="3">
        <v>35</v>
      </c>
      <c r="W4572" s="45" t="str">
        <f>HYPERLINK("http://ictvonline.org/taxonomy/p/taxonomy-history?taxnode_id=201905463","ICTVonline=201905463")</f>
        <v>ICTVonline=201905463</v>
      </c>
      <c r="AA4572" s="1">
        <v>201900000</v>
      </c>
      <c r="AB4572" s="1">
        <v>35</v>
      </c>
    </row>
    <row r="4573" spans="1:28" x14ac:dyDescent="0.2">
      <c r="A4573" s="1">
        <v>11686</v>
      </c>
      <c r="B4573" s="1" t="s">
        <v>6839</v>
      </c>
      <c r="D4573" s="1" t="s">
        <v>11735</v>
      </c>
      <c r="F4573" s="1" t="s">
        <v>5540</v>
      </c>
      <c r="G4573" s="1" t="s">
        <v>5630</v>
      </c>
      <c r="H4573" s="1" t="s">
        <v>5631</v>
      </c>
      <c r="J4573" s="1" t="s">
        <v>4050</v>
      </c>
      <c r="L4573" s="1" t="s">
        <v>4054</v>
      </c>
      <c r="N4573" s="1" t="s">
        <v>4055</v>
      </c>
      <c r="P4573" s="1" t="s">
        <v>4024</v>
      </c>
      <c r="Q4573" s="3">
        <v>0</v>
      </c>
      <c r="R4573" s="23" t="s">
        <v>12893</v>
      </c>
      <c r="S4573" s="23" t="s">
        <v>6847</v>
      </c>
      <c r="T4573" s="23" t="s">
        <v>4866</v>
      </c>
      <c r="U4573" s="3">
        <v>35</v>
      </c>
      <c r="W4573" s="45" t="str">
        <f>HYPERLINK("http://ictvonline.org/taxonomy/p/taxonomy-history?taxnode_id=201900070","ICTVonline=201900070")</f>
        <v>ICTVonline=201900070</v>
      </c>
      <c r="AA4573" s="1">
        <v>201900000</v>
      </c>
      <c r="AB4573" s="1">
        <v>35</v>
      </c>
    </row>
    <row r="4574" spans="1:28" x14ac:dyDescent="0.2">
      <c r="A4574" s="1">
        <v>11688</v>
      </c>
      <c r="B4574" s="1" t="s">
        <v>6839</v>
      </c>
      <c r="D4574" s="1" t="s">
        <v>11735</v>
      </c>
      <c r="F4574" s="1" t="s">
        <v>5540</v>
      </c>
      <c r="G4574" s="1" t="s">
        <v>5630</v>
      </c>
      <c r="H4574" s="1" t="s">
        <v>5631</v>
      </c>
      <c r="J4574" s="1" t="s">
        <v>4050</v>
      </c>
      <c r="L4574" s="1" t="s">
        <v>4054</v>
      </c>
      <c r="N4574" s="1" t="s">
        <v>4055</v>
      </c>
      <c r="P4574" s="1" t="s">
        <v>4025</v>
      </c>
      <c r="Q4574" s="3">
        <v>0</v>
      </c>
      <c r="R4574" s="23" t="s">
        <v>12893</v>
      </c>
      <c r="S4574" s="23" t="s">
        <v>6847</v>
      </c>
      <c r="T4574" s="23" t="s">
        <v>4866</v>
      </c>
      <c r="U4574" s="3">
        <v>35</v>
      </c>
      <c r="W4574" s="45" t="str">
        <f>HYPERLINK("http://ictvonline.org/taxonomy/p/taxonomy-history?taxnode_id=201900071","ICTVonline=201900071")</f>
        <v>ICTVonline=201900071</v>
      </c>
      <c r="AA4574" s="1">
        <v>201900000</v>
      </c>
      <c r="AB4574" s="1">
        <v>35</v>
      </c>
    </row>
    <row r="4575" spans="1:28" x14ac:dyDescent="0.2">
      <c r="A4575" s="1">
        <v>11690</v>
      </c>
      <c r="B4575" s="1" t="s">
        <v>6839</v>
      </c>
      <c r="D4575" s="1" t="s">
        <v>11735</v>
      </c>
      <c r="F4575" s="1" t="s">
        <v>5540</v>
      </c>
      <c r="G4575" s="1" t="s">
        <v>5630</v>
      </c>
      <c r="H4575" s="1" t="s">
        <v>5631</v>
      </c>
      <c r="J4575" s="1" t="s">
        <v>4050</v>
      </c>
      <c r="L4575" s="1" t="s">
        <v>4054</v>
      </c>
      <c r="N4575" s="1" t="s">
        <v>4055</v>
      </c>
      <c r="P4575" s="1" t="s">
        <v>4026</v>
      </c>
      <c r="Q4575" s="3">
        <v>1</v>
      </c>
      <c r="R4575" s="23" t="s">
        <v>12893</v>
      </c>
      <c r="S4575" s="23" t="s">
        <v>6847</v>
      </c>
      <c r="T4575" s="23" t="s">
        <v>4866</v>
      </c>
      <c r="U4575" s="3">
        <v>35</v>
      </c>
      <c r="W4575" s="45" t="str">
        <f>HYPERLINK("http://ictvonline.org/taxonomy/p/taxonomy-history?taxnode_id=201900072","ICTVonline=201900072")</f>
        <v>ICTVonline=201900072</v>
      </c>
      <c r="AA4575" s="1">
        <v>201900000</v>
      </c>
      <c r="AB4575" s="1">
        <v>35</v>
      </c>
    </row>
    <row r="4576" spans="1:28" x14ac:dyDescent="0.2">
      <c r="A4576" s="1">
        <v>11692</v>
      </c>
      <c r="B4576" s="1" t="s">
        <v>6839</v>
      </c>
      <c r="D4576" s="1" t="s">
        <v>11735</v>
      </c>
      <c r="F4576" s="1" t="s">
        <v>5540</v>
      </c>
      <c r="G4576" s="1" t="s">
        <v>5630</v>
      </c>
      <c r="H4576" s="1" t="s">
        <v>5631</v>
      </c>
      <c r="J4576" s="1" t="s">
        <v>4050</v>
      </c>
      <c r="L4576" s="1" t="s">
        <v>4054</v>
      </c>
      <c r="N4576" s="1" t="s">
        <v>4055</v>
      </c>
      <c r="P4576" s="1" t="s">
        <v>5947</v>
      </c>
      <c r="Q4576" s="3">
        <v>0</v>
      </c>
      <c r="R4576" s="23" t="s">
        <v>12893</v>
      </c>
      <c r="S4576" s="23" t="s">
        <v>6847</v>
      </c>
      <c r="T4576" s="23" t="s">
        <v>4866</v>
      </c>
      <c r="U4576" s="3">
        <v>35</v>
      </c>
      <c r="W4576" s="45" t="str">
        <f>HYPERLINK("http://ictvonline.org/taxonomy/p/taxonomy-history?taxnode_id=201900107","ICTVonline=201900107")</f>
        <v>ICTVonline=201900107</v>
      </c>
      <c r="X4576" s="1" t="s">
        <v>13961</v>
      </c>
      <c r="Y4576" s="1" t="s">
        <v>13962</v>
      </c>
      <c r="Z4576" s="1" t="s">
        <v>13963</v>
      </c>
      <c r="AA4576" s="1">
        <v>201900000</v>
      </c>
      <c r="AB4576" s="1">
        <v>35</v>
      </c>
    </row>
    <row r="4577" spans="1:28" x14ac:dyDescent="0.2">
      <c r="A4577" s="1">
        <v>11694</v>
      </c>
      <c r="B4577" s="1" t="s">
        <v>6839</v>
      </c>
      <c r="D4577" s="1" t="s">
        <v>11735</v>
      </c>
      <c r="F4577" s="1" t="s">
        <v>5540</v>
      </c>
      <c r="G4577" s="1" t="s">
        <v>5630</v>
      </c>
      <c r="H4577" s="1" t="s">
        <v>5631</v>
      </c>
      <c r="J4577" s="1" t="s">
        <v>4050</v>
      </c>
      <c r="L4577" s="1" t="s">
        <v>4054</v>
      </c>
      <c r="N4577" s="1" t="s">
        <v>4055</v>
      </c>
      <c r="P4577" s="1" t="s">
        <v>4110</v>
      </c>
      <c r="Q4577" s="3">
        <v>0</v>
      </c>
      <c r="R4577" s="23" t="s">
        <v>12893</v>
      </c>
      <c r="S4577" s="23" t="s">
        <v>6847</v>
      </c>
      <c r="T4577" s="23" t="s">
        <v>4866</v>
      </c>
      <c r="U4577" s="3">
        <v>35</v>
      </c>
      <c r="W4577" s="45" t="str">
        <f>HYPERLINK("http://ictvonline.org/taxonomy/p/taxonomy-history?taxnode_id=201900073","ICTVonline=201900073")</f>
        <v>ICTVonline=201900073</v>
      </c>
      <c r="Y4577" s="1" t="s">
        <v>13964</v>
      </c>
      <c r="Z4577" s="1" t="s">
        <v>13965</v>
      </c>
      <c r="AA4577" s="1">
        <v>201900000</v>
      </c>
      <c r="AB4577" s="1">
        <v>35</v>
      </c>
    </row>
    <row r="4578" spans="1:28" x14ac:dyDescent="0.2">
      <c r="A4578" s="1">
        <v>11696</v>
      </c>
      <c r="B4578" s="1" t="s">
        <v>6839</v>
      </c>
      <c r="D4578" s="1" t="s">
        <v>11735</v>
      </c>
      <c r="F4578" s="1" t="s">
        <v>5540</v>
      </c>
      <c r="G4578" s="1" t="s">
        <v>5630</v>
      </c>
      <c r="H4578" s="1" t="s">
        <v>5631</v>
      </c>
      <c r="J4578" s="1" t="s">
        <v>4050</v>
      </c>
      <c r="L4578" s="1" t="s">
        <v>4054</v>
      </c>
      <c r="N4578" s="1" t="s">
        <v>4055</v>
      </c>
      <c r="P4578" s="1" t="s">
        <v>4027</v>
      </c>
      <c r="Q4578" s="3">
        <v>0</v>
      </c>
      <c r="R4578" s="23" t="s">
        <v>12893</v>
      </c>
      <c r="S4578" s="23" t="s">
        <v>6847</v>
      </c>
      <c r="T4578" s="23" t="s">
        <v>4866</v>
      </c>
      <c r="U4578" s="3">
        <v>35</v>
      </c>
      <c r="W4578" s="45" t="str">
        <f>HYPERLINK("http://ictvonline.org/taxonomy/p/taxonomy-history?taxnode_id=201900074","ICTVonline=201900074")</f>
        <v>ICTVonline=201900074</v>
      </c>
      <c r="AA4578" s="1">
        <v>201900000</v>
      </c>
      <c r="AB4578" s="1">
        <v>35</v>
      </c>
    </row>
    <row r="4579" spans="1:28" x14ac:dyDescent="0.2">
      <c r="A4579" s="1">
        <v>11698</v>
      </c>
      <c r="B4579" s="1" t="s">
        <v>6839</v>
      </c>
      <c r="D4579" s="1" t="s">
        <v>11735</v>
      </c>
      <c r="F4579" s="1" t="s">
        <v>5540</v>
      </c>
      <c r="G4579" s="1" t="s">
        <v>5630</v>
      </c>
      <c r="H4579" s="1" t="s">
        <v>5631</v>
      </c>
      <c r="J4579" s="1" t="s">
        <v>4050</v>
      </c>
      <c r="L4579" s="1" t="s">
        <v>4054</v>
      </c>
      <c r="N4579" s="1" t="s">
        <v>4055</v>
      </c>
      <c r="P4579" s="1" t="s">
        <v>4111</v>
      </c>
      <c r="Q4579" s="3">
        <v>0</v>
      </c>
      <c r="R4579" s="23" t="s">
        <v>12893</v>
      </c>
      <c r="S4579" s="23" t="s">
        <v>6847</v>
      </c>
      <c r="T4579" s="23" t="s">
        <v>4866</v>
      </c>
      <c r="U4579" s="3">
        <v>35</v>
      </c>
      <c r="W4579" s="45" t="str">
        <f>HYPERLINK("http://ictvonline.org/taxonomy/p/taxonomy-history?taxnode_id=201900075","ICTVonline=201900075")</f>
        <v>ICTVonline=201900075</v>
      </c>
      <c r="Y4579" s="1" t="s">
        <v>13966</v>
      </c>
      <c r="Z4579" s="1" t="s">
        <v>13967</v>
      </c>
      <c r="AA4579" s="1">
        <v>201900000</v>
      </c>
      <c r="AB4579" s="1">
        <v>35</v>
      </c>
    </row>
    <row r="4580" spans="1:28" x14ac:dyDescent="0.2">
      <c r="A4580" s="1">
        <v>11700</v>
      </c>
      <c r="B4580" s="1" t="s">
        <v>6839</v>
      </c>
      <c r="D4580" s="1" t="s">
        <v>11735</v>
      </c>
      <c r="F4580" s="1" t="s">
        <v>5540</v>
      </c>
      <c r="G4580" s="1" t="s">
        <v>5630</v>
      </c>
      <c r="H4580" s="1" t="s">
        <v>5631</v>
      </c>
      <c r="J4580" s="1" t="s">
        <v>4050</v>
      </c>
      <c r="L4580" s="1" t="s">
        <v>4054</v>
      </c>
      <c r="N4580" s="1" t="s">
        <v>4055</v>
      </c>
      <c r="P4580" s="1" t="s">
        <v>4112</v>
      </c>
      <c r="Q4580" s="3">
        <v>0</v>
      </c>
      <c r="R4580" s="23" t="s">
        <v>12893</v>
      </c>
      <c r="S4580" s="23" t="s">
        <v>6847</v>
      </c>
      <c r="T4580" s="23" t="s">
        <v>4866</v>
      </c>
      <c r="U4580" s="3">
        <v>35</v>
      </c>
      <c r="W4580" s="45" t="str">
        <f>HYPERLINK("http://ictvonline.org/taxonomy/p/taxonomy-history?taxnode_id=201900076","ICTVonline=201900076")</f>
        <v>ICTVonline=201900076</v>
      </c>
      <c r="Y4580" s="1" t="s">
        <v>13968</v>
      </c>
      <c r="Z4580" s="1" t="s">
        <v>13969</v>
      </c>
      <c r="AA4580" s="1">
        <v>201900000</v>
      </c>
      <c r="AB4580" s="1">
        <v>35</v>
      </c>
    </row>
    <row r="4581" spans="1:28" x14ac:dyDescent="0.2">
      <c r="A4581" s="1">
        <v>11702</v>
      </c>
      <c r="B4581" s="1" t="s">
        <v>6839</v>
      </c>
      <c r="D4581" s="1" t="s">
        <v>11735</v>
      </c>
      <c r="F4581" s="1" t="s">
        <v>5540</v>
      </c>
      <c r="G4581" s="1" t="s">
        <v>5630</v>
      </c>
      <c r="H4581" s="1" t="s">
        <v>5631</v>
      </c>
      <c r="J4581" s="1" t="s">
        <v>4050</v>
      </c>
      <c r="L4581" s="1" t="s">
        <v>4054</v>
      </c>
      <c r="N4581" s="1" t="s">
        <v>4055</v>
      </c>
      <c r="P4581" s="1" t="s">
        <v>4113</v>
      </c>
      <c r="Q4581" s="3">
        <v>0</v>
      </c>
      <c r="R4581" s="23" t="s">
        <v>12893</v>
      </c>
      <c r="S4581" s="23" t="s">
        <v>6847</v>
      </c>
      <c r="T4581" s="23" t="s">
        <v>4866</v>
      </c>
      <c r="U4581" s="3">
        <v>35</v>
      </c>
      <c r="W4581" s="45" t="str">
        <f>HYPERLINK("http://ictvonline.org/taxonomy/p/taxonomy-history?taxnode_id=201900077","ICTVonline=201900077")</f>
        <v>ICTVonline=201900077</v>
      </c>
      <c r="Y4581" s="1" t="s">
        <v>13970</v>
      </c>
      <c r="Z4581" s="1" t="s">
        <v>13971</v>
      </c>
      <c r="AA4581" s="1">
        <v>201900000</v>
      </c>
      <c r="AB4581" s="1">
        <v>35</v>
      </c>
    </row>
    <row r="4582" spans="1:28" x14ac:dyDescent="0.2">
      <c r="A4582" s="1">
        <v>11704</v>
      </c>
      <c r="B4582" s="1" t="s">
        <v>6839</v>
      </c>
      <c r="D4582" s="1" t="s">
        <v>11735</v>
      </c>
      <c r="F4582" s="1" t="s">
        <v>5540</v>
      </c>
      <c r="G4582" s="1" t="s">
        <v>5630</v>
      </c>
      <c r="H4582" s="1" t="s">
        <v>5631</v>
      </c>
      <c r="J4582" s="1" t="s">
        <v>4050</v>
      </c>
      <c r="L4582" s="1" t="s">
        <v>4054</v>
      </c>
      <c r="N4582" s="1" t="s">
        <v>4055</v>
      </c>
      <c r="P4582" s="1" t="s">
        <v>4028</v>
      </c>
      <c r="Q4582" s="3">
        <v>0</v>
      </c>
      <c r="R4582" s="23" t="s">
        <v>12893</v>
      </c>
      <c r="S4582" s="23" t="s">
        <v>6847</v>
      </c>
      <c r="T4582" s="23" t="s">
        <v>4866</v>
      </c>
      <c r="U4582" s="3">
        <v>35</v>
      </c>
      <c r="W4582" s="45" t="str">
        <f>HYPERLINK("http://ictvonline.org/taxonomy/p/taxonomy-history?taxnode_id=201900078","ICTVonline=201900078")</f>
        <v>ICTVonline=201900078</v>
      </c>
      <c r="AA4582" s="1">
        <v>201900000</v>
      </c>
      <c r="AB4582" s="1">
        <v>35</v>
      </c>
    </row>
    <row r="4583" spans="1:28" x14ac:dyDescent="0.2">
      <c r="A4583" s="1">
        <v>11706</v>
      </c>
      <c r="B4583" s="1" t="s">
        <v>6839</v>
      </c>
      <c r="D4583" s="1" t="s">
        <v>11735</v>
      </c>
      <c r="F4583" s="1" t="s">
        <v>5540</v>
      </c>
      <c r="G4583" s="1" t="s">
        <v>5630</v>
      </c>
      <c r="H4583" s="1" t="s">
        <v>5631</v>
      </c>
      <c r="J4583" s="1" t="s">
        <v>4050</v>
      </c>
      <c r="L4583" s="1" t="s">
        <v>4054</v>
      </c>
      <c r="N4583" s="1" t="s">
        <v>4055</v>
      </c>
      <c r="P4583" s="1" t="s">
        <v>4029</v>
      </c>
      <c r="Q4583" s="3">
        <v>0</v>
      </c>
      <c r="R4583" s="23" t="s">
        <v>12893</v>
      </c>
      <c r="S4583" s="23" t="s">
        <v>6847</v>
      </c>
      <c r="T4583" s="23" t="s">
        <v>4866</v>
      </c>
      <c r="U4583" s="3">
        <v>35</v>
      </c>
      <c r="W4583" s="45" t="str">
        <f>HYPERLINK("http://ictvonline.org/taxonomy/p/taxonomy-history?taxnode_id=201900079","ICTVonline=201900079")</f>
        <v>ICTVonline=201900079</v>
      </c>
      <c r="AA4583" s="1">
        <v>201900000</v>
      </c>
      <c r="AB4583" s="1">
        <v>35</v>
      </c>
    </row>
    <row r="4584" spans="1:28" x14ac:dyDescent="0.2">
      <c r="A4584" s="1">
        <v>11708</v>
      </c>
      <c r="B4584" s="1" t="s">
        <v>6839</v>
      </c>
      <c r="D4584" s="1" t="s">
        <v>11735</v>
      </c>
      <c r="F4584" s="1" t="s">
        <v>5540</v>
      </c>
      <c r="G4584" s="1" t="s">
        <v>5630</v>
      </c>
      <c r="H4584" s="1" t="s">
        <v>5631</v>
      </c>
      <c r="J4584" s="1" t="s">
        <v>4050</v>
      </c>
      <c r="L4584" s="1" t="s">
        <v>4054</v>
      </c>
      <c r="N4584" s="1" t="s">
        <v>4055</v>
      </c>
      <c r="P4584" s="1" t="s">
        <v>4927</v>
      </c>
      <c r="Q4584" s="3">
        <v>0</v>
      </c>
      <c r="R4584" s="23" t="s">
        <v>12893</v>
      </c>
      <c r="S4584" s="23" t="s">
        <v>6847</v>
      </c>
      <c r="T4584" s="23" t="s">
        <v>4866</v>
      </c>
      <c r="U4584" s="3">
        <v>35</v>
      </c>
      <c r="W4584" s="45" t="str">
        <f>HYPERLINK("http://ictvonline.org/taxonomy/p/taxonomy-history?taxnode_id=201900069","ICTVonline=201900069")</f>
        <v>ICTVonline=201900069</v>
      </c>
      <c r="Y4584" s="1" t="s">
        <v>13972</v>
      </c>
      <c r="Z4584" s="1" t="s">
        <v>13973</v>
      </c>
      <c r="AA4584" s="1">
        <v>201900000</v>
      </c>
      <c r="AB4584" s="1">
        <v>35</v>
      </c>
    </row>
    <row r="4585" spans="1:28" x14ac:dyDescent="0.2">
      <c r="A4585" s="1">
        <v>11710</v>
      </c>
      <c r="B4585" s="1" t="s">
        <v>6839</v>
      </c>
      <c r="D4585" s="1" t="s">
        <v>11735</v>
      </c>
      <c r="F4585" s="1" t="s">
        <v>5540</v>
      </c>
      <c r="G4585" s="1" t="s">
        <v>5630</v>
      </c>
      <c r="H4585" s="1" t="s">
        <v>5631</v>
      </c>
      <c r="J4585" s="1" t="s">
        <v>4050</v>
      </c>
      <c r="L4585" s="1" t="s">
        <v>4054</v>
      </c>
      <c r="N4585" s="1" t="s">
        <v>4055</v>
      </c>
      <c r="P4585" s="1" t="s">
        <v>4030</v>
      </c>
      <c r="Q4585" s="3">
        <v>0</v>
      </c>
      <c r="R4585" s="23" t="s">
        <v>12893</v>
      </c>
      <c r="S4585" s="23" t="s">
        <v>6847</v>
      </c>
      <c r="T4585" s="23" t="s">
        <v>4866</v>
      </c>
      <c r="U4585" s="3">
        <v>35</v>
      </c>
      <c r="W4585" s="45" t="str">
        <f>HYPERLINK("http://ictvonline.org/taxonomy/p/taxonomy-history?taxnode_id=201900080","ICTVonline=201900080")</f>
        <v>ICTVonline=201900080</v>
      </c>
      <c r="AA4585" s="1">
        <v>201900000</v>
      </c>
      <c r="AB4585" s="1">
        <v>35</v>
      </c>
    </row>
    <row r="4586" spans="1:28" x14ac:dyDescent="0.2">
      <c r="A4586" s="1">
        <v>11714</v>
      </c>
      <c r="B4586" s="1" t="s">
        <v>6839</v>
      </c>
      <c r="D4586" s="1" t="s">
        <v>11735</v>
      </c>
      <c r="F4586" s="1" t="s">
        <v>5540</v>
      </c>
      <c r="G4586" s="1" t="s">
        <v>5630</v>
      </c>
      <c r="H4586" s="1" t="s">
        <v>5631</v>
      </c>
      <c r="J4586" s="1" t="s">
        <v>4050</v>
      </c>
      <c r="L4586" s="1" t="s">
        <v>4054</v>
      </c>
      <c r="N4586" s="1" t="s">
        <v>5647</v>
      </c>
      <c r="P4586" s="1" t="s">
        <v>5648</v>
      </c>
      <c r="Q4586" s="3">
        <v>1</v>
      </c>
      <c r="R4586" s="23" t="s">
        <v>12893</v>
      </c>
      <c r="S4586" s="23" t="s">
        <v>6847</v>
      </c>
      <c r="T4586" s="23" t="s">
        <v>4866</v>
      </c>
      <c r="U4586" s="3">
        <v>35</v>
      </c>
      <c r="W4586" s="45" t="str">
        <f>HYPERLINK("http://ictvonline.org/taxonomy/p/taxonomy-history?taxnode_id=201906217","ICTVonline=201906217")</f>
        <v>ICTVonline=201906217</v>
      </c>
      <c r="X4586" s="1" t="s">
        <v>13974</v>
      </c>
      <c r="Y4586" s="1" t="s">
        <v>13975</v>
      </c>
      <c r="Z4586" s="1" t="s">
        <v>13976</v>
      </c>
      <c r="AA4586" s="1">
        <v>201900000</v>
      </c>
      <c r="AB4586" s="1">
        <v>35</v>
      </c>
    </row>
    <row r="4587" spans="1:28" x14ac:dyDescent="0.2">
      <c r="A4587" s="1">
        <v>11718</v>
      </c>
      <c r="B4587" s="1" t="s">
        <v>6839</v>
      </c>
      <c r="D4587" s="1" t="s">
        <v>11735</v>
      </c>
      <c r="F4587" s="1" t="s">
        <v>5540</v>
      </c>
      <c r="G4587" s="1" t="s">
        <v>5630</v>
      </c>
      <c r="H4587" s="1" t="s">
        <v>5631</v>
      </c>
      <c r="J4587" s="1" t="s">
        <v>4050</v>
      </c>
      <c r="L4587" s="1" t="s">
        <v>4054</v>
      </c>
      <c r="N4587" s="1" t="s">
        <v>5649</v>
      </c>
      <c r="P4587" s="1" t="s">
        <v>5650</v>
      </c>
      <c r="Q4587" s="3">
        <v>1</v>
      </c>
      <c r="R4587" s="23" t="s">
        <v>12893</v>
      </c>
      <c r="S4587" s="23" t="s">
        <v>6847</v>
      </c>
      <c r="T4587" s="23" t="s">
        <v>4866</v>
      </c>
      <c r="U4587" s="3">
        <v>35</v>
      </c>
      <c r="W4587" s="45" t="str">
        <f>HYPERLINK("http://ictvonline.org/taxonomy/p/taxonomy-history?taxnode_id=201906219","ICTVonline=201906219")</f>
        <v>ICTVonline=201906219</v>
      </c>
      <c r="X4587" s="1" t="s">
        <v>13977</v>
      </c>
      <c r="Y4587" s="1" t="s">
        <v>13978</v>
      </c>
      <c r="Z4587" s="1" t="s">
        <v>13979</v>
      </c>
      <c r="AA4587" s="1">
        <v>201900000</v>
      </c>
      <c r="AB4587" s="1">
        <v>35</v>
      </c>
    </row>
    <row r="4588" spans="1:28" x14ac:dyDescent="0.2">
      <c r="A4588" s="1">
        <v>11724</v>
      </c>
      <c r="B4588" s="1" t="s">
        <v>6839</v>
      </c>
      <c r="D4588" s="1" t="s">
        <v>11735</v>
      </c>
      <c r="F4588" s="1" t="s">
        <v>5540</v>
      </c>
      <c r="G4588" s="1" t="s">
        <v>5630</v>
      </c>
      <c r="H4588" s="1" t="s">
        <v>5631</v>
      </c>
      <c r="J4588" s="1" t="s">
        <v>4050</v>
      </c>
      <c r="L4588" s="1" t="s">
        <v>4056</v>
      </c>
      <c r="N4588" s="1" t="s">
        <v>4106</v>
      </c>
      <c r="P4588" s="1" t="s">
        <v>4107</v>
      </c>
      <c r="Q4588" s="3">
        <v>1</v>
      </c>
      <c r="R4588" s="23" t="s">
        <v>12893</v>
      </c>
      <c r="S4588" s="23" t="s">
        <v>6848</v>
      </c>
      <c r="T4588" s="23" t="s">
        <v>4866</v>
      </c>
      <c r="U4588" s="3">
        <v>35</v>
      </c>
      <c r="W4588" s="45" t="str">
        <f>HYPERLINK("http://ictvonline.org/taxonomy/p/taxonomy-history?taxnode_id=201900083","ICTVonline=201900083")</f>
        <v>ICTVonline=201900083</v>
      </c>
      <c r="Y4588" s="1" t="s">
        <v>13980</v>
      </c>
      <c r="Z4588" s="1" t="s">
        <v>13981</v>
      </c>
      <c r="AA4588" s="1">
        <v>201900000</v>
      </c>
      <c r="AB4588" s="1">
        <v>35</v>
      </c>
    </row>
    <row r="4589" spans="1:28" x14ac:dyDescent="0.2">
      <c r="A4589" s="1">
        <v>11726</v>
      </c>
      <c r="B4589" s="1" t="s">
        <v>6839</v>
      </c>
      <c r="D4589" s="1" t="s">
        <v>11735</v>
      </c>
      <c r="F4589" s="1" t="s">
        <v>5540</v>
      </c>
      <c r="G4589" s="1" t="s">
        <v>5630</v>
      </c>
      <c r="H4589" s="1" t="s">
        <v>5631</v>
      </c>
      <c r="J4589" s="1" t="s">
        <v>4050</v>
      </c>
      <c r="L4589" s="1" t="s">
        <v>4056</v>
      </c>
      <c r="N4589" s="1" t="s">
        <v>4106</v>
      </c>
      <c r="P4589" s="1" t="s">
        <v>4108</v>
      </c>
      <c r="Q4589" s="3">
        <v>0</v>
      </c>
      <c r="R4589" s="23" t="s">
        <v>12893</v>
      </c>
      <c r="S4589" s="23" t="s">
        <v>6848</v>
      </c>
      <c r="T4589" s="23" t="s">
        <v>4866</v>
      </c>
      <c r="U4589" s="3">
        <v>35</v>
      </c>
      <c r="W4589" s="45" t="str">
        <f>HYPERLINK("http://ictvonline.org/taxonomy/p/taxonomy-history?taxnode_id=201900084","ICTVonline=201900084")</f>
        <v>ICTVonline=201900084</v>
      </c>
      <c r="Y4589" s="1" t="s">
        <v>13982</v>
      </c>
      <c r="Z4589" s="1" t="s">
        <v>13983</v>
      </c>
      <c r="AA4589" s="1">
        <v>201900000</v>
      </c>
      <c r="AB4589" s="1">
        <v>35</v>
      </c>
    </row>
    <row r="4590" spans="1:28" x14ac:dyDescent="0.2">
      <c r="A4590" s="1">
        <v>11728</v>
      </c>
      <c r="B4590" s="1" t="s">
        <v>6839</v>
      </c>
      <c r="D4590" s="1" t="s">
        <v>11735</v>
      </c>
      <c r="F4590" s="1" t="s">
        <v>5540</v>
      </c>
      <c r="G4590" s="1" t="s">
        <v>5630</v>
      </c>
      <c r="H4590" s="1" t="s">
        <v>5631</v>
      </c>
      <c r="J4590" s="1" t="s">
        <v>4050</v>
      </c>
      <c r="L4590" s="1" t="s">
        <v>4056</v>
      </c>
      <c r="N4590" s="1" t="s">
        <v>4106</v>
      </c>
      <c r="P4590" s="1" t="s">
        <v>4109</v>
      </c>
      <c r="Q4590" s="3">
        <v>0</v>
      </c>
      <c r="R4590" s="23" t="s">
        <v>12893</v>
      </c>
      <c r="S4590" s="23" t="s">
        <v>6848</v>
      </c>
      <c r="T4590" s="23" t="s">
        <v>4866</v>
      </c>
      <c r="U4590" s="3">
        <v>35</v>
      </c>
      <c r="W4590" s="45" t="str">
        <f>HYPERLINK("http://ictvonline.org/taxonomy/p/taxonomy-history?taxnode_id=201900086","ICTVonline=201900086")</f>
        <v>ICTVonline=201900086</v>
      </c>
      <c r="Y4590" s="1" t="s">
        <v>13984</v>
      </c>
      <c r="Z4590" s="1" t="s">
        <v>13985</v>
      </c>
      <c r="AA4590" s="1">
        <v>201900000</v>
      </c>
      <c r="AB4590" s="1">
        <v>35</v>
      </c>
    </row>
    <row r="4591" spans="1:28" x14ac:dyDescent="0.2">
      <c r="A4591" s="1">
        <v>11732</v>
      </c>
      <c r="B4591" s="1" t="s">
        <v>6839</v>
      </c>
      <c r="D4591" s="1" t="s">
        <v>11735</v>
      </c>
      <c r="F4591" s="1" t="s">
        <v>5540</v>
      </c>
      <c r="G4591" s="1" t="s">
        <v>5630</v>
      </c>
      <c r="H4591" s="1" t="s">
        <v>5631</v>
      </c>
      <c r="J4591" s="1" t="s">
        <v>4050</v>
      </c>
      <c r="L4591" s="1" t="s">
        <v>4056</v>
      </c>
      <c r="N4591" s="1" t="s">
        <v>1962</v>
      </c>
      <c r="P4591" s="1" t="s">
        <v>3640</v>
      </c>
      <c r="Q4591" s="3">
        <v>0</v>
      </c>
      <c r="R4591" s="23" t="s">
        <v>12893</v>
      </c>
      <c r="S4591" s="23" t="s">
        <v>6848</v>
      </c>
      <c r="T4591" s="23" t="s">
        <v>4866</v>
      </c>
      <c r="U4591" s="3">
        <v>35</v>
      </c>
      <c r="W4591" s="45" t="str">
        <f>HYPERLINK("http://ictvonline.org/taxonomy/p/taxonomy-history?taxnode_id=201900089","ICTVonline=201900089")</f>
        <v>ICTVonline=201900089</v>
      </c>
      <c r="Z4591" s="1" t="s">
        <v>13986</v>
      </c>
      <c r="AA4591" s="1">
        <v>201900000</v>
      </c>
      <c r="AB4591" s="1">
        <v>35</v>
      </c>
    </row>
    <row r="4592" spans="1:28" x14ac:dyDescent="0.2">
      <c r="A4592" s="1">
        <v>11734</v>
      </c>
      <c r="B4592" s="1" t="s">
        <v>6839</v>
      </c>
      <c r="D4592" s="1" t="s">
        <v>11735</v>
      </c>
      <c r="F4592" s="1" t="s">
        <v>5540</v>
      </c>
      <c r="G4592" s="1" t="s">
        <v>5630</v>
      </c>
      <c r="H4592" s="1" t="s">
        <v>5631</v>
      </c>
      <c r="J4592" s="1" t="s">
        <v>4050</v>
      </c>
      <c r="L4592" s="1" t="s">
        <v>4056</v>
      </c>
      <c r="N4592" s="1" t="s">
        <v>1962</v>
      </c>
      <c r="P4592" s="1" t="s">
        <v>5948</v>
      </c>
      <c r="Q4592" s="3">
        <v>0</v>
      </c>
      <c r="R4592" s="23" t="s">
        <v>12893</v>
      </c>
      <c r="S4592" s="23" t="s">
        <v>6848</v>
      </c>
      <c r="T4592" s="23" t="s">
        <v>4866</v>
      </c>
      <c r="U4592" s="3">
        <v>35</v>
      </c>
      <c r="W4592" s="45" t="str">
        <f>HYPERLINK("http://ictvonline.org/taxonomy/p/taxonomy-history?taxnode_id=201906382","ICTVonline=201906382")</f>
        <v>ICTVonline=201906382</v>
      </c>
      <c r="X4592" s="1" t="s">
        <v>13987</v>
      </c>
      <c r="Y4592" s="1" t="s">
        <v>13988</v>
      </c>
      <c r="Z4592" s="1" t="s">
        <v>13989</v>
      </c>
      <c r="AA4592" s="1">
        <v>201900000</v>
      </c>
      <c r="AB4592" s="1">
        <v>35</v>
      </c>
    </row>
    <row r="4593" spans="1:28" x14ac:dyDescent="0.2">
      <c r="A4593" s="1">
        <v>11736</v>
      </c>
      <c r="B4593" s="1" t="s">
        <v>6839</v>
      </c>
      <c r="D4593" s="1" t="s">
        <v>11735</v>
      </c>
      <c r="F4593" s="1" t="s">
        <v>5540</v>
      </c>
      <c r="G4593" s="1" t="s">
        <v>5630</v>
      </c>
      <c r="H4593" s="1" t="s">
        <v>5631</v>
      </c>
      <c r="J4593" s="1" t="s">
        <v>4050</v>
      </c>
      <c r="L4593" s="1" t="s">
        <v>4056</v>
      </c>
      <c r="N4593" s="1" t="s">
        <v>1962</v>
      </c>
      <c r="P4593" s="1" t="s">
        <v>3641</v>
      </c>
      <c r="Q4593" s="3">
        <v>0</v>
      </c>
      <c r="R4593" s="23" t="s">
        <v>12893</v>
      </c>
      <c r="S4593" s="23" t="s">
        <v>6848</v>
      </c>
      <c r="T4593" s="23" t="s">
        <v>4866</v>
      </c>
      <c r="U4593" s="3">
        <v>35</v>
      </c>
      <c r="W4593" s="45" t="str">
        <f>HYPERLINK("http://ictvonline.org/taxonomy/p/taxonomy-history?taxnode_id=201900090","ICTVonline=201900090")</f>
        <v>ICTVonline=201900090</v>
      </c>
      <c r="Z4593" s="1" t="s">
        <v>13990</v>
      </c>
      <c r="AA4593" s="1">
        <v>201900000</v>
      </c>
      <c r="AB4593" s="1">
        <v>35</v>
      </c>
    </row>
    <row r="4594" spans="1:28" x14ac:dyDescent="0.2">
      <c r="A4594" s="1">
        <v>11738</v>
      </c>
      <c r="B4594" s="1" t="s">
        <v>6839</v>
      </c>
      <c r="D4594" s="1" t="s">
        <v>11735</v>
      </c>
      <c r="F4594" s="1" t="s">
        <v>5540</v>
      </c>
      <c r="G4594" s="1" t="s">
        <v>5630</v>
      </c>
      <c r="H4594" s="1" t="s">
        <v>5631</v>
      </c>
      <c r="J4594" s="1" t="s">
        <v>4050</v>
      </c>
      <c r="L4594" s="1" t="s">
        <v>4056</v>
      </c>
      <c r="N4594" s="1" t="s">
        <v>1962</v>
      </c>
      <c r="P4594" s="1" t="s">
        <v>3642</v>
      </c>
      <c r="Q4594" s="3">
        <v>0</v>
      </c>
      <c r="R4594" s="23" t="s">
        <v>12893</v>
      </c>
      <c r="S4594" s="23" t="s">
        <v>6848</v>
      </c>
      <c r="T4594" s="23" t="s">
        <v>4866</v>
      </c>
      <c r="U4594" s="3">
        <v>35</v>
      </c>
      <c r="W4594" s="45" t="str">
        <f>HYPERLINK("http://ictvonline.org/taxonomy/p/taxonomy-history?taxnode_id=201900091","ICTVonline=201900091")</f>
        <v>ICTVonline=201900091</v>
      </c>
      <c r="Z4594" s="1" t="s">
        <v>13991</v>
      </c>
      <c r="AA4594" s="1">
        <v>201900000</v>
      </c>
      <c r="AB4594" s="1">
        <v>35</v>
      </c>
    </row>
    <row r="4595" spans="1:28" x14ac:dyDescent="0.2">
      <c r="A4595" s="1">
        <v>11740</v>
      </c>
      <c r="B4595" s="1" t="s">
        <v>6839</v>
      </c>
      <c r="D4595" s="1" t="s">
        <v>11735</v>
      </c>
      <c r="F4595" s="1" t="s">
        <v>5540</v>
      </c>
      <c r="G4595" s="1" t="s">
        <v>5630</v>
      </c>
      <c r="H4595" s="1" t="s">
        <v>5631</v>
      </c>
      <c r="J4595" s="1" t="s">
        <v>4050</v>
      </c>
      <c r="L4595" s="1" t="s">
        <v>4056</v>
      </c>
      <c r="N4595" s="1" t="s">
        <v>1962</v>
      </c>
      <c r="P4595" s="1" t="s">
        <v>5949</v>
      </c>
      <c r="Q4595" s="3">
        <v>0</v>
      </c>
      <c r="R4595" s="23" t="s">
        <v>12893</v>
      </c>
      <c r="S4595" s="23" t="s">
        <v>6848</v>
      </c>
      <c r="T4595" s="23" t="s">
        <v>4866</v>
      </c>
      <c r="U4595" s="3">
        <v>35</v>
      </c>
      <c r="W4595" s="45" t="str">
        <f>HYPERLINK("http://ictvonline.org/taxonomy/p/taxonomy-history?taxnode_id=201906354","ICTVonline=201906354")</f>
        <v>ICTVonline=201906354</v>
      </c>
      <c r="X4595" s="1" t="s">
        <v>13992</v>
      </c>
      <c r="Y4595" s="1" t="s">
        <v>13993</v>
      </c>
      <c r="Z4595" s="1" t="s">
        <v>13994</v>
      </c>
      <c r="AA4595" s="1">
        <v>201900000</v>
      </c>
      <c r="AB4595" s="1">
        <v>35</v>
      </c>
    </row>
    <row r="4596" spans="1:28" x14ac:dyDescent="0.2">
      <c r="A4596" s="1">
        <v>11742</v>
      </c>
      <c r="B4596" s="1" t="s">
        <v>6839</v>
      </c>
      <c r="D4596" s="1" t="s">
        <v>11735</v>
      </c>
      <c r="F4596" s="1" t="s">
        <v>5540</v>
      </c>
      <c r="G4596" s="1" t="s">
        <v>5630</v>
      </c>
      <c r="H4596" s="1" t="s">
        <v>5631</v>
      </c>
      <c r="J4596" s="1" t="s">
        <v>4050</v>
      </c>
      <c r="L4596" s="1" t="s">
        <v>4056</v>
      </c>
      <c r="N4596" s="1" t="s">
        <v>1962</v>
      </c>
      <c r="P4596" s="1" t="s">
        <v>5950</v>
      </c>
      <c r="Q4596" s="3">
        <v>0</v>
      </c>
      <c r="R4596" s="23" t="s">
        <v>12893</v>
      </c>
      <c r="S4596" s="23" t="s">
        <v>6848</v>
      </c>
      <c r="T4596" s="23" t="s">
        <v>4866</v>
      </c>
      <c r="U4596" s="3">
        <v>35</v>
      </c>
      <c r="W4596" s="45" t="str">
        <f>HYPERLINK("http://ictvonline.org/taxonomy/p/taxonomy-history?taxnode_id=201906383","ICTVonline=201906383")</f>
        <v>ICTVonline=201906383</v>
      </c>
      <c r="X4596" s="1" t="s">
        <v>13995</v>
      </c>
      <c r="Y4596" s="1" t="s">
        <v>13996</v>
      </c>
      <c r="Z4596" s="1" t="s">
        <v>13997</v>
      </c>
      <c r="AA4596" s="1">
        <v>201900000</v>
      </c>
      <c r="AB4596" s="1">
        <v>35</v>
      </c>
    </row>
    <row r="4597" spans="1:28" x14ac:dyDescent="0.2">
      <c r="A4597" s="1">
        <v>11744</v>
      </c>
      <c r="B4597" s="1" t="s">
        <v>6839</v>
      </c>
      <c r="D4597" s="1" t="s">
        <v>11735</v>
      </c>
      <c r="F4597" s="1" t="s">
        <v>5540</v>
      </c>
      <c r="G4597" s="1" t="s">
        <v>5630</v>
      </c>
      <c r="H4597" s="1" t="s">
        <v>5631</v>
      </c>
      <c r="J4597" s="1" t="s">
        <v>4050</v>
      </c>
      <c r="L4597" s="1" t="s">
        <v>4056</v>
      </c>
      <c r="N4597" s="1" t="s">
        <v>1962</v>
      </c>
      <c r="P4597" s="1" t="s">
        <v>3643</v>
      </c>
      <c r="Q4597" s="3">
        <v>0</v>
      </c>
      <c r="R4597" s="23" t="s">
        <v>12893</v>
      </c>
      <c r="S4597" s="23" t="s">
        <v>6848</v>
      </c>
      <c r="T4597" s="23" t="s">
        <v>4866</v>
      </c>
      <c r="U4597" s="3">
        <v>35</v>
      </c>
      <c r="W4597" s="45" t="str">
        <f>HYPERLINK("http://ictvonline.org/taxonomy/p/taxonomy-history?taxnode_id=201900092","ICTVonline=201900092")</f>
        <v>ICTVonline=201900092</v>
      </c>
      <c r="Z4597" s="1" t="s">
        <v>13998</v>
      </c>
      <c r="AA4597" s="1">
        <v>201900000</v>
      </c>
      <c r="AB4597" s="1">
        <v>35</v>
      </c>
    </row>
    <row r="4598" spans="1:28" x14ac:dyDescent="0.2">
      <c r="A4598" s="1">
        <v>11746</v>
      </c>
      <c r="B4598" s="1" t="s">
        <v>6839</v>
      </c>
      <c r="D4598" s="1" t="s">
        <v>11735</v>
      </c>
      <c r="F4598" s="1" t="s">
        <v>5540</v>
      </c>
      <c r="G4598" s="1" t="s">
        <v>5630</v>
      </c>
      <c r="H4598" s="1" t="s">
        <v>5631</v>
      </c>
      <c r="J4598" s="1" t="s">
        <v>4050</v>
      </c>
      <c r="L4598" s="1" t="s">
        <v>4056</v>
      </c>
      <c r="N4598" s="1" t="s">
        <v>1962</v>
      </c>
      <c r="P4598" s="1" t="s">
        <v>3644</v>
      </c>
      <c r="Q4598" s="3">
        <v>0</v>
      </c>
      <c r="R4598" s="23" t="s">
        <v>12893</v>
      </c>
      <c r="S4598" s="23" t="s">
        <v>6848</v>
      </c>
      <c r="T4598" s="23" t="s">
        <v>4866</v>
      </c>
      <c r="U4598" s="3">
        <v>35</v>
      </c>
      <c r="W4598" s="45" t="str">
        <f>HYPERLINK("http://ictvonline.org/taxonomy/p/taxonomy-history?taxnode_id=201900093","ICTVonline=201900093")</f>
        <v>ICTVonline=201900093</v>
      </c>
      <c r="Z4598" s="1" t="s">
        <v>13999</v>
      </c>
      <c r="AA4598" s="1">
        <v>201900000</v>
      </c>
      <c r="AB4598" s="1">
        <v>35</v>
      </c>
    </row>
    <row r="4599" spans="1:28" x14ac:dyDescent="0.2">
      <c r="A4599" s="1">
        <v>11748</v>
      </c>
      <c r="B4599" s="1" t="s">
        <v>6839</v>
      </c>
      <c r="D4599" s="1" t="s">
        <v>11735</v>
      </c>
      <c r="F4599" s="1" t="s">
        <v>5540</v>
      </c>
      <c r="G4599" s="1" t="s">
        <v>5630</v>
      </c>
      <c r="H4599" s="1" t="s">
        <v>5631</v>
      </c>
      <c r="J4599" s="1" t="s">
        <v>4050</v>
      </c>
      <c r="L4599" s="1" t="s">
        <v>4056</v>
      </c>
      <c r="N4599" s="1" t="s">
        <v>1962</v>
      </c>
      <c r="P4599" s="1" t="s">
        <v>3645</v>
      </c>
      <c r="Q4599" s="3">
        <v>0</v>
      </c>
      <c r="R4599" s="23" t="s">
        <v>12893</v>
      </c>
      <c r="S4599" s="23" t="s">
        <v>6848</v>
      </c>
      <c r="T4599" s="23" t="s">
        <v>4866</v>
      </c>
      <c r="U4599" s="3">
        <v>35</v>
      </c>
      <c r="W4599" s="45" t="str">
        <f>HYPERLINK("http://ictvonline.org/taxonomy/p/taxonomy-history?taxnode_id=201900094","ICTVonline=201900094")</f>
        <v>ICTVonline=201900094</v>
      </c>
      <c r="Z4599" s="1" t="s">
        <v>14000</v>
      </c>
      <c r="AA4599" s="1">
        <v>201900000</v>
      </c>
      <c r="AB4599" s="1">
        <v>35</v>
      </c>
    </row>
    <row r="4600" spans="1:28" x14ac:dyDescent="0.2">
      <c r="A4600" s="1">
        <v>11750</v>
      </c>
      <c r="B4600" s="1" t="s">
        <v>6839</v>
      </c>
      <c r="D4600" s="1" t="s">
        <v>11735</v>
      </c>
      <c r="F4600" s="1" t="s">
        <v>5540</v>
      </c>
      <c r="G4600" s="1" t="s">
        <v>5630</v>
      </c>
      <c r="H4600" s="1" t="s">
        <v>5631</v>
      </c>
      <c r="J4600" s="1" t="s">
        <v>4050</v>
      </c>
      <c r="L4600" s="1" t="s">
        <v>4056</v>
      </c>
      <c r="N4600" s="1" t="s">
        <v>1962</v>
      </c>
      <c r="P4600" s="1" t="s">
        <v>5951</v>
      </c>
      <c r="Q4600" s="3">
        <v>0</v>
      </c>
      <c r="R4600" s="23" t="s">
        <v>12893</v>
      </c>
      <c r="S4600" s="23" t="s">
        <v>6848</v>
      </c>
      <c r="T4600" s="23" t="s">
        <v>4866</v>
      </c>
      <c r="U4600" s="3">
        <v>35</v>
      </c>
      <c r="W4600" s="45" t="str">
        <f>HYPERLINK("http://ictvonline.org/taxonomy/p/taxonomy-history?taxnode_id=201906355","ICTVonline=201906355")</f>
        <v>ICTVonline=201906355</v>
      </c>
      <c r="X4600" s="1" t="s">
        <v>14001</v>
      </c>
      <c r="Y4600" s="1" t="s">
        <v>14002</v>
      </c>
      <c r="Z4600" s="1" t="s">
        <v>14003</v>
      </c>
      <c r="AA4600" s="1">
        <v>201900000</v>
      </c>
      <c r="AB4600" s="1">
        <v>35</v>
      </c>
    </row>
    <row r="4601" spans="1:28" x14ac:dyDescent="0.2">
      <c r="A4601" s="1">
        <v>11752</v>
      </c>
      <c r="B4601" s="1" t="s">
        <v>6839</v>
      </c>
      <c r="D4601" s="1" t="s">
        <v>11735</v>
      </c>
      <c r="F4601" s="1" t="s">
        <v>5540</v>
      </c>
      <c r="G4601" s="1" t="s">
        <v>5630</v>
      </c>
      <c r="H4601" s="1" t="s">
        <v>5631</v>
      </c>
      <c r="J4601" s="1" t="s">
        <v>4050</v>
      </c>
      <c r="L4601" s="1" t="s">
        <v>4056</v>
      </c>
      <c r="N4601" s="1" t="s">
        <v>1962</v>
      </c>
      <c r="P4601" s="1" t="s">
        <v>3646</v>
      </c>
      <c r="Q4601" s="3">
        <v>0</v>
      </c>
      <c r="R4601" s="23" t="s">
        <v>12893</v>
      </c>
      <c r="S4601" s="23" t="s">
        <v>6848</v>
      </c>
      <c r="T4601" s="23" t="s">
        <v>4866</v>
      </c>
      <c r="U4601" s="3">
        <v>35</v>
      </c>
      <c r="W4601" s="45" t="str">
        <f>HYPERLINK("http://ictvonline.org/taxonomy/p/taxonomy-history?taxnode_id=201900095","ICTVonline=201900095")</f>
        <v>ICTVonline=201900095</v>
      </c>
      <c r="Z4601" s="1" t="s">
        <v>14004</v>
      </c>
      <c r="AA4601" s="1">
        <v>201900000</v>
      </c>
      <c r="AB4601" s="1">
        <v>35</v>
      </c>
    </row>
    <row r="4602" spans="1:28" x14ac:dyDescent="0.2">
      <c r="A4602" s="1">
        <v>11754</v>
      </c>
      <c r="B4602" s="1" t="s">
        <v>6839</v>
      </c>
      <c r="D4602" s="1" t="s">
        <v>11735</v>
      </c>
      <c r="F4602" s="1" t="s">
        <v>5540</v>
      </c>
      <c r="G4602" s="1" t="s">
        <v>5630</v>
      </c>
      <c r="H4602" s="1" t="s">
        <v>5631</v>
      </c>
      <c r="J4602" s="1" t="s">
        <v>4050</v>
      </c>
      <c r="L4602" s="1" t="s">
        <v>4056</v>
      </c>
      <c r="N4602" s="1" t="s">
        <v>1962</v>
      </c>
      <c r="P4602" s="1" t="s">
        <v>5952</v>
      </c>
      <c r="Q4602" s="3">
        <v>0</v>
      </c>
      <c r="R4602" s="23" t="s">
        <v>12893</v>
      </c>
      <c r="S4602" s="23" t="s">
        <v>6848</v>
      </c>
      <c r="T4602" s="23" t="s">
        <v>4866</v>
      </c>
      <c r="U4602" s="3">
        <v>35</v>
      </c>
      <c r="W4602" s="45" t="str">
        <f>HYPERLINK("http://ictvonline.org/taxonomy/p/taxonomy-history?taxnode_id=201906596","ICTVonline=201906596")</f>
        <v>ICTVonline=201906596</v>
      </c>
      <c r="Y4602" s="1" t="s">
        <v>14005</v>
      </c>
      <c r="Z4602" s="1" t="s">
        <v>14006</v>
      </c>
      <c r="AA4602" s="1">
        <v>201900000</v>
      </c>
      <c r="AB4602" s="1">
        <v>35</v>
      </c>
    </row>
    <row r="4603" spans="1:28" x14ac:dyDescent="0.2">
      <c r="A4603" s="1">
        <v>11756</v>
      </c>
      <c r="B4603" s="1" t="s">
        <v>6839</v>
      </c>
      <c r="D4603" s="1" t="s">
        <v>11735</v>
      </c>
      <c r="F4603" s="1" t="s">
        <v>5540</v>
      </c>
      <c r="G4603" s="1" t="s">
        <v>5630</v>
      </c>
      <c r="H4603" s="1" t="s">
        <v>5631</v>
      </c>
      <c r="J4603" s="1" t="s">
        <v>4050</v>
      </c>
      <c r="L4603" s="1" t="s">
        <v>4056</v>
      </c>
      <c r="N4603" s="1" t="s">
        <v>1962</v>
      </c>
      <c r="P4603" s="1" t="s">
        <v>3647</v>
      </c>
      <c r="Q4603" s="3">
        <v>0</v>
      </c>
      <c r="R4603" s="23" t="s">
        <v>12893</v>
      </c>
      <c r="S4603" s="23" t="s">
        <v>6848</v>
      </c>
      <c r="T4603" s="23" t="s">
        <v>4866</v>
      </c>
      <c r="U4603" s="3">
        <v>35</v>
      </c>
      <c r="W4603" s="45" t="str">
        <f>HYPERLINK("http://ictvonline.org/taxonomy/p/taxonomy-history?taxnode_id=201900096","ICTVonline=201900096")</f>
        <v>ICTVonline=201900096</v>
      </c>
      <c r="Z4603" s="1" t="s">
        <v>14007</v>
      </c>
      <c r="AA4603" s="1">
        <v>201900000</v>
      </c>
      <c r="AB4603" s="1">
        <v>35</v>
      </c>
    </row>
    <row r="4604" spans="1:28" x14ac:dyDescent="0.2">
      <c r="A4604" s="1">
        <v>11758</v>
      </c>
      <c r="B4604" s="1" t="s">
        <v>6839</v>
      </c>
      <c r="D4604" s="1" t="s">
        <v>11735</v>
      </c>
      <c r="F4604" s="1" t="s">
        <v>5540</v>
      </c>
      <c r="G4604" s="1" t="s">
        <v>5630</v>
      </c>
      <c r="H4604" s="1" t="s">
        <v>5631</v>
      </c>
      <c r="J4604" s="1" t="s">
        <v>4050</v>
      </c>
      <c r="L4604" s="1" t="s">
        <v>4056</v>
      </c>
      <c r="N4604" s="1" t="s">
        <v>1962</v>
      </c>
      <c r="P4604" s="1" t="s">
        <v>3648</v>
      </c>
      <c r="Q4604" s="3">
        <v>0</v>
      </c>
      <c r="R4604" s="23" t="s">
        <v>12893</v>
      </c>
      <c r="S4604" s="23" t="s">
        <v>6848</v>
      </c>
      <c r="T4604" s="23" t="s">
        <v>4866</v>
      </c>
      <c r="U4604" s="3">
        <v>35</v>
      </c>
      <c r="W4604" s="45" t="str">
        <f>HYPERLINK("http://ictvonline.org/taxonomy/p/taxonomy-history?taxnode_id=201900097","ICTVonline=201900097")</f>
        <v>ICTVonline=201900097</v>
      </c>
      <c r="Z4604" s="1" t="s">
        <v>14008</v>
      </c>
      <c r="AA4604" s="1">
        <v>201900000</v>
      </c>
      <c r="AB4604" s="1">
        <v>35</v>
      </c>
    </row>
    <row r="4605" spans="1:28" x14ac:dyDescent="0.2">
      <c r="A4605" s="1">
        <v>11760</v>
      </c>
      <c r="B4605" s="1" t="s">
        <v>6839</v>
      </c>
      <c r="D4605" s="1" t="s">
        <v>11735</v>
      </c>
      <c r="F4605" s="1" t="s">
        <v>5540</v>
      </c>
      <c r="G4605" s="1" t="s">
        <v>5630</v>
      </c>
      <c r="H4605" s="1" t="s">
        <v>5631</v>
      </c>
      <c r="J4605" s="1" t="s">
        <v>4050</v>
      </c>
      <c r="L4605" s="1" t="s">
        <v>4056</v>
      </c>
      <c r="N4605" s="1" t="s">
        <v>1962</v>
      </c>
      <c r="P4605" s="1" t="s">
        <v>3649</v>
      </c>
      <c r="Q4605" s="3">
        <v>0</v>
      </c>
      <c r="R4605" s="23" t="s">
        <v>12893</v>
      </c>
      <c r="S4605" s="23" t="s">
        <v>6848</v>
      </c>
      <c r="T4605" s="23" t="s">
        <v>4866</v>
      </c>
      <c r="U4605" s="3">
        <v>35</v>
      </c>
      <c r="W4605" s="45" t="str">
        <f>HYPERLINK("http://ictvonline.org/taxonomy/p/taxonomy-history?taxnode_id=201900098","ICTVonline=201900098")</f>
        <v>ICTVonline=201900098</v>
      </c>
      <c r="Z4605" s="1" t="s">
        <v>14009</v>
      </c>
      <c r="AA4605" s="1">
        <v>201900000</v>
      </c>
      <c r="AB4605" s="1">
        <v>35</v>
      </c>
    </row>
    <row r="4606" spans="1:28" x14ac:dyDescent="0.2">
      <c r="A4606" s="1">
        <v>11762</v>
      </c>
      <c r="B4606" s="1" t="s">
        <v>6839</v>
      </c>
      <c r="D4606" s="1" t="s">
        <v>11735</v>
      </c>
      <c r="F4606" s="1" t="s">
        <v>5540</v>
      </c>
      <c r="G4606" s="1" t="s">
        <v>5630</v>
      </c>
      <c r="H4606" s="1" t="s">
        <v>5631</v>
      </c>
      <c r="J4606" s="1" t="s">
        <v>4050</v>
      </c>
      <c r="L4606" s="1" t="s">
        <v>4056</v>
      </c>
      <c r="N4606" s="1" t="s">
        <v>1962</v>
      </c>
      <c r="P4606" s="1" t="s">
        <v>5953</v>
      </c>
      <c r="Q4606" s="3">
        <v>0</v>
      </c>
      <c r="R4606" s="23" t="s">
        <v>12893</v>
      </c>
      <c r="S4606" s="23" t="s">
        <v>6848</v>
      </c>
      <c r="T4606" s="23" t="s">
        <v>4866</v>
      </c>
      <c r="U4606" s="3">
        <v>35</v>
      </c>
      <c r="W4606" s="45" t="str">
        <f>HYPERLINK("http://ictvonline.org/taxonomy/p/taxonomy-history?taxnode_id=201906356","ICTVonline=201906356")</f>
        <v>ICTVonline=201906356</v>
      </c>
      <c r="X4606" s="1" t="s">
        <v>14010</v>
      </c>
      <c r="Y4606" s="1" t="s">
        <v>14011</v>
      </c>
      <c r="Z4606" s="1" t="s">
        <v>14012</v>
      </c>
      <c r="AA4606" s="1">
        <v>201900000</v>
      </c>
      <c r="AB4606" s="1">
        <v>35</v>
      </c>
    </row>
    <row r="4607" spans="1:28" x14ac:dyDescent="0.2">
      <c r="A4607" s="1">
        <v>11764</v>
      </c>
      <c r="B4607" s="1" t="s">
        <v>6839</v>
      </c>
      <c r="D4607" s="1" t="s">
        <v>11735</v>
      </c>
      <c r="F4607" s="1" t="s">
        <v>5540</v>
      </c>
      <c r="G4607" s="1" t="s">
        <v>5630</v>
      </c>
      <c r="H4607" s="1" t="s">
        <v>5631</v>
      </c>
      <c r="J4607" s="1" t="s">
        <v>4050</v>
      </c>
      <c r="L4607" s="1" t="s">
        <v>4056</v>
      </c>
      <c r="N4607" s="1" t="s">
        <v>1962</v>
      </c>
      <c r="P4607" s="1" t="s">
        <v>3650</v>
      </c>
      <c r="Q4607" s="3">
        <v>0</v>
      </c>
      <c r="R4607" s="23" t="s">
        <v>12893</v>
      </c>
      <c r="S4607" s="23" t="s">
        <v>6848</v>
      </c>
      <c r="T4607" s="23" t="s">
        <v>4866</v>
      </c>
      <c r="U4607" s="3">
        <v>35</v>
      </c>
      <c r="W4607" s="45" t="str">
        <f>HYPERLINK("http://ictvonline.org/taxonomy/p/taxonomy-history?taxnode_id=201900099","ICTVonline=201900099")</f>
        <v>ICTVonline=201900099</v>
      </c>
      <c r="Z4607" s="1" t="s">
        <v>14013</v>
      </c>
      <c r="AA4607" s="1">
        <v>201900000</v>
      </c>
      <c r="AB4607" s="1">
        <v>35</v>
      </c>
    </row>
    <row r="4608" spans="1:28" x14ac:dyDescent="0.2">
      <c r="A4608" s="1">
        <v>11766</v>
      </c>
      <c r="B4608" s="1" t="s">
        <v>6839</v>
      </c>
      <c r="D4608" s="1" t="s">
        <v>11735</v>
      </c>
      <c r="F4608" s="1" t="s">
        <v>5540</v>
      </c>
      <c r="G4608" s="1" t="s">
        <v>5630</v>
      </c>
      <c r="H4608" s="1" t="s">
        <v>5631</v>
      </c>
      <c r="J4608" s="1" t="s">
        <v>4050</v>
      </c>
      <c r="L4608" s="1" t="s">
        <v>4056</v>
      </c>
      <c r="N4608" s="1" t="s">
        <v>1962</v>
      </c>
      <c r="P4608" s="1" t="s">
        <v>5954</v>
      </c>
      <c r="Q4608" s="3">
        <v>0</v>
      </c>
      <c r="R4608" s="23" t="s">
        <v>12893</v>
      </c>
      <c r="S4608" s="23" t="s">
        <v>6848</v>
      </c>
      <c r="T4608" s="23" t="s">
        <v>4866</v>
      </c>
      <c r="U4608" s="3">
        <v>35</v>
      </c>
      <c r="W4608" s="45" t="str">
        <f>HYPERLINK("http://ictvonline.org/taxonomy/p/taxonomy-history?taxnode_id=201906357","ICTVonline=201906357")</f>
        <v>ICTVonline=201906357</v>
      </c>
      <c r="X4608" s="1" t="s">
        <v>14014</v>
      </c>
      <c r="Y4608" s="1" t="s">
        <v>14015</v>
      </c>
      <c r="Z4608" s="1" t="s">
        <v>14016</v>
      </c>
      <c r="AA4608" s="1">
        <v>201900000</v>
      </c>
      <c r="AB4608" s="1">
        <v>35</v>
      </c>
    </row>
    <row r="4609" spans="1:28" x14ac:dyDescent="0.2">
      <c r="A4609" s="1">
        <v>11768</v>
      </c>
      <c r="B4609" s="1" t="s">
        <v>6839</v>
      </c>
      <c r="D4609" s="1" t="s">
        <v>11735</v>
      </c>
      <c r="F4609" s="1" t="s">
        <v>5540</v>
      </c>
      <c r="G4609" s="1" t="s">
        <v>5630</v>
      </c>
      <c r="H4609" s="1" t="s">
        <v>5631</v>
      </c>
      <c r="J4609" s="1" t="s">
        <v>4050</v>
      </c>
      <c r="L4609" s="1" t="s">
        <v>4056</v>
      </c>
      <c r="N4609" s="1" t="s">
        <v>1962</v>
      </c>
      <c r="P4609" s="1" t="s">
        <v>3651</v>
      </c>
      <c r="Q4609" s="3">
        <v>1</v>
      </c>
      <c r="R4609" s="23" t="s">
        <v>12893</v>
      </c>
      <c r="S4609" s="23" t="s">
        <v>6848</v>
      </c>
      <c r="T4609" s="23" t="s">
        <v>4866</v>
      </c>
      <c r="U4609" s="3">
        <v>35</v>
      </c>
      <c r="W4609" s="45" t="str">
        <f>HYPERLINK("http://ictvonline.org/taxonomy/p/taxonomy-history?taxnode_id=201900100","ICTVonline=201900100")</f>
        <v>ICTVonline=201900100</v>
      </c>
      <c r="Z4609" s="1" t="s">
        <v>14017</v>
      </c>
      <c r="AA4609" s="1">
        <v>201900000</v>
      </c>
      <c r="AB4609" s="1">
        <v>35</v>
      </c>
    </row>
    <row r="4610" spans="1:28" x14ac:dyDescent="0.2">
      <c r="A4610" s="1">
        <v>11770</v>
      </c>
      <c r="B4610" s="1" t="s">
        <v>6839</v>
      </c>
      <c r="D4610" s="1" t="s">
        <v>11735</v>
      </c>
      <c r="F4610" s="1" t="s">
        <v>5540</v>
      </c>
      <c r="G4610" s="1" t="s">
        <v>5630</v>
      </c>
      <c r="H4610" s="1" t="s">
        <v>5631</v>
      </c>
      <c r="J4610" s="1" t="s">
        <v>4050</v>
      </c>
      <c r="L4610" s="1" t="s">
        <v>4056</v>
      </c>
      <c r="N4610" s="1" t="s">
        <v>1962</v>
      </c>
      <c r="P4610" s="1" t="s">
        <v>3652</v>
      </c>
      <c r="Q4610" s="3">
        <v>0</v>
      </c>
      <c r="R4610" s="23" t="s">
        <v>12893</v>
      </c>
      <c r="S4610" s="23" t="s">
        <v>6848</v>
      </c>
      <c r="T4610" s="23" t="s">
        <v>4866</v>
      </c>
      <c r="U4610" s="3">
        <v>35</v>
      </c>
      <c r="W4610" s="45" t="str">
        <f>HYPERLINK("http://ictvonline.org/taxonomy/p/taxonomy-history?taxnode_id=201900101","ICTVonline=201900101")</f>
        <v>ICTVonline=201900101</v>
      </c>
      <c r="Z4610" s="1" t="s">
        <v>14018</v>
      </c>
      <c r="AA4610" s="1">
        <v>201900000</v>
      </c>
      <c r="AB4610" s="1">
        <v>35</v>
      </c>
    </row>
    <row r="4611" spans="1:28" x14ac:dyDescent="0.2">
      <c r="A4611" s="1">
        <v>11772</v>
      </c>
      <c r="B4611" s="1" t="s">
        <v>6839</v>
      </c>
      <c r="D4611" s="1" t="s">
        <v>11735</v>
      </c>
      <c r="F4611" s="1" t="s">
        <v>5540</v>
      </c>
      <c r="G4611" s="1" t="s">
        <v>5630</v>
      </c>
      <c r="H4611" s="1" t="s">
        <v>5631</v>
      </c>
      <c r="J4611" s="1" t="s">
        <v>4050</v>
      </c>
      <c r="L4611" s="1" t="s">
        <v>4056</v>
      </c>
      <c r="N4611" s="1" t="s">
        <v>1962</v>
      </c>
      <c r="P4611" s="1" t="s">
        <v>5955</v>
      </c>
      <c r="Q4611" s="3">
        <v>0</v>
      </c>
      <c r="R4611" s="23" t="s">
        <v>12893</v>
      </c>
      <c r="S4611" s="23" t="s">
        <v>6848</v>
      </c>
      <c r="T4611" s="23" t="s">
        <v>4866</v>
      </c>
      <c r="U4611" s="3">
        <v>35</v>
      </c>
      <c r="W4611" s="45" t="str">
        <f>HYPERLINK("http://ictvonline.org/taxonomy/p/taxonomy-history?taxnode_id=201906374","ICTVonline=201906374")</f>
        <v>ICTVonline=201906374</v>
      </c>
      <c r="X4611" s="1" t="s">
        <v>14019</v>
      </c>
      <c r="Y4611" s="1" t="s">
        <v>14020</v>
      </c>
      <c r="Z4611" s="1" t="s">
        <v>14021</v>
      </c>
      <c r="AA4611" s="1">
        <v>201900000</v>
      </c>
      <c r="AB4611" s="1">
        <v>35</v>
      </c>
    </row>
    <row r="4612" spans="1:28" x14ac:dyDescent="0.2">
      <c r="A4612" s="1">
        <v>11774</v>
      </c>
      <c r="B4612" s="1" t="s">
        <v>6839</v>
      </c>
      <c r="D4612" s="1" t="s">
        <v>11735</v>
      </c>
      <c r="F4612" s="1" t="s">
        <v>5540</v>
      </c>
      <c r="G4612" s="1" t="s">
        <v>5630</v>
      </c>
      <c r="H4612" s="1" t="s">
        <v>5631</v>
      </c>
      <c r="J4612" s="1" t="s">
        <v>4050</v>
      </c>
      <c r="L4612" s="1" t="s">
        <v>4056</v>
      </c>
      <c r="N4612" s="1" t="s">
        <v>1962</v>
      </c>
      <c r="P4612" s="1" t="s">
        <v>3653</v>
      </c>
      <c r="Q4612" s="3">
        <v>0</v>
      </c>
      <c r="R4612" s="23" t="s">
        <v>12893</v>
      </c>
      <c r="S4612" s="23" t="s">
        <v>6848</v>
      </c>
      <c r="T4612" s="23" t="s">
        <v>4866</v>
      </c>
      <c r="U4612" s="3">
        <v>35</v>
      </c>
      <c r="W4612" s="45" t="str">
        <f>HYPERLINK("http://ictvonline.org/taxonomy/p/taxonomy-history?taxnode_id=201900102","ICTVonline=201900102")</f>
        <v>ICTVonline=201900102</v>
      </c>
      <c r="Z4612" s="1" t="s">
        <v>14022</v>
      </c>
      <c r="AA4612" s="1">
        <v>201900000</v>
      </c>
      <c r="AB4612" s="1">
        <v>35</v>
      </c>
    </row>
    <row r="4613" spans="1:28" x14ac:dyDescent="0.2">
      <c r="A4613" s="1">
        <v>11776</v>
      </c>
      <c r="B4613" s="1" t="s">
        <v>6839</v>
      </c>
      <c r="D4613" s="1" t="s">
        <v>11735</v>
      </c>
      <c r="F4613" s="1" t="s">
        <v>5540</v>
      </c>
      <c r="G4613" s="1" t="s">
        <v>5630</v>
      </c>
      <c r="H4613" s="1" t="s">
        <v>5631</v>
      </c>
      <c r="J4613" s="1" t="s">
        <v>4050</v>
      </c>
      <c r="L4613" s="1" t="s">
        <v>4056</v>
      </c>
      <c r="N4613" s="1" t="s">
        <v>1962</v>
      </c>
      <c r="P4613" s="1" t="s">
        <v>5956</v>
      </c>
      <c r="Q4613" s="3">
        <v>0</v>
      </c>
      <c r="R4613" s="23" t="s">
        <v>12893</v>
      </c>
      <c r="S4613" s="23" t="s">
        <v>6848</v>
      </c>
      <c r="T4613" s="23" t="s">
        <v>4866</v>
      </c>
      <c r="U4613" s="3">
        <v>35</v>
      </c>
      <c r="W4613" s="45" t="str">
        <f>HYPERLINK("http://ictvonline.org/taxonomy/p/taxonomy-history?taxnode_id=201906358","ICTVonline=201906358")</f>
        <v>ICTVonline=201906358</v>
      </c>
      <c r="X4613" s="1" t="s">
        <v>14023</v>
      </c>
      <c r="Y4613" s="1" t="s">
        <v>14024</v>
      </c>
      <c r="Z4613" s="1" t="s">
        <v>14025</v>
      </c>
      <c r="AA4613" s="1">
        <v>201900000</v>
      </c>
      <c r="AB4613" s="1">
        <v>35</v>
      </c>
    </row>
    <row r="4614" spans="1:28" x14ac:dyDescent="0.2">
      <c r="A4614" s="1">
        <v>11778</v>
      </c>
      <c r="B4614" s="1" t="s">
        <v>6839</v>
      </c>
      <c r="D4614" s="1" t="s">
        <v>11735</v>
      </c>
      <c r="F4614" s="1" t="s">
        <v>5540</v>
      </c>
      <c r="G4614" s="1" t="s">
        <v>5630</v>
      </c>
      <c r="H4614" s="1" t="s">
        <v>5631</v>
      </c>
      <c r="J4614" s="1" t="s">
        <v>4050</v>
      </c>
      <c r="L4614" s="1" t="s">
        <v>4056</v>
      </c>
      <c r="N4614" s="1" t="s">
        <v>1962</v>
      </c>
      <c r="P4614" s="1" t="s">
        <v>5957</v>
      </c>
      <c r="Q4614" s="3">
        <v>0</v>
      </c>
      <c r="R4614" s="23" t="s">
        <v>12893</v>
      </c>
      <c r="S4614" s="23" t="s">
        <v>6848</v>
      </c>
      <c r="T4614" s="23" t="s">
        <v>4866</v>
      </c>
      <c r="U4614" s="3">
        <v>35</v>
      </c>
      <c r="W4614" s="45" t="str">
        <f>HYPERLINK("http://ictvonline.org/taxonomy/p/taxonomy-history?taxnode_id=201906384","ICTVonline=201906384")</f>
        <v>ICTVonline=201906384</v>
      </c>
      <c r="X4614" s="1" t="s">
        <v>14026</v>
      </c>
      <c r="Y4614" s="1" t="s">
        <v>14027</v>
      </c>
      <c r="Z4614" s="1" t="s">
        <v>14028</v>
      </c>
      <c r="AA4614" s="1">
        <v>201900000</v>
      </c>
      <c r="AB4614" s="1">
        <v>35</v>
      </c>
    </row>
    <row r="4615" spans="1:28" x14ac:dyDescent="0.2">
      <c r="A4615" s="1">
        <v>11780</v>
      </c>
      <c r="B4615" s="1" t="s">
        <v>6839</v>
      </c>
      <c r="D4615" s="1" t="s">
        <v>11735</v>
      </c>
      <c r="F4615" s="1" t="s">
        <v>5540</v>
      </c>
      <c r="G4615" s="1" t="s">
        <v>5630</v>
      </c>
      <c r="H4615" s="1" t="s">
        <v>5631</v>
      </c>
      <c r="J4615" s="1" t="s">
        <v>4050</v>
      </c>
      <c r="L4615" s="1" t="s">
        <v>4056</v>
      </c>
      <c r="N4615" s="1" t="s">
        <v>1962</v>
      </c>
      <c r="P4615" s="1" t="s">
        <v>3654</v>
      </c>
      <c r="Q4615" s="3">
        <v>0</v>
      </c>
      <c r="R4615" s="23" t="s">
        <v>12893</v>
      </c>
      <c r="S4615" s="23" t="s">
        <v>6848</v>
      </c>
      <c r="T4615" s="23" t="s">
        <v>4866</v>
      </c>
      <c r="U4615" s="3">
        <v>35</v>
      </c>
      <c r="W4615" s="45" t="str">
        <f>HYPERLINK("http://ictvonline.org/taxonomy/p/taxonomy-history?taxnode_id=201900103","ICTVonline=201900103")</f>
        <v>ICTVonline=201900103</v>
      </c>
      <c r="Z4615" s="1" t="s">
        <v>14029</v>
      </c>
      <c r="AA4615" s="1">
        <v>201900000</v>
      </c>
      <c r="AB4615" s="1">
        <v>35</v>
      </c>
    </row>
    <row r="4616" spans="1:28" x14ac:dyDescent="0.2">
      <c r="A4616" s="1">
        <v>11782</v>
      </c>
      <c r="B4616" s="1" t="s">
        <v>6839</v>
      </c>
      <c r="D4616" s="1" t="s">
        <v>11735</v>
      </c>
      <c r="F4616" s="1" t="s">
        <v>5540</v>
      </c>
      <c r="G4616" s="1" t="s">
        <v>5630</v>
      </c>
      <c r="H4616" s="1" t="s">
        <v>5631</v>
      </c>
      <c r="J4616" s="1" t="s">
        <v>4050</v>
      </c>
      <c r="L4616" s="1" t="s">
        <v>4056</v>
      </c>
      <c r="N4616" s="1" t="s">
        <v>1962</v>
      </c>
      <c r="P4616" s="1" t="s">
        <v>3655</v>
      </c>
      <c r="Q4616" s="3">
        <v>0</v>
      </c>
      <c r="R4616" s="23" t="s">
        <v>12893</v>
      </c>
      <c r="S4616" s="23" t="s">
        <v>6848</v>
      </c>
      <c r="T4616" s="23" t="s">
        <v>4866</v>
      </c>
      <c r="U4616" s="3">
        <v>35</v>
      </c>
      <c r="W4616" s="45" t="str">
        <f>HYPERLINK("http://ictvonline.org/taxonomy/p/taxonomy-history?taxnode_id=201900104","ICTVonline=201900104")</f>
        <v>ICTVonline=201900104</v>
      </c>
      <c r="Z4616" s="1" t="s">
        <v>14030</v>
      </c>
      <c r="AA4616" s="1">
        <v>201900000</v>
      </c>
      <c r="AB4616" s="1">
        <v>35</v>
      </c>
    </row>
    <row r="4617" spans="1:28" x14ac:dyDescent="0.2">
      <c r="A4617" s="1">
        <v>11784</v>
      </c>
      <c r="B4617" s="1" t="s">
        <v>6839</v>
      </c>
      <c r="D4617" s="1" t="s">
        <v>11735</v>
      </c>
      <c r="F4617" s="1" t="s">
        <v>5540</v>
      </c>
      <c r="G4617" s="1" t="s">
        <v>5630</v>
      </c>
      <c r="H4617" s="1" t="s">
        <v>5631</v>
      </c>
      <c r="J4617" s="1" t="s">
        <v>4050</v>
      </c>
      <c r="L4617" s="1" t="s">
        <v>4056</v>
      </c>
      <c r="N4617" s="1" t="s">
        <v>1962</v>
      </c>
      <c r="P4617" s="1" t="s">
        <v>3656</v>
      </c>
      <c r="Q4617" s="3">
        <v>0</v>
      </c>
      <c r="R4617" s="23" t="s">
        <v>12893</v>
      </c>
      <c r="S4617" s="23" t="s">
        <v>6848</v>
      </c>
      <c r="T4617" s="23" t="s">
        <v>4866</v>
      </c>
      <c r="U4617" s="3">
        <v>35</v>
      </c>
      <c r="W4617" s="45" t="str">
        <f>HYPERLINK("http://ictvonline.org/taxonomy/p/taxonomy-history?taxnode_id=201900105","ICTVonline=201900105")</f>
        <v>ICTVonline=201900105</v>
      </c>
      <c r="Z4617" s="1" t="s">
        <v>14031</v>
      </c>
      <c r="AA4617" s="1">
        <v>201900000</v>
      </c>
      <c r="AB4617" s="1">
        <v>35</v>
      </c>
    </row>
    <row r="4618" spans="1:28" x14ac:dyDescent="0.2">
      <c r="A4618" s="1">
        <v>11786</v>
      </c>
      <c r="B4618" s="1" t="s">
        <v>6839</v>
      </c>
      <c r="D4618" s="1" t="s">
        <v>11735</v>
      </c>
      <c r="F4618" s="1" t="s">
        <v>5540</v>
      </c>
      <c r="G4618" s="1" t="s">
        <v>5630</v>
      </c>
      <c r="H4618" s="1" t="s">
        <v>5631</v>
      </c>
      <c r="J4618" s="1" t="s">
        <v>4050</v>
      </c>
      <c r="L4618" s="1" t="s">
        <v>4056</v>
      </c>
      <c r="N4618" s="1" t="s">
        <v>1962</v>
      </c>
      <c r="P4618" s="1" t="s">
        <v>5958</v>
      </c>
      <c r="Q4618" s="3">
        <v>0</v>
      </c>
      <c r="R4618" s="23" t="s">
        <v>12893</v>
      </c>
      <c r="S4618" s="23" t="s">
        <v>6848</v>
      </c>
      <c r="T4618" s="23" t="s">
        <v>4866</v>
      </c>
      <c r="U4618" s="3">
        <v>35</v>
      </c>
      <c r="W4618" s="45" t="str">
        <f>HYPERLINK("http://ictvonline.org/taxonomy/p/taxonomy-history?taxnode_id=201906375","ICTVonline=201906375")</f>
        <v>ICTVonline=201906375</v>
      </c>
      <c r="X4618" s="1" t="s">
        <v>14032</v>
      </c>
      <c r="Y4618" s="1" t="s">
        <v>14033</v>
      </c>
      <c r="Z4618" s="1" t="s">
        <v>14034</v>
      </c>
      <c r="AA4618" s="1">
        <v>201900000</v>
      </c>
      <c r="AB4618" s="1">
        <v>35</v>
      </c>
    </row>
    <row r="4619" spans="1:28" x14ac:dyDescent="0.2">
      <c r="A4619" s="1">
        <v>11788</v>
      </c>
      <c r="B4619" s="1" t="s">
        <v>6839</v>
      </c>
      <c r="D4619" s="1" t="s">
        <v>11735</v>
      </c>
      <c r="F4619" s="1" t="s">
        <v>5540</v>
      </c>
      <c r="G4619" s="1" t="s">
        <v>5630</v>
      </c>
      <c r="H4619" s="1" t="s">
        <v>5631</v>
      </c>
      <c r="J4619" s="1" t="s">
        <v>4050</v>
      </c>
      <c r="L4619" s="1" t="s">
        <v>4056</v>
      </c>
      <c r="N4619" s="1" t="s">
        <v>1962</v>
      </c>
      <c r="P4619" s="1" t="s">
        <v>3657</v>
      </c>
      <c r="Q4619" s="3">
        <v>0</v>
      </c>
      <c r="R4619" s="23" t="s">
        <v>12893</v>
      </c>
      <c r="S4619" s="23" t="s">
        <v>6848</v>
      </c>
      <c r="T4619" s="23" t="s">
        <v>4866</v>
      </c>
      <c r="U4619" s="3">
        <v>35</v>
      </c>
      <c r="W4619" s="45" t="str">
        <f>HYPERLINK("http://ictvonline.org/taxonomy/p/taxonomy-history?taxnode_id=201900106","ICTVonline=201900106")</f>
        <v>ICTVonline=201900106</v>
      </c>
      <c r="Z4619" s="1" t="s">
        <v>14035</v>
      </c>
      <c r="AA4619" s="1">
        <v>201900000</v>
      </c>
      <c r="AB4619" s="1">
        <v>35</v>
      </c>
    </row>
    <row r="4620" spans="1:28" x14ac:dyDescent="0.2">
      <c r="A4620" s="1">
        <v>11790</v>
      </c>
      <c r="B4620" s="1" t="s">
        <v>6839</v>
      </c>
      <c r="D4620" s="1" t="s">
        <v>11735</v>
      </c>
      <c r="F4620" s="1" t="s">
        <v>5540</v>
      </c>
      <c r="G4620" s="1" t="s">
        <v>5630</v>
      </c>
      <c r="H4620" s="1" t="s">
        <v>5631</v>
      </c>
      <c r="J4620" s="1" t="s">
        <v>4050</v>
      </c>
      <c r="L4620" s="1" t="s">
        <v>4056</v>
      </c>
      <c r="N4620" s="1" t="s">
        <v>1962</v>
      </c>
      <c r="P4620" s="1" t="s">
        <v>5959</v>
      </c>
      <c r="Q4620" s="3">
        <v>0</v>
      </c>
      <c r="R4620" s="23" t="s">
        <v>12893</v>
      </c>
      <c r="S4620" s="23" t="s">
        <v>6848</v>
      </c>
      <c r="T4620" s="23" t="s">
        <v>4866</v>
      </c>
      <c r="U4620" s="3">
        <v>35</v>
      </c>
      <c r="W4620" s="45" t="str">
        <f>HYPERLINK("http://ictvonline.org/taxonomy/p/taxonomy-history?taxnode_id=201906597","ICTVonline=201906597")</f>
        <v>ICTVonline=201906597</v>
      </c>
      <c r="Y4620" s="1" t="s">
        <v>14036</v>
      </c>
      <c r="Z4620" s="1" t="s">
        <v>14037</v>
      </c>
      <c r="AA4620" s="1">
        <v>201900000</v>
      </c>
      <c r="AB4620" s="1">
        <v>35</v>
      </c>
    </row>
    <row r="4621" spans="1:28" x14ac:dyDescent="0.2">
      <c r="A4621" s="1">
        <v>11792</v>
      </c>
      <c r="B4621" s="1" t="s">
        <v>6839</v>
      </c>
      <c r="D4621" s="1" t="s">
        <v>11735</v>
      </c>
      <c r="F4621" s="1" t="s">
        <v>5540</v>
      </c>
      <c r="G4621" s="1" t="s">
        <v>5630</v>
      </c>
      <c r="H4621" s="1" t="s">
        <v>5631</v>
      </c>
      <c r="J4621" s="1" t="s">
        <v>4050</v>
      </c>
      <c r="L4621" s="1" t="s">
        <v>4056</v>
      </c>
      <c r="N4621" s="1" t="s">
        <v>1962</v>
      </c>
      <c r="P4621" s="1" t="s">
        <v>5960</v>
      </c>
      <c r="Q4621" s="3">
        <v>0</v>
      </c>
      <c r="R4621" s="23" t="s">
        <v>12893</v>
      </c>
      <c r="S4621" s="23" t="s">
        <v>6848</v>
      </c>
      <c r="T4621" s="23" t="s">
        <v>4866</v>
      </c>
      <c r="U4621" s="3">
        <v>35</v>
      </c>
      <c r="W4621" s="45" t="str">
        <f>HYPERLINK("http://ictvonline.org/taxonomy/p/taxonomy-history?taxnode_id=201906378","ICTVonline=201906378")</f>
        <v>ICTVonline=201906378</v>
      </c>
      <c r="X4621" s="1" t="s">
        <v>14038</v>
      </c>
      <c r="Y4621" s="1" t="s">
        <v>14039</v>
      </c>
      <c r="Z4621" s="1" t="s">
        <v>14040</v>
      </c>
      <c r="AA4621" s="1">
        <v>201900000</v>
      </c>
      <c r="AB4621" s="1">
        <v>35</v>
      </c>
    </row>
    <row r="4622" spans="1:28" x14ac:dyDescent="0.2">
      <c r="A4622" s="1">
        <v>11794</v>
      </c>
      <c r="B4622" s="1" t="s">
        <v>6839</v>
      </c>
      <c r="D4622" s="1" t="s">
        <v>11735</v>
      </c>
      <c r="F4622" s="1" t="s">
        <v>5540</v>
      </c>
      <c r="G4622" s="1" t="s">
        <v>5630</v>
      </c>
      <c r="H4622" s="1" t="s">
        <v>5631</v>
      </c>
      <c r="J4622" s="1" t="s">
        <v>4050</v>
      </c>
      <c r="L4622" s="1" t="s">
        <v>4056</v>
      </c>
      <c r="N4622" s="1" t="s">
        <v>1962</v>
      </c>
      <c r="P4622" s="1" t="s">
        <v>5961</v>
      </c>
      <c r="Q4622" s="3">
        <v>0</v>
      </c>
      <c r="R4622" s="23" t="s">
        <v>12893</v>
      </c>
      <c r="S4622" s="23" t="s">
        <v>6848</v>
      </c>
      <c r="T4622" s="23" t="s">
        <v>4866</v>
      </c>
      <c r="U4622" s="3">
        <v>35</v>
      </c>
      <c r="W4622" s="45" t="str">
        <f>HYPERLINK("http://ictvonline.org/taxonomy/p/taxonomy-history?taxnode_id=201906359","ICTVonline=201906359")</f>
        <v>ICTVonline=201906359</v>
      </c>
      <c r="X4622" s="1" t="s">
        <v>14041</v>
      </c>
      <c r="Y4622" s="1" t="s">
        <v>14042</v>
      </c>
      <c r="Z4622" s="1" t="s">
        <v>14043</v>
      </c>
      <c r="AA4622" s="1">
        <v>201900000</v>
      </c>
      <c r="AB4622" s="1">
        <v>35</v>
      </c>
    </row>
    <row r="4623" spans="1:28" x14ac:dyDescent="0.2">
      <c r="A4623" s="1">
        <v>11796</v>
      </c>
      <c r="B4623" s="1" t="s">
        <v>6839</v>
      </c>
      <c r="D4623" s="1" t="s">
        <v>11735</v>
      </c>
      <c r="F4623" s="1" t="s">
        <v>5540</v>
      </c>
      <c r="G4623" s="1" t="s">
        <v>5630</v>
      </c>
      <c r="H4623" s="1" t="s">
        <v>5631</v>
      </c>
      <c r="J4623" s="1" t="s">
        <v>4050</v>
      </c>
      <c r="L4623" s="1" t="s">
        <v>4056</v>
      </c>
      <c r="N4623" s="1" t="s">
        <v>1962</v>
      </c>
      <c r="P4623" s="1" t="s">
        <v>3658</v>
      </c>
      <c r="Q4623" s="3">
        <v>0</v>
      </c>
      <c r="R4623" s="23" t="s">
        <v>12893</v>
      </c>
      <c r="S4623" s="23" t="s">
        <v>6848</v>
      </c>
      <c r="T4623" s="23" t="s">
        <v>4866</v>
      </c>
      <c r="U4623" s="3">
        <v>35</v>
      </c>
      <c r="W4623" s="45" t="str">
        <f>HYPERLINK("http://ictvonline.org/taxonomy/p/taxonomy-history?taxnode_id=201900108","ICTVonline=201900108")</f>
        <v>ICTVonline=201900108</v>
      </c>
      <c r="Z4623" s="1" t="s">
        <v>14044</v>
      </c>
      <c r="AA4623" s="1">
        <v>201900000</v>
      </c>
      <c r="AB4623" s="1">
        <v>35</v>
      </c>
    </row>
    <row r="4624" spans="1:28" x14ac:dyDescent="0.2">
      <c r="A4624" s="1">
        <v>11798</v>
      </c>
      <c r="B4624" s="1" t="s">
        <v>6839</v>
      </c>
      <c r="D4624" s="1" t="s">
        <v>11735</v>
      </c>
      <c r="F4624" s="1" t="s">
        <v>5540</v>
      </c>
      <c r="G4624" s="1" t="s">
        <v>5630</v>
      </c>
      <c r="H4624" s="1" t="s">
        <v>5631</v>
      </c>
      <c r="J4624" s="1" t="s">
        <v>4050</v>
      </c>
      <c r="L4624" s="1" t="s">
        <v>4056</v>
      </c>
      <c r="N4624" s="1" t="s">
        <v>1962</v>
      </c>
      <c r="P4624" s="1" t="s">
        <v>3659</v>
      </c>
      <c r="Q4624" s="3">
        <v>0</v>
      </c>
      <c r="R4624" s="23" t="s">
        <v>12893</v>
      </c>
      <c r="S4624" s="23" t="s">
        <v>6848</v>
      </c>
      <c r="T4624" s="23" t="s">
        <v>4866</v>
      </c>
      <c r="U4624" s="3">
        <v>35</v>
      </c>
      <c r="W4624" s="45" t="str">
        <f>HYPERLINK("http://ictvonline.org/taxonomy/p/taxonomy-history?taxnode_id=201900109","ICTVonline=201900109")</f>
        <v>ICTVonline=201900109</v>
      </c>
      <c r="Z4624" s="1" t="s">
        <v>14045</v>
      </c>
      <c r="AA4624" s="1">
        <v>201900000</v>
      </c>
      <c r="AB4624" s="1">
        <v>35</v>
      </c>
    </row>
    <row r="4625" spans="1:28" x14ac:dyDescent="0.2">
      <c r="A4625" s="1">
        <v>11800</v>
      </c>
      <c r="B4625" s="1" t="s">
        <v>6839</v>
      </c>
      <c r="D4625" s="1" t="s">
        <v>11735</v>
      </c>
      <c r="F4625" s="1" t="s">
        <v>5540</v>
      </c>
      <c r="G4625" s="1" t="s">
        <v>5630</v>
      </c>
      <c r="H4625" s="1" t="s">
        <v>5631</v>
      </c>
      <c r="J4625" s="1" t="s">
        <v>4050</v>
      </c>
      <c r="L4625" s="1" t="s">
        <v>4056</v>
      </c>
      <c r="N4625" s="1" t="s">
        <v>1962</v>
      </c>
      <c r="P4625" s="1" t="s">
        <v>3660</v>
      </c>
      <c r="Q4625" s="3">
        <v>0</v>
      </c>
      <c r="R4625" s="23" t="s">
        <v>12893</v>
      </c>
      <c r="S4625" s="23" t="s">
        <v>6848</v>
      </c>
      <c r="T4625" s="23" t="s">
        <v>4866</v>
      </c>
      <c r="U4625" s="3">
        <v>35</v>
      </c>
      <c r="W4625" s="45" t="str">
        <f>HYPERLINK("http://ictvonline.org/taxonomy/p/taxonomy-history?taxnode_id=201900110","ICTVonline=201900110")</f>
        <v>ICTVonline=201900110</v>
      </c>
      <c r="Z4625" s="1" t="s">
        <v>14046</v>
      </c>
      <c r="AA4625" s="1">
        <v>201900000</v>
      </c>
      <c r="AB4625" s="1">
        <v>35</v>
      </c>
    </row>
    <row r="4626" spans="1:28" x14ac:dyDescent="0.2">
      <c r="A4626" s="1">
        <v>11802</v>
      </c>
      <c r="B4626" s="1" t="s">
        <v>6839</v>
      </c>
      <c r="D4626" s="1" t="s">
        <v>11735</v>
      </c>
      <c r="F4626" s="1" t="s">
        <v>5540</v>
      </c>
      <c r="G4626" s="1" t="s">
        <v>5630</v>
      </c>
      <c r="H4626" s="1" t="s">
        <v>5631</v>
      </c>
      <c r="J4626" s="1" t="s">
        <v>4050</v>
      </c>
      <c r="L4626" s="1" t="s">
        <v>4056</v>
      </c>
      <c r="N4626" s="1" t="s">
        <v>1962</v>
      </c>
      <c r="P4626" s="1" t="s">
        <v>3661</v>
      </c>
      <c r="Q4626" s="3">
        <v>0</v>
      </c>
      <c r="R4626" s="23" t="s">
        <v>12893</v>
      </c>
      <c r="S4626" s="23" t="s">
        <v>6848</v>
      </c>
      <c r="T4626" s="23" t="s">
        <v>4866</v>
      </c>
      <c r="U4626" s="3">
        <v>35</v>
      </c>
      <c r="W4626" s="45" t="str">
        <f>HYPERLINK("http://ictvonline.org/taxonomy/p/taxonomy-history?taxnode_id=201900111","ICTVonline=201900111")</f>
        <v>ICTVonline=201900111</v>
      </c>
      <c r="Z4626" s="1" t="s">
        <v>14047</v>
      </c>
      <c r="AA4626" s="1">
        <v>201900000</v>
      </c>
      <c r="AB4626" s="1">
        <v>35</v>
      </c>
    </row>
    <row r="4627" spans="1:28" x14ac:dyDescent="0.2">
      <c r="A4627" s="1">
        <v>11804</v>
      </c>
      <c r="B4627" s="1" t="s">
        <v>6839</v>
      </c>
      <c r="D4627" s="1" t="s">
        <v>11735</v>
      </c>
      <c r="F4627" s="1" t="s">
        <v>5540</v>
      </c>
      <c r="G4627" s="1" t="s">
        <v>5630</v>
      </c>
      <c r="H4627" s="1" t="s">
        <v>5631</v>
      </c>
      <c r="J4627" s="1" t="s">
        <v>4050</v>
      </c>
      <c r="L4627" s="1" t="s">
        <v>4056</v>
      </c>
      <c r="N4627" s="1" t="s">
        <v>1962</v>
      </c>
      <c r="P4627" s="1" t="s">
        <v>5962</v>
      </c>
      <c r="Q4627" s="3">
        <v>0</v>
      </c>
      <c r="R4627" s="23" t="s">
        <v>12893</v>
      </c>
      <c r="S4627" s="23" t="s">
        <v>6848</v>
      </c>
      <c r="T4627" s="23" t="s">
        <v>4866</v>
      </c>
      <c r="U4627" s="3">
        <v>35</v>
      </c>
      <c r="W4627" s="45" t="str">
        <f>HYPERLINK("http://ictvonline.org/taxonomy/p/taxonomy-history?taxnode_id=201906385","ICTVonline=201906385")</f>
        <v>ICTVonline=201906385</v>
      </c>
      <c r="X4627" s="1" t="s">
        <v>14048</v>
      </c>
      <c r="Y4627" s="1" t="s">
        <v>14049</v>
      </c>
      <c r="Z4627" s="1" t="s">
        <v>14050</v>
      </c>
      <c r="AA4627" s="1">
        <v>201900000</v>
      </c>
      <c r="AB4627" s="1">
        <v>35</v>
      </c>
    </row>
    <row r="4628" spans="1:28" x14ac:dyDescent="0.2">
      <c r="A4628" s="1">
        <v>11806</v>
      </c>
      <c r="B4628" s="1" t="s">
        <v>6839</v>
      </c>
      <c r="D4628" s="1" t="s">
        <v>11735</v>
      </c>
      <c r="F4628" s="1" t="s">
        <v>5540</v>
      </c>
      <c r="G4628" s="1" t="s">
        <v>5630</v>
      </c>
      <c r="H4628" s="1" t="s">
        <v>5631</v>
      </c>
      <c r="J4628" s="1" t="s">
        <v>4050</v>
      </c>
      <c r="L4628" s="1" t="s">
        <v>4056</v>
      </c>
      <c r="N4628" s="1" t="s">
        <v>1962</v>
      </c>
      <c r="P4628" s="1" t="s">
        <v>5963</v>
      </c>
      <c r="Q4628" s="3">
        <v>0</v>
      </c>
      <c r="R4628" s="23" t="s">
        <v>12893</v>
      </c>
      <c r="S4628" s="23" t="s">
        <v>6848</v>
      </c>
      <c r="T4628" s="23" t="s">
        <v>4866</v>
      </c>
      <c r="U4628" s="3">
        <v>35</v>
      </c>
      <c r="W4628" s="45" t="str">
        <f>HYPERLINK("http://ictvonline.org/taxonomy/p/taxonomy-history?taxnode_id=201906360","ICTVonline=201906360")</f>
        <v>ICTVonline=201906360</v>
      </c>
      <c r="X4628" s="1" t="s">
        <v>14051</v>
      </c>
      <c r="Y4628" s="1" t="s">
        <v>14052</v>
      </c>
      <c r="Z4628" s="1" t="s">
        <v>14053</v>
      </c>
      <c r="AA4628" s="1">
        <v>201900000</v>
      </c>
      <c r="AB4628" s="1">
        <v>35</v>
      </c>
    </row>
    <row r="4629" spans="1:28" x14ac:dyDescent="0.2">
      <c r="A4629" s="1">
        <v>11808</v>
      </c>
      <c r="B4629" s="1" t="s">
        <v>6839</v>
      </c>
      <c r="D4629" s="1" t="s">
        <v>11735</v>
      </c>
      <c r="F4629" s="1" t="s">
        <v>5540</v>
      </c>
      <c r="G4629" s="1" t="s">
        <v>5630</v>
      </c>
      <c r="H4629" s="1" t="s">
        <v>5631</v>
      </c>
      <c r="J4629" s="1" t="s">
        <v>4050</v>
      </c>
      <c r="L4629" s="1" t="s">
        <v>4056</v>
      </c>
      <c r="N4629" s="1" t="s">
        <v>1962</v>
      </c>
      <c r="P4629" s="1" t="s">
        <v>5964</v>
      </c>
      <c r="Q4629" s="3">
        <v>0</v>
      </c>
      <c r="R4629" s="23" t="s">
        <v>12893</v>
      </c>
      <c r="S4629" s="23" t="s">
        <v>6848</v>
      </c>
      <c r="T4629" s="23" t="s">
        <v>4866</v>
      </c>
      <c r="U4629" s="3">
        <v>35</v>
      </c>
      <c r="W4629" s="45" t="str">
        <f>HYPERLINK("http://ictvonline.org/taxonomy/p/taxonomy-history?taxnode_id=201906376","ICTVonline=201906376")</f>
        <v>ICTVonline=201906376</v>
      </c>
      <c r="X4629" s="1" t="s">
        <v>14054</v>
      </c>
      <c r="Y4629" s="1" t="s">
        <v>14055</v>
      </c>
      <c r="Z4629" s="1" t="s">
        <v>14056</v>
      </c>
      <c r="AA4629" s="1">
        <v>201900000</v>
      </c>
      <c r="AB4629" s="1">
        <v>35</v>
      </c>
    </row>
    <row r="4630" spans="1:28" x14ac:dyDescent="0.2">
      <c r="A4630" s="1">
        <v>11810</v>
      </c>
      <c r="B4630" s="1" t="s">
        <v>6839</v>
      </c>
      <c r="D4630" s="1" t="s">
        <v>11735</v>
      </c>
      <c r="F4630" s="1" t="s">
        <v>5540</v>
      </c>
      <c r="G4630" s="1" t="s">
        <v>5630</v>
      </c>
      <c r="H4630" s="1" t="s">
        <v>5631</v>
      </c>
      <c r="J4630" s="1" t="s">
        <v>4050</v>
      </c>
      <c r="L4630" s="1" t="s">
        <v>4056</v>
      </c>
      <c r="N4630" s="1" t="s">
        <v>1962</v>
      </c>
      <c r="P4630" s="1" t="s">
        <v>5965</v>
      </c>
      <c r="Q4630" s="3">
        <v>0</v>
      </c>
      <c r="R4630" s="23" t="s">
        <v>12893</v>
      </c>
      <c r="S4630" s="23" t="s">
        <v>6848</v>
      </c>
      <c r="T4630" s="23" t="s">
        <v>4866</v>
      </c>
      <c r="U4630" s="3">
        <v>35</v>
      </c>
      <c r="W4630" s="45" t="str">
        <f>HYPERLINK("http://ictvonline.org/taxonomy/p/taxonomy-history?taxnode_id=201906364","ICTVonline=201906364")</f>
        <v>ICTVonline=201906364</v>
      </c>
      <c r="X4630" s="1" t="s">
        <v>14057</v>
      </c>
      <c r="Y4630" s="1" t="s">
        <v>14058</v>
      </c>
      <c r="Z4630" s="1" t="s">
        <v>14059</v>
      </c>
      <c r="AA4630" s="1">
        <v>201900000</v>
      </c>
      <c r="AB4630" s="1">
        <v>35</v>
      </c>
    </row>
    <row r="4631" spans="1:28" x14ac:dyDescent="0.2">
      <c r="A4631" s="1">
        <v>11812</v>
      </c>
      <c r="B4631" s="1" t="s">
        <v>6839</v>
      </c>
      <c r="D4631" s="1" t="s">
        <v>11735</v>
      </c>
      <c r="F4631" s="1" t="s">
        <v>5540</v>
      </c>
      <c r="G4631" s="1" t="s">
        <v>5630</v>
      </c>
      <c r="H4631" s="1" t="s">
        <v>5631</v>
      </c>
      <c r="J4631" s="1" t="s">
        <v>4050</v>
      </c>
      <c r="L4631" s="1" t="s">
        <v>4056</v>
      </c>
      <c r="N4631" s="1" t="s">
        <v>1962</v>
      </c>
      <c r="P4631" s="1" t="s">
        <v>5966</v>
      </c>
      <c r="Q4631" s="3">
        <v>0</v>
      </c>
      <c r="R4631" s="23" t="s">
        <v>12893</v>
      </c>
      <c r="S4631" s="23" t="s">
        <v>6848</v>
      </c>
      <c r="T4631" s="23" t="s">
        <v>4866</v>
      </c>
      <c r="U4631" s="3">
        <v>35</v>
      </c>
      <c r="W4631" s="45" t="str">
        <f>HYPERLINK("http://ictvonline.org/taxonomy/p/taxonomy-history?taxnode_id=201906388","ICTVonline=201906388")</f>
        <v>ICTVonline=201906388</v>
      </c>
      <c r="X4631" s="1" t="s">
        <v>14060</v>
      </c>
      <c r="Y4631" s="1" t="s">
        <v>14061</v>
      </c>
      <c r="Z4631" s="1" t="s">
        <v>14062</v>
      </c>
      <c r="AA4631" s="1">
        <v>201900000</v>
      </c>
      <c r="AB4631" s="1">
        <v>35</v>
      </c>
    </row>
    <row r="4632" spans="1:28" x14ac:dyDescent="0.2">
      <c r="A4632" s="1">
        <v>11814</v>
      </c>
      <c r="B4632" s="1" t="s">
        <v>6839</v>
      </c>
      <c r="D4632" s="1" t="s">
        <v>11735</v>
      </c>
      <c r="F4632" s="1" t="s">
        <v>5540</v>
      </c>
      <c r="G4632" s="1" t="s">
        <v>5630</v>
      </c>
      <c r="H4632" s="1" t="s">
        <v>5631</v>
      </c>
      <c r="J4632" s="1" t="s">
        <v>4050</v>
      </c>
      <c r="L4632" s="1" t="s">
        <v>4056</v>
      </c>
      <c r="N4632" s="1" t="s">
        <v>1962</v>
      </c>
      <c r="P4632" s="1" t="s">
        <v>3662</v>
      </c>
      <c r="Q4632" s="3">
        <v>0</v>
      </c>
      <c r="R4632" s="23" t="s">
        <v>12893</v>
      </c>
      <c r="S4632" s="23" t="s">
        <v>6848</v>
      </c>
      <c r="T4632" s="23" t="s">
        <v>4866</v>
      </c>
      <c r="U4632" s="3">
        <v>35</v>
      </c>
      <c r="W4632" s="45" t="str">
        <f>HYPERLINK("http://ictvonline.org/taxonomy/p/taxonomy-history?taxnode_id=201900112","ICTVonline=201900112")</f>
        <v>ICTVonline=201900112</v>
      </c>
      <c r="Z4632" s="1" t="s">
        <v>14063</v>
      </c>
      <c r="AA4632" s="1">
        <v>201900000</v>
      </c>
      <c r="AB4632" s="1">
        <v>35</v>
      </c>
    </row>
    <row r="4633" spans="1:28" x14ac:dyDescent="0.2">
      <c r="A4633" s="1">
        <v>11816</v>
      </c>
      <c r="B4633" s="1" t="s">
        <v>6839</v>
      </c>
      <c r="D4633" s="1" t="s">
        <v>11735</v>
      </c>
      <c r="F4633" s="1" t="s">
        <v>5540</v>
      </c>
      <c r="G4633" s="1" t="s">
        <v>5630</v>
      </c>
      <c r="H4633" s="1" t="s">
        <v>5631</v>
      </c>
      <c r="J4633" s="1" t="s">
        <v>4050</v>
      </c>
      <c r="L4633" s="1" t="s">
        <v>4056</v>
      </c>
      <c r="N4633" s="1" t="s">
        <v>1962</v>
      </c>
      <c r="P4633" s="1" t="s">
        <v>3663</v>
      </c>
      <c r="Q4633" s="3">
        <v>0</v>
      </c>
      <c r="R4633" s="23" t="s">
        <v>12893</v>
      </c>
      <c r="S4633" s="23" t="s">
        <v>6848</v>
      </c>
      <c r="T4633" s="23" t="s">
        <v>4866</v>
      </c>
      <c r="U4633" s="3">
        <v>35</v>
      </c>
      <c r="W4633" s="45" t="str">
        <f>HYPERLINK("http://ictvonline.org/taxonomy/p/taxonomy-history?taxnode_id=201900113","ICTVonline=201900113")</f>
        <v>ICTVonline=201900113</v>
      </c>
      <c r="Z4633" s="1" t="s">
        <v>14064</v>
      </c>
      <c r="AA4633" s="1">
        <v>201900000</v>
      </c>
      <c r="AB4633" s="1">
        <v>35</v>
      </c>
    </row>
    <row r="4634" spans="1:28" x14ac:dyDescent="0.2">
      <c r="A4634" s="1">
        <v>11818</v>
      </c>
      <c r="B4634" s="1" t="s">
        <v>6839</v>
      </c>
      <c r="D4634" s="1" t="s">
        <v>11735</v>
      </c>
      <c r="F4634" s="1" t="s">
        <v>5540</v>
      </c>
      <c r="G4634" s="1" t="s">
        <v>5630</v>
      </c>
      <c r="H4634" s="1" t="s">
        <v>5631</v>
      </c>
      <c r="J4634" s="1" t="s">
        <v>4050</v>
      </c>
      <c r="L4634" s="1" t="s">
        <v>4056</v>
      </c>
      <c r="N4634" s="1" t="s">
        <v>1962</v>
      </c>
      <c r="P4634" s="1" t="s">
        <v>5967</v>
      </c>
      <c r="Q4634" s="3">
        <v>0</v>
      </c>
      <c r="R4634" s="23" t="s">
        <v>12893</v>
      </c>
      <c r="S4634" s="23" t="s">
        <v>6848</v>
      </c>
      <c r="T4634" s="23" t="s">
        <v>4866</v>
      </c>
      <c r="U4634" s="3">
        <v>35</v>
      </c>
      <c r="W4634" s="45" t="str">
        <f>HYPERLINK("http://ictvonline.org/taxonomy/p/taxonomy-history?taxnode_id=201906365","ICTVonline=201906365")</f>
        <v>ICTVonline=201906365</v>
      </c>
      <c r="X4634" s="1" t="s">
        <v>14065</v>
      </c>
      <c r="Y4634" s="1" t="s">
        <v>14066</v>
      </c>
      <c r="Z4634" s="1" t="s">
        <v>14067</v>
      </c>
      <c r="AA4634" s="1">
        <v>201900000</v>
      </c>
      <c r="AB4634" s="1">
        <v>35</v>
      </c>
    </row>
    <row r="4635" spans="1:28" x14ac:dyDescent="0.2">
      <c r="A4635" s="1">
        <v>11820</v>
      </c>
      <c r="B4635" s="1" t="s">
        <v>6839</v>
      </c>
      <c r="D4635" s="1" t="s">
        <v>11735</v>
      </c>
      <c r="F4635" s="1" t="s">
        <v>5540</v>
      </c>
      <c r="G4635" s="1" t="s">
        <v>5630</v>
      </c>
      <c r="H4635" s="1" t="s">
        <v>5631</v>
      </c>
      <c r="J4635" s="1" t="s">
        <v>4050</v>
      </c>
      <c r="L4635" s="1" t="s">
        <v>4056</v>
      </c>
      <c r="N4635" s="1" t="s">
        <v>1962</v>
      </c>
      <c r="P4635" s="1" t="s">
        <v>3664</v>
      </c>
      <c r="Q4635" s="3">
        <v>0</v>
      </c>
      <c r="R4635" s="23" t="s">
        <v>12893</v>
      </c>
      <c r="S4635" s="23" t="s">
        <v>6848</v>
      </c>
      <c r="T4635" s="23" t="s">
        <v>4866</v>
      </c>
      <c r="U4635" s="3">
        <v>35</v>
      </c>
      <c r="W4635" s="45" t="str">
        <f>HYPERLINK("http://ictvonline.org/taxonomy/p/taxonomy-history?taxnode_id=201900114","ICTVonline=201900114")</f>
        <v>ICTVonline=201900114</v>
      </c>
      <c r="Z4635" s="1" t="s">
        <v>14068</v>
      </c>
      <c r="AA4635" s="1">
        <v>201900000</v>
      </c>
      <c r="AB4635" s="1">
        <v>35</v>
      </c>
    </row>
    <row r="4636" spans="1:28" x14ac:dyDescent="0.2">
      <c r="A4636" s="1">
        <v>11822</v>
      </c>
      <c r="B4636" s="1" t="s">
        <v>6839</v>
      </c>
      <c r="D4636" s="1" t="s">
        <v>11735</v>
      </c>
      <c r="F4636" s="1" t="s">
        <v>5540</v>
      </c>
      <c r="G4636" s="1" t="s">
        <v>5630</v>
      </c>
      <c r="H4636" s="1" t="s">
        <v>5631</v>
      </c>
      <c r="J4636" s="1" t="s">
        <v>4050</v>
      </c>
      <c r="L4636" s="1" t="s">
        <v>4056</v>
      </c>
      <c r="N4636" s="1" t="s">
        <v>1962</v>
      </c>
      <c r="P4636" s="1" t="s">
        <v>5968</v>
      </c>
      <c r="Q4636" s="3">
        <v>0</v>
      </c>
      <c r="R4636" s="23" t="s">
        <v>12893</v>
      </c>
      <c r="S4636" s="23" t="s">
        <v>6848</v>
      </c>
      <c r="T4636" s="23" t="s">
        <v>4866</v>
      </c>
      <c r="U4636" s="3">
        <v>35</v>
      </c>
      <c r="W4636" s="45" t="str">
        <f>HYPERLINK("http://ictvonline.org/taxonomy/p/taxonomy-history?taxnode_id=201906366","ICTVonline=201906366")</f>
        <v>ICTVonline=201906366</v>
      </c>
      <c r="X4636" s="1" t="s">
        <v>14069</v>
      </c>
      <c r="Y4636" s="1" t="s">
        <v>14070</v>
      </c>
      <c r="Z4636" s="1" t="s">
        <v>14071</v>
      </c>
      <c r="AA4636" s="1">
        <v>201900000</v>
      </c>
      <c r="AB4636" s="1">
        <v>35</v>
      </c>
    </row>
    <row r="4637" spans="1:28" x14ac:dyDescent="0.2">
      <c r="A4637" s="1">
        <v>11824</v>
      </c>
      <c r="B4637" s="1" t="s">
        <v>6839</v>
      </c>
      <c r="D4637" s="1" t="s">
        <v>11735</v>
      </c>
      <c r="F4637" s="1" t="s">
        <v>5540</v>
      </c>
      <c r="G4637" s="1" t="s">
        <v>5630</v>
      </c>
      <c r="H4637" s="1" t="s">
        <v>5631</v>
      </c>
      <c r="J4637" s="1" t="s">
        <v>4050</v>
      </c>
      <c r="L4637" s="1" t="s">
        <v>4056</v>
      </c>
      <c r="N4637" s="1" t="s">
        <v>1962</v>
      </c>
      <c r="P4637" s="1" t="s">
        <v>5969</v>
      </c>
      <c r="Q4637" s="3">
        <v>0</v>
      </c>
      <c r="R4637" s="23" t="s">
        <v>12893</v>
      </c>
      <c r="S4637" s="23" t="s">
        <v>6848</v>
      </c>
      <c r="T4637" s="23" t="s">
        <v>4866</v>
      </c>
      <c r="U4637" s="3">
        <v>35</v>
      </c>
      <c r="W4637" s="45" t="str">
        <f>HYPERLINK("http://ictvonline.org/taxonomy/p/taxonomy-history?taxnode_id=201906389","ICTVonline=201906389")</f>
        <v>ICTVonline=201906389</v>
      </c>
      <c r="X4637" s="1" t="s">
        <v>14072</v>
      </c>
      <c r="Y4637" s="1" t="s">
        <v>14073</v>
      </c>
      <c r="Z4637" s="1" t="s">
        <v>14074</v>
      </c>
      <c r="AA4637" s="1">
        <v>201900000</v>
      </c>
      <c r="AB4637" s="1">
        <v>35</v>
      </c>
    </row>
    <row r="4638" spans="1:28" x14ac:dyDescent="0.2">
      <c r="A4638" s="1">
        <v>11826</v>
      </c>
      <c r="B4638" s="1" t="s">
        <v>6839</v>
      </c>
      <c r="D4638" s="1" t="s">
        <v>11735</v>
      </c>
      <c r="F4638" s="1" t="s">
        <v>5540</v>
      </c>
      <c r="G4638" s="1" t="s">
        <v>5630</v>
      </c>
      <c r="H4638" s="1" t="s">
        <v>5631</v>
      </c>
      <c r="J4638" s="1" t="s">
        <v>4050</v>
      </c>
      <c r="L4638" s="1" t="s">
        <v>4056</v>
      </c>
      <c r="N4638" s="1" t="s">
        <v>1962</v>
      </c>
      <c r="P4638" s="1" t="s">
        <v>5970</v>
      </c>
      <c r="Q4638" s="3">
        <v>0</v>
      </c>
      <c r="R4638" s="23" t="s">
        <v>12893</v>
      </c>
      <c r="S4638" s="23" t="s">
        <v>6848</v>
      </c>
      <c r="T4638" s="23" t="s">
        <v>4866</v>
      </c>
      <c r="U4638" s="3">
        <v>35</v>
      </c>
      <c r="W4638" s="45" t="str">
        <f>HYPERLINK("http://ictvonline.org/taxonomy/p/taxonomy-history?taxnode_id=201906367","ICTVonline=201906367")</f>
        <v>ICTVonline=201906367</v>
      </c>
      <c r="X4638" s="1" t="s">
        <v>14075</v>
      </c>
      <c r="Y4638" s="1" t="s">
        <v>14076</v>
      </c>
      <c r="Z4638" s="1" t="s">
        <v>14077</v>
      </c>
      <c r="AA4638" s="1">
        <v>201900000</v>
      </c>
      <c r="AB4638" s="1">
        <v>35</v>
      </c>
    </row>
    <row r="4639" spans="1:28" x14ac:dyDescent="0.2">
      <c r="A4639" s="1">
        <v>11828</v>
      </c>
      <c r="B4639" s="1" t="s">
        <v>6839</v>
      </c>
      <c r="D4639" s="1" t="s">
        <v>11735</v>
      </c>
      <c r="F4639" s="1" t="s">
        <v>5540</v>
      </c>
      <c r="G4639" s="1" t="s">
        <v>5630</v>
      </c>
      <c r="H4639" s="1" t="s">
        <v>5631</v>
      </c>
      <c r="J4639" s="1" t="s">
        <v>4050</v>
      </c>
      <c r="L4639" s="1" t="s">
        <v>4056</v>
      </c>
      <c r="N4639" s="1" t="s">
        <v>1962</v>
      </c>
      <c r="P4639" s="1" t="s">
        <v>5971</v>
      </c>
      <c r="Q4639" s="3">
        <v>0</v>
      </c>
      <c r="R4639" s="23" t="s">
        <v>12893</v>
      </c>
      <c r="S4639" s="23" t="s">
        <v>6848</v>
      </c>
      <c r="T4639" s="23" t="s">
        <v>4866</v>
      </c>
      <c r="U4639" s="3">
        <v>35</v>
      </c>
      <c r="W4639" s="45" t="str">
        <f>HYPERLINK("http://ictvonline.org/taxonomy/p/taxonomy-history?taxnode_id=201906386","ICTVonline=201906386")</f>
        <v>ICTVonline=201906386</v>
      </c>
      <c r="X4639" s="1" t="s">
        <v>14078</v>
      </c>
      <c r="Y4639" s="1" t="s">
        <v>14079</v>
      </c>
      <c r="Z4639" s="1" t="s">
        <v>14080</v>
      </c>
      <c r="AA4639" s="1">
        <v>201900000</v>
      </c>
      <c r="AB4639" s="1">
        <v>35</v>
      </c>
    </row>
    <row r="4640" spans="1:28" x14ac:dyDescent="0.2">
      <c r="A4640" s="1">
        <v>11830</v>
      </c>
      <c r="B4640" s="1" t="s">
        <v>6839</v>
      </c>
      <c r="D4640" s="1" t="s">
        <v>11735</v>
      </c>
      <c r="F4640" s="1" t="s">
        <v>5540</v>
      </c>
      <c r="G4640" s="1" t="s">
        <v>5630</v>
      </c>
      <c r="H4640" s="1" t="s">
        <v>5631</v>
      </c>
      <c r="J4640" s="1" t="s">
        <v>4050</v>
      </c>
      <c r="L4640" s="1" t="s">
        <v>4056</v>
      </c>
      <c r="N4640" s="1" t="s">
        <v>1962</v>
      </c>
      <c r="P4640" s="1" t="s">
        <v>3665</v>
      </c>
      <c r="Q4640" s="3">
        <v>0</v>
      </c>
      <c r="R4640" s="23" t="s">
        <v>12893</v>
      </c>
      <c r="S4640" s="23" t="s">
        <v>6848</v>
      </c>
      <c r="T4640" s="23" t="s">
        <v>4866</v>
      </c>
      <c r="U4640" s="3">
        <v>35</v>
      </c>
      <c r="W4640" s="45" t="str">
        <f>HYPERLINK("http://ictvonline.org/taxonomy/p/taxonomy-history?taxnode_id=201900115","ICTVonline=201900115")</f>
        <v>ICTVonline=201900115</v>
      </c>
      <c r="Z4640" s="1" t="s">
        <v>14081</v>
      </c>
      <c r="AA4640" s="1">
        <v>201900000</v>
      </c>
      <c r="AB4640" s="1">
        <v>35</v>
      </c>
    </row>
    <row r="4641" spans="1:28" x14ac:dyDescent="0.2">
      <c r="A4641" s="1">
        <v>11832</v>
      </c>
      <c r="B4641" s="1" t="s">
        <v>6839</v>
      </c>
      <c r="D4641" s="1" t="s">
        <v>11735</v>
      </c>
      <c r="F4641" s="1" t="s">
        <v>5540</v>
      </c>
      <c r="G4641" s="1" t="s">
        <v>5630</v>
      </c>
      <c r="H4641" s="1" t="s">
        <v>5631</v>
      </c>
      <c r="J4641" s="1" t="s">
        <v>4050</v>
      </c>
      <c r="L4641" s="1" t="s">
        <v>4056</v>
      </c>
      <c r="N4641" s="1" t="s">
        <v>1962</v>
      </c>
      <c r="P4641" s="1" t="s">
        <v>5972</v>
      </c>
      <c r="Q4641" s="3">
        <v>0</v>
      </c>
      <c r="R4641" s="23" t="s">
        <v>12893</v>
      </c>
      <c r="S4641" s="23" t="s">
        <v>6848</v>
      </c>
      <c r="T4641" s="23" t="s">
        <v>4866</v>
      </c>
      <c r="U4641" s="3">
        <v>35</v>
      </c>
      <c r="W4641" s="45" t="str">
        <f>HYPERLINK("http://ictvonline.org/taxonomy/p/taxonomy-history?taxnode_id=201906361","ICTVonline=201906361")</f>
        <v>ICTVonline=201906361</v>
      </c>
      <c r="X4641" s="1" t="s">
        <v>14082</v>
      </c>
      <c r="Y4641" s="1" t="s">
        <v>14083</v>
      </c>
      <c r="Z4641" s="1" t="s">
        <v>14084</v>
      </c>
      <c r="AA4641" s="1">
        <v>201900000</v>
      </c>
      <c r="AB4641" s="1">
        <v>35</v>
      </c>
    </row>
    <row r="4642" spans="1:28" x14ac:dyDescent="0.2">
      <c r="A4642" s="1">
        <v>11834</v>
      </c>
      <c r="B4642" s="1" t="s">
        <v>6839</v>
      </c>
      <c r="D4642" s="1" t="s">
        <v>11735</v>
      </c>
      <c r="F4642" s="1" t="s">
        <v>5540</v>
      </c>
      <c r="G4642" s="1" t="s">
        <v>5630</v>
      </c>
      <c r="H4642" s="1" t="s">
        <v>5631</v>
      </c>
      <c r="J4642" s="1" t="s">
        <v>4050</v>
      </c>
      <c r="L4642" s="1" t="s">
        <v>4056</v>
      </c>
      <c r="N4642" s="1" t="s">
        <v>1962</v>
      </c>
      <c r="P4642" s="1" t="s">
        <v>3666</v>
      </c>
      <c r="Q4642" s="3">
        <v>0</v>
      </c>
      <c r="R4642" s="23" t="s">
        <v>12893</v>
      </c>
      <c r="S4642" s="23" t="s">
        <v>6848</v>
      </c>
      <c r="T4642" s="23" t="s">
        <v>4866</v>
      </c>
      <c r="U4642" s="3">
        <v>35</v>
      </c>
      <c r="W4642" s="45" t="str">
        <f>HYPERLINK("http://ictvonline.org/taxonomy/p/taxonomy-history?taxnode_id=201900116","ICTVonline=201900116")</f>
        <v>ICTVonline=201900116</v>
      </c>
      <c r="Z4642" s="1" t="s">
        <v>14085</v>
      </c>
      <c r="AA4642" s="1">
        <v>201900000</v>
      </c>
      <c r="AB4642" s="1">
        <v>35</v>
      </c>
    </row>
    <row r="4643" spans="1:28" x14ac:dyDescent="0.2">
      <c r="A4643" s="1">
        <v>11836</v>
      </c>
      <c r="B4643" s="1" t="s">
        <v>6839</v>
      </c>
      <c r="D4643" s="1" t="s">
        <v>11735</v>
      </c>
      <c r="F4643" s="1" t="s">
        <v>5540</v>
      </c>
      <c r="G4643" s="1" t="s">
        <v>5630</v>
      </c>
      <c r="H4643" s="1" t="s">
        <v>5631</v>
      </c>
      <c r="J4643" s="1" t="s">
        <v>4050</v>
      </c>
      <c r="L4643" s="1" t="s">
        <v>4056</v>
      </c>
      <c r="N4643" s="1" t="s">
        <v>1962</v>
      </c>
      <c r="P4643" s="1" t="s">
        <v>3667</v>
      </c>
      <c r="Q4643" s="3">
        <v>0</v>
      </c>
      <c r="R4643" s="23" t="s">
        <v>12893</v>
      </c>
      <c r="S4643" s="23" t="s">
        <v>6848</v>
      </c>
      <c r="T4643" s="23" t="s">
        <v>4866</v>
      </c>
      <c r="U4643" s="3">
        <v>35</v>
      </c>
      <c r="W4643" s="45" t="str">
        <f>HYPERLINK("http://ictvonline.org/taxonomy/p/taxonomy-history?taxnode_id=201900117","ICTVonline=201900117")</f>
        <v>ICTVonline=201900117</v>
      </c>
      <c r="Z4643" s="1" t="s">
        <v>14086</v>
      </c>
      <c r="AA4643" s="1">
        <v>201900000</v>
      </c>
      <c r="AB4643" s="1">
        <v>35</v>
      </c>
    </row>
    <row r="4644" spans="1:28" x14ac:dyDescent="0.2">
      <c r="A4644" s="1">
        <v>11838</v>
      </c>
      <c r="B4644" s="1" t="s">
        <v>6839</v>
      </c>
      <c r="D4644" s="1" t="s">
        <v>11735</v>
      </c>
      <c r="F4644" s="1" t="s">
        <v>5540</v>
      </c>
      <c r="G4644" s="1" t="s">
        <v>5630</v>
      </c>
      <c r="H4644" s="1" t="s">
        <v>5631</v>
      </c>
      <c r="J4644" s="1" t="s">
        <v>4050</v>
      </c>
      <c r="L4644" s="1" t="s">
        <v>4056</v>
      </c>
      <c r="N4644" s="1" t="s">
        <v>1962</v>
      </c>
      <c r="P4644" s="1" t="s">
        <v>3668</v>
      </c>
      <c r="Q4644" s="3">
        <v>0</v>
      </c>
      <c r="R4644" s="23" t="s">
        <v>12893</v>
      </c>
      <c r="S4644" s="23" t="s">
        <v>6848</v>
      </c>
      <c r="T4644" s="23" t="s">
        <v>4866</v>
      </c>
      <c r="U4644" s="3">
        <v>35</v>
      </c>
      <c r="W4644" s="45" t="str">
        <f>HYPERLINK("http://ictvonline.org/taxonomy/p/taxonomy-history?taxnode_id=201900118","ICTVonline=201900118")</f>
        <v>ICTVonline=201900118</v>
      </c>
      <c r="Z4644" s="1" t="s">
        <v>14087</v>
      </c>
      <c r="AA4644" s="1">
        <v>201900000</v>
      </c>
      <c r="AB4644" s="1">
        <v>35</v>
      </c>
    </row>
    <row r="4645" spans="1:28" x14ac:dyDescent="0.2">
      <c r="A4645" s="1">
        <v>11840</v>
      </c>
      <c r="B4645" s="1" t="s">
        <v>6839</v>
      </c>
      <c r="D4645" s="1" t="s">
        <v>11735</v>
      </c>
      <c r="F4645" s="1" t="s">
        <v>5540</v>
      </c>
      <c r="G4645" s="1" t="s">
        <v>5630</v>
      </c>
      <c r="H4645" s="1" t="s">
        <v>5631</v>
      </c>
      <c r="J4645" s="1" t="s">
        <v>4050</v>
      </c>
      <c r="L4645" s="1" t="s">
        <v>4056</v>
      </c>
      <c r="N4645" s="1" t="s">
        <v>1962</v>
      </c>
      <c r="P4645" s="1" t="s">
        <v>5973</v>
      </c>
      <c r="Q4645" s="3">
        <v>0</v>
      </c>
      <c r="R4645" s="23" t="s">
        <v>12893</v>
      </c>
      <c r="S4645" s="23" t="s">
        <v>6848</v>
      </c>
      <c r="T4645" s="23" t="s">
        <v>4866</v>
      </c>
      <c r="U4645" s="3">
        <v>35</v>
      </c>
      <c r="W4645" s="45" t="str">
        <f>HYPERLINK("http://ictvonline.org/taxonomy/p/taxonomy-history?taxnode_id=201906368","ICTVonline=201906368")</f>
        <v>ICTVonline=201906368</v>
      </c>
      <c r="X4645" s="1" t="s">
        <v>14088</v>
      </c>
      <c r="Y4645" s="1" t="s">
        <v>14089</v>
      </c>
      <c r="Z4645" s="1" t="s">
        <v>14090</v>
      </c>
      <c r="AA4645" s="1">
        <v>201900000</v>
      </c>
      <c r="AB4645" s="1">
        <v>35</v>
      </c>
    </row>
    <row r="4646" spans="1:28" x14ac:dyDescent="0.2">
      <c r="A4646" s="1">
        <v>11842</v>
      </c>
      <c r="B4646" s="1" t="s">
        <v>6839</v>
      </c>
      <c r="D4646" s="1" t="s">
        <v>11735</v>
      </c>
      <c r="F4646" s="1" t="s">
        <v>5540</v>
      </c>
      <c r="G4646" s="1" t="s">
        <v>5630</v>
      </c>
      <c r="H4646" s="1" t="s">
        <v>5631</v>
      </c>
      <c r="J4646" s="1" t="s">
        <v>4050</v>
      </c>
      <c r="L4646" s="1" t="s">
        <v>4056</v>
      </c>
      <c r="N4646" s="1" t="s">
        <v>1962</v>
      </c>
      <c r="P4646" s="1" t="s">
        <v>5974</v>
      </c>
      <c r="Q4646" s="3">
        <v>0</v>
      </c>
      <c r="R4646" s="23" t="s">
        <v>12893</v>
      </c>
      <c r="S4646" s="23" t="s">
        <v>6848</v>
      </c>
      <c r="T4646" s="23" t="s">
        <v>4866</v>
      </c>
      <c r="U4646" s="3">
        <v>35</v>
      </c>
      <c r="W4646" s="45" t="str">
        <f>HYPERLINK("http://ictvonline.org/taxonomy/p/taxonomy-history?taxnode_id=201906377","ICTVonline=201906377")</f>
        <v>ICTVonline=201906377</v>
      </c>
      <c r="X4646" s="1" t="s">
        <v>14091</v>
      </c>
      <c r="Y4646" s="1" t="s">
        <v>14092</v>
      </c>
      <c r="Z4646" s="1" t="s">
        <v>14093</v>
      </c>
      <c r="AA4646" s="1">
        <v>201900000</v>
      </c>
      <c r="AB4646" s="1">
        <v>35</v>
      </c>
    </row>
    <row r="4647" spans="1:28" x14ac:dyDescent="0.2">
      <c r="A4647" s="1">
        <v>11844</v>
      </c>
      <c r="B4647" s="1" t="s">
        <v>6839</v>
      </c>
      <c r="D4647" s="1" t="s">
        <v>11735</v>
      </c>
      <c r="F4647" s="1" t="s">
        <v>5540</v>
      </c>
      <c r="G4647" s="1" t="s">
        <v>5630</v>
      </c>
      <c r="H4647" s="1" t="s">
        <v>5631</v>
      </c>
      <c r="J4647" s="1" t="s">
        <v>4050</v>
      </c>
      <c r="L4647" s="1" t="s">
        <v>4056</v>
      </c>
      <c r="N4647" s="1" t="s">
        <v>1962</v>
      </c>
      <c r="P4647" s="1" t="s">
        <v>3669</v>
      </c>
      <c r="Q4647" s="3">
        <v>0</v>
      </c>
      <c r="R4647" s="23" t="s">
        <v>12893</v>
      </c>
      <c r="S4647" s="23" t="s">
        <v>6848</v>
      </c>
      <c r="T4647" s="23" t="s">
        <v>4866</v>
      </c>
      <c r="U4647" s="3">
        <v>35</v>
      </c>
      <c r="W4647" s="45" t="str">
        <f>HYPERLINK("http://ictvonline.org/taxonomy/p/taxonomy-history?taxnode_id=201900119","ICTVonline=201900119")</f>
        <v>ICTVonline=201900119</v>
      </c>
      <c r="Z4647" s="1" t="s">
        <v>14094</v>
      </c>
      <c r="AA4647" s="1">
        <v>201900000</v>
      </c>
      <c r="AB4647" s="1">
        <v>35</v>
      </c>
    </row>
    <row r="4648" spans="1:28" x14ac:dyDescent="0.2">
      <c r="A4648" s="1">
        <v>11846</v>
      </c>
      <c r="B4648" s="1" t="s">
        <v>6839</v>
      </c>
      <c r="D4648" s="1" t="s">
        <v>11735</v>
      </c>
      <c r="F4648" s="1" t="s">
        <v>5540</v>
      </c>
      <c r="G4648" s="1" t="s">
        <v>5630</v>
      </c>
      <c r="H4648" s="1" t="s">
        <v>5631</v>
      </c>
      <c r="J4648" s="1" t="s">
        <v>4050</v>
      </c>
      <c r="L4648" s="1" t="s">
        <v>4056</v>
      </c>
      <c r="N4648" s="1" t="s">
        <v>1962</v>
      </c>
      <c r="P4648" s="1" t="s">
        <v>3670</v>
      </c>
      <c r="Q4648" s="3">
        <v>0</v>
      </c>
      <c r="R4648" s="23" t="s">
        <v>12893</v>
      </c>
      <c r="S4648" s="23" t="s">
        <v>6848</v>
      </c>
      <c r="T4648" s="23" t="s">
        <v>4866</v>
      </c>
      <c r="U4648" s="3">
        <v>35</v>
      </c>
      <c r="W4648" s="45" t="str">
        <f>HYPERLINK("http://ictvonline.org/taxonomy/p/taxonomy-history?taxnode_id=201900120","ICTVonline=201900120")</f>
        <v>ICTVonline=201900120</v>
      </c>
      <c r="Z4648" s="1" t="s">
        <v>14095</v>
      </c>
      <c r="AA4648" s="1">
        <v>201900000</v>
      </c>
      <c r="AB4648" s="1">
        <v>35</v>
      </c>
    </row>
    <row r="4649" spans="1:28" x14ac:dyDescent="0.2">
      <c r="A4649" s="1">
        <v>11848</v>
      </c>
      <c r="B4649" s="1" t="s">
        <v>6839</v>
      </c>
      <c r="D4649" s="1" t="s">
        <v>11735</v>
      </c>
      <c r="F4649" s="1" t="s">
        <v>5540</v>
      </c>
      <c r="G4649" s="1" t="s">
        <v>5630</v>
      </c>
      <c r="H4649" s="1" t="s">
        <v>5631</v>
      </c>
      <c r="J4649" s="1" t="s">
        <v>4050</v>
      </c>
      <c r="L4649" s="1" t="s">
        <v>4056</v>
      </c>
      <c r="N4649" s="1" t="s">
        <v>1962</v>
      </c>
      <c r="P4649" s="1" t="s">
        <v>3671</v>
      </c>
      <c r="Q4649" s="3">
        <v>0</v>
      </c>
      <c r="R4649" s="23" t="s">
        <v>12893</v>
      </c>
      <c r="S4649" s="23" t="s">
        <v>6848</v>
      </c>
      <c r="T4649" s="23" t="s">
        <v>4866</v>
      </c>
      <c r="U4649" s="3">
        <v>35</v>
      </c>
      <c r="W4649" s="45" t="str">
        <f>HYPERLINK("http://ictvonline.org/taxonomy/p/taxonomy-history?taxnode_id=201900121","ICTVonline=201900121")</f>
        <v>ICTVonline=201900121</v>
      </c>
      <c r="Z4649" s="1" t="s">
        <v>14096</v>
      </c>
      <c r="AA4649" s="1">
        <v>201900000</v>
      </c>
      <c r="AB4649" s="1">
        <v>35</v>
      </c>
    </row>
    <row r="4650" spans="1:28" x14ac:dyDescent="0.2">
      <c r="A4650" s="1">
        <v>11850</v>
      </c>
      <c r="B4650" s="1" t="s">
        <v>6839</v>
      </c>
      <c r="D4650" s="1" t="s">
        <v>11735</v>
      </c>
      <c r="F4650" s="1" t="s">
        <v>5540</v>
      </c>
      <c r="G4650" s="1" t="s">
        <v>5630</v>
      </c>
      <c r="H4650" s="1" t="s">
        <v>5631</v>
      </c>
      <c r="J4650" s="1" t="s">
        <v>4050</v>
      </c>
      <c r="L4650" s="1" t="s">
        <v>4056</v>
      </c>
      <c r="N4650" s="1" t="s">
        <v>1962</v>
      </c>
      <c r="P4650" s="1" t="s">
        <v>3672</v>
      </c>
      <c r="Q4650" s="3">
        <v>0</v>
      </c>
      <c r="R4650" s="23" t="s">
        <v>12893</v>
      </c>
      <c r="S4650" s="23" t="s">
        <v>6848</v>
      </c>
      <c r="T4650" s="23" t="s">
        <v>4866</v>
      </c>
      <c r="U4650" s="3">
        <v>35</v>
      </c>
      <c r="W4650" s="45" t="str">
        <f>HYPERLINK("http://ictvonline.org/taxonomy/p/taxonomy-history?taxnode_id=201900122","ICTVonline=201900122")</f>
        <v>ICTVonline=201900122</v>
      </c>
      <c r="Z4650" s="1" t="s">
        <v>14097</v>
      </c>
      <c r="AA4650" s="1">
        <v>201900000</v>
      </c>
      <c r="AB4650" s="1">
        <v>35</v>
      </c>
    </row>
    <row r="4651" spans="1:28" x14ac:dyDescent="0.2">
      <c r="A4651" s="1">
        <v>11852</v>
      </c>
      <c r="B4651" s="1" t="s">
        <v>6839</v>
      </c>
      <c r="D4651" s="1" t="s">
        <v>11735</v>
      </c>
      <c r="F4651" s="1" t="s">
        <v>5540</v>
      </c>
      <c r="G4651" s="1" t="s">
        <v>5630</v>
      </c>
      <c r="H4651" s="1" t="s">
        <v>5631</v>
      </c>
      <c r="J4651" s="1" t="s">
        <v>4050</v>
      </c>
      <c r="L4651" s="1" t="s">
        <v>4056</v>
      </c>
      <c r="N4651" s="1" t="s">
        <v>1962</v>
      </c>
      <c r="P4651" s="1" t="s">
        <v>3673</v>
      </c>
      <c r="Q4651" s="3">
        <v>0</v>
      </c>
      <c r="R4651" s="23" t="s">
        <v>12893</v>
      </c>
      <c r="S4651" s="23" t="s">
        <v>6848</v>
      </c>
      <c r="T4651" s="23" t="s">
        <v>4866</v>
      </c>
      <c r="U4651" s="3">
        <v>35</v>
      </c>
      <c r="W4651" s="45" t="str">
        <f>HYPERLINK("http://ictvonline.org/taxonomy/p/taxonomy-history?taxnode_id=201900123","ICTVonline=201900123")</f>
        <v>ICTVonline=201900123</v>
      </c>
      <c r="Z4651" s="1" t="s">
        <v>14098</v>
      </c>
      <c r="AA4651" s="1">
        <v>201900000</v>
      </c>
      <c r="AB4651" s="1">
        <v>35</v>
      </c>
    </row>
    <row r="4652" spans="1:28" x14ac:dyDescent="0.2">
      <c r="A4652" s="1">
        <v>11854</v>
      </c>
      <c r="B4652" s="1" t="s">
        <v>6839</v>
      </c>
      <c r="D4652" s="1" t="s">
        <v>11735</v>
      </c>
      <c r="F4652" s="1" t="s">
        <v>5540</v>
      </c>
      <c r="G4652" s="1" t="s">
        <v>5630</v>
      </c>
      <c r="H4652" s="1" t="s">
        <v>5631</v>
      </c>
      <c r="J4652" s="1" t="s">
        <v>4050</v>
      </c>
      <c r="L4652" s="1" t="s">
        <v>4056</v>
      </c>
      <c r="N4652" s="1" t="s">
        <v>1962</v>
      </c>
      <c r="P4652" s="1" t="s">
        <v>3674</v>
      </c>
      <c r="Q4652" s="3">
        <v>0</v>
      </c>
      <c r="R4652" s="23" t="s">
        <v>12893</v>
      </c>
      <c r="S4652" s="23" t="s">
        <v>6848</v>
      </c>
      <c r="T4652" s="23" t="s">
        <v>4866</v>
      </c>
      <c r="U4652" s="3">
        <v>35</v>
      </c>
      <c r="W4652" s="45" t="str">
        <f>HYPERLINK("http://ictvonline.org/taxonomy/p/taxonomy-history?taxnode_id=201900124","ICTVonline=201900124")</f>
        <v>ICTVonline=201900124</v>
      </c>
      <c r="Z4652" s="1" t="s">
        <v>14099</v>
      </c>
      <c r="AA4652" s="1">
        <v>201900000</v>
      </c>
      <c r="AB4652" s="1">
        <v>35</v>
      </c>
    </row>
    <row r="4653" spans="1:28" x14ac:dyDescent="0.2">
      <c r="A4653" s="1">
        <v>11856</v>
      </c>
      <c r="B4653" s="1" t="s">
        <v>6839</v>
      </c>
      <c r="D4653" s="1" t="s">
        <v>11735</v>
      </c>
      <c r="F4653" s="1" t="s">
        <v>5540</v>
      </c>
      <c r="G4653" s="1" t="s">
        <v>5630</v>
      </c>
      <c r="H4653" s="1" t="s">
        <v>5631</v>
      </c>
      <c r="J4653" s="1" t="s">
        <v>4050</v>
      </c>
      <c r="L4653" s="1" t="s">
        <v>4056</v>
      </c>
      <c r="N4653" s="1" t="s">
        <v>1962</v>
      </c>
      <c r="P4653" s="1" t="s">
        <v>3675</v>
      </c>
      <c r="Q4653" s="3">
        <v>0</v>
      </c>
      <c r="R4653" s="23" t="s">
        <v>12893</v>
      </c>
      <c r="S4653" s="23" t="s">
        <v>6848</v>
      </c>
      <c r="T4653" s="23" t="s">
        <v>4866</v>
      </c>
      <c r="U4653" s="3">
        <v>35</v>
      </c>
      <c r="W4653" s="45" t="str">
        <f>HYPERLINK("http://ictvonline.org/taxonomy/p/taxonomy-history?taxnode_id=201900125","ICTVonline=201900125")</f>
        <v>ICTVonline=201900125</v>
      </c>
      <c r="Z4653" s="1" t="s">
        <v>14100</v>
      </c>
      <c r="AA4653" s="1">
        <v>201900000</v>
      </c>
      <c r="AB4653" s="1">
        <v>35</v>
      </c>
    </row>
    <row r="4654" spans="1:28" x14ac:dyDescent="0.2">
      <c r="A4654" s="1">
        <v>11858</v>
      </c>
      <c r="B4654" s="1" t="s">
        <v>6839</v>
      </c>
      <c r="D4654" s="1" t="s">
        <v>11735</v>
      </c>
      <c r="F4654" s="1" t="s">
        <v>5540</v>
      </c>
      <c r="G4654" s="1" t="s">
        <v>5630</v>
      </c>
      <c r="H4654" s="1" t="s">
        <v>5631</v>
      </c>
      <c r="J4654" s="1" t="s">
        <v>4050</v>
      </c>
      <c r="L4654" s="1" t="s">
        <v>4056</v>
      </c>
      <c r="N4654" s="1" t="s">
        <v>1962</v>
      </c>
      <c r="P4654" s="1" t="s">
        <v>5975</v>
      </c>
      <c r="Q4654" s="3">
        <v>0</v>
      </c>
      <c r="R4654" s="23" t="s">
        <v>12893</v>
      </c>
      <c r="S4654" s="23" t="s">
        <v>6848</v>
      </c>
      <c r="T4654" s="23" t="s">
        <v>4866</v>
      </c>
      <c r="U4654" s="3">
        <v>35</v>
      </c>
      <c r="W4654" s="45" t="str">
        <f>HYPERLINK("http://ictvonline.org/taxonomy/p/taxonomy-history?taxnode_id=201906380","ICTVonline=201906380")</f>
        <v>ICTVonline=201906380</v>
      </c>
      <c r="X4654" s="1" t="s">
        <v>14101</v>
      </c>
      <c r="Y4654" s="1" t="s">
        <v>14102</v>
      </c>
      <c r="Z4654" s="1" t="s">
        <v>14103</v>
      </c>
      <c r="AA4654" s="1">
        <v>201900000</v>
      </c>
      <c r="AB4654" s="1">
        <v>35</v>
      </c>
    </row>
    <row r="4655" spans="1:28" x14ac:dyDescent="0.2">
      <c r="A4655" s="1">
        <v>11860</v>
      </c>
      <c r="B4655" s="1" t="s">
        <v>6839</v>
      </c>
      <c r="D4655" s="1" t="s">
        <v>11735</v>
      </c>
      <c r="F4655" s="1" t="s">
        <v>5540</v>
      </c>
      <c r="G4655" s="1" t="s">
        <v>5630</v>
      </c>
      <c r="H4655" s="1" t="s">
        <v>5631</v>
      </c>
      <c r="J4655" s="1" t="s">
        <v>4050</v>
      </c>
      <c r="L4655" s="1" t="s">
        <v>4056</v>
      </c>
      <c r="N4655" s="1" t="s">
        <v>1962</v>
      </c>
      <c r="P4655" s="1" t="s">
        <v>5976</v>
      </c>
      <c r="Q4655" s="3">
        <v>0</v>
      </c>
      <c r="R4655" s="23" t="s">
        <v>12893</v>
      </c>
      <c r="S4655" s="23" t="s">
        <v>6848</v>
      </c>
      <c r="T4655" s="23" t="s">
        <v>4866</v>
      </c>
      <c r="U4655" s="3">
        <v>35</v>
      </c>
      <c r="W4655" s="45" t="str">
        <f>HYPERLINK("http://ictvonline.org/taxonomy/p/taxonomy-history?taxnode_id=201906362","ICTVonline=201906362")</f>
        <v>ICTVonline=201906362</v>
      </c>
      <c r="X4655" s="1" t="s">
        <v>14104</v>
      </c>
      <c r="Y4655" s="1" t="s">
        <v>14105</v>
      </c>
      <c r="Z4655" s="1" t="s">
        <v>14106</v>
      </c>
      <c r="AA4655" s="1">
        <v>201900000</v>
      </c>
      <c r="AB4655" s="1">
        <v>35</v>
      </c>
    </row>
    <row r="4656" spans="1:28" x14ac:dyDescent="0.2">
      <c r="A4656" s="1">
        <v>11862</v>
      </c>
      <c r="B4656" s="1" t="s">
        <v>6839</v>
      </c>
      <c r="D4656" s="1" t="s">
        <v>11735</v>
      </c>
      <c r="F4656" s="1" t="s">
        <v>5540</v>
      </c>
      <c r="G4656" s="1" t="s">
        <v>5630</v>
      </c>
      <c r="H4656" s="1" t="s">
        <v>5631</v>
      </c>
      <c r="J4656" s="1" t="s">
        <v>4050</v>
      </c>
      <c r="L4656" s="1" t="s">
        <v>4056</v>
      </c>
      <c r="N4656" s="1" t="s">
        <v>1962</v>
      </c>
      <c r="P4656" s="1" t="s">
        <v>5977</v>
      </c>
      <c r="Q4656" s="3">
        <v>0</v>
      </c>
      <c r="R4656" s="23" t="s">
        <v>12893</v>
      </c>
      <c r="S4656" s="23" t="s">
        <v>6848</v>
      </c>
      <c r="T4656" s="23" t="s">
        <v>4866</v>
      </c>
      <c r="U4656" s="3">
        <v>35</v>
      </c>
      <c r="W4656" s="45" t="str">
        <f>HYPERLINK("http://ictvonline.org/taxonomy/p/taxonomy-history?taxnode_id=201906353","ICTVonline=201906353")</f>
        <v>ICTVonline=201906353</v>
      </c>
      <c r="X4656" s="1" t="s">
        <v>14107</v>
      </c>
      <c r="Y4656" s="1" t="s">
        <v>14108</v>
      </c>
      <c r="Z4656" s="1" t="s">
        <v>14109</v>
      </c>
      <c r="AA4656" s="1">
        <v>201900000</v>
      </c>
      <c r="AB4656" s="1">
        <v>35</v>
      </c>
    </row>
    <row r="4657" spans="1:28" x14ac:dyDescent="0.2">
      <c r="A4657" s="1">
        <v>11864</v>
      </c>
      <c r="B4657" s="1" t="s">
        <v>6839</v>
      </c>
      <c r="D4657" s="1" t="s">
        <v>11735</v>
      </c>
      <c r="F4657" s="1" t="s">
        <v>5540</v>
      </c>
      <c r="G4657" s="1" t="s">
        <v>5630</v>
      </c>
      <c r="H4657" s="1" t="s">
        <v>5631</v>
      </c>
      <c r="J4657" s="1" t="s">
        <v>4050</v>
      </c>
      <c r="L4657" s="1" t="s">
        <v>4056</v>
      </c>
      <c r="N4657" s="1" t="s">
        <v>1962</v>
      </c>
      <c r="P4657" s="1" t="s">
        <v>5978</v>
      </c>
      <c r="Q4657" s="3">
        <v>0</v>
      </c>
      <c r="R4657" s="23" t="s">
        <v>12893</v>
      </c>
      <c r="S4657" s="23" t="s">
        <v>6848</v>
      </c>
      <c r="T4657" s="23" t="s">
        <v>4866</v>
      </c>
      <c r="U4657" s="3">
        <v>35</v>
      </c>
      <c r="W4657" s="45" t="str">
        <f>HYPERLINK("http://ictvonline.org/taxonomy/p/taxonomy-history?taxnode_id=201906369","ICTVonline=201906369")</f>
        <v>ICTVonline=201906369</v>
      </c>
      <c r="X4657" s="1" t="s">
        <v>14110</v>
      </c>
      <c r="Y4657" s="1" t="s">
        <v>14111</v>
      </c>
      <c r="Z4657" s="1" t="s">
        <v>14112</v>
      </c>
      <c r="AA4657" s="1">
        <v>201900000</v>
      </c>
      <c r="AB4657" s="1">
        <v>35</v>
      </c>
    </row>
    <row r="4658" spans="1:28" x14ac:dyDescent="0.2">
      <c r="A4658" s="1">
        <v>11866</v>
      </c>
      <c r="B4658" s="1" t="s">
        <v>6839</v>
      </c>
      <c r="D4658" s="1" t="s">
        <v>11735</v>
      </c>
      <c r="F4658" s="1" t="s">
        <v>5540</v>
      </c>
      <c r="G4658" s="1" t="s">
        <v>5630</v>
      </c>
      <c r="H4658" s="1" t="s">
        <v>5631</v>
      </c>
      <c r="J4658" s="1" t="s">
        <v>4050</v>
      </c>
      <c r="L4658" s="1" t="s">
        <v>4056</v>
      </c>
      <c r="N4658" s="1" t="s">
        <v>1962</v>
      </c>
      <c r="P4658" s="1" t="s">
        <v>5979</v>
      </c>
      <c r="Q4658" s="3">
        <v>0</v>
      </c>
      <c r="R4658" s="23" t="s">
        <v>12893</v>
      </c>
      <c r="S4658" s="23" t="s">
        <v>6848</v>
      </c>
      <c r="T4658" s="23" t="s">
        <v>4866</v>
      </c>
      <c r="U4658" s="3">
        <v>35</v>
      </c>
      <c r="W4658" s="45" t="str">
        <f>HYPERLINK("http://ictvonline.org/taxonomy/p/taxonomy-history?taxnode_id=201906381","ICTVonline=201906381")</f>
        <v>ICTVonline=201906381</v>
      </c>
      <c r="X4658" s="1" t="s">
        <v>14113</v>
      </c>
      <c r="Y4658" s="1" t="s">
        <v>14114</v>
      </c>
      <c r="Z4658" s="1" t="s">
        <v>14115</v>
      </c>
      <c r="AA4658" s="1">
        <v>201900000</v>
      </c>
      <c r="AB4658" s="1">
        <v>35</v>
      </c>
    </row>
    <row r="4659" spans="1:28" x14ac:dyDescent="0.2">
      <c r="A4659" s="1">
        <v>11868</v>
      </c>
      <c r="B4659" s="1" t="s">
        <v>6839</v>
      </c>
      <c r="D4659" s="1" t="s">
        <v>11735</v>
      </c>
      <c r="F4659" s="1" t="s">
        <v>5540</v>
      </c>
      <c r="G4659" s="1" t="s">
        <v>5630</v>
      </c>
      <c r="H4659" s="1" t="s">
        <v>5631</v>
      </c>
      <c r="J4659" s="1" t="s">
        <v>4050</v>
      </c>
      <c r="L4659" s="1" t="s">
        <v>4056</v>
      </c>
      <c r="N4659" s="1" t="s">
        <v>1962</v>
      </c>
      <c r="P4659" s="1" t="s">
        <v>5980</v>
      </c>
      <c r="Q4659" s="3">
        <v>0</v>
      </c>
      <c r="R4659" s="23" t="s">
        <v>12893</v>
      </c>
      <c r="S4659" s="23" t="s">
        <v>6848</v>
      </c>
      <c r="T4659" s="23" t="s">
        <v>4866</v>
      </c>
      <c r="U4659" s="3">
        <v>35</v>
      </c>
      <c r="W4659" s="45" t="str">
        <f>HYPERLINK("http://ictvonline.org/taxonomy/p/taxonomy-history?taxnode_id=201900126","ICTVonline=201900126")</f>
        <v>ICTVonline=201900126</v>
      </c>
      <c r="X4659" s="1" t="s">
        <v>14116</v>
      </c>
      <c r="Y4659" s="1" t="s">
        <v>14117</v>
      </c>
      <c r="Z4659" s="1" t="s">
        <v>14118</v>
      </c>
      <c r="AA4659" s="1">
        <v>201900000</v>
      </c>
      <c r="AB4659" s="1">
        <v>35</v>
      </c>
    </row>
    <row r="4660" spans="1:28" x14ac:dyDescent="0.2">
      <c r="A4660" s="1">
        <v>11870</v>
      </c>
      <c r="B4660" s="1" t="s">
        <v>6839</v>
      </c>
      <c r="D4660" s="1" t="s">
        <v>11735</v>
      </c>
      <c r="F4660" s="1" t="s">
        <v>5540</v>
      </c>
      <c r="G4660" s="1" t="s">
        <v>5630</v>
      </c>
      <c r="H4660" s="1" t="s">
        <v>5631</v>
      </c>
      <c r="J4660" s="1" t="s">
        <v>4050</v>
      </c>
      <c r="L4660" s="1" t="s">
        <v>4056</v>
      </c>
      <c r="N4660" s="1" t="s">
        <v>1962</v>
      </c>
      <c r="P4660" s="1" t="s">
        <v>5981</v>
      </c>
      <c r="Q4660" s="3">
        <v>0</v>
      </c>
      <c r="R4660" s="23" t="s">
        <v>12893</v>
      </c>
      <c r="S4660" s="23" t="s">
        <v>6848</v>
      </c>
      <c r="T4660" s="23" t="s">
        <v>4866</v>
      </c>
      <c r="U4660" s="3">
        <v>35</v>
      </c>
      <c r="W4660" s="45" t="str">
        <f>HYPERLINK("http://ictvonline.org/taxonomy/p/taxonomy-history?taxnode_id=201906370","ICTVonline=201906370")</f>
        <v>ICTVonline=201906370</v>
      </c>
      <c r="X4660" s="1" t="s">
        <v>14119</v>
      </c>
      <c r="Y4660" s="1" t="s">
        <v>14120</v>
      </c>
      <c r="Z4660" s="1" t="s">
        <v>14121</v>
      </c>
      <c r="AA4660" s="1">
        <v>201900000</v>
      </c>
      <c r="AB4660" s="1">
        <v>35</v>
      </c>
    </row>
    <row r="4661" spans="1:28" x14ac:dyDescent="0.2">
      <c r="A4661" s="1">
        <v>11872</v>
      </c>
      <c r="B4661" s="1" t="s">
        <v>6839</v>
      </c>
      <c r="D4661" s="1" t="s">
        <v>11735</v>
      </c>
      <c r="F4661" s="1" t="s">
        <v>5540</v>
      </c>
      <c r="G4661" s="1" t="s">
        <v>5630</v>
      </c>
      <c r="H4661" s="1" t="s">
        <v>5631</v>
      </c>
      <c r="J4661" s="1" t="s">
        <v>4050</v>
      </c>
      <c r="L4661" s="1" t="s">
        <v>4056</v>
      </c>
      <c r="N4661" s="1" t="s">
        <v>1962</v>
      </c>
      <c r="P4661" s="1" t="s">
        <v>3676</v>
      </c>
      <c r="Q4661" s="3">
        <v>0</v>
      </c>
      <c r="R4661" s="23" t="s">
        <v>12893</v>
      </c>
      <c r="S4661" s="23" t="s">
        <v>6848</v>
      </c>
      <c r="T4661" s="23" t="s">
        <v>4866</v>
      </c>
      <c r="U4661" s="3">
        <v>35</v>
      </c>
      <c r="W4661" s="45" t="str">
        <f>HYPERLINK("http://ictvonline.org/taxonomy/p/taxonomy-history?taxnode_id=201900128","ICTVonline=201900128")</f>
        <v>ICTVonline=201900128</v>
      </c>
      <c r="Z4661" s="1" t="s">
        <v>14122</v>
      </c>
      <c r="AA4661" s="1">
        <v>201900000</v>
      </c>
      <c r="AB4661" s="1">
        <v>35</v>
      </c>
    </row>
    <row r="4662" spans="1:28" x14ac:dyDescent="0.2">
      <c r="A4662" s="1">
        <v>11874</v>
      </c>
      <c r="B4662" s="1" t="s">
        <v>6839</v>
      </c>
      <c r="D4662" s="1" t="s">
        <v>11735</v>
      </c>
      <c r="F4662" s="1" t="s">
        <v>5540</v>
      </c>
      <c r="G4662" s="1" t="s">
        <v>5630</v>
      </c>
      <c r="H4662" s="1" t="s">
        <v>5631</v>
      </c>
      <c r="J4662" s="1" t="s">
        <v>4050</v>
      </c>
      <c r="L4662" s="1" t="s">
        <v>4056</v>
      </c>
      <c r="N4662" s="1" t="s">
        <v>1962</v>
      </c>
      <c r="P4662" s="1" t="s">
        <v>3677</v>
      </c>
      <c r="Q4662" s="3">
        <v>0</v>
      </c>
      <c r="R4662" s="23" t="s">
        <v>12893</v>
      </c>
      <c r="S4662" s="23" t="s">
        <v>6848</v>
      </c>
      <c r="T4662" s="23" t="s">
        <v>4866</v>
      </c>
      <c r="U4662" s="3">
        <v>35</v>
      </c>
      <c r="W4662" s="45" t="str">
        <f>HYPERLINK("http://ictvonline.org/taxonomy/p/taxonomy-history?taxnode_id=201900129","ICTVonline=201900129")</f>
        <v>ICTVonline=201900129</v>
      </c>
      <c r="Z4662" s="1" t="s">
        <v>14123</v>
      </c>
      <c r="AA4662" s="1">
        <v>201900000</v>
      </c>
      <c r="AB4662" s="1">
        <v>35</v>
      </c>
    </row>
    <row r="4663" spans="1:28" x14ac:dyDescent="0.2">
      <c r="A4663" s="1">
        <v>11876</v>
      </c>
      <c r="B4663" s="1" t="s">
        <v>6839</v>
      </c>
      <c r="D4663" s="1" t="s">
        <v>11735</v>
      </c>
      <c r="F4663" s="1" t="s">
        <v>5540</v>
      </c>
      <c r="G4663" s="1" t="s">
        <v>5630</v>
      </c>
      <c r="H4663" s="1" t="s">
        <v>5631</v>
      </c>
      <c r="J4663" s="1" t="s">
        <v>4050</v>
      </c>
      <c r="L4663" s="1" t="s">
        <v>4056</v>
      </c>
      <c r="N4663" s="1" t="s">
        <v>1962</v>
      </c>
      <c r="P4663" s="1" t="s">
        <v>5982</v>
      </c>
      <c r="Q4663" s="3">
        <v>0</v>
      </c>
      <c r="R4663" s="23" t="s">
        <v>12893</v>
      </c>
      <c r="S4663" s="23" t="s">
        <v>6848</v>
      </c>
      <c r="T4663" s="23" t="s">
        <v>4866</v>
      </c>
      <c r="U4663" s="3">
        <v>35</v>
      </c>
      <c r="W4663" s="45" t="str">
        <f>HYPERLINK("http://ictvonline.org/taxonomy/p/taxonomy-history?taxnode_id=201906371","ICTVonline=201906371")</f>
        <v>ICTVonline=201906371</v>
      </c>
      <c r="X4663" s="1" t="s">
        <v>14124</v>
      </c>
      <c r="Y4663" s="1" t="s">
        <v>14125</v>
      </c>
      <c r="Z4663" s="1" t="s">
        <v>14126</v>
      </c>
      <c r="AA4663" s="1">
        <v>201900000</v>
      </c>
      <c r="AB4663" s="1">
        <v>35</v>
      </c>
    </row>
    <row r="4664" spans="1:28" x14ac:dyDescent="0.2">
      <c r="A4664" s="1">
        <v>11878</v>
      </c>
      <c r="B4664" s="1" t="s">
        <v>6839</v>
      </c>
      <c r="D4664" s="1" t="s">
        <v>11735</v>
      </c>
      <c r="F4664" s="1" t="s">
        <v>5540</v>
      </c>
      <c r="G4664" s="1" t="s">
        <v>5630</v>
      </c>
      <c r="H4664" s="1" t="s">
        <v>5631</v>
      </c>
      <c r="J4664" s="1" t="s">
        <v>4050</v>
      </c>
      <c r="L4664" s="1" t="s">
        <v>4056</v>
      </c>
      <c r="N4664" s="1" t="s">
        <v>1962</v>
      </c>
      <c r="P4664" s="1" t="s">
        <v>5983</v>
      </c>
      <c r="Q4664" s="3">
        <v>0</v>
      </c>
      <c r="R4664" s="23" t="s">
        <v>12893</v>
      </c>
      <c r="S4664" s="23" t="s">
        <v>6848</v>
      </c>
      <c r="T4664" s="23" t="s">
        <v>4866</v>
      </c>
      <c r="U4664" s="3">
        <v>35</v>
      </c>
      <c r="W4664" s="45" t="str">
        <f>HYPERLINK("http://ictvonline.org/taxonomy/p/taxonomy-history?taxnode_id=201906387","ICTVonline=201906387")</f>
        <v>ICTVonline=201906387</v>
      </c>
      <c r="X4664" s="1" t="s">
        <v>14127</v>
      </c>
      <c r="Y4664" s="1" t="s">
        <v>14128</v>
      </c>
      <c r="Z4664" s="1" t="s">
        <v>14129</v>
      </c>
      <c r="AA4664" s="1">
        <v>201900000</v>
      </c>
      <c r="AB4664" s="1">
        <v>35</v>
      </c>
    </row>
    <row r="4665" spans="1:28" x14ac:dyDescent="0.2">
      <c r="A4665" s="1">
        <v>11880</v>
      </c>
      <c r="B4665" s="1" t="s">
        <v>6839</v>
      </c>
      <c r="D4665" s="1" t="s">
        <v>11735</v>
      </c>
      <c r="F4665" s="1" t="s">
        <v>5540</v>
      </c>
      <c r="G4665" s="1" t="s">
        <v>5630</v>
      </c>
      <c r="H4665" s="1" t="s">
        <v>5631</v>
      </c>
      <c r="J4665" s="1" t="s">
        <v>4050</v>
      </c>
      <c r="L4665" s="1" t="s">
        <v>4056</v>
      </c>
      <c r="N4665" s="1" t="s">
        <v>1962</v>
      </c>
      <c r="P4665" s="1" t="s">
        <v>3678</v>
      </c>
      <c r="Q4665" s="3">
        <v>0</v>
      </c>
      <c r="R4665" s="23" t="s">
        <v>12893</v>
      </c>
      <c r="S4665" s="23" t="s">
        <v>6848</v>
      </c>
      <c r="T4665" s="23" t="s">
        <v>4866</v>
      </c>
      <c r="U4665" s="3">
        <v>35</v>
      </c>
      <c r="W4665" s="45" t="str">
        <f>HYPERLINK("http://ictvonline.org/taxonomy/p/taxonomy-history?taxnode_id=201900130","ICTVonline=201900130")</f>
        <v>ICTVonline=201900130</v>
      </c>
      <c r="Z4665" s="1" t="s">
        <v>14130</v>
      </c>
      <c r="AA4665" s="1">
        <v>201900000</v>
      </c>
      <c r="AB4665" s="1">
        <v>35</v>
      </c>
    </row>
    <row r="4666" spans="1:28" x14ac:dyDescent="0.2">
      <c r="A4666" s="1">
        <v>11882</v>
      </c>
      <c r="B4666" s="1" t="s">
        <v>6839</v>
      </c>
      <c r="D4666" s="1" t="s">
        <v>11735</v>
      </c>
      <c r="F4666" s="1" t="s">
        <v>5540</v>
      </c>
      <c r="G4666" s="1" t="s">
        <v>5630</v>
      </c>
      <c r="H4666" s="1" t="s">
        <v>5631</v>
      </c>
      <c r="J4666" s="1" t="s">
        <v>4050</v>
      </c>
      <c r="L4666" s="1" t="s">
        <v>4056</v>
      </c>
      <c r="N4666" s="1" t="s">
        <v>1962</v>
      </c>
      <c r="P4666" s="1" t="s">
        <v>5984</v>
      </c>
      <c r="Q4666" s="3">
        <v>0</v>
      </c>
      <c r="R4666" s="23" t="s">
        <v>12893</v>
      </c>
      <c r="S4666" s="23" t="s">
        <v>6848</v>
      </c>
      <c r="T4666" s="23" t="s">
        <v>4866</v>
      </c>
      <c r="U4666" s="3">
        <v>35</v>
      </c>
      <c r="W4666" s="45" t="str">
        <f>HYPERLINK("http://ictvonline.org/taxonomy/p/taxonomy-history?taxnode_id=201906372","ICTVonline=201906372")</f>
        <v>ICTVonline=201906372</v>
      </c>
      <c r="X4666" s="1" t="s">
        <v>14131</v>
      </c>
      <c r="Y4666" s="1" t="s">
        <v>14132</v>
      </c>
      <c r="Z4666" s="1" t="s">
        <v>14133</v>
      </c>
      <c r="AA4666" s="1">
        <v>201900000</v>
      </c>
      <c r="AB4666" s="1">
        <v>35</v>
      </c>
    </row>
    <row r="4667" spans="1:28" x14ac:dyDescent="0.2">
      <c r="A4667" s="1">
        <v>11884</v>
      </c>
      <c r="B4667" s="1" t="s">
        <v>6839</v>
      </c>
      <c r="D4667" s="1" t="s">
        <v>11735</v>
      </c>
      <c r="F4667" s="1" t="s">
        <v>5540</v>
      </c>
      <c r="G4667" s="1" t="s">
        <v>5630</v>
      </c>
      <c r="H4667" s="1" t="s">
        <v>5631</v>
      </c>
      <c r="J4667" s="1" t="s">
        <v>4050</v>
      </c>
      <c r="L4667" s="1" t="s">
        <v>4056</v>
      </c>
      <c r="N4667" s="1" t="s">
        <v>1962</v>
      </c>
      <c r="P4667" s="1" t="s">
        <v>5985</v>
      </c>
      <c r="Q4667" s="3">
        <v>0</v>
      </c>
      <c r="R4667" s="23" t="s">
        <v>12893</v>
      </c>
      <c r="S4667" s="23" t="s">
        <v>6848</v>
      </c>
      <c r="T4667" s="23" t="s">
        <v>4866</v>
      </c>
      <c r="U4667" s="3">
        <v>35</v>
      </c>
      <c r="W4667" s="45" t="str">
        <f>HYPERLINK("http://ictvonline.org/taxonomy/p/taxonomy-history?taxnode_id=201906598","ICTVonline=201906598")</f>
        <v>ICTVonline=201906598</v>
      </c>
      <c r="X4667" s="1" t="s">
        <v>14134</v>
      </c>
      <c r="Y4667" s="1" t="s">
        <v>14135</v>
      </c>
      <c r="Z4667" s="1" t="s">
        <v>14136</v>
      </c>
      <c r="AA4667" s="1">
        <v>201900000</v>
      </c>
      <c r="AB4667" s="1">
        <v>35</v>
      </c>
    </row>
    <row r="4668" spans="1:28" x14ac:dyDescent="0.2">
      <c r="A4668" s="1">
        <v>11886</v>
      </c>
      <c r="B4668" s="1" t="s">
        <v>6839</v>
      </c>
      <c r="D4668" s="1" t="s">
        <v>11735</v>
      </c>
      <c r="F4668" s="1" t="s">
        <v>5540</v>
      </c>
      <c r="G4668" s="1" t="s">
        <v>5630</v>
      </c>
      <c r="H4668" s="1" t="s">
        <v>5631</v>
      </c>
      <c r="J4668" s="1" t="s">
        <v>4050</v>
      </c>
      <c r="L4668" s="1" t="s">
        <v>4056</v>
      </c>
      <c r="N4668" s="1" t="s">
        <v>1962</v>
      </c>
      <c r="P4668" s="1" t="s">
        <v>5986</v>
      </c>
      <c r="Q4668" s="3">
        <v>0</v>
      </c>
      <c r="R4668" s="23" t="s">
        <v>12893</v>
      </c>
      <c r="S4668" s="23" t="s">
        <v>6848</v>
      </c>
      <c r="T4668" s="23" t="s">
        <v>4866</v>
      </c>
      <c r="U4668" s="3">
        <v>35</v>
      </c>
      <c r="W4668" s="45" t="str">
        <f>HYPERLINK("http://ictvonline.org/taxonomy/p/taxonomy-history?taxnode_id=201906363","ICTVonline=201906363")</f>
        <v>ICTVonline=201906363</v>
      </c>
      <c r="X4668" s="1" t="s">
        <v>14137</v>
      </c>
      <c r="Y4668" s="1" t="s">
        <v>14138</v>
      </c>
      <c r="Z4668" s="1" t="s">
        <v>14139</v>
      </c>
      <c r="AA4668" s="1">
        <v>201900000</v>
      </c>
      <c r="AB4668" s="1">
        <v>35</v>
      </c>
    </row>
    <row r="4669" spans="1:28" x14ac:dyDescent="0.2">
      <c r="A4669" s="1">
        <v>11888</v>
      </c>
      <c r="B4669" s="1" t="s">
        <v>6839</v>
      </c>
      <c r="D4669" s="1" t="s">
        <v>11735</v>
      </c>
      <c r="F4669" s="1" t="s">
        <v>5540</v>
      </c>
      <c r="G4669" s="1" t="s">
        <v>5630</v>
      </c>
      <c r="H4669" s="1" t="s">
        <v>5631</v>
      </c>
      <c r="J4669" s="1" t="s">
        <v>4050</v>
      </c>
      <c r="L4669" s="1" t="s">
        <v>4056</v>
      </c>
      <c r="N4669" s="1" t="s">
        <v>1962</v>
      </c>
      <c r="P4669" s="1" t="s">
        <v>3679</v>
      </c>
      <c r="Q4669" s="3">
        <v>0</v>
      </c>
      <c r="R4669" s="23" t="s">
        <v>12893</v>
      </c>
      <c r="S4669" s="23" t="s">
        <v>6848</v>
      </c>
      <c r="T4669" s="23" t="s">
        <v>4866</v>
      </c>
      <c r="U4669" s="3">
        <v>35</v>
      </c>
      <c r="W4669" s="45" t="str">
        <f>HYPERLINK("http://ictvonline.org/taxonomy/p/taxonomy-history?taxnode_id=201900131","ICTVonline=201900131")</f>
        <v>ICTVonline=201900131</v>
      </c>
      <c r="Z4669" s="1" t="s">
        <v>14140</v>
      </c>
      <c r="AA4669" s="1">
        <v>201900000</v>
      </c>
      <c r="AB4669" s="1">
        <v>35</v>
      </c>
    </row>
    <row r="4670" spans="1:28" x14ac:dyDescent="0.2">
      <c r="A4670" s="1">
        <v>11890</v>
      </c>
      <c r="B4670" s="1" t="s">
        <v>6839</v>
      </c>
      <c r="D4670" s="1" t="s">
        <v>11735</v>
      </c>
      <c r="F4670" s="1" t="s">
        <v>5540</v>
      </c>
      <c r="G4670" s="1" t="s">
        <v>5630</v>
      </c>
      <c r="H4670" s="1" t="s">
        <v>5631</v>
      </c>
      <c r="J4670" s="1" t="s">
        <v>4050</v>
      </c>
      <c r="L4670" s="1" t="s">
        <v>4056</v>
      </c>
      <c r="N4670" s="1" t="s">
        <v>1962</v>
      </c>
      <c r="P4670" s="1" t="s">
        <v>3680</v>
      </c>
      <c r="Q4670" s="3">
        <v>0</v>
      </c>
      <c r="R4670" s="23" t="s">
        <v>12893</v>
      </c>
      <c r="S4670" s="23" t="s">
        <v>6848</v>
      </c>
      <c r="T4670" s="23" t="s">
        <v>4866</v>
      </c>
      <c r="U4670" s="3">
        <v>35</v>
      </c>
      <c r="W4670" s="45" t="str">
        <f>HYPERLINK("http://ictvonline.org/taxonomy/p/taxonomy-history?taxnode_id=201900132","ICTVonline=201900132")</f>
        <v>ICTVonline=201900132</v>
      </c>
      <c r="Z4670" s="1" t="s">
        <v>14141</v>
      </c>
      <c r="AA4670" s="1">
        <v>201900000</v>
      </c>
      <c r="AB4670" s="1">
        <v>35</v>
      </c>
    </row>
    <row r="4671" spans="1:28" x14ac:dyDescent="0.2">
      <c r="A4671" s="1">
        <v>11892</v>
      </c>
      <c r="B4671" s="1" t="s">
        <v>6839</v>
      </c>
      <c r="D4671" s="1" t="s">
        <v>11735</v>
      </c>
      <c r="F4671" s="1" t="s">
        <v>5540</v>
      </c>
      <c r="G4671" s="1" t="s">
        <v>5630</v>
      </c>
      <c r="H4671" s="1" t="s">
        <v>5631</v>
      </c>
      <c r="J4671" s="1" t="s">
        <v>4050</v>
      </c>
      <c r="L4671" s="1" t="s">
        <v>4056</v>
      </c>
      <c r="N4671" s="1" t="s">
        <v>1962</v>
      </c>
      <c r="P4671" s="1" t="s">
        <v>3681</v>
      </c>
      <c r="Q4671" s="3">
        <v>0</v>
      </c>
      <c r="R4671" s="23" t="s">
        <v>12893</v>
      </c>
      <c r="S4671" s="23" t="s">
        <v>6848</v>
      </c>
      <c r="T4671" s="23" t="s">
        <v>4866</v>
      </c>
      <c r="U4671" s="3">
        <v>35</v>
      </c>
      <c r="W4671" s="45" t="str">
        <f>HYPERLINK("http://ictvonline.org/taxonomy/p/taxonomy-history?taxnode_id=201900133","ICTVonline=201900133")</f>
        <v>ICTVonline=201900133</v>
      </c>
      <c r="Z4671" s="1" t="s">
        <v>14142</v>
      </c>
      <c r="AA4671" s="1">
        <v>201900000</v>
      </c>
      <c r="AB4671" s="1">
        <v>35</v>
      </c>
    </row>
    <row r="4672" spans="1:28" x14ac:dyDescent="0.2">
      <c r="A4672" s="1">
        <v>11894</v>
      </c>
      <c r="B4672" s="1" t="s">
        <v>6839</v>
      </c>
      <c r="D4672" s="1" t="s">
        <v>11735</v>
      </c>
      <c r="F4672" s="1" t="s">
        <v>5540</v>
      </c>
      <c r="G4672" s="1" t="s">
        <v>5630</v>
      </c>
      <c r="H4672" s="1" t="s">
        <v>5631</v>
      </c>
      <c r="J4672" s="1" t="s">
        <v>4050</v>
      </c>
      <c r="L4672" s="1" t="s">
        <v>4056</v>
      </c>
      <c r="N4672" s="1" t="s">
        <v>1962</v>
      </c>
      <c r="P4672" s="1" t="s">
        <v>5987</v>
      </c>
      <c r="Q4672" s="3">
        <v>0</v>
      </c>
      <c r="R4672" s="23" t="s">
        <v>12893</v>
      </c>
      <c r="S4672" s="23" t="s">
        <v>6848</v>
      </c>
      <c r="T4672" s="23" t="s">
        <v>4866</v>
      </c>
      <c r="U4672" s="3">
        <v>35</v>
      </c>
      <c r="W4672" s="45" t="str">
        <f>HYPERLINK("http://ictvonline.org/taxonomy/p/taxonomy-history?taxnode_id=201906373","ICTVonline=201906373")</f>
        <v>ICTVonline=201906373</v>
      </c>
      <c r="X4672" s="1" t="s">
        <v>14143</v>
      </c>
      <c r="Y4672" s="1" t="s">
        <v>14144</v>
      </c>
      <c r="Z4672" s="1" t="s">
        <v>14145</v>
      </c>
      <c r="AA4672" s="1">
        <v>201900000</v>
      </c>
      <c r="AB4672" s="1">
        <v>35</v>
      </c>
    </row>
    <row r="4673" spans="1:28" x14ac:dyDescent="0.2">
      <c r="A4673" s="1">
        <v>11896</v>
      </c>
      <c r="B4673" s="1" t="s">
        <v>6839</v>
      </c>
      <c r="D4673" s="1" t="s">
        <v>11735</v>
      </c>
      <c r="F4673" s="1" t="s">
        <v>5540</v>
      </c>
      <c r="G4673" s="1" t="s">
        <v>5630</v>
      </c>
      <c r="H4673" s="1" t="s">
        <v>5631</v>
      </c>
      <c r="J4673" s="1" t="s">
        <v>4050</v>
      </c>
      <c r="L4673" s="1" t="s">
        <v>4056</v>
      </c>
      <c r="N4673" s="1" t="s">
        <v>1962</v>
      </c>
      <c r="P4673" s="1" t="s">
        <v>3682</v>
      </c>
      <c r="Q4673" s="3">
        <v>0</v>
      </c>
      <c r="R4673" s="23" t="s">
        <v>12893</v>
      </c>
      <c r="S4673" s="23" t="s">
        <v>6848</v>
      </c>
      <c r="T4673" s="23" t="s">
        <v>4866</v>
      </c>
      <c r="U4673" s="3">
        <v>35</v>
      </c>
      <c r="W4673" s="45" t="str">
        <f>HYPERLINK("http://ictvonline.org/taxonomy/p/taxonomy-history?taxnode_id=201900134","ICTVonline=201900134")</f>
        <v>ICTVonline=201900134</v>
      </c>
      <c r="Z4673" s="1" t="s">
        <v>14146</v>
      </c>
      <c r="AA4673" s="1">
        <v>201900000</v>
      </c>
      <c r="AB4673" s="1">
        <v>35</v>
      </c>
    </row>
    <row r="4674" spans="1:28" x14ac:dyDescent="0.2">
      <c r="A4674" s="1">
        <v>11898</v>
      </c>
      <c r="B4674" s="1" t="s">
        <v>6839</v>
      </c>
      <c r="D4674" s="1" t="s">
        <v>11735</v>
      </c>
      <c r="F4674" s="1" t="s">
        <v>5540</v>
      </c>
      <c r="G4674" s="1" t="s">
        <v>5630</v>
      </c>
      <c r="H4674" s="1" t="s">
        <v>5631</v>
      </c>
      <c r="J4674" s="1" t="s">
        <v>4050</v>
      </c>
      <c r="L4674" s="1" t="s">
        <v>4056</v>
      </c>
      <c r="N4674" s="1" t="s">
        <v>1962</v>
      </c>
      <c r="P4674" s="1" t="s">
        <v>5988</v>
      </c>
      <c r="Q4674" s="3">
        <v>0</v>
      </c>
      <c r="R4674" s="23" t="s">
        <v>12893</v>
      </c>
      <c r="S4674" s="23" t="s">
        <v>6848</v>
      </c>
      <c r="T4674" s="23" t="s">
        <v>4866</v>
      </c>
      <c r="U4674" s="3">
        <v>35</v>
      </c>
      <c r="W4674" s="45" t="str">
        <f>HYPERLINK("http://ictvonline.org/taxonomy/p/taxonomy-history?taxnode_id=201906379","ICTVonline=201906379")</f>
        <v>ICTVonline=201906379</v>
      </c>
      <c r="X4674" s="1" t="s">
        <v>14147</v>
      </c>
      <c r="Y4674" s="1" t="s">
        <v>14148</v>
      </c>
      <c r="Z4674" s="1" t="s">
        <v>14149</v>
      </c>
      <c r="AA4674" s="1">
        <v>201900000</v>
      </c>
      <c r="AB4674" s="1">
        <v>35</v>
      </c>
    </row>
    <row r="4675" spans="1:28" x14ac:dyDescent="0.2">
      <c r="A4675" s="1">
        <v>11900</v>
      </c>
      <c r="B4675" s="1" t="s">
        <v>6839</v>
      </c>
      <c r="D4675" s="1" t="s">
        <v>11735</v>
      </c>
      <c r="F4675" s="1" t="s">
        <v>5540</v>
      </c>
      <c r="G4675" s="1" t="s">
        <v>5630</v>
      </c>
      <c r="H4675" s="1" t="s">
        <v>5631</v>
      </c>
      <c r="J4675" s="1" t="s">
        <v>4050</v>
      </c>
      <c r="L4675" s="1" t="s">
        <v>4056</v>
      </c>
      <c r="N4675" s="1" t="s">
        <v>1962</v>
      </c>
      <c r="P4675" s="1" t="s">
        <v>5989</v>
      </c>
      <c r="Q4675" s="3">
        <v>0</v>
      </c>
      <c r="R4675" s="23" t="s">
        <v>12893</v>
      </c>
      <c r="S4675" s="23" t="s">
        <v>6848</v>
      </c>
      <c r="T4675" s="23" t="s">
        <v>4866</v>
      </c>
      <c r="U4675" s="3">
        <v>35</v>
      </c>
      <c r="W4675" s="45" t="str">
        <f>HYPERLINK("http://ictvonline.org/taxonomy/p/taxonomy-history?taxnode_id=201906599","ICTVonline=201906599")</f>
        <v>ICTVonline=201906599</v>
      </c>
      <c r="X4675" s="1" t="s">
        <v>14150</v>
      </c>
      <c r="Y4675" s="1" t="s">
        <v>14151</v>
      </c>
      <c r="Z4675" s="1" t="s">
        <v>14152</v>
      </c>
      <c r="AA4675" s="1">
        <v>201900000</v>
      </c>
      <c r="AB4675" s="1">
        <v>35</v>
      </c>
    </row>
    <row r="4676" spans="1:28" x14ac:dyDescent="0.2">
      <c r="A4676" s="1">
        <v>11902</v>
      </c>
      <c r="B4676" s="1" t="s">
        <v>6839</v>
      </c>
      <c r="D4676" s="1" t="s">
        <v>11735</v>
      </c>
      <c r="F4676" s="1" t="s">
        <v>5540</v>
      </c>
      <c r="G4676" s="1" t="s">
        <v>5630</v>
      </c>
      <c r="H4676" s="1" t="s">
        <v>5631</v>
      </c>
      <c r="J4676" s="1" t="s">
        <v>4050</v>
      </c>
      <c r="L4676" s="1" t="s">
        <v>4056</v>
      </c>
      <c r="N4676" s="1" t="s">
        <v>1962</v>
      </c>
      <c r="P4676" s="1" t="s">
        <v>4928</v>
      </c>
      <c r="Q4676" s="3">
        <v>0</v>
      </c>
      <c r="R4676" s="23" t="s">
        <v>12893</v>
      </c>
      <c r="S4676" s="23" t="s">
        <v>6848</v>
      </c>
      <c r="T4676" s="23" t="s">
        <v>4866</v>
      </c>
      <c r="U4676" s="3">
        <v>35</v>
      </c>
      <c r="W4676" s="45" t="str">
        <f>HYPERLINK("http://ictvonline.org/taxonomy/p/taxonomy-history?taxnode_id=201905464","ICTVonline=201905464")</f>
        <v>ICTVonline=201905464</v>
      </c>
      <c r="AA4676" s="1">
        <v>201900000</v>
      </c>
      <c r="AB4676" s="1">
        <v>35</v>
      </c>
    </row>
    <row r="4677" spans="1:28" x14ac:dyDescent="0.2">
      <c r="A4677" s="1">
        <v>11904</v>
      </c>
      <c r="B4677" s="1" t="s">
        <v>6839</v>
      </c>
      <c r="D4677" s="1" t="s">
        <v>11735</v>
      </c>
      <c r="F4677" s="1" t="s">
        <v>5540</v>
      </c>
      <c r="G4677" s="1" t="s">
        <v>5630</v>
      </c>
      <c r="H4677" s="1" t="s">
        <v>5631</v>
      </c>
      <c r="J4677" s="1" t="s">
        <v>4050</v>
      </c>
      <c r="L4677" s="1" t="s">
        <v>4056</v>
      </c>
      <c r="N4677" s="1" t="s">
        <v>1962</v>
      </c>
      <c r="P4677" s="1" t="s">
        <v>3683</v>
      </c>
      <c r="Q4677" s="3">
        <v>0</v>
      </c>
      <c r="R4677" s="23" t="s">
        <v>12893</v>
      </c>
      <c r="S4677" s="23" t="s">
        <v>6848</v>
      </c>
      <c r="T4677" s="23" t="s">
        <v>4866</v>
      </c>
      <c r="U4677" s="3">
        <v>35</v>
      </c>
      <c r="W4677" s="45" t="str">
        <f>HYPERLINK("http://ictvonline.org/taxonomy/p/taxonomy-history?taxnode_id=201900135","ICTVonline=201900135")</f>
        <v>ICTVonline=201900135</v>
      </c>
      <c r="Z4677" s="1" t="s">
        <v>14153</v>
      </c>
      <c r="AA4677" s="1">
        <v>201900000</v>
      </c>
      <c r="AB4677" s="1">
        <v>35</v>
      </c>
    </row>
    <row r="4678" spans="1:28" x14ac:dyDescent="0.2">
      <c r="A4678" s="1">
        <v>11906</v>
      </c>
      <c r="B4678" s="1" t="s">
        <v>6839</v>
      </c>
      <c r="D4678" s="1" t="s">
        <v>11735</v>
      </c>
      <c r="F4678" s="1" t="s">
        <v>5540</v>
      </c>
      <c r="G4678" s="1" t="s">
        <v>5630</v>
      </c>
      <c r="H4678" s="1" t="s">
        <v>5631</v>
      </c>
      <c r="J4678" s="1" t="s">
        <v>4050</v>
      </c>
      <c r="L4678" s="1" t="s">
        <v>4056</v>
      </c>
      <c r="N4678" s="1" t="s">
        <v>1962</v>
      </c>
      <c r="P4678" s="1" t="s">
        <v>3684</v>
      </c>
      <c r="Q4678" s="3">
        <v>0</v>
      </c>
      <c r="R4678" s="23" t="s">
        <v>12893</v>
      </c>
      <c r="S4678" s="23" t="s">
        <v>6848</v>
      </c>
      <c r="T4678" s="23" t="s">
        <v>4866</v>
      </c>
      <c r="U4678" s="3">
        <v>35</v>
      </c>
      <c r="W4678" s="45" t="str">
        <f>HYPERLINK("http://ictvonline.org/taxonomy/p/taxonomy-history?taxnode_id=201900136","ICTVonline=201900136")</f>
        <v>ICTVonline=201900136</v>
      </c>
      <c r="Z4678" s="1" t="s">
        <v>14154</v>
      </c>
      <c r="AA4678" s="1">
        <v>201900000</v>
      </c>
      <c r="AB4678" s="1">
        <v>35</v>
      </c>
    </row>
    <row r="4679" spans="1:28" x14ac:dyDescent="0.2">
      <c r="A4679" s="1">
        <v>11910</v>
      </c>
      <c r="B4679" s="1" t="s">
        <v>6839</v>
      </c>
      <c r="D4679" s="1" t="s">
        <v>11735</v>
      </c>
      <c r="F4679" s="1" t="s">
        <v>5540</v>
      </c>
      <c r="G4679" s="1" t="s">
        <v>5630</v>
      </c>
      <c r="H4679" s="1" t="s">
        <v>5631</v>
      </c>
      <c r="J4679" s="1" t="s">
        <v>4050</v>
      </c>
      <c r="L4679" s="1" t="s">
        <v>4056</v>
      </c>
      <c r="N4679" s="1" t="s">
        <v>5990</v>
      </c>
      <c r="P4679" s="1" t="s">
        <v>14155</v>
      </c>
      <c r="Q4679" s="3">
        <v>0</v>
      </c>
      <c r="R4679" s="23" t="s">
        <v>12893</v>
      </c>
      <c r="S4679" s="23" t="s">
        <v>6848</v>
      </c>
      <c r="T4679" s="23" t="s">
        <v>4864</v>
      </c>
      <c r="U4679" s="3">
        <v>35</v>
      </c>
      <c r="V4679" s="3" t="s">
        <v>14156</v>
      </c>
      <c r="W4679" s="45" t="str">
        <f>HYPERLINK("http://ictvonline.org/taxonomy/p/taxonomy-history?taxnode_id=201907517","ICTVonline=201907517")</f>
        <v>ICTVonline=201907517</v>
      </c>
      <c r="X4679" s="1" t="s">
        <v>14157</v>
      </c>
      <c r="Y4679" s="1" t="s">
        <v>14158</v>
      </c>
      <c r="Z4679" s="1" t="s">
        <v>14159</v>
      </c>
      <c r="AA4679" s="1">
        <v>201900000</v>
      </c>
      <c r="AB4679" s="1">
        <v>35</v>
      </c>
    </row>
    <row r="4680" spans="1:28" x14ac:dyDescent="0.2">
      <c r="A4680" s="1">
        <v>11912</v>
      </c>
      <c r="B4680" s="1" t="s">
        <v>6839</v>
      </c>
      <c r="D4680" s="1" t="s">
        <v>11735</v>
      </c>
      <c r="F4680" s="1" t="s">
        <v>5540</v>
      </c>
      <c r="G4680" s="1" t="s">
        <v>5630</v>
      </c>
      <c r="H4680" s="1" t="s">
        <v>5631</v>
      </c>
      <c r="J4680" s="1" t="s">
        <v>4050</v>
      </c>
      <c r="L4680" s="1" t="s">
        <v>4056</v>
      </c>
      <c r="N4680" s="1" t="s">
        <v>5990</v>
      </c>
      <c r="P4680" s="1" t="s">
        <v>14160</v>
      </c>
      <c r="Q4680" s="3">
        <v>0</v>
      </c>
      <c r="R4680" s="23" t="s">
        <v>12893</v>
      </c>
      <c r="S4680" s="23" t="s">
        <v>6848</v>
      </c>
      <c r="T4680" s="23" t="s">
        <v>4865</v>
      </c>
      <c r="U4680" s="3">
        <v>35</v>
      </c>
      <c r="V4680" s="3" t="s">
        <v>14161</v>
      </c>
      <c r="W4680" s="45" t="str">
        <f>HYPERLINK("http://ictvonline.org/taxonomy/p/taxonomy-history?taxnode_id=201900160","ICTVonline=201900160")</f>
        <v>ICTVonline=201900160</v>
      </c>
      <c r="X4680" s="1" t="s">
        <v>14162</v>
      </c>
      <c r="Y4680" s="1" t="s">
        <v>14163</v>
      </c>
      <c r="Z4680" s="1" t="s">
        <v>14164</v>
      </c>
      <c r="AA4680" s="1">
        <v>201900000</v>
      </c>
      <c r="AB4680" s="1">
        <v>35</v>
      </c>
    </row>
    <row r="4681" spans="1:28" x14ac:dyDescent="0.2">
      <c r="A4681" s="1">
        <v>11914</v>
      </c>
      <c r="B4681" s="1" t="s">
        <v>6839</v>
      </c>
      <c r="D4681" s="1" t="s">
        <v>11735</v>
      </c>
      <c r="F4681" s="1" t="s">
        <v>5540</v>
      </c>
      <c r="G4681" s="1" t="s">
        <v>5630</v>
      </c>
      <c r="H4681" s="1" t="s">
        <v>5631</v>
      </c>
      <c r="J4681" s="1" t="s">
        <v>4050</v>
      </c>
      <c r="L4681" s="1" t="s">
        <v>4056</v>
      </c>
      <c r="N4681" s="1" t="s">
        <v>5990</v>
      </c>
      <c r="P4681" s="1" t="s">
        <v>5991</v>
      </c>
      <c r="Q4681" s="3">
        <v>1</v>
      </c>
      <c r="R4681" s="23" t="s">
        <v>12893</v>
      </c>
      <c r="S4681" s="23" t="s">
        <v>6848</v>
      </c>
      <c r="T4681" s="23" t="s">
        <v>4866</v>
      </c>
      <c r="U4681" s="3">
        <v>35</v>
      </c>
      <c r="W4681" s="45" t="str">
        <f>HYPERLINK("http://ictvonline.org/taxonomy/p/taxonomy-history?taxnode_id=201906601","ICTVonline=201906601")</f>
        <v>ICTVonline=201906601</v>
      </c>
      <c r="X4681" s="1" t="s">
        <v>14165</v>
      </c>
      <c r="Y4681" s="1" t="s">
        <v>14166</v>
      </c>
      <c r="Z4681" s="1" t="s">
        <v>14167</v>
      </c>
      <c r="AA4681" s="1">
        <v>201900000</v>
      </c>
      <c r="AB4681" s="1">
        <v>35</v>
      </c>
    </row>
    <row r="4682" spans="1:28" x14ac:dyDescent="0.2">
      <c r="A4682" s="1">
        <v>11916</v>
      </c>
      <c r="B4682" s="1" t="s">
        <v>6839</v>
      </c>
      <c r="D4682" s="1" t="s">
        <v>11735</v>
      </c>
      <c r="F4682" s="1" t="s">
        <v>5540</v>
      </c>
      <c r="G4682" s="1" t="s">
        <v>5630</v>
      </c>
      <c r="H4682" s="1" t="s">
        <v>5631</v>
      </c>
      <c r="J4682" s="1" t="s">
        <v>4050</v>
      </c>
      <c r="L4682" s="1" t="s">
        <v>4056</v>
      </c>
      <c r="N4682" s="1" t="s">
        <v>5990</v>
      </c>
      <c r="P4682" s="1" t="s">
        <v>5992</v>
      </c>
      <c r="Q4682" s="3">
        <v>0</v>
      </c>
      <c r="R4682" s="23" t="s">
        <v>12893</v>
      </c>
      <c r="S4682" s="23" t="s">
        <v>6848</v>
      </c>
      <c r="T4682" s="23" t="s">
        <v>4866</v>
      </c>
      <c r="U4682" s="3">
        <v>35</v>
      </c>
      <c r="W4682" s="45" t="str">
        <f>HYPERLINK("http://ictvonline.org/taxonomy/p/taxonomy-history?taxnode_id=201906602","ICTVonline=201906602")</f>
        <v>ICTVonline=201906602</v>
      </c>
      <c r="Y4682" s="1" t="s">
        <v>14168</v>
      </c>
      <c r="Z4682" s="1" t="s">
        <v>14169</v>
      </c>
      <c r="AA4682" s="1">
        <v>201900000</v>
      </c>
      <c r="AB4682" s="1">
        <v>35</v>
      </c>
    </row>
    <row r="4683" spans="1:28" x14ac:dyDescent="0.2">
      <c r="A4683" s="1">
        <v>11918</v>
      </c>
      <c r="B4683" s="1" t="s">
        <v>6839</v>
      </c>
      <c r="D4683" s="1" t="s">
        <v>11735</v>
      </c>
      <c r="F4683" s="1" t="s">
        <v>5540</v>
      </c>
      <c r="G4683" s="1" t="s">
        <v>5630</v>
      </c>
      <c r="H4683" s="1" t="s">
        <v>5631</v>
      </c>
      <c r="J4683" s="1" t="s">
        <v>4050</v>
      </c>
      <c r="L4683" s="1" t="s">
        <v>4056</v>
      </c>
      <c r="N4683" s="1" t="s">
        <v>5990</v>
      </c>
      <c r="P4683" s="1" t="s">
        <v>5993</v>
      </c>
      <c r="Q4683" s="3">
        <v>0</v>
      </c>
      <c r="R4683" s="23" t="s">
        <v>12893</v>
      </c>
      <c r="S4683" s="23" t="s">
        <v>6848</v>
      </c>
      <c r="T4683" s="23" t="s">
        <v>4866</v>
      </c>
      <c r="U4683" s="3">
        <v>35</v>
      </c>
      <c r="W4683" s="45" t="str">
        <f>HYPERLINK("http://ictvonline.org/taxonomy/p/taxonomy-history?taxnode_id=201906603","ICTVonline=201906603")</f>
        <v>ICTVonline=201906603</v>
      </c>
      <c r="Y4683" s="1" t="s">
        <v>14170</v>
      </c>
      <c r="Z4683" s="1" t="s">
        <v>14171</v>
      </c>
      <c r="AA4683" s="1">
        <v>201900000</v>
      </c>
      <c r="AB4683" s="1">
        <v>35</v>
      </c>
    </row>
    <row r="4684" spans="1:28" x14ac:dyDescent="0.2">
      <c r="A4684" s="1">
        <v>11922</v>
      </c>
      <c r="B4684" s="1" t="s">
        <v>6839</v>
      </c>
      <c r="D4684" s="1" t="s">
        <v>11735</v>
      </c>
      <c r="F4684" s="1" t="s">
        <v>5540</v>
      </c>
      <c r="G4684" s="1" t="s">
        <v>5630</v>
      </c>
      <c r="H4684" s="1" t="s">
        <v>5631</v>
      </c>
      <c r="J4684" s="1" t="s">
        <v>4050</v>
      </c>
      <c r="L4684" s="1" t="s">
        <v>4056</v>
      </c>
      <c r="N4684" s="1" t="s">
        <v>5651</v>
      </c>
      <c r="P4684" s="1" t="s">
        <v>5652</v>
      </c>
      <c r="Q4684" s="3">
        <v>1</v>
      </c>
      <c r="R4684" s="23" t="s">
        <v>12893</v>
      </c>
      <c r="S4684" s="23" t="s">
        <v>6848</v>
      </c>
      <c r="T4684" s="23" t="s">
        <v>4866</v>
      </c>
      <c r="U4684" s="3">
        <v>35</v>
      </c>
      <c r="W4684" s="45" t="str">
        <f>HYPERLINK("http://ictvonline.org/taxonomy/p/taxonomy-history?taxnode_id=201900085","ICTVonline=201900085")</f>
        <v>ICTVonline=201900085</v>
      </c>
      <c r="X4684" s="1" t="s">
        <v>14172</v>
      </c>
      <c r="Y4684" s="1" t="s">
        <v>14173</v>
      </c>
      <c r="Z4684" s="1" t="s">
        <v>14174</v>
      </c>
      <c r="AA4684" s="1">
        <v>201900000</v>
      </c>
      <c r="AB4684" s="1">
        <v>35</v>
      </c>
    </row>
    <row r="4685" spans="1:28" x14ac:dyDescent="0.2">
      <c r="A4685" s="1">
        <v>11928</v>
      </c>
      <c r="B4685" s="1" t="s">
        <v>6839</v>
      </c>
      <c r="D4685" s="1" t="s">
        <v>11735</v>
      </c>
      <c r="F4685" s="1" t="s">
        <v>5540</v>
      </c>
      <c r="G4685" s="1" t="s">
        <v>5630</v>
      </c>
      <c r="H4685" s="1" t="s">
        <v>5631</v>
      </c>
      <c r="J4685" s="1" t="s">
        <v>4050</v>
      </c>
      <c r="L4685" s="1" t="s">
        <v>4114</v>
      </c>
      <c r="N4685" s="1" t="s">
        <v>5653</v>
      </c>
      <c r="P4685" s="1" t="s">
        <v>5654</v>
      </c>
      <c r="Q4685" s="3">
        <v>1</v>
      </c>
      <c r="R4685" s="23" t="s">
        <v>12893</v>
      </c>
      <c r="S4685" s="23" t="s">
        <v>6847</v>
      </c>
      <c r="T4685" s="23" t="s">
        <v>4866</v>
      </c>
      <c r="U4685" s="3">
        <v>35</v>
      </c>
      <c r="W4685" s="45" t="str">
        <f>HYPERLINK("http://ictvonline.org/taxonomy/p/taxonomy-history?taxnode_id=201900005","ICTVonline=201900005")</f>
        <v>ICTVonline=201900005</v>
      </c>
      <c r="X4685" s="1" t="s">
        <v>14175</v>
      </c>
      <c r="Y4685" s="1" t="s">
        <v>14176</v>
      </c>
      <c r="Z4685" s="1" t="s">
        <v>14177</v>
      </c>
      <c r="AA4685" s="1">
        <v>201900000</v>
      </c>
      <c r="AB4685" s="1">
        <v>35</v>
      </c>
    </row>
    <row r="4686" spans="1:28" x14ac:dyDescent="0.2">
      <c r="A4686" s="1">
        <v>11932</v>
      </c>
      <c r="B4686" s="1" t="s">
        <v>6839</v>
      </c>
      <c r="D4686" s="1" t="s">
        <v>11735</v>
      </c>
      <c r="F4686" s="1" t="s">
        <v>5540</v>
      </c>
      <c r="G4686" s="1" t="s">
        <v>5630</v>
      </c>
      <c r="H4686" s="1" t="s">
        <v>5631</v>
      </c>
      <c r="J4686" s="1" t="s">
        <v>4050</v>
      </c>
      <c r="L4686" s="1" t="s">
        <v>4114</v>
      </c>
      <c r="N4686" s="1" t="s">
        <v>5655</v>
      </c>
      <c r="P4686" s="1" t="s">
        <v>5656</v>
      </c>
      <c r="Q4686" s="3">
        <v>1</v>
      </c>
      <c r="R4686" s="23" t="s">
        <v>12893</v>
      </c>
      <c r="S4686" s="23" t="s">
        <v>6847</v>
      </c>
      <c r="T4686" s="23" t="s">
        <v>4866</v>
      </c>
      <c r="U4686" s="3">
        <v>35</v>
      </c>
      <c r="W4686" s="45" t="str">
        <f>HYPERLINK("http://ictvonline.org/taxonomy/p/taxonomy-history?taxnode_id=201900065","ICTVonline=201900065")</f>
        <v>ICTVonline=201900065</v>
      </c>
      <c r="X4686" s="1" t="s">
        <v>14178</v>
      </c>
      <c r="Y4686" s="1" t="s">
        <v>14179</v>
      </c>
      <c r="Z4686" s="1" t="s">
        <v>14180</v>
      </c>
      <c r="AA4686" s="1">
        <v>201900000</v>
      </c>
      <c r="AB4686" s="1">
        <v>35</v>
      </c>
    </row>
    <row r="4687" spans="1:28" x14ac:dyDescent="0.2">
      <c r="A4687" s="1">
        <v>11936</v>
      </c>
      <c r="B4687" s="1" t="s">
        <v>6839</v>
      </c>
      <c r="D4687" s="1" t="s">
        <v>11735</v>
      </c>
      <c r="F4687" s="1" t="s">
        <v>5540</v>
      </c>
      <c r="G4687" s="1" t="s">
        <v>5630</v>
      </c>
      <c r="H4687" s="1" t="s">
        <v>5631</v>
      </c>
      <c r="J4687" s="1" t="s">
        <v>4050</v>
      </c>
      <c r="L4687" s="1" t="s">
        <v>4114</v>
      </c>
      <c r="N4687" s="1" t="s">
        <v>4115</v>
      </c>
      <c r="P4687" s="1" t="s">
        <v>14181</v>
      </c>
      <c r="Q4687" s="3">
        <v>0</v>
      </c>
      <c r="R4687" s="23" t="s">
        <v>12893</v>
      </c>
      <c r="S4687" s="23" t="s">
        <v>6847</v>
      </c>
      <c r="T4687" s="23" t="s">
        <v>4864</v>
      </c>
      <c r="U4687" s="3">
        <v>35</v>
      </c>
      <c r="V4687" s="3" t="s">
        <v>14182</v>
      </c>
      <c r="W4687" s="45" t="str">
        <f>HYPERLINK("http://ictvonline.org/taxonomy/p/taxonomy-history?taxnode_id=201907659","ICTVonline=201907659")</f>
        <v>ICTVonline=201907659</v>
      </c>
      <c r="X4687" s="1" t="s">
        <v>14183</v>
      </c>
      <c r="Y4687" s="1" t="s">
        <v>14184</v>
      </c>
      <c r="AA4687" s="1">
        <v>201900000</v>
      </c>
      <c r="AB4687" s="1">
        <v>35</v>
      </c>
    </row>
    <row r="4688" spans="1:28" x14ac:dyDescent="0.2">
      <c r="A4688" s="1">
        <v>11938</v>
      </c>
      <c r="B4688" s="1" t="s">
        <v>6839</v>
      </c>
      <c r="D4688" s="1" t="s">
        <v>11735</v>
      </c>
      <c r="F4688" s="1" t="s">
        <v>5540</v>
      </c>
      <c r="G4688" s="1" t="s">
        <v>5630</v>
      </c>
      <c r="H4688" s="1" t="s">
        <v>5631</v>
      </c>
      <c r="J4688" s="1" t="s">
        <v>4050</v>
      </c>
      <c r="L4688" s="1" t="s">
        <v>4114</v>
      </c>
      <c r="N4688" s="1" t="s">
        <v>4115</v>
      </c>
      <c r="P4688" s="1" t="s">
        <v>5994</v>
      </c>
      <c r="Q4688" s="3">
        <v>0</v>
      </c>
      <c r="R4688" s="23" t="s">
        <v>12893</v>
      </c>
      <c r="S4688" s="23" t="s">
        <v>6847</v>
      </c>
      <c r="T4688" s="23" t="s">
        <v>4866</v>
      </c>
      <c r="U4688" s="3">
        <v>35</v>
      </c>
      <c r="W4688" s="45" t="str">
        <f>HYPERLINK("http://ictvonline.org/taxonomy/p/taxonomy-history?taxnode_id=201906413","ICTVonline=201906413")</f>
        <v>ICTVonline=201906413</v>
      </c>
      <c r="X4688" s="1" t="s">
        <v>14185</v>
      </c>
      <c r="Y4688" s="1" t="s">
        <v>14186</v>
      </c>
      <c r="Z4688" s="1" t="s">
        <v>14187</v>
      </c>
      <c r="AA4688" s="1">
        <v>201900000</v>
      </c>
      <c r="AB4688" s="1">
        <v>35</v>
      </c>
    </row>
    <row r="4689" spans="1:28" x14ac:dyDescent="0.2">
      <c r="A4689" s="1">
        <v>11940</v>
      </c>
      <c r="B4689" s="1" t="s">
        <v>6839</v>
      </c>
      <c r="D4689" s="1" t="s">
        <v>11735</v>
      </c>
      <c r="F4689" s="1" t="s">
        <v>5540</v>
      </c>
      <c r="G4689" s="1" t="s">
        <v>5630</v>
      </c>
      <c r="H4689" s="1" t="s">
        <v>5631</v>
      </c>
      <c r="J4689" s="1" t="s">
        <v>4050</v>
      </c>
      <c r="L4689" s="1" t="s">
        <v>4114</v>
      </c>
      <c r="N4689" s="1" t="s">
        <v>4115</v>
      </c>
      <c r="P4689" s="1" t="s">
        <v>5995</v>
      </c>
      <c r="Q4689" s="3">
        <v>0</v>
      </c>
      <c r="R4689" s="23" t="s">
        <v>12893</v>
      </c>
      <c r="S4689" s="23" t="s">
        <v>6847</v>
      </c>
      <c r="T4689" s="23" t="s">
        <v>4866</v>
      </c>
      <c r="U4689" s="3">
        <v>35</v>
      </c>
      <c r="W4689" s="45" t="str">
        <f>HYPERLINK("http://ictvonline.org/taxonomy/p/taxonomy-history?taxnode_id=201906416","ICTVonline=201906416")</f>
        <v>ICTVonline=201906416</v>
      </c>
      <c r="X4689" s="1" t="s">
        <v>14188</v>
      </c>
      <c r="Y4689" s="1" t="s">
        <v>14189</v>
      </c>
      <c r="Z4689" s="1" t="s">
        <v>14190</v>
      </c>
      <c r="AA4689" s="1">
        <v>201900000</v>
      </c>
      <c r="AB4689" s="1">
        <v>35</v>
      </c>
    </row>
    <row r="4690" spans="1:28" x14ac:dyDescent="0.2">
      <c r="A4690" s="1">
        <v>11942</v>
      </c>
      <c r="B4690" s="1" t="s">
        <v>6839</v>
      </c>
      <c r="D4690" s="1" t="s">
        <v>11735</v>
      </c>
      <c r="F4690" s="1" t="s">
        <v>5540</v>
      </c>
      <c r="G4690" s="1" t="s">
        <v>5630</v>
      </c>
      <c r="H4690" s="1" t="s">
        <v>5631</v>
      </c>
      <c r="J4690" s="1" t="s">
        <v>4050</v>
      </c>
      <c r="L4690" s="1" t="s">
        <v>4114</v>
      </c>
      <c r="N4690" s="1" t="s">
        <v>4115</v>
      </c>
      <c r="P4690" s="1" t="s">
        <v>4116</v>
      </c>
      <c r="Q4690" s="3">
        <v>1</v>
      </c>
      <c r="R4690" s="23" t="s">
        <v>12893</v>
      </c>
      <c r="S4690" s="23" t="s">
        <v>6847</v>
      </c>
      <c r="T4690" s="23" t="s">
        <v>4866</v>
      </c>
      <c r="U4690" s="3">
        <v>35</v>
      </c>
      <c r="W4690" s="45" t="str">
        <f>HYPERLINK("http://ictvonline.org/taxonomy/p/taxonomy-history?taxnode_id=201900140","ICTVonline=201900140")</f>
        <v>ICTVonline=201900140</v>
      </c>
      <c r="Y4690" s="1" t="s">
        <v>14191</v>
      </c>
      <c r="Z4690" s="1" t="s">
        <v>14192</v>
      </c>
      <c r="AA4690" s="1">
        <v>201900000</v>
      </c>
      <c r="AB4690" s="1">
        <v>35</v>
      </c>
    </row>
    <row r="4691" spans="1:28" x14ac:dyDescent="0.2">
      <c r="A4691" s="1">
        <v>11944</v>
      </c>
      <c r="B4691" s="1" t="s">
        <v>6839</v>
      </c>
      <c r="D4691" s="1" t="s">
        <v>11735</v>
      </c>
      <c r="F4691" s="1" t="s">
        <v>5540</v>
      </c>
      <c r="G4691" s="1" t="s">
        <v>5630</v>
      </c>
      <c r="H4691" s="1" t="s">
        <v>5631</v>
      </c>
      <c r="J4691" s="1" t="s">
        <v>4050</v>
      </c>
      <c r="L4691" s="1" t="s">
        <v>4114</v>
      </c>
      <c r="N4691" s="1" t="s">
        <v>4115</v>
      </c>
      <c r="P4691" s="1" t="s">
        <v>5996</v>
      </c>
      <c r="Q4691" s="3">
        <v>0</v>
      </c>
      <c r="R4691" s="23" t="s">
        <v>12893</v>
      </c>
      <c r="S4691" s="23" t="s">
        <v>6847</v>
      </c>
      <c r="T4691" s="23" t="s">
        <v>4866</v>
      </c>
      <c r="U4691" s="3">
        <v>35</v>
      </c>
      <c r="W4691" s="45" t="str">
        <f>HYPERLINK("http://ictvonline.org/taxonomy/p/taxonomy-history?taxnode_id=201906414","ICTVonline=201906414")</f>
        <v>ICTVonline=201906414</v>
      </c>
      <c r="X4691" s="1" t="s">
        <v>14193</v>
      </c>
      <c r="Y4691" s="1" t="s">
        <v>14194</v>
      </c>
      <c r="Z4691" s="1" t="s">
        <v>14195</v>
      </c>
      <c r="AA4691" s="1">
        <v>201900000</v>
      </c>
      <c r="AB4691" s="1">
        <v>35</v>
      </c>
    </row>
    <row r="4692" spans="1:28" x14ac:dyDescent="0.2">
      <c r="A4692" s="1">
        <v>11946</v>
      </c>
      <c r="B4692" s="1" t="s">
        <v>6839</v>
      </c>
      <c r="D4692" s="1" t="s">
        <v>11735</v>
      </c>
      <c r="F4692" s="1" t="s">
        <v>5540</v>
      </c>
      <c r="G4692" s="1" t="s">
        <v>5630</v>
      </c>
      <c r="H4692" s="1" t="s">
        <v>5631</v>
      </c>
      <c r="J4692" s="1" t="s">
        <v>4050</v>
      </c>
      <c r="L4692" s="1" t="s">
        <v>4114</v>
      </c>
      <c r="N4692" s="1" t="s">
        <v>4115</v>
      </c>
      <c r="P4692" s="1" t="s">
        <v>5997</v>
      </c>
      <c r="Q4692" s="3">
        <v>0</v>
      </c>
      <c r="R4692" s="23" t="s">
        <v>12893</v>
      </c>
      <c r="S4692" s="23" t="s">
        <v>6847</v>
      </c>
      <c r="T4692" s="23" t="s">
        <v>4866</v>
      </c>
      <c r="U4692" s="3">
        <v>35</v>
      </c>
      <c r="W4692" s="45" t="str">
        <f>HYPERLINK("http://ictvonline.org/taxonomy/p/taxonomy-history?taxnode_id=201906415","ICTVonline=201906415")</f>
        <v>ICTVonline=201906415</v>
      </c>
      <c r="X4692" s="1" t="s">
        <v>14196</v>
      </c>
      <c r="Y4692" s="1" t="s">
        <v>14197</v>
      </c>
      <c r="Z4692" s="1" t="s">
        <v>14198</v>
      </c>
      <c r="AA4692" s="1">
        <v>201900000</v>
      </c>
      <c r="AB4692" s="1">
        <v>35</v>
      </c>
    </row>
    <row r="4693" spans="1:28" x14ac:dyDescent="0.2">
      <c r="A4693" s="1">
        <v>11948</v>
      </c>
      <c r="B4693" s="1" t="s">
        <v>6839</v>
      </c>
      <c r="D4693" s="1" t="s">
        <v>11735</v>
      </c>
      <c r="F4693" s="1" t="s">
        <v>5540</v>
      </c>
      <c r="G4693" s="1" t="s">
        <v>5630</v>
      </c>
      <c r="H4693" s="1" t="s">
        <v>5631</v>
      </c>
      <c r="J4693" s="1" t="s">
        <v>4050</v>
      </c>
      <c r="L4693" s="1" t="s">
        <v>4114</v>
      </c>
      <c r="N4693" s="1" t="s">
        <v>4115</v>
      </c>
      <c r="P4693" s="1" t="s">
        <v>4117</v>
      </c>
      <c r="Q4693" s="3">
        <v>0</v>
      </c>
      <c r="R4693" s="23" t="s">
        <v>12893</v>
      </c>
      <c r="S4693" s="23" t="s">
        <v>6847</v>
      </c>
      <c r="T4693" s="23" t="s">
        <v>4866</v>
      </c>
      <c r="U4693" s="3">
        <v>35</v>
      </c>
      <c r="W4693" s="45" t="str">
        <f>HYPERLINK("http://ictvonline.org/taxonomy/p/taxonomy-history?taxnode_id=201900143","ICTVonline=201900143")</f>
        <v>ICTVonline=201900143</v>
      </c>
      <c r="Y4693" s="1" t="s">
        <v>14199</v>
      </c>
      <c r="Z4693" s="1" t="s">
        <v>14200</v>
      </c>
      <c r="AA4693" s="1">
        <v>201900000</v>
      </c>
      <c r="AB4693" s="1">
        <v>35</v>
      </c>
    </row>
    <row r="4694" spans="1:28" x14ac:dyDescent="0.2">
      <c r="A4694" s="1">
        <v>11950</v>
      </c>
      <c r="B4694" s="1" t="s">
        <v>6839</v>
      </c>
      <c r="D4694" s="1" t="s">
        <v>11735</v>
      </c>
      <c r="F4694" s="1" t="s">
        <v>5540</v>
      </c>
      <c r="G4694" s="1" t="s">
        <v>5630</v>
      </c>
      <c r="H4694" s="1" t="s">
        <v>5631</v>
      </c>
      <c r="J4694" s="1" t="s">
        <v>4050</v>
      </c>
      <c r="L4694" s="1" t="s">
        <v>4114</v>
      </c>
      <c r="N4694" s="1" t="s">
        <v>4115</v>
      </c>
      <c r="P4694" s="1" t="s">
        <v>4118</v>
      </c>
      <c r="Q4694" s="3">
        <v>0</v>
      </c>
      <c r="R4694" s="23" t="s">
        <v>12893</v>
      </c>
      <c r="S4694" s="23" t="s">
        <v>6847</v>
      </c>
      <c r="T4694" s="23" t="s">
        <v>4866</v>
      </c>
      <c r="U4694" s="3">
        <v>35</v>
      </c>
      <c r="W4694" s="45" t="str">
        <f>HYPERLINK("http://ictvonline.org/taxonomy/p/taxonomy-history?taxnode_id=201900144","ICTVonline=201900144")</f>
        <v>ICTVonline=201900144</v>
      </c>
      <c r="Y4694" s="1" t="s">
        <v>14201</v>
      </c>
      <c r="Z4694" s="1" t="s">
        <v>14202</v>
      </c>
      <c r="AA4694" s="1">
        <v>201900000</v>
      </c>
      <c r="AB4694" s="1">
        <v>35</v>
      </c>
    </row>
    <row r="4695" spans="1:28" x14ac:dyDescent="0.2">
      <c r="A4695" s="1">
        <v>11952</v>
      </c>
      <c r="B4695" s="1" t="s">
        <v>6839</v>
      </c>
      <c r="D4695" s="1" t="s">
        <v>11735</v>
      </c>
      <c r="F4695" s="1" t="s">
        <v>5540</v>
      </c>
      <c r="G4695" s="1" t="s">
        <v>5630</v>
      </c>
      <c r="H4695" s="1" t="s">
        <v>5631</v>
      </c>
      <c r="J4695" s="1" t="s">
        <v>4050</v>
      </c>
      <c r="L4695" s="1" t="s">
        <v>4114</v>
      </c>
      <c r="N4695" s="1" t="s">
        <v>4115</v>
      </c>
      <c r="P4695" s="1" t="s">
        <v>4119</v>
      </c>
      <c r="Q4695" s="3">
        <v>0</v>
      </c>
      <c r="R4695" s="23" t="s">
        <v>12893</v>
      </c>
      <c r="S4695" s="23" t="s">
        <v>6847</v>
      </c>
      <c r="T4695" s="23" t="s">
        <v>4866</v>
      </c>
      <c r="U4695" s="3">
        <v>35</v>
      </c>
      <c r="W4695" s="45" t="str">
        <f>HYPERLINK("http://ictvonline.org/taxonomy/p/taxonomy-history?taxnode_id=201900145","ICTVonline=201900145")</f>
        <v>ICTVonline=201900145</v>
      </c>
      <c r="Y4695" s="1" t="s">
        <v>14203</v>
      </c>
      <c r="Z4695" s="1" t="s">
        <v>14204</v>
      </c>
      <c r="AA4695" s="1">
        <v>201900000</v>
      </c>
      <c r="AB4695" s="1">
        <v>35</v>
      </c>
    </row>
    <row r="4696" spans="1:28" x14ac:dyDescent="0.2">
      <c r="A4696" s="1">
        <v>11956</v>
      </c>
      <c r="B4696" s="1" t="s">
        <v>6839</v>
      </c>
      <c r="D4696" s="1" t="s">
        <v>11735</v>
      </c>
      <c r="F4696" s="1" t="s">
        <v>5540</v>
      </c>
      <c r="G4696" s="1" t="s">
        <v>5630</v>
      </c>
      <c r="H4696" s="1" t="s">
        <v>5631</v>
      </c>
      <c r="J4696" s="1" t="s">
        <v>4050</v>
      </c>
      <c r="L4696" s="1" t="s">
        <v>4114</v>
      </c>
      <c r="N4696" s="1" t="s">
        <v>5998</v>
      </c>
      <c r="P4696" s="1" t="s">
        <v>5999</v>
      </c>
      <c r="Q4696" s="3">
        <v>1</v>
      </c>
      <c r="R4696" s="23" t="s">
        <v>12893</v>
      </c>
      <c r="S4696" s="23" t="s">
        <v>6847</v>
      </c>
      <c r="T4696" s="23" t="s">
        <v>4866</v>
      </c>
      <c r="U4696" s="3">
        <v>35</v>
      </c>
      <c r="W4696" s="45" t="str">
        <f>HYPERLINK("http://ictvonline.org/taxonomy/p/taxonomy-history?taxnode_id=201906606","ICTVonline=201906606")</f>
        <v>ICTVonline=201906606</v>
      </c>
      <c r="X4696" s="1" t="s">
        <v>14205</v>
      </c>
      <c r="Y4696" s="1" t="s">
        <v>14206</v>
      </c>
      <c r="Z4696" s="1" t="s">
        <v>14207</v>
      </c>
      <c r="AA4696" s="1">
        <v>201900000</v>
      </c>
      <c r="AB4696" s="1">
        <v>35</v>
      </c>
    </row>
    <row r="4697" spans="1:28" x14ac:dyDescent="0.2">
      <c r="A4697" s="1">
        <v>11960</v>
      </c>
      <c r="B4697" s="1" t="s">
        <v>6839</v>
      </c>
      <c r="D4697" s="1" t="s">
        <v>11735</v>
      </c>
      <c r="F4697" s="1" t="s">
        <v>5540</v>
      </c>
      <c r="G4697" s="1" t="s">
        <v>5630</v>
      </c>
      <c r="H4697" s="1" t="s">
        <v>5631</v>
      </c>
      <c r="J4697" s="1" t="s">
        <v>4050</v>
      </c>
      <c r="L4697" s="1" t="s">
        <v>4114</v>
      </c>
      <c r="N4697" s="1" t="s">
        <v>5657</v>
      </c>
      <c r="P4697" s="1" t="s">
        <v>5658</v>
      </c>
      <c r="Q4697" s="3">
        <v>1</v>
      </c>
      <c r="R4697" s="23" t="s">
        <v>12893</v>
      </c>
      <c r="S4697" s="23" t="s">
        <v>6847</v>
      </c>
      <c r="T4697" s="23" t="s">
        <v>4866</v>
      </c>
      <c r="U4697" s="3">
        <v>35</v>
      </c>
      <c r="W4697" s="45" t="str">
        <f>HYPERLINK("http://ictvonline.org/taxonomy/p/taxonomy-history?taxnode_id=201906223","ICTVonline=201906223")</f>
        <v>ICTVonline=201906223</v>
      </c>
      <c r="X4697" s="1" t="s">
        <v>14208</v>
      </c>
      <c r="Y4697" s="1" t="s">
        <v>14209</v>
      </c>
      <c r="Z4697" s="1" t="s">
        <v>14210</v>
      </c>
      <c r="AA4697" s="1">
        <v>201900000</v>
      </c>
      <c r="AB4697" s="1">
        <v>35</v>
      </c>
    </row>
    <row r="4698" spans="1:28" x14ac:dyDescent="0.2">
      <c r="A4698" s="1">
        <v>11966</v>
      </c>
      <c r="B4698" s="1" t="s">
        <v>6839</v>
      </c>
      <c r="D4698" s="1" t="s">
        <v>11735</v>
      </c>
      <c r="F4698" s="1" t="s">
        <v>5540</v>
      </c>
      <c r="G4698" s="1" t="s">
        <v>5630</v>
      </c>
      <c r="H4698" s="1" t="s">
        <v>5631</v>
      </c>
      <c r="J4698" s="1" t="s">
        <v>4050</v>
      </c>
      <c r="L4698" s="1" t="s">
        <v>4057</v>
      </c>
      <c r="N4698" s="1" t="s">
        <v>14211</v>
      </c>
      <c r="P4698" s="1" t="s">
        <v>14212</v>
      </c>
      <c r="Q4698" s="3">
        <v>0</v>
      </c>
      <c r="R4698" s="23" t="s">
        <v>13790</v>
      </c>
      <c r="S4698" s="23" t="s">
        <v>6848</v>
      </c>
      <c r="T4698" s="23" t="s">
        <v>4864</v>
      </c>
      <c r="U4698" s="3">
        <v>35</v>
      </c>
      <c r="V4698" s="3" t="s">
        <v>14213</v>
      </c>
      <c r="W4698" s="45" t="str">
        <f>HYPERLINK("http://ictvonline.org/taxonomy/p/taxonomy-history?taxnode_id=201907635","ICTVonline=201907635")</f>
        <v>ICTVonline=201907635</v>
      </c>
      <c r="X4698" s="1" t="s">
        <v>14214</v>
      </c>
      <c r="Y4698" s="1" t="s">
        <v>14215</v>
      </c>
      <c r="Z4698" s="1" t="s">
        <v>14216</v>
      </c>
      <c r="AA4698" s="1">
        <v>201900000</v>
      </c>
      <c r="AB4698" s="1">
        <v>35</v>
      </c>
    </row>
    <row r="4699" spans="1:28" x14ac:dyDescent="0.2">
      <c r="A4699" s="1">
        <v>11968</v>
      </c>
      <c r="B4699" s="1" t="s">
        <v>6839</v>
      </c>
      <c r="D4699" s="1" t="s">
        <v>11735</v>
      </c>
      <c r="F4699" s="1" t="s">
        <v>5540</v>
      </c>
      <c r="G4699" s="1" t="s">
        <v>5630</v>
      </c>
      <c r="H4699" s="1" t="s">
        <v>5631</v>
      </c>
      <c r="J4699" s="1" t="s">
        <v>4050</v>
      </c>
      <c r="L4699" s="1" t="s">
        <v>4057</v>
      </c>
      <c r="N4699" s="1" t="s">
        <v>14211</v>
      </c>
      <c r="P4699" s="1" t="s">
        <v>14217</v>
      </c>
      <c r="Q4699" s="3">
        <v>1</v>
      </c>
      <c r="R4699" s="23" t="s">
        <v>12893</v>
      </c>
      <c r="S4699" s="23" t="s">
        <v>6849</v>
      </c>
      <c r="T4699" s="23" t="s">
        <v>4865</v>
      </c>
      <c r="U4699" s="3">
        <v>35</v>
      </c>
      <c r="V4699" s="3" t="s">
        <v>14218</v>
      </c>
      <c r="W4699" s="45" t="str">
        <f>HYPERLINK("http://ictvonline.org/taxonomy/p/taxonomy-history?taxnode_id=201900166","ICTVonline=201900166")</f>
        <v>ICTVonline=201900166</v>
      </c>
      <c r="X4699" s="1" t="s">
        <v>14219</v>
      </c>
      <c r="Y4699" s="1" t="s">
        <v>14220</v>
      </c>
      <c r="Z4699" s="1" t="s">
        <v>14221</v>
      </c>
      <c r="AA4699" s="1">
        <v>201900000</v>
      </c>
      <c r="AB4699" s="1">
        <v>35</v>
      </c>
    </row>
    <row r="4700" spans="1:28" x14ac:dyDescent="0.2">
      <c r="A4700" s="1">
        <v>11970</v>
      </c>
      <c r="B4700" s="1" t="s">
        <v>6839</v>
      </c>
      <c r="D4700" s="1" t="s">
        <v>11735</v>
      </c>
      <c r="F4700" s="1" t="s">
        <v>5540</v>
      </c>
      <c r="G4700" s="1" t="s">
        <v>5630</v>
      </c>
      <c r="H4700" s="1" t="s">
        <v>5631</v>
      </c>
      <c r="J4700" s="1" t="s">
        <v>4050</v>
      </c>
      <c r="L4700" s="1" t="s">
        <v>4057</v>
      </c>
      <c r="N4700" s="1" t="s">
        <v>14211</v>
      </c>
      <c r="P4700" s="1" t="s">
        <v>14222</v>
      </c>
      <c r="Q4700" s="3">
        <v>0</v>
      </c>
      <c r="R4700" s="23" t="s">
        <v>12893</v>
      </c>
      <c r="S4700" s="23" t="s">
        <v>6849</v>
      </c>
      <c r="T4700" s="23" t="s">
        <v>4865</v>
      </c>
      <c r="U4700" s="3">
        <v>35</v>
      </c>
      <c r="V4700" s="3" t="s">
        <v>14218</v>
      </c>
      <c r="W4700" s="45" t="str">
        <f>HYPERLINK("http://ictvonline.org/taxonomy/p/taxonomy-history?taxnode_id=201906486","ICTVonline=201906486")</f>
        <v>ICTVonline=201906486</v>
      </c>
      <c r="X4700" s="1" t="s">
        <v>14223</v>
      </c>
      <c r="Y4700" s="1" t="s">
        <v>14224</v>
      </c>
      <c r="Z4700" s="1" t="s">
        <v>14225</v>
      </c>
      <c r="AA4700" s="1">
        <v>201900000</v>
      </c>
      <c r="AB4700" s="1">
        <v>35</v>
      </c>
    </row>
    <row r="4701" spans="1:28" x14ac:dyDescent="0.2">
      <c r="A4701" s="1">
        <v>11972</v>
      </c>
      <c r="B4701" s="1" t="s">
        <v>6839</v>
      </c>
      <c r="D4701" s="1" t="s">
        <v>11735</v>
      </c>
      <c r="F4701" s="1" t="s">
        <v>5540</v>
      </c>
      <c r="G4701" s="1" t="s">
        <v>5630</v>
      </c>
      <c r="H4701" s="1" t="s">
        <v>5631</v>
      </c>
      <c r="J4701" s="1" t="s">
        <v>4050</v>
      </c>
      <c r="L4701" s="1" t="s">
        <v>4057</v>
      </c>
      <c r="N4701" s="1" t="s">
        <v>14211</v>
      </c>
      <c r="P4701" s="1" t="s">
        <v>14226</v>
      </c>
      <c r="Q4701" s="3">
        <v>0</v>
      </c>
      <c r="R4701" s="23" t="s">
        <v>12893</v>
      </c>
      <c r="S4701" s="23" t="s">
        <v>6849</v>
      </c>
      <c r="T4701" s="23" t="s">
        <v>4865</v>
      </c>
      <c r="U4701" s="3">
        <v>35</v>
      </c>
      <c r="V4701" s="3" t="s">
        <v>14218</v>
      </c>
      <c r="W4701" s="45" t="str">
        <f>HYPERLINK("http://ictvonline.org/taxonomy/p/taxonomy-history?taxnode_id=201906607","ICTVonline=201906607")</f>
        <v>ICTVonline=201906607</v>
      </c>
      <c r="X4701" s="1" t="s">
        <v>14227</v>
      </c>
      <c r="Y4701" s="1" t="s">
        <v>14228</v>
      </c>
      <c r="Z4701" s="1" t="s">
        <v>14229</v>
      </c>
      <c r="AA4701" s="1">
        <v>201900000</v>
      </c>
      <c r="AB4701" s="1">
        <v>35</v>
      </c>
    </row>
    <row r="4702" spans="1:28" x14ac:dyDescent="0.2">
      <c r="A4702" s="1">
        <v>11974</v>
      </c>
      <c r="B4702" s="1" t="s">
        <v>6839</v>
      </c>
      <c r="D4702" s="1" t="s">
        <v>11735</v>
      </c>
      <c r="F4702" s="1" t="s">
        <v>5540</v>
      </c>
      <c r="G4702" s="1" t="s">
        <v>5630</v>
      </c>
      <c r="H4702" s="1" t="s">
        <v>5631</v>
      </c>
      <c r="J4702" s="1" t="s">
        <v>4050</v>
      </c>
      <c r="L4702" s="1" t="s">
        <v>4057</v>
      </c>
      <c r="N4702" s="1" t="s">
        <v>14211</v>
      </c>
      <c r="P4702" s="1" t="s">
        <v>14230</v>
      </c>
      <c r="Q4702" s="3">
        <v>0</v>
      </c>
      <c r="R4702" s="23" t="s">
        <v>13790</v>
      </c>
      <c r="S4702" s="23" t="s">
        <v>6848</v>
      </c>
      <c r="T4702" s="23" t="s">
        <v>4864</v>
      </c>
      <c r="U4702" s="3">
        <v>35</v>
      </c>
      <c r="V4702" s="3" t="s">
        <v>14213</v>
      </c>
      <c r="W4702" s="45" t="str">
        <f>HYPERLINK("http://ictvonline.org/taxonomy/p/taxonomy-history?taxnode_id=201907636","ICTVonline=201907636")</f>
        <v>ICTVonline=201907636</v>
      </c>
      <c r="X4702" s="1" t="s">
        <v>14231</v>
      </c>
      <c r="Y4702" s="1" t="s">
        <v>14232</v>
      </c>
      <c r="Z4702" s="1" t="s">
        <v>8652</v>
      </c>
      <c r="AA4702" s="1">
        <v>201900000</v>
      </c>
      <c r="AB4702" s="1">
        <v>35</v>
      </c>
    </row>
    <row r="4703" spans="1:28" x14ac:dyDescent="0.2">
      <c r="A4703" s="1">
        <v>11976</v>
      </c>
      <c r="B4703" s="1" t="s">
        <v>6839</v>
      </c>
      <c r="D4703" s="1" t="s">
        <v>11735</v>
      </c>
      <c r="F4703" s="1" t="s">
        <v>5540</v>
      </c>
      <c r="G4703" s="1" t="s">
        <v>5630</v>
      </c>
      <c r="H4703" s="1" t="s">
        <v>5631</v>
      </c>
      <c r="J4703" s="1" t="s">
        <v>4050</v>
      </c>
      <c r="L4703" s="1" t="s">
        <v>4057</v>
      </c>
      <c r="N4703" s="1" t="s">
        <v>14211</v>
      </c>
      <c r="P4703" s="1" t="s">
        <v>14233</v>
      </c>
      <c r="Q4703" s="3">
        <v>0</v>
      </c>
      <c r="R4703" s="23" t="s">
        <v>13790</v>
      </c>
      <c r="S4703" s="23" t="s">
        <v>6848</v>
      </c>
      <c r="T4703" s="23" t="s">
        <v>4864</v>
      </c>
      <c r="U4703" s="3">
        <v>35</v>
      </c>
      <c r="V4703" s="3" t="s">
        <v>14213</v>
      </c>
      <c r="W4703" s="45" t="str">
        <f>HYPERLINK("http://ictvonline.org/taxonomy/p/taxonomy-history?taxnode_id=201907637","ICTVonline=201907637")</f>
        <v>ICTVonline=201907637</v>
      </c>
      <c r="X4703" s="1" t="s">
        <v>14234</v>
      </c>
      <c r="Y4703" s="1" t="s">
        <v>14235</v>
      </c>
      <c r="Z4703" s="1" t="s">
        <v>14236</v>
      </c>
      <c r="AA4703" s="1">
        <v>201900000</v>
      </c>
      <c r="AB4703" s="1">
        <v>35</v>
      </c>
    </row>
    <row r="4704" spans="1:28" x14ac:dyDescent="0.2">
      <c r="A4704" s="1">
        <v>11978</v>
      </c>
      <c r="B4704" s="1" t="s">
        <v>6839</v>
      </c>
      <c r="D4704" s="1" t="s">
        <v>11735</v>
      </c>
      <c r="F4704" s="1" t="s">
        <v>5540</v>
      </c>
      <c r="G4704" s="1" t="s">
        <v>5630</v>
      </c>
      <c r="H4704" s="1" t="s">
        <v>5631</v>
      </c>
      <c r="J4704" s="1" t="s">
        <v>4050</v>
      </c>
      <c r="L4704" s="1" t="s">
        <v>4057</v>
      </c>
      <c r="N4704" s="1" t="s">
        <v>14211</v>
      </c>
      <c r="P4704" s="1" t="s">
        <v>14237</v>
      </c>
      <c r="Q4704" s="3">
        <v>0</v>
      </c>
      <c r="R4704" s="23" t="s">
        <v>13790</v>
      </c>
      <c r="S4704" s="23" t="s">
        <v>6848</v>
      </c>
      <c r="T4704" s="23" t="s">
        <v>4864</v>
      </c>
      <c r="U4704" s="3">
        <v>35</v>
      </c>
      <c r="V4704" s="3" t="s">
        <v>14213</v>
      </c>
      <c r="W4704" s="45" t="str">
        <f>HYPERLINK("http://ictvonline.org/taxonomy/p/taxonomy-history?taxnode_id=201907638","ICTVonline=201907638")</f>
        <v>ICTVonline=201907638</v>
      </c>
      <c r="X4704" s="1" t="s">
        <v>14238</v>
      </c>
      <c r="Y4704" s="1" t="s">
        <v>14239</v>
      </c>
      <c r="Z4704" s="1" t="s">
        <v>14240</v>
      </c>
      <c r="AA4704" s="1">
        <v>201900000</v>
      </c>
      <c r="AB4704" s="1">
        <v>35</v>
      </c>
    </row>
    <row r="4705" spans="1:28" x14ac:dyDescent="0.2">
      <c r="A4705" s="1">
        <v>11982</v>
      </c>
      <c r="B4705" s="1" t="s">
        <v>6839</v>
      </c>
      <c r="D4705" s="1" t="s">
        <v>11735</v>
      </c>
      <c r="F4705" s="1" t="s">
        <v>5540</v>
      </c>
      <c r="G4705" s="1" t="s">
        <v>5630</v>
      </c>
      <c r="H4705" s="1" t="s">
        <v>5631</v>
      </c>
      <c r="J4705" s="1" t="s">
        <v>4050</v>
      </c>
      <c r="L4705" s="1" t="s">
        <v>4057</v>
      </c>
      <c r="N4705" s="1" t="s">
        <v>5659</v>
      </c>
      <c r="P4705" s="1" t="s">
        <v>5660</v>
      </c>
      <c r="Q4705" s="3">
        <v>1</v>
      </c>
      <c r="R4705" s="23" t="s">
        <v>12893</v>
      </c>
      <c r="S4705" s="23" t="s">
        <v>6848</v>
      </c>
      <c r="T4705" s="23" t="s">
        <v>4866</v>
      </c>
      <c r="U4705" s="3">
        <v>35</v>
      </c>
      <c r="W4705" s="45" t="str">
        <f>HYPERLINK("http://ictvonline.org/taxonomy/p/taxonomy-history?taxnode_id=201906226","ICTVonline=201906226")</f>
        <v>ICTVonline=201906226</v>
      </c>
      <c r="X4705" s="1" t="s">
        <v>14241</v>
      </c>
      <c r="Y4705" s="1" t="s">
        <v>14242</v>
      </c>
      <c r="Z4705" s="1" t="s">
        <v>14243</v>
      </c>
      <c r="AA4705" s="1">
        <v>201900000</v>
      </c>
      <c r="AB4705" s="1">
        <v>35</v>
      </c>
    </row>
    <row r="4706" spans="1:28" x14ac:dyDescent="0.2">
      <c r="A4706" s="1">
        <v>11986</v>
      </c>
      <c r="B4706" s="1" t="s">
        <v>6839</v>
      </c>
      <c r="D4706" s="1" t="s">
        <v>11735</v>
      </c>
      <c r="F4706" s="1" t="s">
        <v>5540</v>
      </c>
      <c r="G4706" s="1" t="s">
        <v>5630</v>
      </c>
      <c r="H4706" s="1" t="s">
        <v>5631</v>
      </c>
      <c r="J4706" s="1" t="s">
        <v>4050</v>
      </c>
      <c r="L4706" s="1" t="s">
        <v>4057</v>
      </c>
      <c r="N4706" s="1" t="s">
        <v>6014</v>
      </c>
      <c r="P4706" s="1" t="s">
        <v>6015</v>
      </c>
      <c r="Q4706" s="3">
        <v>1</v>
      </c>
      <c r="R4706" s="23" t="s">
        <v>12893</v>
      </c>
      <c r="S4706" s="23" t="s">
        <v>5849</v>
      </c>
      <c r="T4706" s="23" t="s">
        <v>4866</v>
      </c>
      <c r="U4706" s="3">
        <v>35</v>
      </c>
      <c r="W4706" s="45" t="str">
        <f>HYPERLINK("http://ictvonline.org/taxonomy/p/taxonomy-history?taxnode_id=201906630","ICTVonline=201906630")</f>
        <v>ICTVonline=201906630</v>
      </c>
      <c r="X4706" s="1" t="s">
        <v>14244</v>
      </c>
      <c r="Y4706" s="1" t="s">
        <v>14245</v>
      </c>
      <c r="Z4706" s="1" t="s">
        <v>14246</v>
      </c>
      <c r="AA4706" s="1">
        <v>201900000</v>
      </c>
      <c r="AB4706" s="1">
        <v>35</v>
      </c>
    </row>
    <row r="4707" spans="1:28" x14ac:dyDescent="0.2">
      <c r="A4707" s="1">
        <v>11988</v>
      </c>
      <c r="B4707" s="1" t="s">
        <v>6839</v>
      </c>
      <c r="D4707" s="1" t="s">
        <v>11735</v>
      </c>
      <c r="F4707" s="1" t="s">
        <v>5540</v>
      </c>
      <c r="G4707" s="1" t="s">
        <v>5630</v>
      </c>
      <c r="H4707" s="1" t="s">
        <v>5631</v>
      </c>
      <c r="J4707" s="1" t="s">
        <v>4050</v>
      </c>
      <c r="L4707" s="1" t="s">
        <v>4057</v>
      </c>
      <c r="N4707" s="1" t="s">
        <v>6014</v>
      </c>
      <c r="P4707" s="1" t="s">
        <v>14247</v>
      </c>
      <c r="Q4707" s="3">
        <v>0</v>
      </c>
      <c r="R4707" s="23" t="s">
        <v>12893</v>
      </c>
      <c r="S4707" s="23" t="s">
        <v>5849</v>
      </c>
      <c r="T4707" s="23" t="s">
        <v>4864</v>
      </c>
      <c r="U4707" s="3">
        <v>35</v>
      </c>
      <c r="V4707" s="3" t="s">
        <v>14248</v>
      </c>
      <c r="W4707" s="45" t="str">
        <f>HYPERLINK("http://ictvonline.org/taxonomy/p/taxonomy-history?taxnode_id=201907130","ICTVonline=201907130")</f>
        <v>ICTVonline=201907130</v>
      </c>
      <c r="X4707" s="1" t="s">
        <v>14249</v>
      </c>
      <c r="Y4707" s="1" t="s">
        <v>14250</v>
      </c>
      <c r="AA4707" s="1">
        <v>201900000</v>
      </c>
      <c r="AB4707" s="1">
        <v>35</v>
      </c>
    </row>
    <row r="4708" spans="1:28" x14ac:dyDescent="0.2">
      <c r="A4708" s="1">
        <v>11992</v>
      </c>
      <c r="B4708" s="1" t="s">
        <v>6839</v>
      </c>
      <c r="D4708" s="1" t="s">
        <v>11735</v>
      </c>
      <c r="F4708" s="1" t="s">
        <v>5540</v>
      </c>
      <c r="G4708" s="1" t="s">
        <v>5630</v>
      </c>
      <c r="H4708" s="1" t="s">
        <v>5631</v>
      </c>
      <c r="J4708" s="1" t="s">
        <v>4050</v>
      </c>
      <c r="L4708" s="1" t="s">
        <v>4057</v>
      </c>
      <c r="N4708" s="1" t="s">
        <v>14251</v>
      </c>
      <c r="P4708" s="1" t="s">
        <v>14252</v>
      </c>
      <c r="Q4708" s="3">
        <v>1</v>
      </c>
      <c r="R4708" s="23" t="s">
        <v>13790</v>
      </c>
      <c r="S4708" s="23" t="s">
        <v>6849</v>
      </c>
      <c r="T4708" s="23" t="s">
        <v>4864</v>
      </c>
      <c r="U4708" s="3">
        <v>35</v>
      </c>
      <c r="V4708" s="3" t="s">
        <v>14213</v>
      </c>
      <c r="W4708" s="45" t="str">
        <f>HYPERLINK("http://ictvonline.org/taxonomy/p/taxonomy-history?taxnode_id=201907644","ICTVonline=201907644")</f>
        <v>ICTVonline=201907644</v>
      </c>
      <c r="X4708" s="1" t="s">
        <v>14253</v>
      </c>
      <c r="Y4708" s="1" t="s">
        <v>14254</v>
      </c>
      <c r="Z4708" s="1" t="s">
        <v>14255</v>
      </c>
      <c r="AA4708" s="1">
        <v>201900000</v>
      </c>
      <c r="AB4708" s="1">
        <v>35</v>
      </c>
    </row>
    <row r="4709" spans="1:28" x14ac:dyDescent="0.2">
      <c r="A4709" s="1">
        <v>11996</v>
      </c>
      <c r="B4709" s="1" t="s">
        <v>6839</v>
      </c>
      <c r="D4709" s="1" t="s">
        <v>11735</v>
      </c>
      <c r="F4709" s="1" t="s">
        <v>5540</v>
      </c>
      <c r="G4709" s="1" t="s">
        <v>5630</v>
      </c>
      <c r="H4709" s="1" t="s">
        <v>5631</v>
      </c>
      <c r="J4709" s="1" t="s">
        <v>4050</v>
      </c>
      <c r="L4709" s="1" t="s">
        <v>4057</v>
      </c>
      <c r="N4709" s="1" t="s">
        <v>4120</v>
      </c>
      <c r="P4709" s="1" t="s">
        <v>4121</v>
      </c>
      <c r="Q4709" s="3">
        <v>0</v>
      </c>
      <c r="R4709" s="23" t="s">
        <v>12893</v>
      </c>
      <c r="S4709" s="23" t="s">
        <v>6848</v>
      </c>
      <c r="T4709" s="23" t="s">
        <v>4866</v>
      </c>
      <c r="U4709" s="3">
        <v>35</v>
      </c>
      <c r="W4709" s="45" t="str">
        <f>HYPERLINK("http://ictvonline.org/taxonomy/p/taxonomy-history?taxnode_id=201900149","ICTVonline=201900149")</f>
        <v>ICTVonline=201900149</v>
      </c>
      <c r="Y4709" s="1" t="s">
        <v>14256</v>
      </c>
      <c r="Z4709" s="1" t="s">
        <v>14257</v>
      </c>
      <c r="AA4709" s="1">
        <v>201900000</v>
      </c>
      <c r="AB4709" s="1">
        <v>35</v>
      </c>
    </row>
    <row r="4710" spans="1:28" x14ac:dyDescent="0.2">
      <c r="A4710" s="1">
        <v>11998</v>
      </c>
      <c r="B4710" s="1" t="s">
        <v>6839</v>
      </c>
      <c r="D4710" s="1" t="s">
        <v>11735</v>
      </c>
      <c r="F4710" s="1" t="s">
        <v>5540</v>
      </c>
      <c r="G4710" s="1" t="s">
        <v>5630</v>
      </c>
      <c r="H4710" s="1" t="s">
        <v>5631</v>
      </c>
      <c r="J4710" s="1" t="s">
        <v>4050</v>
      </c>
      <c r="L4710" s="1" t="s">
        <v>4057</v>
      </c>
      <c r="N4710" s="1" t="s">
        <v>4120</v>
      </c>
      <c r="P4710" s="1" t="s">
        <v>4122</v>
      </c>
      <c r="Q4710" s="3">
        <v>1</v>
      </c>
      <c r="R4710" s="23" t="s">
        <v>12893</v>
      </c>
      <c r="S4710" s="23" t="s">
        <v>6848</v>
      </c>
      <c r="T4710" s="23" t="s">
        <v>4866</v>
      </c>
      <c r="U4710" s="3">
        <v>35</v>
      </c>
      <c r="W4710" s="45" t="str">
        <f>HYPERLINK("http://ictvonline.org/taxonomy/p/taxonomy-history?taxnode_id=201900150","ICTVonline=201900150")</f>
        <v>ICTVonline=201900150</v>
      </c>
      <c r="Y4710" s="1" t="s">
        <v>14258</v>
      </c>
      <c r="Z4710" s="1" t="s">
        <v>14259</v>
      </c>
      <c r="AA4710" s="1">
        <v>201900000</v>
      </c>
      <c r="AB4710" s="1">
        <v>35</v>
      </c>
    </row>
    <row r="4711" spans="1:28" x14ac:dyDescent="0.2">
      <c r="A4711" s="1">
        <v>12000</v>
      </c>
      <c r="B4711" s="1" t="s">
        <v>6839</v>
      </c>
      <c r="D4711" s="1" t="s">
        <v>11735</v>
      </c>
      <c r="F4711" s="1" t="s">
        <v>5540</v>
      </c>
      <c r="G4711" s="1" t="s">
        <v>5630</v>
      </c>
      <c r="H4711" s="1" t="s">
        <v>5631</v>
      </c>
      <c r="J4711" s="1" t="s">
        <v>4050</v>
      </c>
      <c r="L4711" s="1" t="s">
        <v>4057</v>
      </c>
      <c r="N4711" s="1" t="s">
        <v>4120</v>
      </c>
      <c r="P4711" s="1" t="s">
        <v>4123</v>
      </c>
      <c r="Q4711" s="3">
        <v>0</v>
      </c>
      <c r="R4711" s="23" t="s">
        <v>12893</v>
      </c>
      <c r="S4711" s="23" t="s">
        <v>6848</v>
      </c>
      <c r="T4711" s="23" t="s">
        <v>4866</v>
      </c>
      <c r="U4711" s="3">
        <v>35</v>
      </c>
      <c r="W4711" s="45" t="str">
        <f>HYPERLINK("http://ictvonline.org/taxonomy/p/taxonomy-history?taxnode_id=201900151","ICTVonline=201900151")</f>
        <v>ICTVonline=201900151</v>
      </c>
      <c r="Y4711" s="1" t="s">
        <v>14260</v>
      </c>
      <c r="Z4711" s="1" t="s">
        <v>14261</v>
      </c>
      <c r="AA4711" s="1">
        <v>201900000</v>
      </c>
      <c r="AB4711" s="1">
        <v>35</v>
      </c>
    </row>
    <row r="4712" spans="1:28" x14ac:dyDescent="0.2">
      <c r="A4712" s="1">
        <v>12004</v>
      </c>
      <c r="B4712" s="1" t="s">
        <v>6839</v>
      </c>
      <c r="D4712" s="1" t="s">
        <v>11735</v>
      </c>
      <c r="F4712" s="1" t="s">
        <v>5540</v>
      </c>
      <c r="G4712" s="1" t="s">
        <v>5630</v>
      </c>
      <c r="H4712" s="1" t="s">
        <v>5631</v>
      </c>
      <c r="J4712" s="1" t="s">
        <v>4050</v>
      </c>
      <c r="L4712" s="1" t="s">
        <v>4057</v>
      </c>
      <c r="N4712" s="1" t="s">
        <v>5661</v>
      </c>
      <c r="P4712" s="1" t="s">
        <v>5662</v>
      </c>
      <c r="Q4712" s="3">
        <v>1</v>
      </c>
      <c r="R4712" s="23" t="s">
        <v>12893</v>
      </c>
      <c r="S4712" s="23" t="s">
        <v>6848</v>
      </c>
      <c r="T4712" s="23" t="s">
        <v>4866</v>
      </c>
      <c r="U4712" s="3">
        <v>35</v>
      </c>
      <c r="W4712" s="45" t="str">
        <f>HYPERLINK("http://ictvonline.org/taxonomy/p/taxonomy-history?taxnode_id=201906228","ICTVonline=201906228")</f>
        <v>ICTVonline=201906228</v>
      </c>
      <c r="X4712" s="1" t="s">
        <v>14262</v>
      </c>
      <c r="Y4712" s="1" t="s">
        <v>14263</v>
      </c>
      <c r="Z4712" s="1" t="s">
        <v>14264</v>
      </c>
      <c r="AA4712" s="1">
        <v>201900000</v>
      </c>
      <c r="AB4712" s="1">
        <v>35</v>
      </c>
    </row>
    <row r="4713" spans="1:28" x14ac:dyDescent="0.2">
      <c r="A4713" s="1">
        <v>12008</v>
      </c>
      <c r="B4713" s="1" t="s">
        <v>6839</v>
      </c>
      <c r="D4713" s="1" t="s">
        <v>11735</v>
      </c>
      <c r="F4713" s="1" t="s">
        <v>5540</v>
      </c>
      <c r="G4713" s="1" t="s">
        <v>5630</v>
      </c>
      <c r="H4713" s="1" t="s">
        <v>5631</v>
      </c>
      <c r="J4713" s="1" t="s">
        <v>4050</v>
      </c>
      <c r="L4713" s="1" t="s">
        <v>4057</v>
      </c>
      <c r="N4713" s="1" t="s">
        <v>5663</v>
      </c>
      <c r="P4713" s="1" t="s">
        <v>5664</v>
      </c>
      <c r="Q4713" s="3">
        <v>1</v>
      </c>
      <c r="R4713" s="23" t="s">
        <v>12893</v>
      </c>
      <c r="S4713" s="23" t="s">
        <v>6848</v>
      </c>
      <c r="T4713" s="23" t="s">
        <v>4866</v>
      </c>
      <c r="U4713" s="3">
        <v>35</v>
      </c>
      <c r="W4713" s="45" t="str">
        <f>HYPERLINK("http://ictvonline.org/taxonomy/p/taxonomy-history?taxnode_id=201906230","ICTVonline=201906230")</f>
        <v>ICTVonline=201906230</v>
      </c>
      <c r="X4713" s="1" t="s">
        <v>14265</v>
      </c>
      <c r="Y4713" s="1" t="s">
        <v>14266</v>
      </c>
      <c r="Z4713" s="1" t="s">
        <v>14267</v>
      </c>
      <c r="AA4713" s="1">
        <v>201900000</v>
      </c>
      <c r="AB4713" s="1">
        <v>35</v>
      </c>
    </row>
    <row r="4714" spans="1:28" x14ac:dyDescent="0.2">
      <c r="A4714" s="1">
        <v>12012</v>
      </c>
      <c r="B4714" s="1" t="s">
        <v>6839</v>
      </c>
      <c r="D4714" s="1" t="s">
        <v>11735</v>
      </c>
      <c r="F4714" s="1" t="s">
        <v>5540</v>
      </c>
      <c r="G4714" s="1" t="s">
        <v>5630</v>
      </c>
      <c r="H4714" s="1" t="s">
        <v>5631</v>
      </c>
      <c r="J4714" s="1" t="s">
        <v>4050</v>
      </c>
      <c r="L4714" s="1" t="s">
        <v>4057</v>
      </c>
      <c r="N4714" s="1" t="s">
        <v>5665</v>
      </c>
      <c r="P4714" s="1" t="s">
        <v>5666</v>
      </c>
      <c r="Q4714" s="3">
        <v>1</v>
      </c>
      <c r="R4714" s="23" t="s">
        <v>12893</v>
      </c>
      <c r="S4714" s="23" t="s">
        <v>6848</v>
      </c>
      <c r="T4714" s="23" t="s">
        <v>4866</v>
      </c>
      <c r="U4714" s="3">
        <v>35</v>
      </c>
      <c r="W4714" s="45" t="str">
        <f>HYPERLINK("http://ictvonline.org/taxonomy/p/taxonomy-history?taxnode_id=201906232","ICTVonline=201906232")</f>
        <v>ICTVonline=201906232</v>
      </c>
      <c r="X4714" s="1" t="s">
        <v>14268</v>
      </c>
      <c r="Y4714" s="1" t="s">
        <v>14269</v>
      </c>
      <c r="Z4714" s="1" t="s">
        <v>14270</v>
      </c>
      <c r="AA4714" s="1">
        <v>201900000</v>
      </c>
      <c r="AB4714" s="1">
        <v>35</v>
      </c>
    </row>
    <row r="4715" spans="1:28" x14ac:dyDescent="0.2">
      <c r="A4715" s="1">
        <v>12016</v>
      </c>
      <c r="B4715" s="1" t="s">
        <v>6839</v>
      </c>
      <c r="D4715" s="1" t="s">
        <v>11735</v>
      </c>
      <c r="F4715" s="1" t="s">
        <v>5540</v>
      </c>
      <c r="G4715" s="1" t="s">
        <v>5630</v>
      </c>
      <c r="H4715" s="1" t="s">
        <v>5631</v>
      </c>
      <c r="J4715" s="1" t="s">
        <v>4050</v>
      </c>
      <c r="L4715" s="1" t="s">
        <v>4057</v>
      </c>
      <c r="N4715" s="1" t="s">
        <v>14271</v>
      </c>
      <c r="P4715" s="1" t="s">
        <v>14272</v>
      </c>
      <c r="Q4715" s="3">
        <v>1</v>
      </c>
      <c r="R4715" s="23" t="s">
        <v>12893</v>
      </c>
      <c r="S4715" s="23" t="s">
        <v>6849</v>
      </c>
      <c r="T4715" s="23" t="s">
        <v>4864</v>
      </c>
      <c r="U4715" s="3">
        <v>35</v>
      </c>
      <c r="V4715" s="3" t="s">
        <v>14213</v>
      </c>
      <c r="W4715" s="45" t="str">
        <f>HYPERLINK("http://ictvonline.org/taxonomy/p/taxonomy-history?taxnode_id=201907640","ICTVonline=201907640")</f>
        <v>ICTVonline=201907640</v>
      </c>
      <c r="X4715" s="1" t="s">
        <v>14273</v>
      </c>
      <c r="Y4715" s="1" t="s">
        <v>14274</v>
      </c>
      <c r="Z4715" s="1" t="s">
        <v>14275</v>
      </c>
      <c r="AA4715" s="1">
        <v>201900000</v>
      </c>
      <c r="AB4715" s="1">
        <v>35</v>
      </c>
    </row>
    <row r="4716" spans="1:28" x14ac:dyDescent="0.2">
      <c r="A4716" s="1">
        <v>12018</v>
      </c>
      <c r="B4716" s="1" t="s">
        <v>6839</v>
      </c>
      <c r="D4716" s="1" t="s">
        <v>11735</v>
      </c>
      <c r="F4716" s="1" t="s">
        <v>5540</v>
      </c>
      <c r="G4716" s="1" t="s">
        <v>5630</v>
      </c>
      <c r="H4716" s="1" t="s">
        <v>5631</v>
      </c>
      <c r="J4716" s="1" t="s">
        <v>4050</v>
      </c>
      <c r="L4716" s="1" t="s">
        <v>4057</v>
      </c>
      <c r="N4716" s="1" t="s">
        <v>14271</v>
      </c>
      <c r="P4716" s="1" t="s">
        <v>14276</v>
      </c>
      <c r="Q4716" s="3">
        <v>0</v>
      </c>
      <c r="R4716" s="23" t="s">
        <v>12893</v>
      </c>
      <c r="S4716" s="23" t="s">
        <v>6849</v>
      </c>
      <c r="T4716" s="23" t="s">
        <v>4864</v>
      </c>
      <c r="U4716" s="3">
        <v>35</v>
      </c>
      <c r="V4716" s="3" t="s">
        <v>14213</v>
      </c>
      <c r="W4716" s="45" t="str">
        <f>HYPERLINK("http://ictvonline.org/taxonomy/p/taxonomy-history?taxnode_id=201907641","ICTVonline=201907641")</f>
        <v>ICTVonline=201907641</v>
      </c>
      <c r="X4716" s="1" t="s">
        <v>14277</v>
      </c>
      <c r="Y4716" s="1" t="s">
        <v>14278</v>
      </c>
      <c r="Z4716" s="1" t="s">
        <v>14279</v>
      </c>
      <c r="AA4716" s="1">
        <v>201900000</v>
      </c>
      <c r="AB4716" s="1">
        <v>35</v>
      </c>
    </row>
    <row r="4717" spans="1:28" x14ac:dyDescent="0.2">
      <c r="A4717" s="1">
        <v>12020</v>
      </c>
      <c r="B4717" s="1" t="s">
        <v>6839</v>
      </c>
      <c r="D4717" s="1" t="s">
        <v>11735</v>
      </c>
      <c r="F4717" s="1" t="s">
        <v>5540</v>
      </c>
      <c r="G4717" s="1" t="s">
        <v>5630</v>
      </c>
      <c r="H4717" s="1" t="s">
        <v>5631</v>
      </c>
      <c r="J4717" s="1" t="s">
        <v>4050</v>
      </c>
      <c r="L4717" s="1" t="s">
        <v>4057</v>
      </c>
      <c r="N4717" s="1" t="s">
        <v>14271</v>
      </c>
      <c r="P4717" s="1" t="s">
        <v>14280</v>
      </c>
      <c r="Q4717" s="3">
        <v>0</v>
      </c>
      <c r="R4717" s="23" t="s">
        <v>12893</v>
      </c>
      <c r="S4717" s="23" t="s">
        <v>6849</v>
      </c>
      <c r="T4717" s="23" t="s">
        <v>4864</v>
      </c>
      <c r="U4717" s="3">
        <v>35</v>
      </c>
      <c r="V4717" s="3" t="s">
        <v>14213</v>
      </c>
      <c r="W4717" s="45" t="str">
        <f>HYPERLINK("http://ictvonline.org/taxonomy/p/taxonomy-history?taxnode_id=201907642","ICTVonline=201907642")</f>
        <v>ICTVonline=201907642</v>
      </c>
      <c r="X4717" s="1" t="s">
        <v>14281</v>
      </c>
      <c r="Y4717" s="1" t="s">
        <v>14282</v>
      </c>
      <c r="Z4717" s="1" t="s">
        <v>14283</v>
      </c>
      <c r="AA4717" s="1">
        <v>201900000</v>
      </c>
      <c r="AB4717" s="1">
        <v>35</v>
      </c>
    </row>
    <row r="4718" spans="1:28" x14ac:dyDescent="0.2">
      <c r="A4718" s="1">
        <v>12024</v>
      </c>
      <c r="B4718" s="1" t="s">
        <v>6839</v>
      </c>
      <c r="D4718" s="1" t="s">
        <v>11735</v>
      </c>
      <c r="F4718" s="1" t="s">
        <v>5540</v>
      </c>
      <c r="G4718" s="1" t="s">
        <v>5630</v>
      </c>
      <c r="H4718" s="1" t="s">
        <v>5631</v>
      </c>
      <c r="J4718" s="1" t="s">
        <v>4050</v>
      </c>
      <c r="L4718" s="1" t="s">
        <v>4057</v>
      </c>
      <c r="N4718" s="1" t="s">
        <v>6000</v>
      </c>
      <c r="P4718" s="1" t="s">
        <v>6001</v>
      </c>
      <c r="Q4718" s="3">
        <v>0</v>
      </c>
      <c r="R4718" s="23" t="s">
        <v>12893</v>
      </c>
      <c r="S4718" s="23" t="s">
        <v>6848</v>
      </c>
      <c r="T4718" s="23" t="s">
        <v>4866</v>
      </c>
      <c r="U4718" s="3">
        <v>35</v>
      </c>
      <c r="W4718" s="45" t="str">
        <f>HYPERLINK("http://ictvonline.org/taxonomy/p/taxonomy-history?taxnode_id=201906609","ICTVonline=201906609")</f>
        <v>ICTVonline=201906609</v>
      </c>
      <c r="X4718" s="1" t="s">
        <v>14284</v>
      </c>
      <c r="Y4718" s="1" t="s">
        <v>14285</v>
      </c>
      <c r="Z4718" s="1" t="s">
        <v>14286</v>
      </c>
      <c r="AA4718" s="1">
        <v>201900000</v>
      </c>
      <c r="AB4718" s="1">
        <v>35</v>
      </c>
    </row>
    <row r="4719" spans="1:28" x14ac:dyDescent="0.2">
      <c r="A4719" s="1">
        <v>12028</v>
      </c>
      <c r="B4719" s="1" t="s">
        <v>6839</v>
      </c>
      <c r="D4719" s="1" t="s">
        <v>11735</v>
      </c>
      <c r="F4719" s="1" t="s">
        <v>5540</v>
      </c>
      <c r="G4719" s="1" t="s">
        <v>5630</v>
      </c>
      <c r="H4719" s="1" t="s">
        <v>5631</v>
      </c>
      <c r="J4719" s="1" t="s">
        <v>4050</v>
      </c>
      <c r="L4719" s="1" t="s">
        <v>4057</v>
      </c>
      <c r="N4719" s="1" t="s">
        <v>14287</v>
      </c>
      <c r="P4719" s="1" t="s">
        <v>14288</v>
      </c>
      <c r="Q4719" s="3">
        <v>1</v>
      </c>
      <c r="R4719" s="23" t="s">
        <v>13790</v>
      </c>
      <c r="S4719" s="23" t="s">
        <v>6849</v>
      </c>
      <c r="T4719" s="23" t="s">
        <v>4864</v>
      </c>
      <c r="U4719" s="3">
        <v>35</v>
      </c>
      <c r="V4719" s="3" t="s">
        <v>14213</v>
      </c>
      <c r="W4719" s="45" t="str">
        <f>HYPERLINK("http://ictvonline.org/taxonomy/p/taxonomy-history?taxnode_id=201907646","ICTVonline=201907646")</f>
        <v>ICTVonline=201907646</v>
      </c>
      <c r="X4719" s="1" t="s">
        <v>14289</v>
      </c>
      <c r="Y4719" s="1" t="s">
        <v>14290</v>
      </c>
      <c r="Z4719" s="1" t="s">
        <v>13116</v>
      </c>
      <c r="AA4719" s="1">
        <v>201900000</v>
      </c>
      <c r="AB4719" s="1">
        <v>35</v>
      </c>
    </row>
    <row r="4720" spans="1:28" x14ac:dyDescent="0.2">
      <c r="A4720" s="1">
        <v>12032</v>
      </c>
      <c r="B4720" s="1" t="s">
        <v>6839</v>
      </c>
      <c r="D4720" s="1" t="s">
        <v>11735</v>
      </c>
      <c r="F4720" s="1" t="s">
        <v>5540</v>
      </c>
      <c r="G4720" s="1" t="s">
        <v>5630</v>
      </c>
      <c r="H4720" s="1" t="s">
        <v>5631</v>
      </c>
      <c r="J4720" s="1" t="s">
        <v>4050</v>
      </c>
      <c r="L4720" s="1" t="s">
        <v>4057</v>
      </c>
      <c r="N4720" s="1" t="s">
        <v>5667</v>
      </c>
      <c r="P4720" s="1" t="s">
        <v>5668</v>
      </c>
      <c r="Q4720" s="3">
        <v>1</v>
      </c>
      <c r="R4720" s="23" t="s">
        <v>12893</v>
      </c>
      <c r="S4720" s="23" t="s">
        <v>6848</v>
      </c>
      <c r="T4720" s="23" t="s">
        <v>4866</v>
      </c>
      <c r="U4720" s="3">
        <v>35</v>
      </c>
      <c r="W4720" s="45" t="str">
        <f>HYPERLINK("http://ictvonline.org/taxonomy/p/taxonomy-history?taxnode_id=201906234","ICTVonline=201906234")</f>
        <v>ICTVonline=201906234</v>
      </c>
      <c r="X4720" s="1" t="s">
        <v>14291</v>
      </c>
      <c r="Y4720" s="1" t="s">
        <v>14292</v>
      </c>
      <c r="Z4720" s="1" t="s">
        <v>14293</v>
      </c>
      <c r="AA4720" s="1">
        <v>201900000</v>
      </c>
      <c r="AB4720" s="1">
        <v>35</v>
      </c>
    </row>
    <row r="4721" spans="1:28" x14ac:dyDescent="0.2">
      <c r="A4721" s="1">
        <v>12036</v>
      </c>
      <c r="B4721" s="1" t="s">
        <v>6839</v>
      </c>
      <c r="D4721" s="1" t="s">
        <v>11735</v>
      </c>
      <c r="F4721" s="1" t="s">
        <v>5540</v>
      </c>
      <c r="G4721" s="1" t="s">
        <v>5630</v>
      </c>
      <c r="H4721" s="1" t="s">
        <v>5631</v>
      </c>
      <c r="J4721" s="1" t="s">
        <v>4050</v>
      </c>
      <c r="L4721" s="1" t="s">
        <v>4057</v>
      </c>
      <c r="N4721" s="1" t="s">
        <v>4124</v>
      </c>
      <c r="P4721" s="1" t="s">
        <v>4125</v>
      </c>
      <c r="Q4721" s="3">
        <v>1</v>
      </c>
      <c r="R4721" s="23" t="s">
        <v>12893</v>
      </c>
      <c r="S4721" s="23" t="s">
        <v>6848</v>
      </c>
      <c r="T4721" s="23" t="s">
        <v>4866</v>
      </c>
      <c r="U4721" s="3">
        <v>35</v>
      </c>
      <c r="W4721" s="45" t="str">
        <f>HYPERLINK("http://ictvonline.org/taxonomy/p/taxonomy-history?taxnode_id=201900153","ICTVonline=201900153")</f>
        <v>ICTVonline=201900153</v>
      </c>
      <c r="Y4721" s="1" t="s">
        <v>14294</v>
      </c>
      <c r="Z4721" s="1" t="s">
        <v>14295</v>
      </c>
      <c r="AA4721" s="1">
        <v>201900000</v>
      </c>
      <c r="AB4721" s="1">
        <v>35</v>
      </c>
    </row>
    <row r="4722" spans="1:28" x14ac:dyDescent="0.2">
      <c r="A4722" s="1">
        <v>12038</v>
      </c>
      <c r="B4722" s="1" t="s">
        <v>6839</v>
      </c>
      <c r="D4722" s="1" t="s">
        <v>11735</v>
      </c>
      <c r="F4722" s="1" t="s">
        <v>5540</v>
      </c>
      <c r="G4722" s="1" t="s">
        <v>5630</v>
      </c>
      <c r="H4722" s="1" t="s">
        <v>5631</v>
      </c>
      <c r="J4722" s="1" t="s">
        <v>4050</v>
      </c>
      <c r="L4722" s="1" t="s">
        <v>4057</v>
      </c>
      <c r="N4722" s="1" t="s">
        <v>4124</v>
      </c>
      <c r="P4722" s="1" t="s">
        <v>14296</v>
      </c>
      <c r="Q4722" s="3">
        <v>0</v>
      </c>
      <c r="R4722" s="23" t="s">
        <v>14297</v>
      </c>
      <c r="S4722" s="23" t="s">
        <v>6849</v>
      </c>
      <c r="T4722" s="23" t="s">
        <v>14298</v>
      </c>
      <c r="U4722" s="3">
        <v>35</v>
      </c>
      <c r="V4722" s="3" t="s">
        <v>14213</v>
      </c>
      <c r="W4722" s="45" t="str">
        <f>HYPERLINK("http://ictvonline.org/taxonomy/p/taxonomy-history?taxnode_id=201906238","ICTVonline=201906238")</f>
        <v>ICTVonline=201906238</v>
      </c>
      <c r="X4722" s="1" t="s">
        <v>14299</v>
      </c>
      <c r="Y4722" s="1" t="s">
        <v>14300</v>
      </c>
      <c r="Z4722" s="1" t="s">
        <v>14301</v>
      </c>
      <c r="AA4722" s="1">
        <v>201900000</v>
      </c>
      <c r="AB4722" s="1">
        <v>35</v>
      </c>
    </row>
    <row r="4723" spans="1:28" x14ac:dyDescent="0.2">
      <c r="A4723" s="1">
        <v>12040</v>
      </c>
      <c r="B4723" s="1" t="s">
        <v>6839</v>
      </c>
      <c r="D4723" s="1" t="s">
        <v>11735</v>
      </c>
      <c r="F4723" s="1" t="s">
        <v>5540</v>
      </c>
      <c r="G4723" s="1" t="s">
        <v>5630</v>
      </c>
      <c r="H4723" s="1" t="s">
        <v>5631</v>
      </c>
      <c r="J4723" s="1" t="s">
        <v>4050</v>
      </c>
      <c r="L4723" s="1" t="s">
        <v>4057</v>
      </c>
      <c r="N4723" s="1" t="s">
        <v>4124</v>
      </c>
      <c r="P4723" s="1" t="s">
        <v>14302</v>
      </c>
      <c r="Q4723" s="3">
        <v>0</v>
      </c>
      <c r="R4723" s="23" t="s">
        <v>14297</v>
      </c>
      <c r="S4723" s="23" t="s">
        <v>6849</v>
      </c>
      <c r="T4723" s="23" t="s">
        <v>4865</v>
      </c>
      <c r="U4723" s="3">
        <v>35</v>
      </c>
      <c r="V4723" s="3" t="s">
        <v>14213</v>
      </c>
      <c r="W4723" s="45" t="str">
        <f>HYPERLINK("http://ictvonline.org/taxonomy/p/taxonomy-history?taxnode_id=201906239","ICTVonline=201906239")</f>
        <v>ICTVonline=201906239</v>
      </c>
      <c r="X4723" s="1" t="s">
        <v>14303</v>
      </c>
      <c r="Y4723" s="1" t="s">
        <v>14304</v>
      </c>
      <c r="Z4723" s="1" t="s">
        <v>14305</v>
      </c>
      <c r="AA4723" s="1">
        <v>201900000</v>
      </c>
      <c r="AB4723" s="1">
        <v>35</v>
      </c>
    </row>
    <row r="4724" spans="1:28" x14ac:dyDescent="0.2">
      <c r="A4724" s="1">
        <v>12042</v>
      </c>
      <c r="B4724" s="1" t="s">
        <v>6839</v>
      </c>
      <c r="D4724" s="1" t="s">
        <v>11735</v>
      </c>
      <c r="F4724" s="1" t="s">
        <v>5540</v>
      </c>
      <c r="G4724" s="1" t="s">
        <v>5630</v>
      </c>
      <c r="H4724" s="1" t="s">
        <v>5631</v>
      </c>
      <c r="J4724" s="1" t="s">
        <v>4050</v>
      </c>
      <c r="L4724" s="1" t="s">
        <v>4057</v>
      </c>
      <c r="N4724" s="1" t="s">
        <v>4124</v>
      </c>
      <c r="P4724" s="1" t="s">
        <v>4126</v>
      </c>
      <c r="Q4724" s="3">
        <v>0</v>
      </c>
      <c r="R4724" s="23" t="s">
        <v>12893</v>
      </c>
      <c r="S4724" s="23" t="s">
        <v>6848</v>
      </c>
      <c r="T4724" s="23" t="s">
        <v>4866</v>
      </c>
      <c r="U4724" s="3">
        <v>35</v>
      </c>
      <c r="W4724" s="45" t="str">
        <f>HYPERLINK("http://ictvonline.org/taxonomy/p/taxonomy-history?taxnode_id=201900154","ICTVonline=201900154")</f>
        <v>ICTVonline=201900154</v>
      </c>
      <c r="Y4724" s="1" t="s">
        <v>14306</v>
      </c>
      <c r="Z4724" s="1" t="s">
        <v>14307</v>
      </c>
      <c r="AA4724" s="1">
        <v>201900000</v>
      </c>
      <c r="AB4724" s="1">
        <v>35</v>
      </c>
    </row>
    <row r="4725" spans="1:28" x14ac:dyDescent="0.2">
      <c r="A4725" s="1">
        <v>12044</v>
      </c>
      <c r="B4725" s="1" t="s">
        <v>6839</v>
      </c>
      <c r="D4725" s="1" t="s">
        <v>11735</v>
      </c>
      <c r="F4725" s="1" t="s">
        <v>5540</v>
      </c>
      <c r="G4725" s="1" t="s">
        <v>5630</v>
      </c>
      <c r="H4725" s="1" t="s">
        <v>5631</v>
      </c>
      <c r="J4725" s="1" t="s">
        <v>4050</v>
      </c>
      <c r="L4725" s="1" t="s">
        <v>4057</v>
      </c>
      <c r="N4725" s="1" t="s">
        <v>4124</v>
      </c>
      <c r="P4725" s="1" t="s">
        <v>4127</v>
      </c>
      <c r="Q4725" s="3">
        <v>0</v>
      </c>
      <c r="R4725" s="23" t="s">
        <v>12893</v>
      </c>
      <c r="S4725" s="23" t="s">
        <v>6848</v>
      </c>
      <c r="T4725" s="23" t="s">
        <v>4866</v>
      </c>
      <c r="U4725" s="3">
        <v>35</v>
      </c>
      <c r="W4725" s="45" t="str">
        <f>HYPERLINK("http://ictvonline.org/taxonomy/p/taxonomy-history?taxnode_id=201900156","ICTVonline=201900156")</f>
        <v>ICTVonline=201900156</v>
      </c>
      <c r="Y4725" s="1" t="s">
        <v>14308</v>
      </c>
      <c r="Z4725" s="1" t="s">
        <v>14309</v>
      </c>
      <c r="AA4725" s="1">
        <v>201900000</v>
      </c>
      <c r="AB4725" s="1">
        <v>35</v>
      </c>
    </row>
    <row r="4726" spans="1:28" x14ac:dyDescent="0.2">
      <c r="A4726" s="1">
        <v>12048</v>
      </c>
      <c r="B4726" s="1" t="s">
        <v>6839</v>
      </c>
      <c r="D4726" s="1" t="s">
        <v>11735</v>
      </c>
      <c r="F4726" s="1" t="s">
        <v>5540</v>
      </c>
      <c r="G4726" s="1" t="s">
        <v>5630</v>
      </c>
      <c r="H4726" s="1" t="s">
        <v>5631</v>
      </c>
      <c r="J4726" s="1" t="s">
        <v>4050</v>
      </c>
      <c r="L4726" s="1" t="s">
        <v>4057</v>
      </c>
      <c r="N4726" s="1" t="s">
        <v>699</v>
      </c>
      <c r="P4726" s="1" t="s">
        <v>14310</v>
      </c>
      <c r="Q4726" s="3">
        <v>0</v>
      </c>
      <c r="R4726" s="23" t="s">
        <v>13790</v>
      </c>
      <c r="S4726" s="23" t="s">
        <v>6848</v>
      </c>
      <c r="T4726" s="23" t="s">
        <v>4864</v>
      </c>
      <c r="U4726" s="3">
        <v>35</v>
      </c>
      <c r="V4726" s="3" t="s">
        <v>14213</v>
      </c>
      <c r="W4726" s="45" t="str">
        <f>HYPERLINK("http://ictvonline.org/taxonomy/p/taxonomy-history?taxnode_id=201907619","ICTVonline=201907619")</f>
        <v>ICTVonline=201907619</v>
      </c>
      <c r="X4726" s="1" t="s">
        <v>14311</v>
      </c>
      <c r="Y4726" s="1" t="s">
        <v>14312</v>
      </c>
      <c r="Z4726" s="1">
        <v>195</v>
      </c>
      <c r="AA4726" s="1">
        <v>201900000</v>
      </c>
      <c r="AB4726" s="1">
        <v>35</v>
      </c>
    </row>
    <row r="4727" spans="1:28" x14ac:dyDescent="0.2">
      <c r="A4727" s="1">
        <v>12050</v>
      </c>
      <c r="B4727" s="1" t="s">
        <v>6839</v>
      </c>
      <c r="D4727" s="1" t="s">
        <v>11735</v>
      </c>
      <c r="F4727" s="1" t="s">
        <v>5540</v>
      </c>
      <c r="G4727" s="1" t="s">
        <v>5630</v>
      </c>
      <c r="H4727" s="1" t="s">
        <v>5631</v>
      </c>
      <c r="J4727" s="1" t="s">
        <v>4050</v>
      </c>
      <c r="L4727" s="1" t="s">
        <v>4057</v>
      </c>
      <c r="N4727" s="1" t="s">
        <v>699</v>
      </c>
      <c r="P4727" s="1" t="s">
        <v>14313</v>
      </c>
      <c r="Q4727" s="3">
        <v>0</v>
      </c>
      <c r="R4727" s="23" t="s">
        <v>13790</v>
      </c>
      <c r="S4727" s="23" t="s">
        <v>6848</v>
      </c>
      <c r="T4727" s="23" t="s">
        <v>4864</v>
      </c>
      <c r="U4727" s="3">
        <v>35</v>
      </c>
      <c r="V4727" s="3" t="s">
        <v>14213</v>
      </c>
      <c r="W4727" s="45" t="str">
        <f>HYPERLINK("http://ictvonline.org/taxonomy/p/taxonomy-history?taxnode_id=201907584","ICTVonline=201907584")</f>
        <v>ICTVonline=201907584</v>
      </c>
      <c r="X4727" s="1" t="s">
        <v>14314</v>
      </c>
      <c r="Y4727" s="1" t="s">
        <v>14315</v>
      </c>
      <c r="Z4727" s="1" t="s">
        <v>14316</v>
      </c>
      <c r="AA4727" s="1">
        <v>201900000</v>
      </c>
      <c r="AB4727" s="1">
        <v>35</v>
      </c>
    </row>
    <row r="4728" spans="1:28" x14ac:dyDescent="0.2">
      <c r="A4728" s="1">
        <v>12052</v>
      </c>
      <c r="B4728" s="1" t="s">
        <v>6839</v>
      </c>
      <c r="D4728" s="1" t="s">
        <v>11735</v>
      </c>
      <c r="F4728" s="1" t="s">
        <v>5540</v>
      </c>
      <c r="G4728" s="1" t="s">
        <v>5630</v>
      </c>
      <c r="H4728" s="1" t="s">
        <v>5631</v>
      </c>
      <c r="J4728" s="1" t="s">
        <v>4050</v>
      </c>
      <c r="L4728" s="1" t="s">
        <v>4057</v>
      </c>
      <c r="N4728" s="1" t="s">
        <v>699</v>
      </c>
      <c r="P4728" s="1" t="s">
        <v>14317</v>
      </c>
      <c r="Q4728" s="3">
        <v>0</v>
      </c>
      <c r="R4728" s="23" t="s">
        <v>13790</v>
      </c>
      <c r="S4728" s="23" t="s">
        <v>6848</v>
      </c>
      <c r="T4728" s="23" t="s">
        <v>4864</v>
      </c>
      <c r="U4728" s="3">
        <v>35</v>
      </c>
      <c r="V4728" s="3" t="s">
        <v>14213</v>
      </c>
      <c r="W4728" s="45" t="str">
        <f>HYPERLINK("http://ictvonline.org/taxonomy/p/taxonomy-history?taxnode_id=201907620","ICTVonline=201907620")</f>
        <v>ICTVonline=201907620</v>
      </c>
      <c r="X4728" s="1" t="s">
        <v>14318</v>
      </c>
      <c r="Y4728" s="1" t="s">
        <v>14319</v>
      </c>
      <c r="Z4728" s="1" t="s">
        <v>14320</v>
      </c>
      <c r="AA4728" s="1">
        <v>201900000</v>
      </c>
      <c r="AB4728" s="1">
        <v>35</v>
      </c>
    </row>
    <row r="4729" spans="1:28" x14ac:dyDescent="0.2">
      <c r="A4729" s="1">
        <v>12054</v>
      </c>
      <c r="B4729" s="1" t="s">
        <v>6839</v>
      </c>
      <c r="D4729" s="1" t="s">
        <v>11735</v>
      </c>
      <c r="F4729" s="1" t="s">
        <v>5540</v>
      </c>
      <c r="G4729" s="1" t="s">
        <v>5630</v>
      </c>
      <c r="H4729" s="1" t="s">
        <v>5631</v>
      </c>
      <c r="J4729" s="1" t="s">
        <v>4050</v>
      </c>
      <c r="L4729" s="1" t="s">
        <v>4057</v>
      </c>
      <c r="N4729" s="1" t="s">
        <v>699</v>
      </c>
      <c r="P4729" s="1" t="s">
        <v>14321</v>
      </c>
      <c r="Q4729" s="3">
        <v>0</v>
      </c>
      <c r="R4729" s="23" t="s">
        <v>13790</v>
      </c>
      <c r="S4729" s="23" t="s">
        <v>6848</v>
      </c>
      <c r="T4729" s="23" t="s">
        <v>4864</v>
      </c>
      <c r="U4729" s="3">
        <v>35</v>
      </c>
      <c r="V4729" s="3" t="s">
        <v>14213</v>
      </c>
      <c r="W4729" s="45" t="str">
        <f>HYPERLINK("http://ictvonline.org/taxonomy/p/taxonomy-history?taxnode_id=201907609","ICTVonline=201907609")</f>
        <v>ICTVonline=201907609</v>
      </c>
      <c r="X4729" s="1" t="s">
        <v>14322</v>
      </c>
      <c r="Y4729" s="1" t="s">
        <v>14323</v>
      </c>
      <c r="Z4729" s="1" t="s">
        <v>8652</v>
      </c>
      <c r="AA4729" s="1">
        <v>201900000</v>
      </c>
      <c r="AB4729" s="1">
        <v>35</v>
      </c>
    </row>
    <row r="4730" spans="1:28" x14ac:dyDescent="0.2">
      <c r="A4730" s="1">
        <v>12056</v>
      </c>
      <c r="B4730" s="1" t="s">
        <v>6839</v>
      </c>
      <c r="D4730" s="1" t="s">
        <v>11735</v>
      </c>
      <c r="F4730" s="1" t="s">
        <v>5540</v>
      </c>
      <c r="G4730" s="1" t="s">
        <v>5630</v>
      </c>
      <c r="H4730" s="1" t="s">
        <v>5631</v>
      </c>
      <c r="J4730" s="1" t="s">
        <v>4050</v>
      </c>
      <c r="L4730" s="1" t="s">
        <v>4057</v>
      </c>
      <c r="N4730" s="1" t="s">
        <v>699</v>
      </c>
      <c r="P4730" s="1" t="s">
        <v>14324</v>
      </c>
      <c r="Q4730" s="3">
        <v>0</v>
      </c>
      <c r="R4730" s="23" t="s">
        <v>13790</v>
      </c>
      <c r="S4730" s="23" t="s">
        <v>6848</v>
      </c>
      <c r="T4730" s="23" t="s">
        <v>4864</v>
      </c>
      <c r="U4730" s="3">
        <v>35</v>
      </c>
      <c r="V4730" s="3" t="s">
        <v>14213</v>
      </c>
      <c r="W4730" s="45" t="str">
        <f>HYPERLINK("http://ictvonline.org/taxonomy/p/taxonomy-history?taxnode_id=201907587","ICTVonline=201907587")</f>
        <v>ICTVonline=201907587</v>
      </c>
      <c r="X4730" s="1" t="s">
        <v>14325</v>
      </c>
      <c r="Y4730" s="1" t="s">
        <v>14326</v>
      </c>
      <c r="Z4730" s="1" t="s">
        <v>14327</v>
      </c>
      <c r="AA4730" s="1">
        <v>201900000</v>
      </c>
      <c r="AB4730" s="1">
        <v>35</v>
      </c>
    </row>
    <row r="4731" spans="1:28" x14ac:dyDescent="0.2">
      <c r="A4731" s="1">
        <v>12058</v>
      </c>
      <c r="B4731" s="1" t="s">
        <v>6839</v>
      </c>
      <c r="D4731" s="1" t="s">
        <v>11735</v>
      </c>
      <c r="F4731" s="1" t="s">
        <v>5540</v>
      </c>
      <c r="G4731" s="1" t="s">
        <v>5630</v>
      </c>
      <c r="H4731" s="1" t="s">
        <v>5631</v>
      </c>
      <c r="J4731" s="1" t="s">
        <v>4050</v>
      </c>
      <c r="L4731" s="1" t="s">
        <v>4057</v>
      </c>
      <c r="N4731" s="1" t="s">
        <v>699</v>
      </c>
      <c r="P4731" s="1" t="s">
        <v>14328</v>
      </c>
      <c r="Q4731" s="3">
        <v>0</v>
      </c>
      <c r="R4731" s="23" t="s">
        <v>13790</v>
      </c>
      <c r="S4731" s="23" t="s">
        <v>6848</v>
      </c>
      <c r="T4731" s="23" t="s">
        <v>4864</v>
      </c>
      <c r="U4731" s="3">
        <v>35</v>
      </c>
      <c r="V4731" s="3" t="s">
        <v>14213</v>
      </c>
      <c r="W4731" s="45" t="str">
        <f>HYPERLINK("http://ictvonline.org/taxonomy/p/taxonomy-history?taxnode_id=201907599","ICTVonline=201907599")</f>
        <v>ICTVonline=201907599</v>
      </c>
      <c r="X4731" s="1" t="s">
        <v>14329</v>
      </c>
      <c r="Y4731" s="1" t="s">
        <v>14330</v>
      </c>
      <c r="Z4731" s="1" t="s">
        <v>14331</v>
      </c>
      <c r="AA4731" s="1">
        <v>201900000</v>
      </c>
      <c r="AB4731" s="1">
        <v>35</v>
      </c>
    </row>
    <row r="4732" spans="1:28" x14ac:dyDescent="0.2">
      <c r="A4732" s="1">
        <v>12060</v>
      </c>
      <c r="B4732" s="1" t="s">
        <v>6839</v>
      </c>
      <c r="D4732" s="1" t="s">
        <v>11735</v>
      </c>
      <c r="F4732" s="1" t="s">
        <v>5540</v>
      </c>
      <c r="G4732" s="1" t="s">
        <v>5630</v>
      </c>
      <c r="H4732" s="1" t="s">
        <v>5631</v>
      </c>
      <c r="J4732" s="1" t="s">
        <v>4050</v>
      </c>
      <c r="L4732" s="1" t="s">
        <v>4057</v>
      </c>
      <c r="N4732" s="1" t="s">
        <v>699</v>
      </c>
      <c r="P4732" s="1" t="s">
        <v>14332</v>
      </c>
      <c r="Q4732" s="3">
        <v>0</v>
      </c>
      <c r="R4732" s="23" t="s">
        <v>13790</v>
      </c>
      <c r="S4732" s="23" t="s">
        <v>6848</v>
      </c>
      <c r="T4732" s="23" t="s">
        <v>4864</v>
      </c>
      <c r="U4732" s="3">
        <v>35</v>
      </c>
      <c r="V4732" s="3" t="s">
        <v>14213</v>
      </c>
      <c r="W4732" s="45" t="str">
        <f>HYPERLINK("http://ictvonline.org/taxonomy/p/taxonomy-history?taxnode_id=201907622","ICTVonline=201907622")</f>
        <v>ICTVonline=201907622</v>
      </c>
      <c r="X4732" s="1" t="s">
        <v>14333</v>
      </c>
      <c r="Y4732" s="1" t="s">
        <v>14334</v>
      </c>
      <c r="Z4732" s="1" t="s">
        <v>14335</v>
      </c>
      <c r="AA4732" s="1">
        <v>201900000</v>
      </c>
      <c r="AB4732" s="1">
        <v>35</v>
      </c>
    </row>
    <row r="4733" spans="1:28" x14ac:dyDescent="0.2">
      <c r="A4733" s="1">
        <v>12062</v>
      </c>
      <c r="B4733" s="1" t="s">
        <v>6839</v>
      </c>
      <c r="D4733" s="1" t="s">
        <v>11735</v>
      </c>
      <c r="F4733" s="1" t="s">
        <v>5540</v>
      </c>
      <c r="G4733" s="1" t="s">
        <v>5630</v>
      </c>
      <c r="H4733" s="1" t="s">
        <v>5631</v>
      </c>
      <c r="J4733" s="1" t="s">
        <v>4050</v>
      </c>
      <c r="L4733" s="1" t="s">
        <v>4057</v>
      </c>
      <c r="N4733" s="1" t="s">
        <v>699</v>
      </c>
      <c r="P4733" s="1" t="s">
        <v>14336</v>
      </c>
      <c r="Q4733" s="3">
        <v>0</v>
      </c>
      <c r="R4733" s="23" t="s">
        <v>13790</v>
      </c>
      <c r="S4733" s="23" t="s">
        <v>6848</v>
      </c>
      <c r="T4733" s="23" t="s">
        <v>4864</v>
      </c>
      <c r="U4733" s="3">
        <v>35</v>
      </c>
      <c r="V4733" s="3" t="s">
        <v>14213</v>
      </c>
      <c r="W4733" s="45" t="str">
        <f>HYPERLINK("http://ictvonline.org/taxonomy/p/taxonomy-history?taxnode_id=201907592","ICTVonline=201907592")</f>
        <v>ICTVonline=201907592</v>
      </c>
      <c r="X4733" s="1" t="s">
        <v>14337</v>
      </c>
      <c r="Y4733" s="1" t="s">
        <v>14338</v>
      </c>
      <c r="Z4733" s="1" t="s">
        <v>14339</v>
      </c>
      <c r="AA4733" s="1">
        <v>201900000</v>
      </c>
      <c r="AB4733" s="1">
        <v>35</v>
      </c>
    </row>
    <row r="4734" spans="1:28" x14ac:dyDescent="0.2">
      <c r="A4734" s="1">
        <v>12064</v>
      </c>
      <c r="B4734" s="1" t="s">
        <v>6839</v>
      </c>
      <c r="D4734" s="1" t="s">
        <v>11735</v>
      </c>
      <c r="F4734" s="1" t="s">
        <v>5540</v>
      </c>
      <c r="G4734" s="1" t="s">
        <v>5630</v>
      </c>
      <c r="H4734" s="1" t="s">
        <v>5631</v>
      </c>
      <c r="J4734" s="1" t="s">
        <v>4050</v>
      </c>
      <c r="L4734" s="1" t="s">
        <v>4057</v>
      </c>
      <c r="N4734" s="1" t="s">
        <v>699</v>
      </c>
      <c r="P4734" s="1" t="s">
        <v>3685</v>
      </c>
      <c r="Q4734" s="3">
        <v>0</v>
      </c>
      <c r="R4734" s="23" t="s">
        <v>13790</v>
      </c>
      <c r="S4734" s="23" t="s">
        <v>6848</v>
      </c>
      <c r="T4734" s="23" t="s">
        <v>4866</v>
      </c>
      <c r="U4734" s="3">
        <v>35</v>
      </c>
      <c r="W4734" s="45" t="str">
        <f>HYPERLINK("http://ictvonline.org/taxonomy/p/taxonomy-history?taxnode_id=201900158","ICTVonline=201900158")</f>
        <v>ICTVonline=201900158</v>
      </c>
      <c r="Z4734" s="1" t="s">
        <v>14340</v>
      </c>
      <c r="AA4734" s="1">
        <v>201900000</v>
      </c>
      <c r="AB4734" s="1">
        <v>35</v>
      </c>
    </row>
    <row r="4735" spans="1:28" x14ac:dyDescent="0.2">
      <c r="A4735" s="1">
        <v>12066</v>
      </c>
      <c r="B4735" s="1" t="s">
        <v>6839</v>
      </c>
      <c r="D4735" s="1" t="s">
        <v>11735</v>
      </c>
      <c r="F4735" s="1" t="s">
        <v>5540</v>
      </c>
      <c r="G4735" s="1" t="s">
        <v>5630</v>
      </c>
      <c r="H4735" s="1" t="s">
        <v>5631</v>
      </c>
      <c r="J4735" s="1" t="s">
        <v>4050</v>
      </c>
      <c r="L4735" s="1" t="s">
        <v>4057</v>
      </c>
      <c r="N4735" s="1" t="s">
        <v>699</v>
      </c>
      <c r="P4735" s="1" t="s">
        <v>14341</v>
      </c>
      <c r="Q4735" s="3">
        <v>0</v>
      </c>
      <c r="R4735" s="23" t="s">
        <v>13790</v>
      </c>
      <c r="S4735" s="23" t="s">
        <v>6848</v>
      </c>
      <c r="T4735" s="23" t="s">
        <v>4864</v>
      </c>
      <c r="U4735" s="3">
        <v>35</v>
      </c>
      <c r="V4735" s="3" t="s">
        <v>14213</v>
      </c>
      <c r="W4735" s="45" t="str">
        <f>HYPERLINK("http://ictvonline.org/taxonomy/p/taxonomy-history?taxnode_id=201907634","ICTVonline=201907634")</f>
        <v>ICTVonline=201907634</v>
      </c>
      <c r="X4735" s="1" t="s">
        <v>14342</v>
      </c>
      <c r="Y4735" s="1" t="s">
        <v>14343</v>
      </c>
      <c r="Z4735" s="1" t="s">
        <v>8652</v>
      </c>
      <c r="AA4735" s="1">
        <v>201900000</v>
      </c>
      <c r="AB4735" s="1">
        <v>35</v>
      </c>
    </row>
    <row r="4736" spans="1:28" x14ac:dyDescent="0.2">
      <c r="A4736" s="1">
        <v>12068</v>
      </c>
      <c r="B4736" s="1" t="s">
        <v>6839</v>
      </c>
      <c r="D4736" s="1" t="s">
        <v>11735</v>
      </c>
      <c r="F4736" s="1" t="s">
        <v>5540</v>
      </c>
      <c r="G4736" s="1" t="s">
        <v>5630</v>
      </c>
      <c r="H4736" s="1" t="s">
        <v>5631</v>
      </c>
      <c r="J4736" s="1" t="s">
        <v>4050</v>
      </c>
      <c r="L4736" s="1" t="s">
        <v>4057</v>
      </c>
      <c r="N4736" s="1" t="s">
        <v>699</v>
      </c>
      <c r="P4736" s="1" t="s">
        <v>14344</v>
      </c>
      <c r="Q4736" s="3">
        <v>0</v>
      </c>
      <c r="R4736" s="23" t="s">
        <v>13790</v>
      </c>
      <c r="S4736" s="23" t="s">
        <v>6848</v>
      </c>
      <c r="T4736" s="23" t="s">
        <v>4864</v>
      </c>
      <c r="U4736" s="3">
        <v>35</v>
      </c>
      <c r="V4736" s="3" t="s">
        <v>14213</v>
      </c>
      <c r="W4736" s="45" t="str">
        <f>HYPERLINK("http://ictvonline.org/taxonomy/p/taxonomy-history?taxnode_id=201907629","ICTVonline=201907629")</f>
        <v>ICTVonline=201907629</v>
      </c>
      <c r="X4736" s="1" t="s">
        <v>14345</v>
      </c>
      <c r="Y4736" s="1" t="s">
        <v>14346</v>
      </c>
      <c r="Z4736" s="1" t="s">
        <v>14347</v>
      </c>
      <c r="AA4736" s="1">
        <v>201900000</v>
      </c>
      <c r="AB4736" s="1">
        <v>35</v>
      </c>
    </row>
    <row r="4737" spans="1:28" x14ac:dyDescent="0.2">
      <c r="A4737" s="1">
        <v>12070</v>
      </c>
      <c r="B4737" s="1" t="s">
        <v>6839</v>
      </c>
      <c r="D4737" s="1" t="s">
        <v>11735</v>
      </c>
      <c r="F4737" s="1" t="s">
        <v>5540</v>
      </c>
      <c r="G4737" s="1" t="s">
        <v>5630</v>
      </c>
      <c r="H4737" s="1" t="s">
        <v>5631</v>
      </c>
      <c r="J4737" s="1" t="s">
        <v>4050</v>
      </c>
      <c r="L4737" s="1" t="s">
        <v>4057</v>
      </c>
      <c r="N4737" s="1" t="s">
        <v>699</v>
      </c>
      <c r="P4737" s="1" t="s">
        <v>3686</v>
      </c>
      <c r="Q4737" s="3">
        <v>0</v>
      </c>
      <c r="R4737" s="23" t="s">
        <v>13790</v>
      </c>
      <c r="S4737" s="23" t="s">
        <v>6848</v>
      </c>
      <c r="T4737" s="23" t="s">
        <v>4866</v>
      </c>
      <c r="U4737" s="3">
        <v>35</v>
      </c>
      <c r="W4737" s="45" t="str">
        <f>HYPERLINK("http://ictvonline.org/taxonomy/p/taxonomy-history?taxnode_id=201900159","ICTVonline=201900159")</f>
        <v>ICTVonline=201900159</v>
      </c>
      <c r="Z4737" s="1" t="s">
        <v>14348</v>
      </c>
      <c r="AA4737" s="1">
        <v>201900000</v>
      </c>
      <c r="AB4737" s="1">
        <v>35</v>
      </c>
    </row>
    <row r="4738" spans="1:28" x14ac:dyDescent="0.2">
      <c r="A4738" s="1">
        <v>12072</v>
      </c>
      <c r="B4738" s="1" t="s">
        <v>6839</v>
      </c>
      <c r="D4738" s="1" t="s">
        <v>11735</v>
      </c>
      <c r="F4738" s="1" t="s">
        <v>5540</v>
      </c>
      <c r="G4738" s="1" t="s">
        <v>5630</v>
      </c>
      <c r="H4738" s="1" t="s">
        <v>5631</v>
      </c>
      <c r="J4738" s="1" t="s">
        <v>4050</v>
      </c>
      <c r="L4738" s="1" t="s">
        <v>4057</v>
      </c>
      <c r="N4738" s="1" t="s">
        <v>699</v>
      </c>
      <c r="P4738" s="1" t="s">
        <v>14349</v>
      </c>
      <c r="Q4738" s="3">
        <v>0</v>
      </c>
      <c r="R4738" s="23" t="s">
        <v>13790</v>
      </c>
      <c r="S4738" s="23" t="s">
        <v>6848</v>
      </c>
      <c r="T4738" s="23" t="s">
        <v>4864</v>
      </c>
      <c r="U4738" s="3">
        <v>35</v>
      </c>
      <c r="V4738" s="3" t="s">
        <v>14213</v>
      </c>
      <c r="W4738" s="45" t="str">
        <f>HYPERLINK("http://ictvonline.org/taxonomy/p/taxonomy-history?taxnode_id=201907600","ICTVonline=201907600")</f>
        <v>ICTVonline=201907600</v>
      </c>
      <c r="X4738" s="1" t="s">
        <v>14350</v>
      </c>
      <c r="Y4738" s="1" t="s">
        <v>14351</v>
      </c>
      <c r="Z4738" s="1" t="s">
        <v>8652</v>
      </c>
      <c r="AA4738" s="1">
        <v>201900000</v>
      </c>
      <c r="AB4738" s="1">
        <v>35</v>
      </c>
    </row>
    <row r="4739" spans="1:28" x14ac:dyDescent="0.2">
      <c r="A4739" s="1">
        <v>12074</v>
      </c>
      <c r="B4739" s="1" t="s">
        <v>6839</v>
      </c>
      <c r="D4739" s="1" t="s">
        <v>11735</v>
      </c>
      <c r="F4739" s="1" t="s">
        <v>5540</v>
      </c>
      <c r="G4739" s="1" t="s">
        <v>5630</v>
      </c>
      <c r="H4739" s="1" t="s">
        <v>5631</v>
      </c>
      <c r="J4739" s="1" t="s">
        <v>4050</v>
      </c>
      <c r="L4739" s="1" t="s">
        <v>4057</v>
      </c>
      <c r="N4739" s="1" t="s">
        <v>699</v>
      </c>
      <c r="P4739" s="1" t="s">
        <v>14352</v>
      </c>
      <c r="Q4739" s="3">
        <v>0</v>
      </c>
      <c r="R4739" s="23" t="s">
        <v>13790</v>
      </c>
      <c r="S4739" s="23" t="s">
        <v>6848</v>
      </c>
      <c r="T4739" s="23" t="s">
        <v>4864</v>
      </c>
      <c r="U4739" s="3">
        <v>35</v>
      </c>
      <c r="V4739" s="3" t="s">
        <v>14213</v>
      </c>
      <c r="W4739" s="45" t="str">
        <f>HYPERLINK("http://ictvonline.org/taxonomy/p/taxonomy-history?taxnode_id=201907630","ICTVonline=201907630")</f>
        <v>ICTVonline=201907630</v>
      </c>
      <c r="X4739" s="1" t="s">
        <v>14353</v>
      </c>
      <c r="Y4739" s="1" t="s">
        <v>14354</v>
      </c>
      <c r="Z4739" s="1" t="s">
        <v>14355</v>
      </c>
      <c r="AA4739" s="1">
        <v>201900000</v>
      </c>
      <c r="AB4739" s="1">
        <v>35</v>
      </c>
    </row>
    <row r="4740" spans="1:28" x14ac:dyDescent="0.2">
      <c r="A4740" s="1">
        <v>12076</v>
      </c>
      <c r="B4740" s="1" t="s">
        <v>6839</v>
      </c>
      <c r="D4740" s="1" t="s">
        <v>11735</v>
      </c>
      <c r="F4740" s="1" t="s">
        <v>5540</v>
      </c>
      <c r="G4740" s="1" t="s">
        <v>5630</v>
      </c>
      <c r="H4740" s="1" t="s">
        <v>5631</v>
      </c>
      <c r="J4740" s="1" t="s">
        <v>4050</v>
      </c>
      <c r="L4740" s="1" t="s">
        <v>4057</v>
      </c>
      <c r="N4740" s="1" t="s">
        <v>699</v>
      </c>
      <c r="P4740" s="1" t="s">
        <v>14356</v>
      </c>
      <c r="Q4740" s="3">
        <v>0</v>
      </c>
      <c r="R4740" s="23" t="s">
        <v>13790</v>
      </c>
      <c r="S4740" s="23" t="s">
        <v>6848</v>
      </c>
      <c r="T4740" s="23" t="s">
        <v>4864</v>
      </c>
      <c r="U4740" s="3">
        <v>35</v>
      </c>
      <c r="V4740" s="3" t="s">
        <v>14213</v>
      </c>
      <c r="W4740" s="45" t="str">
        <f>HYPERLINK("http://ictvonline.org/taxonomy/p/taxonomy-history?taxnode_id=201907611","ICTVonline=201907611")</f>
        <v>ICTVonline=201907611</v>
      </c>
      <c r="X4740" s="1" t="s">
        <v>14357</v>
      </c>
      <c r="Y4740" s="1" t="s">
        <v>14358</v>
      </c>
      <c r="Z4740" s="1">
        <v>131</v>
      </c>
      <c r="AA4740" s="1">
        <v>201900000</v>
      </c>
      <c r="AB4740" s="1">
        <v>35</v>
      </c>
    </row>
    <row r="4741" spans="1:28" x14ac:dyDescent="0.2">
      <c r="A4741" s="1">
        <v>12078</v>
      </c>
      <c r="B4741" s="1" t="s">
        <v>6839</v>
      </c>
      <c r="D4741" s="1" t="s">
        <v>11735</v>
      </c>
      <c r="F4741" s="1" t="s">
        <v>5540</v>
      </c>
      <c r="G4741" s="1" t="s">
        <v>5630</v>
      </c>
      <c r="H4741" s="1" t="s">
        <v>5631</v>
      </c>
      <c r="J4741" s="1" t="s">
        <v>4050</v>
      </c>
      <c r="L4741" s="1" t="s">
        <v>4057</v>
      </c>
      <c r="N4741" s="1" t="s">
        <v>699</v>
      </c>
      <c r="P4741" s="1" t="s">
        <v>14359</v>
      </c>
      <c r="Q4741" s="3">
        <v>0</v>
      </c>
      <c r="R4741" s="23" t="s">
        <v>13790</v>
      </c>
      <c r="S4741" s="23" t="s">
        <v>6848</v>
      </c>
      <c r="T4741" s="23" t="s">
        <v>4864</v>
      </c>
      <c r="U4741" s="3">
        <v>35</v>
      </c>
      <c r="V4741" s="3" t="s">
        <v>14213</v>
      </c>
      <c r="W4741" s="45" t="str">
        <f>HYPERLINK("http://ictvonline.org/taxonomy/p/taxonomy-history?taxnode_id=201907586","ICTVonline=201907586")</f>
        <v>ICTVonline=201907586</v>
      </c>
      <c r="X4741" s="1" t="s">
        <v>14360</v>
      </c>
      <c r="Y4741" s="1" t="s">
        <v>14361</v>
      </c>
      <c r="Z4741" s="1" t="s">
        <v>14362</v>
      </c>
      <c r="AA4741" s="1">
        <v>201900000</v>
      </c>
      <c r="AB4741" s="1">
        <v>35</v>
      </c>
    </row>
    <row r="4742" spans="1:28" x14ac:dyDescent="0.2">
      <c r="A4742" s="1">
        <v>12080</v>
      </c>
      <c r="B4742" s="1" t="s">
        <v>6839</v>
      </c>
      <c r="D4742" s="1" t="s">
        <v>11735</v>
      </c>
      <c r="F4742" s="1" t="s">
        <v>5540</v>
      </c>
      <c r="G4742" s="1" t="s">
        <v>5630</v>
      </c>
      <c r="H4742" s="1" t="s">
        <v>5631</v>
      </c>
      <c r="J4742" s="1" t="s">
        <v>4050</v>
      </c>
      <c r="L4742" s="1" t="s">
        <v>4057</v>
      </c>
      <c r="N4742" s="1" t="s">
        <v>699</v>
      </c>
      <c r="P4742" s="1" t="s">
        <v>14363</v>
      </c>
      <c r="Q4742" s="3">
        <v>0</v>
      </c>
      <c r="R4742" s="23" t="s">
        <v>13790</v>
      </c>
      <c r="S4742" s="23" t="s">
        <v>6848</v>
      </c>
      <c r="T4742" s="23" t="s">
        <v>4864</v>
      </c>
      <c r="U4742" s="3">
        <v>35</v>
      </c>
      <c r="V4742" s="3" t="s">
        <v>14213</v>
      </c>
      <c r="W4742" s="45" t="str">
        <f>HYPERLINK("http://ictvonline.org/taxonomy/p/taxonomy-history?taxnode_id=201907591","ICTVonline=201907591")</f>
        <v>ICTVonline=201907591</v>
      </c>
      <c r="X4742" s="1" t="s">
        <v>14364</v>
      </c>
      <c r="Y4742" s="1" t="s">
        <v>14365</v>
      </c>
      <c r="Z4742" s="1" t="s">
        <v>8652</v>
      </c>
      <c r="AA4742" s="1">
        <v>201900000</v>
      </c>
      <c r="AB4742" s="1">
        <v>35</v>
      </c>
    </row>
    <row r="4743" spans="1:28" x14ac:dyDescent="0.2">
      <c r="A4743" s="1">
        <v>12082</v>
      </c>
      <c r="B4743" s="1" t="s">
        <v>6839</v>
      </c>
      <c r="D4743" s="1" t="s">
        <v>11735</v>
      </c>
      <c r="F4743" s="1" t="s">
        <v>5540</v>
      </c>
      <c r="G4743" s="1" t="s">
        <v>5630</v>
      </c>
      <c r="H4743" s="1" t="s">
        <v>5631</v>
      </c>
      <c r="J4743" s="1" t="s">
        <v>4050</v>
      </c>
      <c r="L4743" s="1" t="s">
        <v>4057</v>
      </c>
      <c r="N4743" s="1" t="s">
        <v>699</v>
      </c>
      <c r="P4743" s="1" t="s">
        <v>3687</v>
      </c>
      <c r="Q4743" s="3">
        <v>0</v>
      </c>
      <c r="R4743" s="23" t="s">
        <v>13790</v>
      </c>
      <c r="S4743" s="23" t="s">
        <v>6848</v>
      </c>
      <c r="T4743" s="23" t="s">
        <v>4866</v>
      </c>
      <c r="U4743" s="3">
        <v>35</v>
      </c>
      <c r="W4743" s="45" t="str">
        <f>HYPERLINK("http://ictvonline.org/taxonomy/p/taxonomy-history?taxnode_id=201900161","ICTVonline=201900161")</f>
        <v>ICTVonline=201900161</v>
      </c>
      <c r="Z4743" s="1" t="s">
        <v>14366</v>
      </c>
      <c r="AA4743" s="1">
        <v>201900000</v>
      </c>
      <c r="AB4743" s="1">
        <v>35</v>
      </c>
    </row>
    <row r="4744" spans="1:28" x14ac:dyDescent="0.2">
      <c r="A4744" s="1">
        <v>12084</v>
      </c>
      <c r="B4744" s="1" t="s">
        <v>6839</v>
      </c>
      <c r="D4744" s="1" t="s">
        <v>11735</v>
      </c>
      <c r="F4744" s="1" t="s">
        <v>5540</v>
      </c>
      <c r="G4744" s="1" t="s">
        <v>5630</v>
      </c>
      <c r="H4744" s="1" t="s">
        <v>5631</v>
      </c>
      <c r="J4744" s="1" t="s">
        <v>4050</v>
      </c>
      <c r="L4744" s="1" t="s">
        <v>4057</v>
      </c>
      <c r="N4744" s="1" t="s">
        <v>699</v>
      </c>
      <c r="P4744" s="1" t="s">
        <v>14367</v>
      </c>
      <c r="Q4744" s="3">
        <v>0</v>
      </c>
      <c r="R4744" s="23" t="s">
        <v>13790</v>
      </c>
      <c r="S4744" s="23" t="s">
        <v>6848</v>
      </c>
      <c r="T4744" s="23" t="s">
        <v>4864</v>
      </c>
      <c r="U4744" s="3">
        <v>35</v>
      </c>
      <c r="V4744" s="3" t="s">
        <v>14213</v>
      </c>
      <c r="W4744" s="45" t="str">
        <f>HYPERLINK("http://ictvonline.org/taxonomy/p/taxonomy-history?taxnode_id=201907605","ICTVonline=201907605")</f>
        <v>ICTVonline=201907605</v>
      </c>
      <c r="X4744" s="1" t="s">
        <v>14368</v>
      </c>
      <c r="Y4744" s="1" t="s">
        <v>14369</v>
      </c>
      <c r="Z4744" s="1" t="s">
        <v>14370</v>
      </c>
      <c r="AA4744" s="1">
        <v>201900000</v>
      </c>
      <c r="AB4744" s="1">
        <v>35</v>
      </c>
    </row>
    <row r="4745" spans="1:28" x14ac:dyDescent="0.2">
      <c r="A4745" s="1">
        <v>12086</v>
      </c>
      <c r="B4745" s="1" t="s">
        <v>6839</v>
      </c>
      <c r="D4745" s="1" t="s">
        <v>11735</v>
      </c>
      <c r="F4745" s="1" t="s">
        <v>5540</v>
      </c>
      <c r="G4745" s="1" t="s">
        <v>5630</v>
      </c>
      <c r="H4745" s="1" t="s">
        <v>5631</v>
      </c>
      <c r="J4745" s="1" t="s">
        <v>4050</v>
      </c>
      <c r="L4745" s="1" t="s">
        <v>4057</v>
      </c>
      <c r="N4745" s="1" t="s">
        <v>699</v>
      </c>
      <c r="P4745" s="1" t="s">
        <v>14371</v>
      </c>
      <c r="Q4745" s="3">
        <v>0</v>
      </c>
      <c r="R4745" s="23" t="s">
        <v>13790</v>
      </c>
      <c r="S4745" s="23" t="s">
        <v>6848</v>
      </c>
      <c r="T4745" s="23" t="s">
        <v>4864</v>
      </c>
      <c r="U4745" s="3">
        <v>35</v>
      </c>
      <c r="V4745" s="3" t="s">
        <v>14213</v>
      </c>
      <c r="W4745" s="45" t="str">
        <f>HYPERLINK("http://ictvonline.org/taxonomy/p/taxonomy-history?taxnode_id=201907631","ICTVonline=201907631")</f>
        <v>ICTVonline=201907631</v>
      </c>
      <c r="X4745" s="1" t="s">
        <v>14372</v>
      </c>
      <c r="Y4745" s="1" t="s">
        <v>14373</v>
      </c>
      <c r="Z4745" s="1" t="s">
        <v>14374</v>
      </c>
      <c r="AA4745" s="1">
        <v>201900000</v>
      </c>
      <c r="AB4745" s="1">
        <v>35</v>
      </c>
    </row>
    <row r="4746" spans="1:28" x14ac:dyDescent="0.2">
      <c r="A4746" s="1">
        <v>12088</v>
      </c>
      <c r="B4746" s="1" t="s">
        <v>6839</v>
      </c>
      <c r="D4746" s="1" t="s">
        <v>11735</v>
      </c>
      <c r="F4746" s="1" t="s">
        <v>5540</v>
      </c>
      <c r="G4746" s="1" t="s">
        <v>5630</v>
      </c>
      <c r="H4746" s="1" t="s">
        <v>5631</v>
      </c>
      <c r="J4746" s="1" t="s">
        <v>4050</v>
      </c>
      <c r="L4746" s="1" t="s">
        <v>4057</v>
      </c>
      <c r="N4746" s="1" t="s">
        <v>699</v>
      </c>
      <c r="P4746" s="1" t="s">
        <v>14375</v>
      </c>
      <c r="Q4746" s="3">
        <v>0</v>
      </c>
      <c r="R4746" s="23" t="s">
        <v>13790</v>
      </c>
      <c r="S4746" s="23" t="s">
        <v>6848</v>
      </c>
      <c r="T4746" s="23" t="s">
        <v>4864</v>
      </c>
      <c r="U4746" s="3">
        <v>35</v>
      </c>
      <c r="V4746" s="3" t="s">
        <v>14213</v>
      </c>
      <c r="W4746" s="45" t="str">
        <f>HYPERLINK("http://ictvonline.org/taxonomy/p/taxonomy-history?taxnode_id=201907593","ICTVonline=201907593")</f>
        <v>ICTVonline=201907593</v>
      </c>
      <c r="X4746" s="1" t="s">
        <v>14376</v>
      </c>
      <c r="Y4746" s="1" t="s">
        <v>14377</v>
      </c>
      <c r="Z4746" s="1" t="s">
        <v>14378</v>
      </c>
      <c r="AA4746" s="1">
        <v>201900000</v>
      </c>
      <c r="AB4746" s="1">
        <v>35</v>
      </c>
    </row>
    <row r="4747" spans="1:28" x14ac:dyDescent="0.2">
      <c r="A4747" s="1">
        <v>12090</v>
      </c>
      <c r="B4747" s="1" t="s">
        <v>6839</v>
      </c>
      <c r="D4747" s="1" t="s">
        <v>11735</v>
      </c>
      <c r="F4747" s="1" t="s">
        <v>5540</v>
      </c>
      <c r="G4747" s="1" t="s">
        <v>5630</v>
      </c>
      <c r="H4747" s="1" t="s">
        <v>5631</v>
      </c>
      <c r="J4747" s="1" t="s">
        <v>4050</v>
      </c>
      <c r="L4747" s="1" t="s">
        <v>4057</v>
      </c>
      <c r="N4747" s="1" t="s">
        <v>699</v>
      </c>
      <c r="P4747" s="1" t="s">
        <v>14379</v>
      </c>
      <c r="Q4747" s="3">
        <v>0</v>
      </c>
      <c r="R4747" s="23" t="s">
        <v>13790</v>
      </c>
      <c r="S4747" s="23" t="s">
        <v>6848</v>
      </c>
      <c r="T4747" s="23" t="s">
        <v>4864</v>
      </c>
      <c r="U4747" s="3">
        <v>35</v>
      </c>
      <c r="V4747" s="3" t="s">
        <v>14213</v>
      </c>
      <c r="W4747" s="45" t="str">
        <f>HYPERLINK("http://ictvonline.org/taxonomy/p/taxonomy-history?taxnode_id=201907626","ICTVonline=201907626")</f>
        <v>ICTVonline=201907626</v>
      </c>
      <c r="X4747" s="1" t="s">
        <v>14380</v>
      </c>
      <c r="Y4747" s="1" t="s">
        <v>14381</v>
      </c>
      <c r="Z4747" s="1" t="s">
        <v>8652</v>
      </c>
      <c r="AA4747" s="1">
        <v>201900000</v>
      </c>
      <c r="AB4747" s="1">
        <v>35</v>
      </c>
    </row>
    <row r="4748" spans="1:28" x14ac:dyDescent="0.2">
      <c r="A4748" s="1">
        <v>12092</v>
      </c>
      <c r="B4748" s="1" t="s">
        <v>6839</v>
      </c>
      <c r="D4748" s="1" t="s">
        <v>11735</v>
      </c>
      <c r="F4748" s="1" t="s">
        <v>5540</v>
      </c>
      <c r="G4748" s="1" t="s">
        <v>5630</v>
      </c>
      <c r="H4748" s="1" t="s">
        <v>5631</v>
      </c>
      <c r="J4748" s="1" t="s">
        <v>4050</v>
      </c>
      <c r="L4748" s="1" t="s">
        <v>4057</v>
      </c>
      <c r="N4748" s="1" t="s">
        <v>699</v>
      </c>
      <c r="P4748" s="1" t="s">
        <v>14382</v>
      </c>
      <c r="Q4748" s="3">
        <v>0</v>
      </c>
      <c r="R4748" s="23" t="s">
        <v>13790</v>
      </c>
      <c r="S4748" s="23" t="s">
        <v>6848</v>
      </c>
      <c r="T4748" s="23" t="s">
        <v>4864</v>
      </c>
      <c r="U4748" s="3">
        <v>35</v>
      </c>
      <c r="V4748" s="3" t="s">
        <v>14213</v>
      </c>
      <c r="W4748" s="45" t="str">
        <f>HYPERLINK("http://ictvonline.org/taxonomy/p/taxonomy-history?taxnode_id=201907613","ICTVonline=201907613")</f>
        <v>ICTVonline=201907613</v>
      </c>
      <c r="X4748" s="1" t="s">
        <v>14383</v>
      </c>
      <c r="Y4748" s="1" t="s">
        <v>14384</v>
      </c>
      <c r="Z4748" s="1" t="s">
        <v>14385</v>
      </c>
      <c r="AA4748" s="1">
        <v>201900000</v>
      </c>
      <c r="AB4748" s="1">
        <v>35</v>
      </c>
    </row>
    <row r="4749" spans="1:28" x14ac:dyDescent="0.2">
      <c r="A4749" s="1">
        <v>12094</v>
      </c>
      <c r="B4749" s="1" t="s">
        <v>6839</v>
      </c>
      <c r="D4749" s="1" t="s">
        <v>11735</v>
      </c>
      <c r="F4749" s="1" t="s">
        <v>5540</v>
      </c>
      <c r="G4749" s="1" t="s">
        <v>5630</v>
      </c>
      <c r="H4749" s="1" t="s">
        <v>5631</v>
      </c>
      <c r="J4749" s="1" t="s">
        <v>4050</v>
      </c>
      <c r="L4749" s="1" t="s">
        <v>4057</v>
      </c>
      <c r="N4749" s="1" t="s">
        <v>699</v>
      </c>
      <c r="P4749" s="1" t="s">
        <v>14386</v>
      </c>
      <c r="Q4749" s="3">
        <v>0</v>
      </c>
      <c r="R4749" s="23" t="s">
        <v>13790</v>
      </c>
      <c r="S4749" s="23" t="s">
        <v>6848</v>
      </c>
      <c r="T4749" s="23" t="s">
        <v>4864</v>
      </c>
      <c r="U4749" s="3">
        <v>35</v>
      </c>
      <c r="V4749" s="3" t="s">
        <v>14213</v>
      </c>
      <c r="W4749" s="45" t="str">
        <f>HYPERLINK("http://ictvonline.org/taxonomy/p/taxonomy-history?taxnode_id=201907585","ICTVonline=201907585")</f>
        <v>ICTVonline=201907585</v>
      </c>
      <c r="X4749" s="1" t="s">
        <v>14387</v>
      </c>
      <c r="Y4749" s="1" t="s">
        <v>14388</v>
      </c>
      <c r="Z4749" s="1" t="s">
        <v>14389</v>
      </c>
      <c r="AA4749" s="1">
        <v>201900000</v>
      </c>
      <c r="AB4749" s="1">
        <v>35</v>
      </c>
    </row>
    <row r="4750" spans="1:28" x14ac:dyDescent="0.2">
      <c r="A4750" s="1">
        <v>12096</v>
      </c>
      <c r="B4750" s="1" t="s">
        <v>6839</v>
      </c>
      <c r="D4750" s="1" t="s">
        <v>11735</v>
      </c>
      <c r="F4750" s="1" t="s">
        <v>5540</v>
      </c>
      <c r="G4750" s="1" t="s">
        <v>5630</v>
      </c>
      <c r="H4750" s="1" t="s">
        <v>5631</v>
      </c>
      <c r="J4750" s="1" t="s">
        <v>4050</v>
      </c>
      <c r="L4750" s="1" t="s">
        <v>4057</v>
      </c>
      <c r="N4750" s="1" t="s">
        <v>699</v>
      </c>
      <c r="P4750" s="1" t="s">
        <v>14390</v>
      </c>
      <c r="Q4750" s="3">
        <v>0</v>
      </c>
      <c r="R4750" s="23" t="s">
        <v>13790</v>
      </c>
      <c r="S4750" s="23" t="s">
        <v>6848</v>
      </c>
      <c r="T4750" s="23" t="s">
        <v>4864</v>
      </c>
      <c r="U4750" s="3">
        <v>35</v>
      </c>
      <c r="V4750" s="3" t="s">
        <v>14213</v>
      </c>
      <c r="W4750" s="45" t="str">
        <f>HYPERLINK("http://ictvonline.org/taxonomy/p/taxonomy-history?taxnode_id=201907607","ICTVonline=201907607")</f>
        <v>ICTVonline=201907607</v>
      </c>
      <c r="X4750" s="1" t="s">
        <v>14391</v>
      </c>
      <c r="Y4750" s="1" t="s">
        <v>14392</v>
      </c>
      <c r="Z4750" s="1" t="s">
        <v>14393</v>
      </c>
      <c r="AA4750" s="1">
        <v>201900000</v>
      </c>
      <c r="AB4750" s="1">
        <v>35</v>
      </c>
    </row>
    <row r="4751" spans="1:28" x14ac:dyDescent="0.2">
      <c r="A4751" s="1">
        <v>12098</v>
      </c>
      <c r="B4751" s="1" t="s">
        <v>6839</v>
      </c>
      <c r="D4751" s="1" t="s">
        <v>11735</v>
      </c>
      <c r="F4751" s="1" t="s">
        <v>5540</v>
      </c>
      <c r="G4751" s="1" t="s">
        <v>5630</v>
      </c>
      <c r="H4751" s="1" t="s">
        <v>5631</v>
      </c>
      <c r="J4751" s="1" t="s">
        <v>4050</v>
      </c>
      <c r="L4751" s="1" t="s">
        <v>4057</v>
      </c>
      <c r="N4751" s="1" t="s">
        <v>699</v>
      </c>
      <c r="P4751" s="1" t="s">
        <v>14394</v>
      </c>
      <c r="Q4751" s="3">
        <v>0</v>
      </c>
      <c r="R4751" s="23" t="s">
        <v>13790</v>
      </c>
      <c r="S4751" s="23" t="s">
        <v>6848</v>
      </c>
      <c r="T4751" s="23" t="s">
        <v>4864</v>
      </c>
      <c r="U4751" s="3">
        <v>35</v>
      </c>
      <c r="V4751" s="3" t="s">
        <v>14213</v>
      </c>
      <c r="W4751" s="45" t="str">
        <f>HYPERLINK("http://ictvonline.org/taxonomy/p/taxonomy-history?taxnode_id=201907597","ICTVonline=201907597")</f>
        <v>ICTVonline=201907597</v>
      </c>
      <c r="X4751" s="1" t="s">
        <v>14395</v>
      </c>
      <c r="Y4751" s="1" t="s">
        <v>14396</v>
      </c>
      <c r="Z4751" s="1" t="s">
        <v>14397</v>
      </c>
      <c r="AA4751" s="1">
        <v>201900000</v>
      </c>
      <c r="AB4751" s="1">
        <v>35</v>
      </c>
    </row>
    <row r="4752" spans="1:28" x14ac:dyDescent="0.2">
      <c r="A4752" s="1">
        <v>12100</v>
      </c>
      <c r="B4752" s="1" t="s">
        <v>6839</v>
      </c>
      <c r="D4752" s="1" t="s">
        <v>11735</v>
      </c>
      <c r="F4752" s="1" t="s">
        <v>5540</v>
      </c>
      <c r="G4752" s="1" t="s">
        <v>5630</v>
      </c>
      <c r="H4752" s="1" t="s">
        <v>5631</v>
      </c>
      <c r="J4752" s="1" t="s">
        <v>4050</v>
      </c>
      <c r="L4752" s="1" t="s">
        <v>4057</v>
      </c>
      <c r="N4752" s="1" t="s">
        <v>699</v>
      </c>
      <c r="P4752" s="1" t="s">
        <v>14398</v>
      </c>
      <c r="Q4752" s="3">
        <v>0</v>
      </c>
      <c r="R4752" s="23" t="s">
        <v>13790</v>
      </c>
      <c r="S4752" s="23" t="s">
        <v>6848</v>
      </c>
      <c r="T4752" s="23" t="s">
        <v>4864</v>
      </c>
      <c r="U4752" s="3">
        <v>35</v>
      </c>
      <c r="V4752" s="3" t="s">
        <v>14213</v>
      </c>
      <c r="W4752" s="45" t="str">
        <f>HYPERLINK("http://ictvonline.org/taxonomy/p/taxonomy-history?taxnode_id=201907602","ICTVonline=201907602")</f>
        <v>ICTVonline=201907602</v>
      </c>
      <c r="X4752" s="1" t="s">
        <v>14399</v>
      </c>
      <c r="Y4752" s="1" t="s">
        <v>14400</v>
      </c>
      <c r="Z4752" s="1" t="s">
        <v>14401</v>
      </c>
      <c r="AA4752" s="1">
        <v>201900000</v>
      </c>
      <c r="AB4752" s="1">
        <v>35</v>
      </c>
    </row>
    <row r="4753" spans="1:28" x14ac:dyDescent="0.2">
      <c r="A4753" s="1">
        <v>12102</v>
      </c>
      <c r="B4753" s="1" t="s">
        <v>6839</v>
      </c>
      <c r="D4753" s="1" t="s">
        <v>11735</v>
      </c>
      <c r="F4753" s="1" t="s">
        <v>5540</v>
      </c>
      <c r="G4753" s="1" t="s">
        <v>5630</v>
      </c>
      <c r="H4753" s="1" t="s">
        <v>5631</v>
      </c>
      <c r="J4753" s="1" t="s">
        <v>4050</v>
      </c>
      <c r="L4753" s="1" t="s">
        <v>4057</v>
      </c>
      <c r="N4753" s="1" t="s">
        <v>699</v>
      </c>
      <c r="P4753" s="1" t="s">
        <v>14402</v>
      </c>
      <c r="Q4753" s="3">
        <v>0</v>
      </c>
      <c r="R4753" s="23" t="s">
        <v>13790</v>
      </c>
      <c r="S4753" s="23" t="s">
        <v>6848</v>
      </c>
      <c r="T4753" s="23" t="s">
        <v>4864</v>
      </c>
      <c r="U4753" s="3">
        <v>35</v>
      </c>
      <c r="V4753" s="3" t="s">
        <v>14213</v>
      </c>
      <c r="W4753" s="45" t="str">
        <f>HYPERLINK("http://ictvonline.org/taxonomy/p/taxonomy-history?taxnode_id=201907594","ICTVonline=201907594")</f>
        <v>ICTVonline=201907594</v>
      </c>
      <c r="X4753" s="1" t="s">
        <v>14403</v>
      </c>
      <c r="Y4753" s="1" t="s">
        <v>14404</v>
      </c>
      <c r="Z4753" s="1" t="s">
        <v>14405</v>
      </c>
      <c r="AA4753" s="1">
        <v>201900000</v>
      </c>
      <c r="AB4753" s="1">
        <v>35</v>
      </c>
    </row>
    <row r="4754" spans="1:28" x14ac:dyDescent="0.2">
      <c r="A4754" s="1">
        <v>12104</v>
      </c>
      <c r="B4754" s="1" t="s">
        <v>6839</v>
      </c>
      <c r="D4754" s="1" t="s">
        <v>11735</v>
      </c>
      <c r="F4754" s="1" t="s">
        <v>5540</v>
      </c>
      <c r="G4754" s="1" t="s">
        <v>5630</v>
      </c>
      <c r="H4754" s="1" t="s">
        <v>5631</v>
      </c>
      <c r="J4754" s="1" t="s">
        <v>4050</v>
      </c>
      <c r="L4754" s="1" t="s">
        <v>4057</v>
      </c>
      <c r="N4754" s="1" t="s">
        <v>699</v>
      </c>
      <c r="P4754" s="1" t="s">
        <v>14406</v>
      </c>
      <c r="Q4754" s="3">
        <v>0</v>
      </c>
      <c r="R4754" s="23" t="s">
        <v>13790</v>
      </c>
      <c r="S4754" s="23" t="s">
        <v>6848</v>
      </c>
      <c r="T4754" s="23" t="s">
        <v>4864</v>
      </c>
      <c r="U4754" s="3">
        <v>35</v>
      </c>
      <c r="V4754" s="3" t="s">
        <v>14213</v>
      </c>
      <c r="W4754" s="45" t="str">
        <f>HYPERLINK("http://ictvonline.org/taxonomy/p/taxonomy-history?taxnode_id=201907625","ICTVonline=201907625")</f>
        <v>ICTVonline=201907625</v>
      </c>
      <c r="X4754" s="1" t="s">
        <v>14407</v>
      </c>
      <c r="Y4754" s="1" t="s">
        <v>14408</v>
      </c>
      <c r="Z4754" s="1" t="s">
        <v>14409</v>
      </c>
      <c r="AA4754" s="1">
        <v>201900000</v>
      </c>
      <c r="AB4754" s="1">
        <v>35</v>
      </c>
    </row>
    <row r="4755" spans="1:28" x14ac:dyDescent="0.2">
      <c r="A4755" s="1">
        <v>12106</v>
      </c>
      <c r="B4755" s="1" t="s">
        <v>6839</v>
      </c>
      <c r="D4755" s="1" t="s">
        <v>11735</v>
      </c>
      <c r="F4755" s="1" t="s">
        <v>5540</v>
      </c>
      <c r="G4755" s="1" t="s">
        <v>5630</v>
      </c>
      <c r="H4755" s="1" t="s">
        <v>5631</v>
      </c>
      <c r="J4755" s="1" t="s">
        <v>4050</v>
      </c>
      <c r="L4755" s="1" t="s">
        <v>4057</v>
      </c>
      <c r="N4755" s="1" t="s">
        <v>699</v>
      </c>
      <c r="P4755" s="1" t="s">
        <v>14410</v>
      </c>
      <c r="Q4755" s="3">
        <v>0</v>
      </c>
      <c r="R4755" s="23" t="s">
        <v>13790</v>
      </c>
      <c r="S4755" s="23" t="s">
        <v>6848</v>
      </c>
      <c r="T4755" s="23" t="s">
        <v>4864</v>
      </c>
      <c r="U4755" s="3">
        <v>35</v>
      </c>
      <c r="V4755" s="3" t="s">
        <v>14213</v>
      </c>
      <c r="W4755" s="45" t="str">
        <f>HYPERLINK("http://ictvonline.org/taxonomy/p/taxonomy-history?taxnode_id=201907614","ICTVonline=201907614")</f>
        <v>ICTVonline=201907614</v>
      </c>
      <c r="X4755" s="1" t="s">
        <v>14411</v>
      </c>
      <c r="Y4755" s="1" t="s">
        <v>14412</v>
      </c>
      <c r="Z4755" s="1" t="s">
        <v>14413</v>
      </c>
      <c r="AA4755" s="1">
        <v>201900000</v>
      </c>
      <c r="AB4755" s="1">
        <v>35</v>
      </c>
    </row>
    <row r="4756" spans="1:28" x14ac:dyDescent="0.2">
      <c r="A4756" s="1">
        <v>12108</v>
      </c>
      <c r="B4756" s="1" t="s">
        <v>6839</v>
      </c>
      <c r="D4756" s="1" t="s">
        <v>11735</v>
      </c>
      <c r="F4756" s="1" t="s">
        <v>5540</v>
      </c>
      <c r="G4756" s="1" t="s">
        <v>5630</v>
      </c>
      <c r="H4756" s="1" t="s">
        <v>5631</v>
      </c>
      <c r="J4756" s="1" t="s">
        <v>4050</v>
      </c>
      <c r="L4756" s="1" t="s">
        <v>4057</v>
      </c>
      <c r="N4756" s="1" t="s">
        <v>699</v>
      </c>
      <c r="P4756" s="1" t="s">
        <v>14414</v>
      </c>
      <c r="Q4756" s="3">
        <v>0</v>
      </c>
      <c r="R4756" s="23" t="s">
        <v>13790</v>
      </c>
      <c r="S4756" s="23" t="s">
        <v>6848</v>
      </c>
      <c r="T4756" s="23" t="s">
        <v>4864</v>
      </c>
      <c r="U4756" s="3">
        <v>35</v>
      </c>
      <c r="V4756" s="3" t="s">
        <v>14213</v>
      </c>
      <c r="W4756" s="45" t="str">
        <f>HYPERLINK("http://ictvonline.org/taxonomy/p/taxonomy-history?taxnode_id=201907621","ICTVonline=201907621")</f>
        <v>ICTVonline=201907621</v>
      </c>
      <c r="X4756" s="1" t="s">
        <v>14415</v>
      </c>
      <c r="Y4756" s="1" t="s">
        <v>14416</v>
      </c>
      <c r="Z4756" s="1" t="s">
        <v>14417</v>
      </c>
      <c r="AA4756" s="1">
        <v>201900000</v>
      </c>
      <c r="AB4756" s="1">
        <v>35</v>
      </c>
    </row>
    <row r="4757" spans="1:28" x14ac:dyDescent="0.2">
      <c r="A4757" s="1">
        <v>12110</v>
      </c>
      <c r="B4757" s="1" t="s">
        <v>6839</v>
      </c>
      <c r="D4757" s="1" t="s">
        <v>11735</v>
      </c>
      <c r="F4757" s="1" t="s">
        <v>5540</v>
      </c>
      <c r="G4757" s="1" t="s">
        <v>5630</v>
      </c>
      <c r="H4757" s="1" t="s">
        <v>5631</v>
      </c>
      <c r="J4757" s="1" t="s">
        <v>4050</v>
      </c>
      <c r="L4757" s="1" t="s">
        <v>4057</v>
      </c>
      <c r="N4757" s="1" t="s">
        <v>699</v>
      </c>
      <c r="P4757" s="1" t="s">
        <v>14418</v>
      </c>
      <c r="Q4757" s="3">
        <v>0</v>
      </c>
      <c r="R4757" s="23" t="s">
        <v>13790</v>
      </c>
      <c r="S4757" s="23" t="s">
        <v>6848</v>
      </c>
      <c r="T4757" s="23" t="s">
        <v>4864</v>
      </c>
      <c r="U4757" s="3">
        <v>35</v>
      </c>
      <c r="V4757" s="3" t="s">
        <v>14213</v>
      </c>
      <c r="W4757" s="45" t="str">
        <f>HYPERLINK("http://ictvonline.org/taxonomy/p/taxonomy-history?taxnode_id=201907588","ICTVonline=201907588")</f>
        <v>ICTVonline=201907588</v>
      </c>
      <c r="X4757" s="1" t="s">
        <v>14419</v>
      </c>
      <c r="Y4757" s="1" t="s">
        <v>14420</v>
      </c>
      <c r="Z4757" s="1" t="s">
        <v>14421</v>
      </c>
      <c r="AA4757" s="1">
        <v>201900000</v>
      </c>
      <c r="AB4757" s="1">
        <v>35</v>
      </c>
    </row>
    <row r="4758" spans="1:28" x14ac:dyDescent="0.2">
      <c r="A4758" s="1">
        <v>12112</v>
      </c>
      <c r="B4758" s="1" t="s">
        <v>6839</v>
      </c>
      <c r="D4758" s="1" t="s">
        <v>11735</v>
      </c>
      <c r="F4758" s="1" t="s">
        <v>5540</v>
      </c>
      <c r="G4758" s="1" t="s">
        <v>5630</v>
      </c>
      <c r="H4758" s="1" t="s">
        <v>5631</v>
      </c>
      <c r="J4758" s="1" t="s">
        <v>4050</v>
      </c>
      <c r="L4758" s="1" t="s">
        <v>4057</v>
      </c>
      <c r="N4758" s="1" t="s">
        <v>699</v>
      </c>
      <c r="P4758" s="1" t="s">
        <v>6002</v>
      </c>
      <c r="Q4758" s="3">
        <v>0</v>
      </c>
      <c r="R4758" s="23" t="s">
        <v>13790</v>
      </c>
      <c r="S4758" s="23" t="s">
        <v>6848</v>
      </c>
      <c r="T4758" s="23" t="s">
        <v>4866</v>
      </c>
      <c r="U4758" s="3">
        <v>35</v>
      </c>
      <c r="W4758" s="45" t="str">
        <f>HYPERLINK("http://ictvonline.org/taxonomy/p/taxonomy-history?taxnode_id=201906492","ICTVonline=201906492")</f>
        <v>ICTVonline=201906492</v>
      </c>
      <c r="X4758" s="1" t="s">
        <v>14422</v>
      </c>
      <c r="Y4758" s="1" t="s">
        <v>14423</v>
      </c>
      <c r="Z4758" s="1" t="s">
        <v>14424</v>
      </c>
      <c r="AA4758" s="1">
        <v>201900000</v>
      </c>
      <c r="AB4758" s="1">
        <v>35</v>
      </c>
    </row>
    <row r="4759" spans="1:28" x14ac:dyDescent="0.2">
      <c r="A4759" s="1">
        <v>12114</v>
      </c>
      <c r="B4759" s="1" t="s">
        <v>6839</v>
      </c>
      <c r="D4759" s="1" t="s">
        <v>11735</v>
      </c>
      <c r="F4759" s="1" t="s">
        <v>5540</v>
      </c>
      <c r="G4759" s="1" t="s">
        <v>5630</v>
      </c>
      <c r="H4759" s="1" t="s">
        <v>5631</v>
      </c>
      <c r="J4759" s="1" t="s">
        <v>4050</v>
      </c>
      <c r="L4759" s="1" t="s">
        <v>4057</v>
      </c>
      <c r="N4759" s="1" t="s">
        <v>699</v>
      </c>
      <c r="P4759" s="1" t="s">
        <v>14425</v>
      </c>
      <c r="Q4759" s="3">
        <v>0</v>
      </c>
      <c r="R4759" s="23" t="s">
        <v>13790</v>
      </c>
      <c r="S4759" s="23" t="s">
        <v>6848</v>
      </c>
      <c r="T4759" s="23" t="s">
        <v>4864</v>
      </c>
      <c r="U4759" s="3">
        <v>35</v>
      </c>
      <c r="V4759" s="3" t="s">
        <v>14213</v>
      </c>
      <c r="W4759" s="45" t="str">
        <f>HYPERLINK("http://ictvonline.org/taxonomy/p/taxonomy-history?taxnode_id=201907595","ICTVonline=201907595")</f>
        <v>ICTVonline=201907595</v>
      </c>
      <c r="X4759" s="1" t="s">
        <v>14426</v>
      </c>
      <c r="Y4759" s="1" t="s">
        <v>14427</v>
      </c>
      <c r="Z4759" s="1" t="s">
        <v>8652</v>
      </c>
      <c r="AA4759" s="1">
        <v>201900000</v>
      </c>
      <c r="AB4759" s="1">
        <v>35</v>
      </c>
    </row>
    <row r="4760" spans="1:28" x14ac:dyDescent="0.2">
      <c r="A4760" s="1">
        <v>12116</v>
      </c>
      <c r="B4760" s="1" t="s">
        <v>6839</v>
      </c>
      <c r="D4760" s="1" t="s">
        <v>11735</v>
      </c>
      <c r="F4760" s="1" t="s">
        <v>5540</v>
      </c>
      <c r="G4760" s="1" t="s">
        <v>5630</v>
      </c>
      <c r="H4760" s="1" t="s">
        <v>5631</v>
      </c>
      <c r="J4760" s="1" t="s">
        <v>4050</v>
      </c>
      <c r="L4760" s="1" t="s">
        <v>4057</v>
      </c>
      <c r="N4760" s="1" t="s">
        <v>699</v>
      </c>
      <c r="P4760" s="1" t="s">
        <v>14428</v>
      </c>
      <c r="Q4760" s="3">
        <v>0</v>
      </c>
      <c r="R4760" s="23" t="s">
        <v>13790</v>
      </c>
      <c r="S4760" s="23" t="s">
        <v>6848</v>
      </c>
      <c r="T4760" s="23" t="s">
        <v>4865</v>
      </c>
      <c r="U4760" s="3">
        <v>35</v>
      </c>
      <c r="V4760" s="3" t="s">
        <v>14213</v>
      </c>
      <c r="W4760" s="45" t="str">
        <f>HYPERLINK("http://ictvonline.org/taxonomy/p/taxonomy-history?taxnode_id=201900165","ICTVonline=201900165")</f>
        <v>ICTVonline=201900165</v>
      </c>
      <c r="X4760" s="1" t="s">
        <v>14429</v>
      </c>
      <c r="Y4760" s="1" t="s">
        <v>14430</v>
      </c>
      <c r="Z4760" s="1" t="s">
        <v>8652</v>
      </c>
      <c r="AA4760" s="1">
        <v>201900000</v>
      </c>
      <c r="AB4760" s="1">
        <v>35</v>
      </c>
    </row>
    <row r="4761" spans="1:28" x14ac:dyDescent="0.2">
      <c r="A4761" s="1">
        <v>12118</v>
      </c>
      <c r="B4761" s="1" t="s">
        <v>6839</v>
      </c>
      <c r="D4761" s="1" t="s">
        <v>11735</v>
      </c>
      <c r="F4761" s="1" t="s">
        <v>5540</v>
      </c>
      <c r="G4761" s="1" t="s">
        <v>5630</v>
      </c>
      <c r="H4761" s="1" t="s">
        <v>5631</v>
      </c>
      <c r="J4761" s="1" t="s">
        <v>4050</v>
      </c>
      <c r="L4761" s="1" t="s">
        <v>4057</v>
      </c>
      <c r="N4761" s="1" t="s">
        <v>699</v>
      </c>
      <c r="P4761" s="1" t="s">
        <v>14431</v>
      </c>
      <c r="Q4761" s="3">
        <v>0</v>
      </c>
      <c r="R4761" s="23" t="s">
        <v>13790</v>
      </c>
      <c r="S4761" s="23" t="s">
        <v>6848</v>
      </c>
      <c r="T4761" s="23" t="s">
        <v>4864</v>
      </c>
      <c r="U4761" s="3">
        <v>35</v>
      </c>
      <c r="V4761" s="3" t="s">
        <v>14213</v>
      </c>
      <c r="W4761" s="45" t="str">
        <f>HYPERLINK("http://ictvonline.org/taxonomy/p/taxonomy-history?taxnode_id=201907624","ICTVonline=201907624")</f>
        <v>ICTVonline=201907624</v>
      </c>
      <c r="X4761" s="1" t="s">
        <v>14432</v>
      </c>
      <c r="Y4761" s="1" t="s">
        <v>14433</v>
      </c>
      <c r="Z4761" s="1" t="s">
        <v>8652</v>
      </c>
      <c r="AA4761" s="1">
        <v>201900000</v>
      </c>
      <c r="AB4761" s="1">
        <v>35</v>
      </c>
    </row>
    <row r="4762" spans="1:28" x14ac:dyDescent="0.2">
      <c r="A4762" s="1">
        <v>12120</v>
      </c>
      <c r="B4762" s="1" t="s">
        <v>6839</v>
      </c>
      <c r="D4762" s="1" t="s">
        <v>11735</v>
      </c>
      <c r="F4762" s="1" t="s">
        <v>5540</v>
      </c>
      <c r="G4762" s="1" t="s">
        <v>5630</v>
      </c>
      <c r="H4762" s="1" t="s">
        <v>5631</v>
      </c>
      <c r="J4762" s="1" t="s">
        <v>4050</v>
      </c>
      <c r="L4762" s="1" t="s">
        <v>4057</v>
      </c>
      <c r="N4762" s="1" t="s">
        <v>699</v>
      </c>
      <c r="P4762" s="1" t="s">
        <v>14434</v>
      </c>
      <c r="Q4762" s="3">
        <v>0</v>
      </c>
      <c r="R4762" s="23" t="s">
        <v>13790</v>
      </c>
      <c r="S4762" s="23" t="s">
        <v>6848</v>
      </c>
      <c r="T4762" s="23" t="s">
        <v>4864</v>
      </c>
      <c r="U4762" s="3">
        <v>35</v>
      </c>
      <c r="V4762" s="3" t="s">
        <v>14213</v>
      </c>
      <c r="W4762" s="45" t="str">
        <f>HYPERLINK("http://ictvonline.org/taxonomy/p/taxonomy-history?taxnode_id=201907606","ICTVonline=201907606")</f>
        <v>ICTVonline=201907606</v>
      </c>
      <c r="X4762" s="1" t="s">
        <v>14435</v>
      </c>
      <c r="Y4762" s="1" t="s">
        <v>14436</v>
      </c>
      <c r="Z4762" s="1" t="s">
        <v>14437</v>
      </c>
      <c r="AA4762" s="1">
        <v>201900000</v>
      </c>
      <c r="AB4762" s="1">
        <v>35</v>
      </c>
    </row>
    <row r="4763" spans="1:28" x14ac:dyDescent="0.2">
      <c r="A4763" s="1">
        <v>12122</v>
      </c>
      <c r="B4763" s="1" t="s">
        <v>6839</v>
      </c>
      <c r="D4763" s="1" t="s">
        <v>11735</v>
      </c>
      <c r="F4763" s="1" t="s">
        <v>5540</v>
      </c>
      <c r="G4763" s="1" t="s">
        <v>5630</v>
      </c>
      <c r="H4763" s="1" t="s">
        <v>5631</v>
      </c>
      <c r="J4763" s="1" t="s">
        <v>4050</v>
      </c>
      <c r="L4763" s="1" t="s">
        <v>4057</v>
      </c>
      <c r="N4763" s="1" t="s">
        <v>699</v>
      </c>
      <c r="P4763" s="1" t="s">
        <v>14438</v>
      </c>
      <c r="Q4763" s="3">
        <v>0</v>
      </c>
      <c r="R4763" s="23" t="s">
        <v>13790</v>
      </c>
      <c r="S4763" s="23" t="s">
        <v>6848</v>
      </c>
      <c r="T4763" s="23" t="s">
        <v>4864</v>
      </c>
      <c r="U4763" s="3">
        <v>35</v>
      </c>
      <c r="V4763" s="3" t="s">
        <v>14213</v>
      </c>
      <c r="W4763" s="45" t="str">
        <f>HYPERLINK("http://ictvonline.org/taxonomy/p/taxonomy-history?taxnode_id=201907623","ICTVonline=201907623")</f>
        <v>ICTVonline=201907623</v>
      </c>
      <c r="X4763" s="1" t="s">
        <v>14439</v>
      </c>
      <c r="Y4763" s="1" t="s">
        <v>14440</v>
      </c>
      <c r="Z4763" s="1" t="s">
        <v>8652</v>
      </c>
      <c r="AA4763" s="1">
        <v>201900000</v>
      </c>
      <c r="AB4763" s="1">
        <v>35</v>
      </c>
    </row>
    <row r="4764" spans="1:28" x14ac:dyDescent="0.2">
      <c r="A4764" s="1">
        <v>12124</v>
      </c>
      <c r="B4764" s="1" t="s">
        <v>6839</v>
      </c>
      <c r="D4764" s="1" t="s">
        <v>11735</v>
      </c>
      <c r="F4764" s="1" t="s">
        <v>5540</v>
      </c>
      <c r="G4764" s="1" t="s">
        <v>5630</v>
      </c>
      <c r="H4764" s="1" t="s">
        <v>5631</v>
      </c>
      <c r="J4764" s="1" t="s">
        <v>4050</v>
      </c>
      <c r="L4764" s="1" t="s">
        <v>4057</v>
      </c>
      <c r="N4764" s="1" t="s">
        <v>699</v>
      </c>
      <c r="P4764" s="1" t="s">
        <v>14441</v>
      </c>
      <c r="Q4764" s="3">
        <v>0</v>
      </c>
      <c r="R4764" s="23" t="s">
        <v>13790</v>
      </c>
      <c r="S4764" s="23" t="s">
        <v>6848</v>
      </c>
      <c r="T4764" s="23" t="s">
        <v>4864</v>
      </c>
      <c r="U4764" s="3">
        <v>35</v>
      </c>
      <c r="V4764" s="3" t="s">
        <v>14213</v>
      </c>
      <c r="W4764" s="45" t="str">
        <f>HYPERLINK("http://ictvonline.org/taxonomy/p/taxonomy-history?taxnode_id=201907627","ICTVonline=201907627")</f>
        <v>ICTVonline=201907627</v>
      </c>
      <c r="X4764" s="1" t="s">
        <v>14442</v>
      </c>
      <c r="Y4764" s="1" t="s">
        <v>14443</v>
      </c>
      <c r="Z4764" s="1" t="s">
        <v>8652</v>
      </c>
      <c r="AA4764" s="1">
        <v>201900000</v>
      </c>
      <c r="AB4764" s="1">
        <v>35</v>
      </c>
    </row>
    <row r="4765" spans="1:28" x14ac:dyDescent="0.2">
      <c r="A4765" s="1">
        <v>12126</v>
      </c>
      <c r="B4765" s="1" t="s">
        <v>6839</v>
      </c>
      <c r="D4765" s="1" t="s">
        <v>11735</v>
      </c>
      <c r="F4765" s="1" t="s">
        <v>5540</v>
      </c>
      <c r="G4765" s="1" t="s">
        <v>5630</v>
      </c>
      <c r="H4765" s="1" t="s">
        <v>5631</v>
      </c>
      <c r="J4765" s="1" t="s">
        <v>4050</v>
      </c>
      <c r="L4765" s="1" t="s">
        <v>4057</v>
      </c>
      <c r="N4765" s="1" t="s">
        <v>699</v>
      </c>
      <c r="P4765" s="1" t="s">
        <v>14444</v>
      </c>
      <c r="Q4765" s="3">
        <v>0</v>
      </c>
      <c r="R4765" s="23" t="s">
        <v>13790</v>
      </c>
      <c r="S4765" s="23" t="s">
        <v>6848</v>
      </c>
      <c r="T4765" s="23" t="s">
        <v>4864</v>
      </c>
      <c r="U4765" s="3">
        <v>35</v>
      </c>
      <c r="V4765" s="3" t="s">
        <v>14213</v>
      </c>
      <c r="W4765" s="45" t="str">
        <f>HYPERLINK("http://ictvonline.org/taxonomy/p/taxonomy-history?taxnode_id=201907596","ICTVonline=201907596")</f>
        <v>ICTVonline=201907596</v>
      </c>
      <c r="X4765" s="1" t="s">
        <v>14445</v>
      </c>
      <c r="Y4765" s="1" t="s">
        <v>14446</v>
      </c>
      <c r="Z4765" s="1" t="s">
        <v>14447</v>
      </c>
      <c r="AA4765" s="1">
        <v>201900000</v>
      </c>
      <c r="AB4765" s="1">
        <v>35</v>
      </c>
    </row>
    <row r="4766" spans="1:28" x14ac:dyDescent="0.2">
      <c r="A4766" s="1">
        <v>12128</v>
      </c>
      <c r="B4766" s="1" t="s">
        <v>6839</v>
      </c>
      <c r="D4766" s="1" t="s">
        <v>11735</v>
      </c>
      <c r="F4766" s="1" t="s">
        <v>5540</v>
      </c>
      <c r="G4766" s="1" t="s">
        <v>5630</v>
      </c>
      <c r="H4766" s="1" t="s">
        <v>5631</v>
      </c>
      <c r="J4766" s="1" t="s">
        <v>4050</v>
      </c>
      <c r="L4766" s="1" t="s">
        <v>4057</v>
      </c>
      <c r="N4766" s="1" t="s">
        <v>699</v>
      </c>
      <c r="P4766" s="1" t="s">
        <v>14448</v>
      </c>
      <c r="Q4766" s="3">
        <v>0</v>
      </c>
      <c r="R4766" s="23" t="s">
        <v>13790</v>
      </c>
      <c r="S4766" s="23" t="s">
        <v>6848</v>
      </c>
      <c r="T4766" s="23" t="s">
        <v>4864</v>
      </c>
      <c r="U4766" s="3">
        <v>35</v>
      </c>
      <c r="V4766" s="3" t="s">
        <v>14213</v>
      </c>
      <c r="W4766" s="45" t="str">
        <f>HYPERLINK("http://ictvonline.org/taxonomy/p/taxonomy-history?taxnode_id=201907615","ICTVonline=201907615")</f>
        <v>ICTVonline=201907615</v>
      </c>
      <c r="X4766" s="1" t="s">
        <v>14449</v>
      </c>
      <c r="Y4766" s="1" t="s">
        <v>14450</v>
      </c>
      <c r="Z4766" s="1" t="s">
        <v>14451</v>
      </c>
      <c r="AA4766" s="1">
        <v>201900000</v>
      </c>
      <c r="AB4766" s="1">
        <v>35</v>
      </c>
    </row>
    <row r="4767" spans="1:28" x14ac:dyDescent="0.2">
      <c r="A4767" s="1">
        <v>12130</v>
      </c>
      <c r="B4767" s="1" t="s">
        <v>6839</v>
      </c>
      <c r="D4767" s="1" t="s">
        <v>11735</v>
      </c>
      <c r="F4767" s="1" t="s">
        <v>5540</v>
      </c>
      <c r="G4767" s="1" t="s">
        <v>5630</v>
      </c>
      <c r="H4767" s="1" t="s">
        <v>5631</v>
      </c>
      <c r="J4767" s="1" t="s">
        <v>4050</v>
      </c>
      <c r="L4767" s="1" t="s">
        <v>4057</v>
      </c>
      <c r="N4767" s="1" t="s">
        <v>699</v>
      </c>
      <c r="P4767" s="1" t="s">
        <v>3688</v>
      </c>
      <c r="Q4767" s="3">
        <v>0</v>
      </c>
      <c r="R4767" s="23" t="s">
        <v>13790</v>
      </c>
      <c r="S4767" s="23" t="s">
        <v>6848</v>
      </c>
      <c r="T4767" s="23" t="s">
        <v>4866</v>
      </c>
      <c r="U4767" s="3">
        <v>35</v>
      </c>
      <c r="W4767" s="45" t="str">
        <f>HYPERLINK("http://ictvonline.org/taxonomy/p/taxonomy-history?taxnode_id=201900162","ICTVonline=201900162")</f>
        <v>ICTVonline=201900162</v>
      </c>
      <c r="Z4767" s="1" t="s">
        <v>14452</v>
      </c>
      <c r="AA4767" s="1">
        <v>201900000</v>
      </c>
      <c r="AB4767" s="1">
        <v>35</v>
      </c>
    </row>
    <row r="4768" spans="1:28" x14ac:dyDescent="0.2">
      <c r="A4768" s="1">
        <v>12132</v>
      </c>
      <c r="B4768" s="1" t="s">
        <v>6839</v>
      </c>
      <c r="D4768" s="1" t="s">
        <v>11735</v>
      </c>
      <c r="F4768" s="1" t="s">
        <v>5540</v>
      </c>
      <c r="G4768" s="1" t="s">
        <v>5630</v>
      </c>
      <c r="H4768" s="1" t="s">
        <v>5631</v>
      </c>
      <c r="J4768" s="1" t="s">
        <v>4050</v>
      </c>
      <c r="L4768" s="1" t="s">
        <v>4057</v>
      </c>
      <c r="N4768" s="1" t="s">
        <v>699</v>
      </c>
      <c r="P4768" s="1" t="s">
        <v>3689</v>
      </c>
      <c r="Q4768" s="3">
        <v>1</v>
      </c>
      <c r="R4768" s="23" t="s">
        <v>13790</v>
      </c>
      <c r="S4768" s="23" t="s">
        <v>6848</v>
      </c>
      <c r="T4768" s="23" t="s">
        <v>4866</v>
      </c>
      <c r="U4768" s="3">
        <v>35</v>
      </c>
      <c r="W4768" s="45" t="str">
        <f>HYPERLINK("http://ictvonline.org/taxonomy/p/taxonomy-history?taxnode_id=201900163","ICTVonline=201900163")</f>
        <v>ICTVonline=201900163</v>
      </c>
      <c r="Z4768" s="1" t="s">
        <v>14453</v>
      </c>
      <c r="AA4768" s="1">
        <v>201900000</v>
      </c>
      <c r="AB4768" s="1">
        <v>35</v>
      </c>
    </row>
    <row r="4769" spans="1:28" x14ac:dyDescent="0.2">
      <c r="A4769" s="1">
        <v>12134</v>
      </c>
      <c r="B4769" s="1" t="s">
        <v>6839</v>
      </c>
      <c r="D4769" s="1" t="s">
        <v>11735</v>
      </c>
      <c r="F4769" s="1" t="s">
        <v>5540</v>
      </c>
      <c r="G4769" s="1" t="s">
        <v>5630</v>
      </c>
      <c r="H4769" s="1" t="s">
        <v>5631</v>
      </c>
      <c r="J4769" s="1" t="s">
        <v>4050</v>
      </c>
      <c r="L4769" s="1" t="s">
        <v>4057</v>
      </c>
      <c r="N4769" s="1" t="s">
        <v>699</v>
      </c>
      <c r="P4769" s="1" t="s">
        <v>14454</v>
      </c>
      <c r="Q4769" s="3">
        <v>0</v>
      </c>
      <c r="R4769" s="23" t="s">
        <v>13790</v>
      </c>
      <c r="S4769" s="23" t="s">
        <v>6848</v>
      </c>
      <c r="T4769" s="23" t="s">
        <v>4864</v>
      </c>
      <c r="U4769" s="3">
        <v>35</v>
      </c>
      <c r="V4769" s="3" t="s">
        <v>14213</v>
      </c>
      <c r="W4769" s="45" t="str">
        <f>HYPERLINK("http://ictvonline.org/taxonomy/p/taxonomy-history?taxnode_id=201907633","ICTVonline=201907633")</f>
        <v>ICTVonline=201907633</v>
      </c>
      <c r="X4769" s="1" t="s">
        <v>14455</v>
      </c>
      <c r="Y4769" s="1" t="s">
        <v>14456</v>
      </c>
      <c r="Z4769" s="1" t="s">
        <v>14457</v>
      </c>
      <c r="AA4769" s="1">
        <v>201900000</v>
      </c>
      <c r="AB4769" s="1">
        <v>35</v>
      </c>
    </row>
    <row r="4770" spans="1:28" x14ac:dyDescent="0.2">
      <c r="A4770" s="1">
        <v>12136</v>
      </c>
      <c r="B4770" s="1" t="s">
        <v>6839</v>
      </c>
      <c r="D4770" s="1" t="s">
        <v>11735</v>
      </c>
      <c r="F4770" s="1" t="s">
        <v>5540</v>
      </c>
      <c r="G4770" s="1" t="s">
        <v>5630</v>
      </c>
      <c r="H4770" s="1" t="s">
        <v>5631</v>
      </c>
      <c r="J4770" s="1" t="s">
        <v>4050</v>
      </c>
      <c r="L4770" s="1" t="s">
        <v>4057</v>
      </c>
      <c r="N4770" s="1" t="s">
        <v>699</v>
      </c>
      <c r="P4770" s="1" t="s">
        <v>14458</v>
      </c>
      <c r="Q4770" s="3">
        <v>0</v>
      </c>
      <c r="R4770" s="23" t="s">
        <v>13790</v>
      </c>
      <c r="S4770" s="23" t="s">
        <v>6848</v>
      </c>
      <c r="T4770" s="23" t="s">
        <v>4864</v>
      </c>
      <c r="U4770" s="3">
        <v>35</v>
      </c>
      <c r="V4770" s="3" t="s">
        <v>14213</v>
      </c>
      <c r="W4770" s="45" t="str">
        <f>HYPERLINK("http://ictvonline.org/taxonomy/p/taxonomy-history?taxnode_id=201907632","ICTVonline=201907632")</f>
        <v>ICTVonline=201907632</v>
      </c>
      <c r="X4770" s="1" t="s">
        <v>14459</v>
      </c>
      <c r="Y4770" s="1" t="s">
        <v>14460</v>
      </c>
      <c r="Z4770" s="1" t="s">
        <v>14461</v>
      </c>
      <c r="AA4770" s="1">
        <v>201900000</v>
      </c>
      <c r="AB4770" s="1">
        <v>35</v>
      </c>
    </row>
    <row r="4771" spans="1:28" x14ac:dyDescent="0.2">
      <c r="A4771" s="1">
        <v>12138</v>
      </c>
      <c r="B4771" s="1" t="s">
        <v>6839</v>
      </c>
      <c r="D4771" s="1" t="s">
        <v>11735</v>
      </c>
      <c r="F4771" s="1" t="s">
        <v>5540</v>
      </c>
      <c r="G4771" s="1" t="s">
        <v>5630</v>
      </c>
      <c r="H4771" s="1" t="s">
        <v>5631</v>
      </c>
      <c r="J4771" s="1" t="s">
        <v>4050</v>
      </c>
      <c r="L4771" s="1" t="s">
        <v>4057</v>
      </c>
      <c r="N4771" s="1" t="s">
        <v>699</v>
      </c>
      <c r="P4771" s="1" t="s">
        <v>14462</v>
      </c>
      <c r="Q4771" s="3">
        <v>0</v>
      </c>
      <c r="R4771" s="23" t="s">
        <v>13790</v>
      </c>
      <c r="S4771" s="23" t="s">
        <v>6848</v>
      </c>
      <c r="T4771" s="23" t="s">
        <v>4864</v>
      </c>
      <c r="U4771" s="3">
        <v>35</v>
      </c>
      <c r="V4771" s="3" t="s">
        <v>14213</v>
      </c>
      <c r="W4771" s="45" t="str">
        <f>HYPERLINK("http://ictvonline.org/taxonomy/p/taxonomy-history?taxnode_id=201907583","ICTVonline=201907583")</f>
        <v>ICTVonline=201907583</v>
      </c>
      <c r="X4771" s="1" t="s">
        <v>14463</v>
      </c>
      <c r="Y4771" s="1" t="s">
        <v>14464</v>
      </c>
      <c r="Z4771" s="1" t="s">
        <v>14465</v>
      </c>
      <c r="AA4771" s="1">
        <v>201900000</v>
      </c>
      <c r="AB4771" s="1">
        <v>35</v>
      </c>
    </row>
    <row r="4772" spans="1:28" x14ac:dyDescent="0.2">
      <c r="A4772" s="1">
        <v>12140</v>
      </c>
      <c r="B4772" s="1" t="s">
        <v>6839</v>
      </c>
      <c r="D4772" s="1" t="s">
        <v>11735</v>
      </c>
      <c r="F4772" s="1" t="s">
        <v>5540</v>
      </c>
      <c r="G4772" s="1" t="s">
        <v>5630</v>
      </c>
      <c r="H4772" s="1" t="s">
        <v>5631</v>
      </c>
      <c r="J4772" s="1" t="s">
        <v>4050</v>
      </c>
      <c r="L4772" s="1" t="s">
        <v>4057</v>
      </c>
      <c r="N4772" s="1" t="s">
        <v>699</v>
      </c>
      <c r="P4772" s="1" t="s">
        <v>3690</v>
      </c>
      <c r="Q4772" s="3">
        <v>0</v>
      </c>
      <c r="R4772" s="23" t="s">
        <v>13790</v>
      </c>
      <c r="S4772" s="23" t="s">
        <v>6848</v>
      </c>
      <c r="T4772" s="23" t="s">
        <v>4866</v>
      </c>
      <c r="U4772" s="3">
        <v>35</v>
      </c>
      <c r="W4772" s="45" t="str">
        <f>HYPERLINK("http://ictvonline.org/taxonomy/p/taxonomy-history?taxnode_id=201900164","ICTVonline=201900164")</f>
        <v>ICTVonline=201900164</v>
      </c>
      <c r="Z4772" s="1" t="s">
        <v>14466</v>
      </c>
      <c r="AA4772" s="1">
        <v>201900000</v>
      </c>
      <c r="AB4772" s="1">
        <v>35</v>
      </c>
    </row>
    <row r="4773" spans="1:28" x14ac:dyDescent="0.2">
      <c r="A4773" s="1">
        <v>12142</v>
      </c>
      <c r="B4773" s="1" t="s">
        <v>6839</v>
      </c>
      <c r="D4773" s="1" t="s">
        <v>11735</v>
      </c>
      <c r="F4773" s="1" t="s">
        <v>5540</v>
      </c>
      <c r="G4773" s="1" t="s">
        <v>5630</v>
      </c>
      <c r="H4773" s="1" t="s">
        <v>5631</v>
      </c>
      <c r="J4773" s="1" t="s">
        <v>4050</v>
      </c>
      <c r="L4773" s="1" t="s">
        <v>4057</v>
      </c>
      <c r="N4773" s="1" t="s">
        <v>699</v>
      </c>
      <c r="P4773" s="1" t="s">
        <v>14467</v>
      </c>
      <c r="Q4773" s="3">
        <v>0</v>
      </c>
      <c r="R4773" s="23" t="s">
        <v>13790</v>
      </c>
      <c r="S4773" s="23" t="s">
        <v>6848</v>
      </c>
      <c r="T4773" s="23" t="s">
        <v>4864</v>
      </c>
      <c r="U4773" s="3">
        <v>35</v>
      </c>
      <c r="V4773" s="3" t="s">
        <v>14213</v>
      </c>
      <c r="W4773" s="45" t="str">
        <f>HYPERLINK("http://ictvonline.org/taxonomy/p/taxonomy-history?taxnode_id=201907589","ICTVonline=201907589")</f>
        <v>ICTVonline=201907589</v>
      </c>
      <c r="X4773" s="1" t="s">
        <v>14468</v>
      </c>
      <c r="Y4773" s="1" t="s">
        <v>14469</v>
      </c>
      <c r="Z4773" s="1" t="s">
        <v>8652</v>
      </c>
      <c r="AA4773" s="1">
        <v>201900000</v>
      </c>
      <c r="AB4773" s="1">
        <v>35</v>
      </c>
    </row>
    <row r="4774" spans="1:28" x14ac:dyDescent="0.2">
      <c r="A4774" s="1">
        <v>12144</v>
      </c>
      <c r="B4774" s="1" t="s">
        <v>6839</v>
      </c>
      <c r="D4774" s="1" t="s">
        <v>11735</v>
      </c>
      <c r="F4774" s="1" t="s">
        <v>5540</v>
      </c>
      <c r="G4774" s="1" t="s">
        <v>5630</v>
      </c>
      <c r="H4774" s="1" t="s">
        <v>5631</v>
      </c>
      <c r="J4774" s="1" t="s">
        <v>4050</v>
      </c>
      <c r="L4774" s="1" t="s">
        <v>4057</v>
      </c>
      <c r="N4774" s="1" t="s">
        <v>699</v>
      </c>
      <c r="P4774" s="1" t="s">
        <v>14470</v>
      </c>
      <c r="Q4774" s="3">
        <v>0</v>
      </c>
      <c r="R4774" s="23" t="s">
        <v>13790</v>
      </c>
      <c r="S4774" s="23" t="s">
        <v>6848</v>
      </c>
      <c r="T4774" s="23" t="s">
        <v>4864</v>
      </c>
      <c r="U4774" s="3">
        <v>35</v>
      </c>
      <c r="V4774" s="3" t="s">
        <v>14213</v>
      </c>
      <c r="W4774" s="45" t="str">
        <f>HYPERLINK("http://ictvonline.org/taxonomy/p/taxonomy-history?taxnode_id=201907612","ICTVonline=201907612")</f>
        <v>ICTVonline=201907612</v>
      </c>
      <c r="X4774" s="1" t="s">
        <v>14471</v>
      </c>
      <c r="Y4774" s="1" t="s">
        <v>14472</v>
      </c>
      <c r="Z4774" s="1" t="s">
        <v>14473</v>
      </c>
      <c r="AA4774" s="1">
        <v>201900000</v>
      </c>
      <c r="AB4774" s="1">
        <v>35</v>
      </c>
    </row>
    <row r="4775" spans="1:28" x14ac:dyDescent="0.2">
      <c r="A4775" s="1">
        <v>12146</v>
      </c>
      <c r="B4775" s="1" t="s">
        <v>6839</v>
      </c>
      <c r="D4775" s="1" t="s">
        <v>11735</v>
      </c>
      <c r="F4775" s="1" t="s">
        <v>5540</v>
      </c>
      <c r="G4775" s="1" t="s">
        <v>5630</v>
      </c>
      <c r="H4775" s="1" t="s">
        <v>5631</v>
      </c>
      <c r="J4775" s="1" t="s">
        <v>4050</v>
      </c>
      <c r="L4775" s="1" t="s">
        <v>4057</v>
      </c>
      <c r="N4775" s="1" t="s">
        <v>699</v>
      </c>
      <c r="P4775" s="1" t="s">
        <v>14474</v>
      </c>
      <c r="Q4775" s="3">
        <v>0</v>
      </c>
      <c r="R4775" s="23" t="s">
        <v>13790</v>
      </c>
      <c r="S4775" s="23" t="s">
        <v>6848</v>
      </c>
      <c r="T4775" s="23" t="s">
        <v>4864</v>
      </c>
      <c r="U4775" s="3">
        <v>35</v>
      </c>
      <c r="V4775" s="3" t="s">
        <v>14213</v>
      </c>
      <c r="W4775" s="45" t="str">
        <f>HYPERLINK("http://ictvonline.org/taxonomy/p/taxonomy-history?taxnode_id=201907608","ICTVonline=201907608")</f>
        <v>ICTVonline=201907608</v>
      </c>
      <c r="X4775" s="1" t="s">
        <v>14475</v>
      </c>
      <c r="Y4775" s="1" t="s">
        <v>14476</v>
      </c>
      <c r="Z4775" s="1" t="s">
        <v>14477</v>
      </c>
      <c r="AA4775" s="1">
        <v>201900000</v>
      </c>
      <c r="AB4775" s="1">
        <v>35</v>
      </c>
    </row>
    <row r="4776" spans="1:28" x14ac:dyDescent="0.2">
      <c r="A4776" s="1">
        <v>12148</v>
      </c>
      <c r="B4776" s="1" t="s">
        <v>6839</v>
      </c>
      <c r="D4776" s="1" t="s">
        <v>11735</v>
      </c>
      <c r="F4776" s="1" t="s">
        <v>5540</v>
      </c>
      <c r="G4776" s="1" t="s">
        <v>5630</v>
      </c>
      <c r="H4776" s="1" t="s">
        <v>5631</v>
      </c>
      <c r="J4776" s="1" t="s">
        <v>4050</v>
      </c>
      <c r="L4776" s="1" t="s">
        <v>4057</v>
      </c>
      <c r="N4776" s="1" t="s">
        <v>699</v>
      </c>
      <c r="P4776" s="1" t="s">
        <v>14478</v>
      </c>
      <c r="Q4776" s="3">
        <v>0</v>
      </c>
      <c r="R4776" s="23" t="s">
        <v>13790</v>
      </c>
      <c r="S4776" s="23" t="s">
        <v>6848</v>
      </c>
      <c r="T4776" s="23" t="s">
        <v>4864</v>
      </c>
      <c r="U4776" s="3">
        <v>35</v>
      </c>
      <c r="V4776" s="3" t="s">
        <v>14213</v>
      </c>
      <c r="W4776" s="45" t="str">
        <f>HYPERLINK("http://ictvonline.org/taxonomy/p/taxonomy-history?taxnode_id=201907616","ICTVonline=201907616")</f>
        <v>ICTVonline=201907616</v>
      </c>
      <c r="X4776" s="1" t="s">
        <v>14479</v>
      </c>
      <c r="Y4776" s="1" t="s">
        <v>14480</v>
      </c>
      <c r="Z4776" s="1" t="s">
        <v>14481</v>
      </c>
      <c r="AA4776" s="1">
        <v>201900000</v>
      </c>
      <c r="AB4776" s="1">
        <v>35</v>
      </c>
    </row>
    <row r="4777" spans="1:28" x14ac:dyDescent="0.2">
      <c r="A4777" s="1">
        <v>12150</v>
      </c>
      <c r="B4777" s="1" t="s">
        <v>6839</v>
      </c>
      <c r="D4777" s="1" t="s">
        <v>11735</v>
      </c>
      <c r="F4777" s="1" t="s">
        <v>5540</v>
      </c>
      <c r="G4777" s="1" t="s">
        <v>5630</v>
      </c>
      <c r="H4777" s="1" t="s">
        <v>5631</v>
      </c>
      <c r="J4777" s="1" t="s">
        <v>4050</v>
      </c>
      <c r="L4777" s="1" t="s">
        <v>4057</v>
      </c>
      <c r="N4777" s="1" t="s">
        <v>699</v>
      </c>
      <c r="P4777" s="1" t="s">
        <v>14482</v>
      </c>
      <c r="Q4777" s="3">
        <v>0</v>
      </c>
      <c r="R4777" s="23" t="s">
        <v>13790</v>
      </c>
      <c r="S4777" s="23" t="s">
        <v>6848</v>
      </c>
      <c r="T4777" s="23" t="s">
        <v>4864</v>
      </c>
      <c r="U4777" s="3">
        <v>35</v>
      </c>
      <c r="V4777" s="3" t="s">
        <v>14213</v>
      </c>
      <c r="W4777" s="45" t="str">
        <f>HYPERLINK("http://ictvonline.org/taxonomy/p/taxonomy-history?taxnode_id=201907598","ICTVonline=201907598")</f>
        <v>ICTVonline=201907598</v>
      </c>
      <c r="X4777" s="1" t="s">
        <v>14483</v>
      </c>
      <c r="Y4777" s="1" t="s">
        <v>14484</v>
      </c>
      <c r="Z4777" s="1" t="s">
        <v>14485</v>
      </c>
      <c r="AA4777" s="1">
        <v>201900000</v>
      </c>
      <c r="AB4777" s="1">
        <v>35</v>
      </c>
    </row>
    <row r="4778" spans="1:28" x14ac:dyDescent="0.2">
      <c r="A4778" s="1">
        <v>12152</v>
      </c>
      <c r="B4778" s="1" t="s">
        <v>6839</v>
      </c>
      <c r="D4778" s="1" t="s">
        <v>11735</v>
      </c>
      <c r="F4778" s="1" t="s">
        <v>5540</v>
      </c>
      <c r="G4778" s="1" t="s">
        <v>5630</v>
      </c>
      <c r="H4778" s="1" t="s">
        <v>5631</v>
      </c>
      <c r="J4778" s="1" t="s">
        <v>4050</v>
      </c>
      <c r="L4778" s="1" t="s">
        <v>4057</v>
      </c>
      <c r="N4778" s="1" t="s">
        <v>699</v>
      </c>
      <c r="P4778" s="1" t="s">
        <v>14486</v>
      </c>
      <c r="Q4778" s="3">
        <v>0</v>
      </c>
      <c r="R4778" s="23" t="s">
        <v>13790</v>
      </c>
      <c r="S4778" s="23" t="s">
        <v>6848</v>
      </c>
      <c r="T4778" s="23" t="s">
        <v>4864</v>
      </c>
      <c r="U4778" s="3">
        <v>35</v>
      </c>
      <c r="V4778" s="3" t="s">
        <v>14213</v>
      </c>
      <c r="W4778" s="45" t="str">
        <f>HYPERLINK("http://ictvonline.org/taxonomy/p/taxonomy-history?taxnode_id=201907610","ICTVonline=201907610")</f>
        <v>ICTVonline=201907610</v>
      </c>
      <c r="X4778" s="1" t="s">
        <v>14487</v>
      </c>
      <c r="Y4778" s="1" t="s">
        <v>14488</v>
      </c>
      <c r="Z4778" s="1">
        <v>213</v>
      </c>
      <c r="AA4778" s="1">
        <v>201900000</v>
      </c>
      <c r="AB4778" s="1">
        <v>35</v>
      </c>
    </row>
    <row r="4779" spans="1:28" x14ac:dyDescent="0.2">
      <c r="A4779" s="1">
        <v>12154</v>
      </c>
      <c r="B4779" s="1" t="s">
        <v>6839</v>
      </c>
      <c r="D4779" s="1" t="s">
        <v>11735</v>
      </c>
      <c r="F4779" s="1" t="s">
        <v>5540</v>
      </c>
      <c r="G4779" s="1" t="s">
        <v>5630</v>
      </c>
      <c r="H4779" s="1" t="s">
        <v>5631</v>
      </c>
      <c r="J4779" s="1" t="s">
        <v>4050</v>
      </c>
      <c r="L4779" s="1" t="s">
        <v>4057</v>
      </c>
      <c r="N4779" s="1" t="s">
        <v>699</v>
      </c>
      <c r="P4779" s="1" t="s">
        <v>14489</v>
      </c>
      <c r="Q4779" s="3">
        <v>0</v>
      </c>
      <c r="R4779" s="23" t="s">
        <v>13790</v>
      </c>
      <c r="S4779" s="23" t="s">
        <v>6848</v>
      </c>
      <c r="T4779" s="23" t="s">
        <v>4864</v>
      </c>
      <c r="U4779" s="3">
        <v>35</v>
      </c>
      <c r="V4779" s="3" t="s">
        <v>14213</v>
      </c>
      <c r="W4779" s="45" t="str">
        <f>HYPERLINK("http://ictvonline.org/taxonomy/p/taxonomy-history?taxnode_id=201907618","ICTVonline=201907618")</f>
        <v>ICTVonline=201907618</v>
      </c>
      <c r="X4779" s="1" t="s">
        <v>14490</v>
      </c>
      <c r="Y4779" s="1" t="s">
        <v>14491</v>
      </c>
      <c r="Z4779" s="1" t="s">
        <v>14492</v>
      </c>
      <c r="AA4779" s="1">
        <v>201900000</v>
      </c>
      <c r="AB4779" s="1">
        <v>35</v>
      </c>
    </row>
    <row r="4780" spans="1:28" x14ac:dyDescent="0.2">
      <c r="A4780" s="1">
        <v>12156</v>
      </c>
      <c r="B4780" s="1" t="s">
        <v>6839</v>
      </c>
      <c r="D4780" s="1" t="s">
        <v>11735</v>
      </c>
      <c r="F4780" s="1" t="s">
        <v>5540</v>
      </c>
      <c r="G4780" s="1" t="s">
        <v>5630</v>
      </c>
      <c r="H4780" s="1" t="s">
        <v>5631</v>
      </c>
      <c r="J4780" s="1" t="s">
        <v>4050</v>
      </c>
      <c r="L4780" s="1" t="s">
        <v>4057</v>
      </c>
      <c r="N4780" s="1" t="s">
        <v>699</v>
      </c>
      <c r="P4780" s="1" t="s">
        <v>14493</v>
      </c>
      <c r="Q4780" s="3">
        <v>0</v>
      </c>
      <c r="R4780" s="23" t="s">
        <v>13790</v>
      </c>
      <c r="S4780" s="23" t="s">
        <v>6848</v>
      </c>
      <c r="T4780" s="23" t="s">
        <v>4864</v>
      </c>
      <c r="U4780" s="3">
        <v>35</v>
      </c>
      <c r="V4780" s="3" t="s">
        <v>14213</v>
      </c>
      <c r="W4780" s="45" t="str">
        <f>HYPERLINK("http://ictvonline.org/taxonomy/p/taxonomy-history?taxnode_id=201907590","ICTVonline=201907590")</f>
        <v>ICTVonline=201907590</v>
      </c>
      <c r="X4780" s="1" t="s">
        <v>14494</v>
      </c>
      <c r="Y4780" s="1" t="s">
        <v>14495</v>
      </c>
      <c r="Z4780" s="1" t="s">
        <v>14496</v>
      </c>
      <c r="AA4780" s="1">
        <v>201900000</v>
      </c>
      <c r="AB4780" s="1">
        <v>35</v>
      </c>
    </row>
    <row r="4781" spans="1:28" x14ac:dyDescent="0.2">
      <c r="A4781" s="1">
        <v>12158</v>
      </c>
      <c r="B4781" s="1" t="s">
        <v>6839</v>
      </c>
      <c r="D4781" s="1" t="s">
        <v>11735</v>
      </c>
      <c r="F4781" s="1" t="s">
        <v>5540</v>
      </c>
      <c r="G4781" s="1" t="s">
        <v>5630</v>
      </c>
      <c r="H4781" s="1" t="s">
        <v>5631</v>
      </c>
      <c r="J4781" s="1" t="s">
        <v>4050</v>
      </c>
      <c r="L4781" s="1" t="s">
        <v>4057</v>
      </c>
      <c r="N4781" s="1" t="s">
        <v>699</v>
      </c>
      <c r="P4781" s="1" t="s">
        <v>14497</v>
      </c>
      <c r="Q4781" s="3">
        <v>0</v>
      </c>
      <c r="R4781" s="23" t="s">
        <v>13790</v>
      </c>
      <c r="S4781" s="23" t="s">
        <v>6848</v>
      </c>
      <c r="T4781" s="23" t="s">
        <v>4864</v>
      </c>
      <c r="U4781" s="3">
        <v>35</v>
      </c>
      <c r="V4781" s="3" t="s">
        <v>14213</v>
      </c>
      <c r="W4781" s="45" t="str">
        <f>HYPERLINK("http://ictvonline.org/taxonomy/p/taxonomy-history?taxnode_id=201907628","ICTVonline=201907628")</f>
        <v>ICTVonline=201907628</v>
      </c>
      <c r="X4781" s="1" t="s">
        <v>14498</v>
      </c>
      <c r="Y4781" s="1" t="s">
        <v>14499</v>
      </c>
      <c r="Z4781" s="1" t="s">
        <v>8652</v>
      </c>
      <c r="AA4781" s="1">
        <v>201900000</v>
      </c>
      <c r="AB4781" s="1">
        <v>35</v>
      </c>
    </row>
    <row r="4782" spans="1:28" x14ac:dyDescent="0.2">
      <c r="A4782" s="1">
        <v>12160</v>
      </c>
      <c r="B4782" s="1" t="s">
        <v>6839</v>
      </c>
      <c r="D4782" s="1" t="s">
        <v>11735</v>
      </c>
      <c r="F4782" s="1" t="s">
        <v>5540</v>
      </c>
      <c r="G4782" s="1" t="s">
        <v>5630</v>
      </c>
      <c r="H4782" s="1" t="s">
        <v>5631</v>
      </c>
      <c r="J4782" s="1" t="s">
        <v>4050</v>
      </c>
      <c r="L4782" s="1" t="s">
        <v>4057</v>
      </c>
      <c r="N4782" s="1" t="s">
        <v>699</v>
      </c>
      <c r="P4782" s="1" t="s">
        <v>14500</v>
      </c>
      <c r="Q4782" s="3">
        <v>0</v>
      </c>
      <c r="R4782" s="23" t="s">
        <v>13790</v>
      </c>
      <c r="S4782" s="23" t="s">
        <v>6848</v>
      </c>
      <c r="T4782" s="23" t="s">
        <v>4864</v>
      </c>
      <c r="U4782" s="3">
        <v>35</v>
      </c>
      <c r="V4782" s="3" t="s">
        <v>14213</v>
      </c>
      <c r="W4782" s="45" t="str">
        <f>HYPERLINK("http://ictvonline.org/taxonomy/p/taxonomy-history?taxnode_id=201907601","ICTVonline=201907601")</f>
        <v>ICTVonline=201907601</v>
      </c>
      <c r="X4782" s="1" t="s">
        <v>14501</v>
      </c>
      <c r="Y4782" s="1" t="s">
        <v>14502</v>
      </c>
      <c r="Z4782" s="1" t="s">
        <v>14503</v>
      </c>
      <c r="AA4782" s="1">
        <v>201900000</v>
      </c>
      <c r="AB4782" s="1">
        <v>35</v>
      </c>
    </row>
    <row r="4783" spans="1:28" x14ac:dyDescent="0.2">
      <c r="A4783" s="1">
        <v>12162</v>
      </c>
      <c r="B4783" s="1" t="s">
        <v>6839</v>
      </c>
      <c r="D4783" s="1" t="s">
        <v>11735</v>
      </c>
      <c r="F4783" s="1" t="s">
        <v>5540</v>
      </c>
      <c r="G4783" s="1" t="s">
        <v>5630</v>
      </c>
      <c r="H4783" s="1" t="s">
        <v>5631</v>
      </c>
      <c r="J4783" s="1" t="s">
        <v>4050</v>
      </c>
      <c r="L4783" s="1" t="s">
        <v>4057</v>
      </c>
      <c r="N4783" s="1" t="s">
        <v>699</v>
      </c>
      <c r="P4783" s="1" t="s">
        <v>14504</v>
      </c>
      <c r="Q4783" s="3">
        <v>0</v>
      </c>
      <c r="R4783" s="23" t="s">
        <v>13790</v>
      </c>
      <c r="S4783" s="23" t="s">
        <v>6848</v>
      </c>
      <c r="T4783" s="23" t="s">
        <v>4864</v>
      </c>
      <c r="U4783" s="3">
        <v>35</v>
      </c>
      <c r="V4783" s="3" t="s">
        <v>14213</v>
      </c>
      <c r="W4783" s="45" t="str">
        <f>HYPERLINK("http://ictvonline.org/taxonomy/p/taxonomy-history?taxnode_id=201907603","ICTVonline=201907603")</f>
        <v>ICTVonline=201907603</v>
      </c>
      <c r="X4783" s="1" t="s">
        <v>14505</v>
      </c>
      <c r="Y4783" s="1" t="s">
        <v>14506</v>
      </c>
      <c r="Z4783" s="1" t="s">
        <v>14507</v>
      </c>
      <c r="AA4783" s="1">
        <v>201900000</v>
      </c>
      <c r="AB4783" s="1">
        <v>35</v>
      </c>
    </row>
    <row r="4784" spans="1:28" x14ac:dyDescent="0.2">
      <c r="A4784" s="1">
        <v>12164</v>
      </c>
      <c r="B4784" s="1" t="s">
        <v>6839</v>
      </c>
      <c r="D4784" s="1" t="s">
        <v>11735</v>
      </c>
      <c r="F4784" s="1" t="s">
        <v>5540</v>
      </c>
      <c r="G4784" s="1" t="s">
        <v>5630</v>
      </c>
      <c r="H4784" s="1" t="s">
        <v>5631</v>
      </c>
      <c r="J4784" s="1" t="s">
        <v>4050</v>
      </c>
      <c r="L4784" s="1" t="s">
        <v>4057</v>
      </c>
      <c r="N4784" s="1" t="s">
        <v>699</v>
      </c>
      <c r="P4784" s="1" t="s">
        <v>14508</v>
      </c>
      <c r="Q4784" s="3">
        <v>0</v>
      </c>
      <c r="R4784" s="23" t="s">
        <v>13790</v>
      </c>
      <c r="S4784" s="23" t="s">
        <v>6848</v>
      </c>
      <c r="T4784" s="23" t="s">
        <v>4864</v>
      </c>
      <c r="U4784" s="3">
        <v>35</v>
      </c>
      <c r="V4784" s="3" t="s">
        <v>14213</v>
      </c>
      <c r="W4784" s="45" t="str">
        <f>HYPERLINK("http://ictvonline.org/taxonomy/p/taxonomy-history?taxnode_id=201907604","ICTVonline=201907604")</f>
        <v>ICTVonline=201907604</v>
      </c>
      <c r="X4784" s="1" t="s">
        <v>14509</v>
      </c>
      <c r="Y4784" s="1" t="s">
        <v>14510</v>
      </c>
      <c r="Z4784" s="1" t="s">
        <v>14511</v>
      </c>
      <c r="AA4784" s="1">
        <v>201900000</v>
      </c>
      <c r="AB4784" s="1">
        <v>35</v>
      </c>
    </row>
    <row r="4785" spans="1:28" x14ac:dyDescent="0.2">
      <c r="A4785" s="1">
        <v>12166</v>
      </c>
      <c r="B4785" s="1" t="s">
        <v>6839</v>
      </c>
      <c r="D4785" s="1" t="s">
        <v>11735</v>
      </c>
      <c r="F4785" s="1" t="s">
        <v>5540</v>
      </c>
      <c r="G4785" s="1" t="s">
        <v>5630</v>
      </c>
      <c r="H4785" s="1" t="s">
        <v>5631</v>
      </c>
      <c r="J4785" s="1" t="s">
        <v>4050</v>
      </c>
      <c r="L4785" s="1" t="s">
        <v>4057</v>
      </c>
      <c r="N4785" s="1" t="s">
        <v>699</v>
      </c>
      <c r="P4785" s="1" t="s">
        <v>14512</v>
      </c>
      <c r="Q4785" s="3">
        <v>0</v>
      </c>
      <c r="R4785" s="23" t="s">
        <v>13790</v>
      </c>
      <c r="S4785" s="23" t="s">
        <v>6848</v>
      </c>
      <c r="T4785" s="23" t="s">
        <v>4864</v>
      </c>
      <c r="U4785" s="3">
        <v>35</v>
      </c>
      <c r="V4785" s="3" t="s">
        <v>14213</v>
      </c>
      <c r="W4785" s="45" t="str">
        <f>HYPERLINK("http://ictvonline.org/taxonomy/p/taxonomy-history?taxnode_id=201907617","ICTVonline=201907617")</f>
        <v>ICTVonline=201907617</v>
      </c>
      <c r="X4785" s="1" t="s">
        <v>14513</v>
      </c>
      <c r="Y4785" s="1" t="s">
        <v>14514</v>
      </c>
      <c r="Z4785" s="1">
        <v>37</v>
      </c>
      <c r="AA4785" s="1">
        <v>201900000</v>
      </c>
      <c r="AB4785" s="1">
        <v>35</v>
      </c>
    </row>
    <row r="4786" spans="1:28" x14ac:dyDescent="0.2">
      <c r="A4786" s="1">
        <v>12170</v>
      </c>
      <c r="B4786" s="1" t="s">
        <v>6839</v>
      </c>
      <c r="D4786" s="1" t="s">
        <v>11735</v>
      </c>
      <c r="F4786" s="1" t="s">
        <v>5540</v>
      </c>
      <c r="G4786" s="1" t="s">
        <v>5630</v>
      </c>
      <c r="H4786" s="1" t="s">
        <v>5631</v>
      </c>
      <c r="J4786" s="1" t="s">
        <v>4050</v>
      </c>
      <c r="L4786" s="1" t="s">
        <v>4057</v>
      </c>
      <c r="N4786" s="1" t="s">
        <v>5669</v>
      </c>
      <c r="P4786" s="1" t="s">
        <v>5670</v>
      </c>
      <c r="Q4786" s="3">
        <v>1</v>
      </c>
      <c r="R4786" s="23" t="s">
        <v>12893</v>
      </c>
      <c r="S4786" s="23" t="s">
        <v>6848</v>
      </c>
      <c r="T4786" s="23" t="s">
        <v>4866</v>
      </c>
      <c r="U4786" s="3">
        <v>35</v>
      </c>
      <c r="W4786" s="45" t="str">
        <f>HYPERLINK("http://ictvonline.org/taxonomy/p/taxonomy-history?taxnode_id=201906236","ICTVonline=201906236")</f>
        <v>ICTVonline=201906236</v>
      </c>
      <c r="X4786" s="1" t="s">
        <v>14515</v>
      </c>
      <c r="Y4786" s="1" t="s">
        <v>14516</v>
      </c>
      <c r="Z4786" s="1" t="s">
        <v>14517</v>
      </c>
      <c r="AA4786" s="1">
        <v>201900000</v>
      </c>
      <c r="AB4786" s="1">
        <v>35</v>
      </c>
    </row>
    <row r="4787" spans="1:28" x14ac:dyDescent="0.2">
      <c r="A4787" s="1">
        <v>12174</v>
      </c>
      <c r="B4787" s="1" t="s">
        <v>6839</v>
      </c>
      <c r="D4787" s="1" t="s">
        <v>11735</v>
      </c>
      <c r="F4787" s="1" t="s">
        <v>5540</v>
      </c>
      <c r="G4787" s="1" t="s">
        <v>5630</v>
      </c>
      <c r="H4787" s="1" t="s">
        <v>5631</v>
      </c>
      <c r="J4787" s="1" t="s">
        <v>4050</v>
      </c>
      <c r="L4787" s="1" t="s">
        <v>4057</v>
      </c>
      <c r="N4787" s="1" t="s">
        <v>14518</v>
      </c>
      <c r="P4787" s="1" t="s">
        <v>14519</v>
      </c>
      <c r="Q4787" s="3">
        <v>1</v>
      </c>
      <c r="R4787" s="23" t="s">
        <v>13790</v>
      </c>
      <c r="S4787" s="23" t="s">
        <v>6849</v>
      </c>
      <c r="T4787" s="23" t="s">
        <v>4864</v>
      </c>
      <c r="U4787" s="3">
        <v>35</v>
      </c>
      <c r="V4787" s="3" t="s">
        <v>14213</v>
      </c>
      <c r="W4787" s="45" t="str">
        <f>HYPERLINK("http://ictvonline.org/taxonomy/p/taxonomy-history?taxnode_id=201907648","ICTVonline=201907648")</f>
        <v>ICTVonline=201907648</v>
      </c>
      <c r="X4787" s="1" t="s">
        <v>14520</v>
      </c>
      <c r="Y4787" s="1" t="s">
        <v>14521</v>
      </c>
      <c r="Z4787" s="1" t="s">
        <v>14522</v>
      </c>
      <c r="AA4787" s="1">
        <v>201900000</v>
      </c>
      <c r="AB4787" s="1">
        <v>35</v>
      </c>
    </row>
    <row r="4788" spans="1:28" x14ac:dyDescent="0.2">
      <c r="A4788" s="1">
        <v>12176</v>
      </c>
      <c r="B4788" s="1" t="s">
        <v>6839</v>
      </c>
      <c r="D4788" s="1" t="s">
        <v>11735</v>
      </c>
      <c r="F4788" s="1" t="s">
        <v>5540</v>
      </c>
      <c r="G4788" s="1" t="s">
        <v>5630</v>
      </c>
      <c r="H4788" s="1" t="s">
        <v>5631</v>
      </c>
      <c r="J4788" s="1" t="s">
        <v>4050</v>
      </c>
      <c r="L4788" s="1" t="s">
        <v>4057</v>
      </c>
      <c r="N4788" s="1" t="s">
        <v>14518</v>
      </c>
      <c r="P4788" s="1" t="s">
        <v>14523</v>
      </c>
      <c r="Q4788" s="3">
        <v>0</v>
      </c>
      <c r="R4788" s="23" t="s">
        <v>13790</v>
      </c>
      <c r="S4788" s="23" t="s">
        <v>6849</v>
      </c>
      <c r="T4788" s="23" t="s">
        <v>4864</v>
      </c>
      <c r="U4788" s="3">
        <v>35</v>
      </c>
      <c r="V4788" s="3" t="s">
        <v>14213</v>
      </c>
      <c r="W4788" s="45" t="str">
        <f>HYPERLINK("http://ictvonline.org/taxonomy/p/taxonomy-history?taxnode_id=201907649","ICTVonline=201907649")</f>
        <v>ICTVonline=201907649</v>
      </c>
      <c r="X4788" s="1" t="s">
        <v>14524</v>
      </c>
      <c r="Y4788" s="1" t="s">
        <v>14525</v>
      </c>
      <c r="Z4788" s="1" t="s">
        <v>14526</v>
      </c>
      <c r="AA4788" s="1">
        <v>201900000</v>
      </c>
      <c r="AB4788" s="1">
        <v>35</v>
      </c>
    </row>
    <row r="4789" spans="1:28" x14ac:dyDescent="0.2">
      <c r="A4789" s="1">
        <v>12180</v>
      </c>
      <c r="B4789" s="1" t="s">
        <v>6839</v>
      </c>
      <c r="D4789" s="1" t="s">
        <v>11735</v>
      </c>
      <c r="F4789" s="1" t="s">
        <v>5540</v>
      </c>
      <c r="G4789" s="1" t="s">
        <v>5630</v>
      </c>
      <c r="H4789" s="1" t="s">
        <v>5631</v>
      </c>
      <c r="J4789" s="1" t="s">
        <v>4050</v>
      </c>
      <c r="L4789" s="1" t="s">
        <v>4057</v>
      </c>
      <c r="N4789" s="1" t="s">
        <v>1078</v>
      </c>
      <c r="P4789" s="1" t="s">
        <v>4031</v>
      </c>
      <c r="Q4789" s="3">
        <v>0</v>
      </c>
      <c r="R4789" s="23" t="s">
        <v>12893</v>
      </c>
      <c r="S4789" s="23" t="s">
        <v>6848</v>
      </c>
      <c r="T4789" s="23" t="s">
        <v>4866</v>
      </c>
      <c r="U4789" s="3">
        <v>35</v>
      </c>
      <c r="W4789" s="45" t="str">
        <f>HYPERLINK("http://ictvonline.org/taxonomy/p/taxonomy-history?taxnode_id=201900169","ICTVonline=201900169")</f>
        <v>ICTVonline=201900169</v>
      </c>
      <c r="AA4789" s="1">
        <v>201900000</v>
      </c>
      <c r="AB4789" s="1">
        <v>35</v>
      </c>
    </row>
    <row r="4790" spans="1:28" x14ac:dyDescent="0.2">
      <c r="A4790" s="1">
        <v>12182</v>
      </c>
      <c r="B4790" s="1" t="s">
        <v>6839</v>
      </c>
      <c r="D4790" s="1" t="s">
        <v>11735</v>
      </c>
      <c r="F4790" s="1" t="s">
        <v>5540</v>
      </c>
      <c r="G4790" s="1" t="s">
        <v>5630</v>
      </c>
      <c r="H4790" s="1" t="s">
        <v>5631</v>
      </c>
      <c r="J4790" s="1" t="s">
        <v>4050</v>
      </c>
      <c r="L4790" s="1" t="s">
        <v>4057</v>
      </c>
      <c r="N4790" s="1" t="s">
        <v>1078</v>
      </c>
      <c r="P4790" s="1" t="s">
        <v>4032</v>
      </c>
      <c r="Q4790" s="3">
        <v>0</v>
      </c>
      <c r="R4790" s="23" t="s">
        <v>12893</v>
      </c>
      <c r="S4790" s="23" t="s">
        <v>6848</v>
      </c>
      <c r="T4790" s="23" t="s">
        <v>4866</v>
      </c>
      <c r="U4790" s="3">
        <v>35</v>
      </c>
      <c r="W4790" s="45" t="str">
        <f>HYPERLINK("http://ictvonline.org/taxonomy/p/taxonomy-history?taxnode_id=201900170","ICTVonline=201900170")</f>
        <v>ICTVonline=201900170</v>
      </c>
      <c r="AA4790" s="1">
        <v>201900000</v>
      </c>
      <c r="AB4790" s="1">
        <v>35</v>
      </c>
    </row>
    <row r="4791" spans="1:28" x14ac:dyDescent="0.2">
      <c r="A4791" s="1">
        <v>12184</v>
      </c>
      <c r="B4791" s="1" t="s">
        <v>6839</v>
      </c>
      <c r="D4791" s="1" t="s">
        <v>11735</v>
      </c>
      <c r="F4791" s="1" t="s">
        <v>5540</v>
      </c>
      <c r="G4791" s="1" t="s">
        <v>5630</v>
      </c>
      <c r="H4791" s="1" t="s">
        <v>5631</v>
      </c>
      <c r="J4791" s="1" t="s">
        <v>4050</v>
      </c>
      <c r="L4791" s="1" t="s">
        <v>4057</v>
      </c>
      <c r="N4791" s="1" t="s">
        <v>1078</v>
      </c>
      <c r="P4791" s="1" t="s">
        <v>4033</v>
      </c>
      <c r="Q4791" s="3">
        <v>0</v>
      </c>
      <c r="R4791" s="23" t="s">
        <v>12893</v>
      </c>
      <c r="S4791" s="23" t="s">
        <v>6848</v>
      </c>
      <c r="T4791" s="23" t="s">
        <v>4866</v>
      </c>
      <c r="U4791" s="3">
        <v>35</v>
      </c>
      <c r="W4791" s="45" t="str">
        <f>HYPERLINK("http://ictvonline.org/taxonomy/p/taxonomy-history?taxnode_id=201900171","ICTVonline=201900171")</f>
        <v>ICTVonline=201900171</v>
      </c>
      <c r="AA4791" s="1">
        <v>201900000</v>
      </c>
      <c r="AB4791" s="1">
        <v>35</v>
      </c>
    </row>
    <row r="4792" spans="1:28" x14ac:dyDescent="0.2">
      <c r="A4792" s="1">
        <v>12186</v>
      </c>
      <c r="B4792" s="1" t="s">
        <v>6839</v>
      </c>
      <c r="D4792" s="1" t="s">
        <v>11735</v>
      </c>
      <c r="F4792" s="1" t="s">
        <v>5540</v>
      </c>
      <c r="G4792" s="1" t="s">
        <v>5630</v>
      </c>
      <c r="H4792" s="1" t="s">
        <v>5631</v>
      </c>
      <c r="J4792" s="1" t="s">
        <v>4050</v>
      </c>
      <c r="L4792" s="1" t="s">
        <v>4057</v>
      </c>
      <c r="N4792" s="1" t="s">
        <v>1078</v>
      </c>
      <c r="P4792" s="1" t="s">
        <v>14527</v>
      </c>
      <c r="Q4792" s="3">
        <v>0</v>
      </c>
      <c r="R4792" s="23" t="s">
        <v>13790</v>
      </c>
      <c r="S4792" s="23" t="s">
        <v>6849</v>
      </c>
      <c r="T4792" s="23" t="s">
        <v>4864</v>
      </c>
      <c r="U4792" s="3">
        <v>35</v>
      </c>
      <c r="V4792" s="3" t="s">
        <v>14213</v>
      </c>
      <c r="W4792" s="45" t="str">
        <f>HYPERLINK("http://ictvonline.org/taxonomy/p/taxonomy-history?taxnode_id=201907650","ICTVonline=201907650")</f>
        <v>ICTVonline=201907650</v>
      </c>
      <c r="X4792" s="1" t="s">
        <v>14528</v>
      </c>
      <c r="Y4792" s="1" t="s">
        <v>14529</v>
      </c>
      <c r="Z4792" s="1" t="s">
        <v>14530</v>
      </c>
      <c r="AA4792" s="1">
        <v>201900000</v>
      </c>
      <c r="AB4792" s="1">
        <v>35</v>
      </c>
    </row>
    <row r="4793" spans="1:28" x14ac:dyDescent="0.2">
      <c r="A4793" s="1">
        <v>12188</v>
      </c>
      <c r="B4793" s="1" t="s">
        <v>6839</v>
      </c>
      <c r="D4793" s="1" t="s">
        <v>11735</v>
      </c>
      <c r="F4793" s="1" t="s">
        <v>5540</v>
      </c>
      <c r="G4793" s="1" t="s">
        <v>5630</v>
      </c>
      <c r="H4793" s="1" t="s">
        <v>5631</v>
      </c>
      <c r="J4793" s="1" t="s">
        <v>4050</v>
      </c>
      <c r="L4793" s="1" t="s">
        <v>4057</v>
      </c>
      <c r="N4793" s="1" t="s">
        <v>1078</v>
      </c>
      <c r="P4793" s="1" t="s">
        <v>4034</v>
      </c>
      <c r="Q4793" s="3">
        <v>0</v>
      </c>
      <c r="R4793" s="23" t="s">
        <v>12893</v>
      </c>
      <c r="S4793" s="23" t="s">
        <v>6848</v>
      </c>
      <c r="T4793" s="23" t="s">
        <v>4866</v>
      </c>
      <c r="U4793" s="3">
        <v>35</v>
      </c>
      <c r="W4793" s="45" t="str">
        <f>HYPERLINK("http://ictvonline.org/taxonomy/p/taxonomy-history?taxnode_id=201900172","ICTVonline=201900172")</f>
        <v>ICTVonline=201900172</v>
      </c>
      <c r="AA4793" s="1">
        <v>201900000</v>
      </c>
      <c r="AB4793" s="1">
        <v>35</v>
      </c>
    </row>
    <row r="4794" spans="1:28" x14ac:dyDescent="0.2">
      <c r="A4794" s="1">
        <v>12190</v>
      </c>
      <c r="B4794" s="1" t="s">
        <v>6839</v>
      </c>
      <c r="D4794" s="1" t="s">
        <v>11735</v>
      </c>
      <c r="F4794" s="1" t="s">
        <v>5540</v>
      </c>
      <c r="G4794" s="1" t="s">
        <v>5630</v>
      </c>
      <c r="H4794" s="1" t="s">
        <v>5631</v>
      </c>
      <c r="J4794" s="1" t="s">
        <v>4050</v>
      </c>
      <c r="L4794" s="1" t="s">
        <v>4057</v>
      </c>
      <c r="N4794" s="1" t="s">
        <v>1078</v>
      </c>
      <c r="P4794" s="1" t="s">
        <v>4035</v>
      </c>
      <c r="Q4794" s="3">
        <v>0</v>
      </c>
      <c r="R4794" s="23" t="s">
        <v>12893</v>
      </c>
      <c r="S4794" s="23" t="s">
        <v>6848</v>
      </c>
      <c r="T4794" s="23" t="s">
        <v>4866</v>
      </c>
      <c r="U4794" s="3">
        <v>35</v>
      </c>
      <c r="W4794" s="45" t="str">
        <f>HYPERLINK("http://ictvonline.org/taxonomy/p/taxonomy-history?taxnode_id=201900173","ICTVonline=201900173")</f>
        <v>ICTVonline=201900173</v>
      </c>
      <c r="AA4794" s="1">
        <v>201900000</v>
      </c>
      <c r="AB4794" s="1">
        <v>35</v>
      </c>
    </row>
    <row r="4795" spans="1:28" x14ac:dyDescent="0.2">
      <c r="A4795" s="1">
        <v>12192</v>
      </c>
      <c r="B4795" s="1" t="s">
        <v>6839</v>
      </c>
      <c r="D4795" s="1" t="s">
        <v>11735</v>
      </c>
      <c r="F4795" s="1" t="s">
        <v>5540</v>
      </c>
      <c r="G4795" s="1" t="s">
        <v>5630</v>
      </c>
      <c r="H4795" s="1" t="s">
        <v>5631</v>
      </c>
      <c r="J4795" s="1" t="s">
        <v>4050</v>
      </c>
      <c r="L4795" s="1" t="s">
        <v>4057</v>
      </c>
      <c r="N4795" s="1" t="s">
        <v>1078</v>
      </c>
      <c r="P4795" s="1" t="s">
        <v>4036</v>
      </c>
      <c r="Q4795" s="3">
        <v>1</v>
      </c>
      <c r="R4795" s="23" t="s">
        <v>12893</v>
      </c>
      <c r="S4795" s="23" t="s">
        <v>6848</v>
      </c>
      <c r="T4795" s="23" t="s">
        <v>4866</v>
      </c>
      <c r="U4795" s="3">
        <v>35</v>
      </c>
      <c r="W4795" s="45" t="str">
        <f>HYPERLINK("http://ictvonline.org/taxonomy/p/taxonomy-history?taxnode_id=201900174","ICTVonline=201900174")</f>
        <v>ICTVonline=201900174</v>
      </c>
      <c r="AA4795" s="1">
        <v>201900000</v>
      </c>
      <c r="AB4795" s="1">
        <v>35</v>
      </c>
    </row>
    <row r="4796" spans="1:28" x14ac:dyDescent="0.2">
      <c r="A4796" s="1">
        <v>12194</v>
      </c>
      <c r="B4796" s="1" t="s">
        <v>6839</v>
      </c>
      <c r="D4796" s="1" t="s">
        <v>11735</v>
      </c>
      <c r="F4796" s="1" t="s">
        <v>5540</v>
      </c>
      <c r="G4796" s="1" t="s">
        <v>5630</v>
      </c>
      <c r="H4796" s="1" t="s">
        <v>5631</v>
      </c>
      <c r="J4796" s="1" t="s">
        <v>4050</v>
      </c>
      <c r="L4796" s="1" t="s">
        <v>4057</v>
      </c>
      <c r="N4796" s="1" t="s">
        <v>1078</v>
      </c>
      <c r="P4796" s="1" t="s">
        <v>4037</v>
      </c>
      <c r="Q4796" s="3">
        <v>0</v>
      </c>
      <c r="R4796" s="23" t="s">
        <v>12893</v>
      </c>
      <c r="S4796" s="23" t="s">
        <v>6848</v>
      </c>
      <c r="T4796" s="23" t="s">
        <v>4866</v>
      </c>
      <c r="U4796" s="3">
        <v>35</v>
      </c>
      <c r="W4796" s="45" t="str">
        <f>HYPERLINK("http://ictvonline.org/taxonomy/p/taxonomy-history?taxnode_id=201900175","ICTVonline=201900175")</f>
        <v>ICTVonline=201900175</v>
      </c>
      <c r="AA4796" s="1">
        <v>201900000</v>
      </c>
      <c r="AB4796" s="1">
        <v>35</v>
      </c>
    </row>
    <row r="4797" spans="1:28" x14ac:dyDescent="0.2">
      <c r="A4797" s="1">
        <v>12198</v>
      </c>
      <c r="B4797" s="1" t="s">
        <v>6839</v>
      </c>
      <c r="D4797" s="1" t="s">
        <v>11735</v>
      </c>
      <c r="F4797" s="1" t="s">
        <v>5540</v>
      </c>
      <c r="G4797" s="1" t="s">
        <v>5630</v>
      </c>
      <c r="H4797" s="1" t="s">
        <v>5631</v>
      </c>
      <c r="J4797" s="1" t="s">
        <v>4050</v>
      </c>
      <c r="L4797" s="1" t="s">
        <v>4057</v>
      </c>
      <c r="N4797" s="1" t="s">
        <v>14531</v>
      </c>
      <c r="P4797" s="1" t="s">
        <v>14532</v>
      </c>
      <c r="Q4797" s="3">
        <v>0</v>
      </c>
      <c r="R4797" s="23" t="s">
        <v>13790</v>
      </c>
      <c r="S4797" s="23" t="s">
        <v>6849</v>
      </c>
      <c r="T4797" s="23" t="s">
        <v>4864</v>
      </c>
      <c r="U4797" s="3">
        <v>35</v>
      </c>
      <c r="V4797" s="3" t="s">
        <v>14213</v>
      </c>
      <c r="W4797" s="45" t="str">
        <f>HYPERLINK("http://ictvonline.org/taxonomy/p/taxonomy-history?taxnode_id=201907569","ICTVonline=201907569")</f>
        <v>ICTVonline=201907569</v>
      </c>
      <c r="X4797" s="1" t="s">
        <v>14311</v>
      </c>
      <c r="Y4797" s="1" t="s">
        <v>14533</v>
      </c>
      <c r="Z4797" s="1" t="s">
        <v>14534</v>
      </c>
      <c r="AA4797" s="1">
        <v>201900000</v>
      </c>
      <c r="AB4797" s="1">
        <v>35</v>
      </c>
    </row>
    <row r="4798" spans="1:28" x14ac:dyDescent="0.2">
      <c r="A4798" s="1">
        <v>12200</v>
      </c>
      <c r="B4798" s="1" t="s">
        <v>6839</v>
      </c>
      <c r="D4798" s="1" t="s">
        <v>11735</v>
      </c>
      <c r="F4798" s="1" t="s">
        <v>5540</v>
      </c>
      <c r="G4798" s="1" t="s">
        <v>5630</v>
      </c>
      <c r="H4798" s="1" t="s">
        <v>5631</v>
      </c>
      <c r="J4798" s="1" t="s">
        <v>4050</v>
      </c>
      <c r="L4798" s="1" t="s">
        <v>4057</v>
      </c>
      <c r="N4798" s="1" t="s">
        <v>14531</v>
      </c>
      <c r="P4798" s="1" t="s">
        <v>14535</v>
      </c>
      <c r="Q4798" s="3">
        <v>0</v>
      </c>
      <c r="R4798" s="23" t="s">
        <v>13790</v>
      </c>
      <c r="S4798" s="23" t="s">
        <v>6849</v>
      </c>
      <c r="T4798" s="23" t="s">
        <v>4864</v>
      </c>
      <c r="U4798" s="3">
        <v>35</v>
      </c>
      <c r="V4798" s="3" t="s">
        <v>14213</v>
      </c>
      <c r="W4798" s="45" t="str">
        <f>HYPERLINK("http://ictvonline.org/taxonomy/p/taxonomy-history?taxnode_id=201907581","ICTVonline=201907581")</f>
        <v>ICTVonline=201907581</v>
      </c>
      <c r="X4798" s="1" t="s">
        <v>14536</v>
      </c>
      <c r="Y4798" s="1" t="s">
        <v>14537</v>
      </c>
      <c r="Z4798" s="1" t="s">
        <v>14538</v>
      </c>
      <c r="AA4798" s="1">
        <v>201900000</v>
      </c>
      <c r="AB4798" s="1">
        <v>35</v>
      </c>
    </row>
    <row r="4799" spans="1:28" x14ac:dyDescent="0.2">
      <c r="A4799" s="1">
        <v>12202</v>
      </c>
      <c r="B4799" s="1" t="s">
        <v>6839</v>
      </c>
      <c r="D4799" s="1" t="s">
        <v>11735</v>
      </c>
      <c r="F4799" s="1" t="s">
        <v>5540</v>
      </c>
      <c r="G4799" s="1" t="s">
        <v>5630</v>
      </c>
      <c r="H4799" s="1" t="s">
        <v>5631</v>
      </c>
      <c r="J4799" s="1" t="s">
        <v>4050</v>
      </c>
      <c r="L4799" s="1" t="s">
        <v>4057</v>
      </c>
      <c r="N4799" s="1" t="s">
        <v>14531</v>
      </c>
      <c r="P4799" s="1" t="s">
        <v>14539</v>
      </c>
      <c r="Q4799" s="3">
        <v>0</v>
      </c>
      <c r="R4799" s="23" t="s">
        <v>13790</v>
      </c>
      <c r="S4799" s="23" t="s">
        <v>6849</v>
      </c>
      <c r="T4799" s="23" t="s">
        <v>4864</v>
      </c>
      <c r="U4799" s="3">
        <v>35</v>
      </c>
      <c r="V4799" s="3" t="s">
        <v>14213</v>
      </c>
      <c r="W4799" s="45" t="str">
        <f>HYPERLINK("http://ictvonline.org/taxonomy/p/taxonomy-history?taxnode_id=201907575","ICTVonline=201907575")</f>
        <v>ICTVonline=201907575</v>
      </c>
      <c r="X4799" s="1" t="s">
        <v>14540</v>
      </c>
      <c r="Y4799" s="1" t="s">
        <v>14541</v>
      </c>
      <c r="Z4799" s="1" t="s">
        <v>14542</v>
      </c>
      <c r="AA4799" s="1">
        <v>201900000</v>
      </c>
      <c r="AB4799" s="1">
        <v>35</v>
      </c>
    </row>
    <row r="4800" spans="1:28" x14ac:dyDescent="0.2">
      <c r="A4800" s="1">
        <v>12204</v>
      </c>
      <c r="B4800" s="1" t="s">
        <v>6839</v>
      </c>
      <c r="D4800" s="1" t="s">
        <v>11735</v>
      </c>
      <c r="F4800" s="1" t="s">
        <v>5540</v>
      </c>
      <c r="G4800" s="1" t="s">
        <v>5630</v>
      </c>
      <c r="H4800" s="1" t="s">
        <v>5631</v>
      </c>
      <c r="J4800" s="1" t="s">
        <v>4050</v>
      </c>
      <c r="L4800" s="1" t="s">
        <v>4057</v>
      </c>
      <c r="N4800" s="1" t="s">
        <v>14531</v>
      </c>
      <c r="P4800" s="1" t="s">
        <v>14543</v>
      </c>
      <c r="Q4800" s="3">
        <v>0</v>
      </c>
      <c r="R4800" s="23" t="s">
        <v>12893</v>
      </c>
      <c r="S4800" s="23" t="s">
        <v>6848</v>
      </c>
      <c r="T4800" s="23" t="s">
        <v>14298</v>
      </c>
      <c r="U4800" s="3">
        <v>35</v>
      </c>
      <c r="V4800" s="3" t="s">
        <v>14213</v>
      </c>
      <c r="W4800" s="45" t="str">
        <f>HYPERLINK("http://ictvonline.org/taxonomy/p/taxonomy-history?taxnode_id=201906613","ICTVonline=201906613")</f>
        <v>ICTVonline=201906613</v>
      </c>
      <c r="AA4800" s="1">
        <v>201900000</v>
      </c>
      <c r="AB4800" s="1">
        <v>35</v>
      </c>
    </row>
    <row r="4801" spans="1:28" x14ac:dyDescent="0.2">
      <c r="A4801" s="1">
        <v>12206</v>
      </c>
      <c r="B4801" s="1" t="s">
        <v>6839</v>
      </c>
      <c r="D4801" s="1" t="s">
        <v>11735</v>
      </c>
      <c r="F4801" s="1" t="s">
        <v>5540</v>
      </c>
      <c r="G4801" s="1" t="s">
        <v>5630</v>
      </c>
      <c r="H4801" s="1" t="s">
        <v>5631</v>
      </c>
      <c r="J4801" s="1" t="s">
        <v>4050</v>
      </c>
      <c r="L4801" s="1" t="s">
        <v>4057</v>
      </c>
      <c r="N4801" s="1" t="s">
        <v>14531</v>
      </c>
      <c r="P4801" s="1" t="s">
        <v>14544</v>
      </c>
      <c r="Q4801" s="3">
        <v>0</v>
      </c>
      <c r="R4801" s="23" t="s">
        <v>12893</v>
      </c>
      <c r="S4801" s="23" t="s">
        <v>6848</v>
      </c>
      <c r="T4801" s="23" t="s">
        <v>4865</v>
      </c>
      <c r="U4801" s="3">
        <v>35</v>
      </c>
      <c r="V4801" s="3" t="s">
        <v>14213</v>
      </c>
      <c r="W4801" s="45" t="str">
        <f>HYPERLINK("http://ictvonline.org/taxonomy/p/taxonomy-history?taxnode_id=201906614","ICTVonline=201906614")</f>
        <v>ICTVonline=201906614</v>
      </c>
      <c r="AA4801" s="1">
        <v>201900000</v>
      </c>
      <c r="AB4801" s="1">
        <v>35</v>
      </c>
    </row>
    <row r="4802" spans="1:28" x14ac:dyDescent="0.2">
      <c r="A4802" s="1">
        <v>12208</v>
      </c>
      <c r="B4802" s="1" t="s">
        <v>6839</v>
      </c>
      <c r="D4802" s="1" t="s">
        <v>11735</v>
      </c>
      <c r="F4802" s="1" t="s">
        <v>5540</v>
      </c>
      <c r="G4802" s="1" t="s">
        <v>5630</v>
      </c>
      <c r="H4802" s="1" t="s">
        <v>5631</v>
      </c>
      <c r="J4802" s="1" t="s">
        <v>4050</v>
      </c>
      <c r="L4802" s="1" t="s">
        <v>4057</v>
      </c>
      <c r="N4802" s="1" t="s">
        <v>14531</v>
      </c>
      <c r="P4802" s="1" t="s">
        <v>14545</v>
      </c>
      <c r="Q4802" s="3">
        <v>0</v>
      </c>
      <c r="R4802" s="23" t="s">
        <v>13790</v>
      </c>
      <c r="S4802" s="23" t="s">
        <v>6849</v>
      </c>
      <c r="T4802" s="23" t="s">
        <v>4864</v>
      </c>
      <c r="U4802" s="3">
        <v>35</v>
      </c>
      <c r="V4802" s="3" t="s">
        <v>14213</v>
      </c>
      <c r="W4802" s="45" t="str">
        <f>HYPERLINK("http://ictvonline.org/taxonomy/p/taxonomy-history?taxnode_id=201907579","ICTVonline=201907579")</f>
        <v>ICTVonline=201907579</v>
      </c>
      <c r="X4802" s="1" t="s">
        <v>14546</v>
      </c>
      <c r="Y4802" s="1" t="s">
        <v>14547</v>
      </c>
      <c r="Z4802" s="1" t="s">
        <v>14548</v>
      </c>
      <c r="AA4802" s="1">
        <v>201900000</v>
      </c>
      <c r="AB4802" s="1">
        <v>35</v>
      </c>
    </row>
    <row r="4803" spans="1:28" x14ac:dyDescent="0.2">
      <c r="A4803" s="1">
        <v>12210</v>
      </c>
      <c r="B4803" s="1" t="s">
        <v>6839</v>
      </c>
      <c r="D4803" s="1" t="s">
        <v>11735</v>
      </c>
      <c r="F4803" s="1" t="s">
        <v>5540</v>
      </c>
      <c r="G4803" s="1" t="s">
        <v>5630</v>
      </c>
      <c r="H4803" s="1" t="s">
        <v>5631</v>
      </c>
      <c r="J4803" s="1" t="s">
        <v>4050</v>
      </c>
      <c r="L4803" s="1" t="s">
        <v>4057</v>
      </c>
      <c r="N4803" s="1" t="s">
        <v>14531</v>
      </c>
      <c r="P4803" s="1" t="s">
        <v>14549</v>
      </c>
      <c r="Q4803" s="3">
        <v>0</v>
      </c>
      <c r="R4803" s="23" t="s">
        <v>13790</v>
      </c>
      <c r="S4803" s="23" t="s">
        <v>6849</v>
      </c>
      <c r="T4803" s="23" t="s">
        <v>4864</v>
      </c>
      <c r="U4803" s="3">
        <v>35</v>
      </c>
      <c r="V4803" s="3" t="s">
        <v>14213</v>
      </c>
      <c r="W4803" s="45" t="str">
        <f>HYPERLINK("http://ictvonline.org/taxonomy/p/taxonomy-history?taxnode_id=201907572","ICTVonline=201907572")</f>
        <v>ICTVonline=201907572</v>
      </c>
      <c r="X4803" s="1" t="s">
        <v>14550</v>
      </c>
      <c r="Y4803" s="1" t="s">
        <v>14551</v>
      </c>
      <c r="Z4803" s="1" t="s">
        <v>14552</v>
      </c>
      <c r="AA4803" s="1">
        <v>201900000</v>
      </c>
      <c r="AB4803" s="1">
        <v>35</v>
      </c>
    </row>
    <row r="4804" spans="1:28" x14ac:dyDescent="0.2">
      <c r="A4804" s="1">
        <v>12212</v>
      </c>
      <c r="B4804" s="1" t="s">
        <v>6839</v>
      </c>
      <c r="D4804" s="1" t="s">
        <v>11735</v>
      </c>
      <c r="F4804" s="1" t="s">
        <v>5540</v>
      </c>
      <c r="G4804" s="1" t="s">
        <v>5630</v>
      </c>
      <c r="H4804" s="1" t="s">
        <v>5631</v>
      </c>
      <c r="J4804" s="1" t="s">
        <v>4050</v>
      </c>
      <c r="L4804" s="1" t="s">
        <v>4057</v>
      </c>
      <c r="N4804" s="1" t="s">
        <v>14531</v>
      </c>
      <c r="P4804" s="1" t="s">
        <v>14553</v>
      </c>
      <c r="Q4804" s="3">
        <v>0</v>
      </c>
      <c r="R4804" s="23" t="s">
        <v>13790</v>
      </c>
      <c r="S4804" s="23" t="s">
        <v>6849</v>
      </c>
      <c r="T4804" s="23" t="s">
        <v>4864</v>
      </c>
      <c r="U4804" s="3">
        <v>35</v>
      </c>
      <c r="V4804" s="3" t="s">
        <v>14213</v>
      </c>
      <c r="W4804" s="45" t="str">
        <f>HYPERLINK("http://ictvonline.org/taxonomy/p/taxonomy-history?taxnode_id=201907576","ICTVonline=201907576")</f>
        <v>ICTVonline=201907576</v>
      </c>
      <c r="X4804" s="1" t="s">
        <v>14554</v>
      </c>
      <c r="Y4804" s="1" t="s">
        <v>14555</v>
      </c>
      <c r="Z4804" s="1" t="s">
        <v>14556</v>
      </c>
      <c r="AA4804" s="1">
        <v>201900000</v>
      </c>
      <c r="AB4804" s="1">
        <v>35</v>
      </c>
    </row>
    <row r="4805" spans="1:28" x14ac:dyDescent="0.2">
      <c r="A4805" s="1">
        <v>12214</v>
      </c>
      <c r="B4805" s="1" t="s">
        <v>6839</v>
      </c>
      <c r="D4805" s="1" t="s">
        <v>11735</v>
      </c>
      <c r="F4805" s="1" t="s">
        <v>5540</v>
      </c>
      <c r="G4805" s="1" t="s">
        <v>5630</v>
      </c>
      <c r="H4805" s="1" t="s">
        <v>5631</v>
      </c>
      <c r="J4805" s="1" t="s">
        <v>4050</v>
      </c>
      <c r="L4805" s="1" t="s">
        <v>4057</v>
      </c>
      <c r="N4805" s="1" t="s">
        <v>14531</v>
      </c>
      <c r="P4805" s="1" t="s">
        <v>14557</v>
      </c>
      <c r="Q4805" s="3">
        <v>0</v>
      </c>
      <c r="R4805" s="23" t="s">
        <v>13790</v>
      </c>
      <c r="S4805" s="23" t="s">
        <v>6849</v>
      </c>
      <c r="T4805" s="23" t="s">
        <v>4864</v>
      </c>
      <c r="U4805" s="3">
        <v>35</v>
      </c>
      <c r="V4805" s="3" t="s">
        <v>14213</v>
      </c>
      <c r="W4805" s="45" t="str">
        <f>HYPERLINK("http://ictvonline.org/taxonomy/p/taxonomy-history?taxnode_id=201907570","ICTVonline=201907570")</f>
        <v>ICTVonline=201907570</v>
      </c>
      <c r="X4805" s="1" t="s">
        <v>14558</v>
      </c>
      <c r="Y4805" s="1" t="s">
        <v>14559</v>
      </c>
      <c r="Z4805" s="1" t="s">
        <v>14560</v>
      </c>
      <c r="AA4805" s="1">
        <v>201900000</v>
      </c>
      <c r="AB4805" s="1">
        <v>35</v>
      </c>
    </row>
    <row r="4806" spans="1:28" x14ac:dyDescent="0.2">
      <c r="A4806" s="1">
        <v>12216</v>
      </c>
      <c r="B4806" s="1" t="s">
        <v>6839</v>
      </c>
      <c r="D4806" s="1" t="s">
        <v>11735</v>
      </c>
      <c r="F4806" s="1" t="s">
        <v>5540</v>
      </c>
      <c r="G4806" s="1" t="s">
        <v>5630</v>
      </c>
      <c r="H4806" s="1" t="s">
        <v>5631</v>
      </c>
      <c r="J4806" s="1" t="s">
        <v>4050</v>
      </c>
      <c r="L4806" s="1" t="s">
        <v>4057</v>
      </c>
      <c r="N4806" s="1" t="s">
        <v>14531</v>
      </c>
      <c r="P4806" s="1" t="s">
        <v>14561</v>
      </c>
      <c r="Q4806" s="3">
        <v>0</v>
      </c>
      <c r="R4806" s="23" t="s">
        <v>13790</v>
      </c>
      <c r="S4806" s="23" t="s">
        <v>6849</v>
      </c>
      <c r="T4806" s="23" t="s">
        <v>4864</v>
      </c>
      <c r="U4806" s="3">
        <v>35</v>
      </c>
      <c r="V4806" s="3" t="s">
        <v>14213</v>
      </c>
      <c r="W4806" s="45" t="str">
        <f>HYPERLINK("http://ictvonline.org/taxonomy/p/taxonomy-history?taxnode_id=201907577","ICTVonline=201907577")</f>
        <v>ICTVonline=201907577</v>
      </c>
      <c r="X4806" s="1" t="s">
        <v>14562</v>
      </c>
      <c r="Y4806" s="1" t="s">
        <v>14563</v>
      </c>
      <c r="Z4806" s="1" t="s">
        <v>8652</v>
      </c>
      <c r="AA4806" s="1">
        <v>201900000</v>
      </c>
      <c r="AB4806" s="1">
        <v>35</v>
      </c>
    </row>
    <row r="4807" spans="1:28" x14ac:dyDescent="0.2">
      <c r="A4807" s="1">
        <v>12218</v>
      </c>
      <c r="B4807" s="1" t="s">
        <v>6839</v>
      </c>
      <c r="D4807" s="1" t="s">
        <v>11735</v>
      </c>
      <c r="F4807" s="1" t="s">
        <v>5540</v>
      </c>
      <c r="G4807" s="1" t="s">
        <v>5630</v>
      </c>
      <c r="H4807" s="1" t="s">
        <v>5631</v>
      </c>
      <c r="J4807" s="1" t="s">
        <v>4050</v>
      </c>
      <c r="L4807" s="1" t="s">
        <v>4057</v>
      </c>
      <c r="N4807" s="1" t="s">
        <v>14531</v>
      </c>
      <c r="P4807" s="1" t="s">
        <v>14564</v>
      </c>
      <c r="Q4807" s="3">
        <v>0</v>
      </c>
      <c r="R4807" s="23" t="s">
        <v>13790</v>
      </c>
      <c r="S4807" s="23" t="s">
        <v>6849</v>
      </c>
      <c r="T4807" s="23" t="s">
        <v>4864</v>
      </c>
      <c r="U4807" s="3">
        <v>35</v>
      </c>
      <c r="V4807" s="3" t="s">
        <v>14213</v>
      </c>
      <c r="W4807" s="45" t="str">
        <f>HYPERLINK("http://ictvonline.org/taxonomy/p/taxonomy-history?taxnode_id=201907578","ICTVonline=201907578")</f>
        <v>ICTVonline=201907578</v>
      </c>
      <c r="X4807" s="1" t="s">
        <v>14565</v>
      </c>
      <c r="Y4807" s="1" t="s">
        <v>14566</v>
      </c>
      <c r="Z4807" s="1" t="s">
        <v>14567</v>
      </c>
      <c r="AA4807" s="1">
        <v>201900000</v>
      </c>
      <c r="AB4807" s="1">
        <v>35</v>
      </c>
    </row>
    <row r="4808" spans="1:28" x14ac:dyDescent="0.2">
      <c r="A4808" s="1">
        <v>12220</v>
      </c>
      <c r="B4808" s="1" t="s">
        <v>6839</v>
      </c>
      <c r="D4808" s="1" t="s">
        <v>11735</v>
      </c>
      <c r="F4808" s="1" t="s">
        <v>5540</v>
      </c>
      <c r="G4808" s="1" t="s">
        <v>5630</v>
      </c>
      <c r="H4808" s="1" t="s">
        <v>5631</v>
      </c>
      <c r="J4808" s="1" t="s">
        <v>4050</v>
      </c>
      <c r="L4808" s="1" t="s">
        <v>4057</v>
      </c>
      <c r="N4808" s="1" t="s">
        <v>14531</v>
      </c>
      <c r="P4808" s="1" t="s">
        <v>14568</v>
      </c>
      <c r="Q4808" s="3">
        <v>0</v>
      </c>
      <c r="R4808" s="23" t="s">
        <v>13790</v>
      </c>
      <c r="S4808" s="23" t="s">
        <v>6849</v>
      </c>
      <c r="T4808" s="23" t="s">
        <v>4864</v>
      </c>
      <c r="U4808" s="3">
        <v>35</v>
      </c>
      <c r="V4808" s="3" t="s">
        <v>14213</v>
      </c>
      <c r="W4808" s="45" t="str">
        <f>HYPERLINK("http://ictvonline.org/taxonomy/p/taxonomy-history?taxnode_id=201907573","ICTVonline=201907573")</f>
        <v>ICTVonline=201907573</v>
      </c>
      <c r="X4808" s="1" t="s">
        <v>14569</v>
      </c>
      <c r="Y4808" s="1" t="s">
        <v>14570</v>
      </c>
      <c r="Z4808" s="1" t="s">
        <v>14571</v>
      </c>
      <c r="AA4808" s="1">
        <v>201900000</v>
      </c>
      <c r="AB4808" s="1">
        <v>35</v>
      </c>
    </row>
    <row r="4809" spans="1:28" x14ac:dyDescent="0.2">
      <c r="A4809" s="1">
        <v>12222</v>
      </c>
      <c r="B4809" s="1" t="s">
        <v>6839</v>
      </c>
      <c r="D4809" s="1" t="s">
        <v>11735</v>
      </c>
      <c r="F4809" s="1" t="s">
        <v>5540</v>
      </c>
      <c r="G4809" s="1" t="s">
        <v>5630</v>
      </c>
      <c r="H4809" s="1" t="s">
        <v>5631</v>
      </c>
      <c r="J4809" s="1" t="s">
        <v>4050</v>
      </c>
      <c r="L4809" s="1" t="s">
        <v>4057</v>
      </c>
      <c r="N4809" s="1" t="s">
        <v>14531</v>
      </c>
      <c r="P4809" s="1" t="s">
        <v>14572</v>
      </c>
      <c r="Q4809" s="3">
        <v>0</v>
      </c>
      <c r="R4809" s="23" t="s">
        <v>13790</v>
      </c>
      <c r="S4809" s="23" t="s">
        <v>6849</v>
      </c>
      <c r="T4809" s="23" t="s">
        <v>4864</v>
      </c>
      <c r="U4809" s="3">
        <v>35</v>
      </c>
      <c r="V4809" s="3" t="s">
        <v>14213</v>
      </c>
      <c r="W4809" s="45" t="str">
        <f>HYPERLINK("http://ictvonline.org/taxonomy/p/taxonomy-history?taxnode_id=201907580","ICTVonline=201907580")</f>
        <v>ICTVonline=201907580</v>
      </c>
      <c r="X4809" s="1" t="s">
        <v>14573</v>
      </c>
      <c r="Y4809" s="1" t="s">
        <v>14574</v>
      </c>
      <c r="Z4809" s="1" t="s">
        <v>14575</v>
      </c>
      <c r="AA4809" s="1">
        <v>201900000</v>
      </c>
      <c r="AB4809" s="1">
        <v>35</v>
      </c>
    </row>
    <row r="4810" spans="1:28" x14ac:dyDescent="0.2">
      <c r="A4810" s="1">
        <v>12224</v>
      </c>
      <c r="B4810" s="1" t="s">
        <v>6839</v>
      </c>
      <c r="D4810" s="1" t="s">
        <v>11735</v>
      </c>
      <c r="F4810" s="1" t="s">
        <v>5540</v>
      </c>
      <c r="G4810" s="1" t="s">
        <v>5630</v>
      </c>
      <c r="H4810" s="1" t="s">
        <v>5631</v>
      </c>
      <c r="J4810" s="1" t="s">
        <v>4050</v>
      </c>
      <c r="L4810" s="1" t="s">
        <v>4057</v>
      </c>
      <c r="N4810" s="1" t="s">
        <v>14531</v>
      </c>
      <c r="P4810" s="1" t="s">
        <v>14576</v>
      </c>
      <c r="Q4810" s="3">
        <v>0</v>
      </c>
      <c r="R4810" s="23" t="s">
        <v>13790</v>
      </c>
      <c r="S4810" s="23" t="s">
        <v>6849</v>
      </c>
      <c r="T4810" s="23" t="s">
        <v>4864</v>
      </c>
      <c r="U4810" s="3">
        <v>35</v>
      </c>
      <c r="V4810" s="3" t="s">
        <v>14213</v>
      </c>
      <c r="W4810" s="45" t="str">
        <f>HYPERLINK("http://ictvonline.org/taxonomy/p/taxonomy-history?taxnode_id=201907571","ICTVonline=201907571")</f>
        <v>ICTVonline=201907571</v>
      </c>
      <c r="X4810" s="1" t="s">
        <v>14577</v>
      </c>
      <c r="Y4810" s="1" t="s">
        <v>14578</v>
      </c>
      <c r="Z4810" s="1" t="s">
        <v>14579</v>
      </c>
      <c r="AA4810" s="1">
        <v>201900000</v>
      </c>
      <c r="AB4810" s="1">
        <v>35</v>
      </c>
    </row>
    <row r="4811" spans="1:28" x14ac:dyDescent="0.2">
      <c r="A4811" s="1">
        <v>12226</v>
      </c>
      <c r="B4811" s="1" t="s">
        <v>6839</v>
      </c>
      <c r="D4811" s="1" t="s">
        <v>11735</v>
      </c>
      <c r="F4811" s="1" t="s">
        <v>5540</v>
      </c>
      <c r="G4811" s="1" t="s">
        <v>5630</v>
      </c>
      <c r="H4811" s="1" t="s">
        <v>5631</v>
      </c>
      <c r="J4811" s="1" t="s">
        <v>4050</v>
      </c>
      <c r="L4811" s="1" t="s">
        <v>4057</v>
      </c>
      <c r="N4811" s="1" t="s">
        <v>14531</v>
      </c>
      <c r="P4811" s="1" t="s">
        <v>14580</v>
      </c>
      <c r="Q4811" s="3">
        <v>1</v>
      </c>
      <c r="R4811" s="23" t="s">
        <v>12893</v>
      </c>
      <c r="S4811" s="23" t="s">
        <v>6848</v>
      </c>
      <c r="T4811" s="23" t="s">
        <v>6031</v>
      </c>
      <c r="U4811" s="3">
        <v>35</v>
      </c>
      <c r="V4811" s="3" t="s">
        <v>14213</v>
      </c>
      <c r="W4811" s="45" t="str">
        <f>HYPERLINK("http://ictvonline.org/taxonomy/p/taxonomy-history?taxnode_id=201900167","ICTVonline=201900167")</f>
        <v>ICTVonline=201900167</v>
      </c>
      <c r="AA4811" s="1">
        <v>201900000</v>
      </c>
      <c r="AB4811" s="1">
        <v>35</v>
      </c>
    </row>
    <row r="4812" spans="1:28" x14ac:dyDescent="0.2">
      <c r="A4812" s="1">
        <v>12228</v>
      </c>
      <c r="B4812" s="1" t="s">
        <v>6839</v>
      </c>
      <c r="D4812" s="1" t="s">
        <v>11735</v>
      </c>
      <c r="F4812" s="1" t="s">
        <v>5540</v>
      </c>
      <c r="G4812" s="1" t="s">
        <v>5630</v>
      </c>
      <c r="H4812" s="1" t="s">
        <v>5631</v>
      </c>
      <c r="J4812" s="1" t="s">
        <v>4050</v>
      </c>
      <c r="L4812" s="1" t="s">
        <v>4057</v>
      </c>
      <c r="N4812" s="1" t="s">
        <v>14531</v>
      </c>
      <c r="P4812" s="1" t="s">
        <v>14581</v>
      </c>
      <c r="Q4812" s="3">
        <v>0</v>
      </c>
      <c r="R4812" s="23" t="s">
        <v>13790</v>
      </c>
      <c r="S4812" s="23" t="s">
        <v>6849</v>
      </c>
      <c r="T4812" s="23" t="s">
        <v>4864</v>
      </c>
      <c r="U4812" s="3">
        <v>35</v>
      </c>
      <c r="V4812" s="3" t="s">
        <v>14213</v>
      </c>
      <c r="W4812" s="45" t="str">
        <f>HYPERLINK("http://ictvonline.org/taxonomy/p/taxonomy-history?taxnode_id=201907582","ICTVonline=201907582")</f>
        <v>ICTVonline=201907582</v>
      </c>
      <c r="X4812" s="1" t="s">
        <v>14582</v>
      </c>
      <c r="Y4812" s="1" t="s">
        <v>14583</v>
      </c>
      <c r="Z4812" s="1" t="s">
        <v>14584</v>
      </c>
      <c r="AA4812" s="1">
        <v>201900000</v>
      </c>
      <c r="AB4812" s="1">
        <v>35</v>
      </c>
    </row>
    <row r="4813" spans="1:28" x14ac:dyDescent="0.2">
      <c r="A4813" s="1">
        <v>12230</v>
      </c>
      <c r="B4813" s="1" t="s">
        <v>6839</v>
      </c>
      <c r="D4813" s="1" t="s">
        <v>11735</v>
      </c>
      <c r="F4813" s="1" t="s">
        <v>5540</v>
      </c>
      <c r="G4813" s="1" t="s">
        <v>5630</v>
      </c>
      <c r="H4813" s="1" t="s">
        <v>5631</v>
      </c>
      <c r="J4813" s="1" t="s">
        <v>4050</v>
      </c>
      <c r="L4813" s="1" t="s">
        <v>4057</v>
      </c>
      <c r="N4813" s="1" t="s">
        <v>14531</v>
      </c>
      <c r="P4813" s="1" t="s">
        <v>14585</v>
      </c>
      <c r="Q4813" s="3">
        <v>0</v>
      </c>
      <c r="R4813" s="23" t="s">
        <v>13790</v>
      </c>
      <c r="S4813" s="23" t="s">
        <v>6849</v>
      </c>
      <c r="T4813" s="23" t="s">
        <v>4864</v>
      </c>
      <c r="U4813" s="3">
        <v>35</v>
      </c>
      <c r="V4813" s="3" t="s">
        <v>14213</v>
      </c>
      <c r="W4813" s="45" t="str">
        <f>HYPERLINK("http://ictvonline.org/taxonomy/p/taxonomy-history?taxnode_id=201907574","ICTVonline=201907574")</f>
        <v>ICTVonline=201907574</v>
      </c>
      <c r="X4813" s="1" t="s">
        <v>14586</v>
      </c>
      <c r="Y4813" s="1" t="s">
        <v>14587</v>
      </c>
      <c r="Z4813" s="1" t="s">
        <v>8652</v>
      </c>
      <c r="AA4813" s="1">
        <v>201900000</v>
      </c>
      <c r="AB4813" s="1">
        <v>35</v>
      </c>
    </row>
    <row r="4814" spans="1:28" x14ac:dyDescent="0.2">
      <c r="A4814" s="1">
        <v>12234</v>
      </c>
      <c r="B4814" s="1" t="s">
        <v>6839</v>
      </c>
      <c r="D4814" s="1" t="s">
        <v>11735</v>
      </c>
      <c r="F4814" s="1" t="s">
        <v>5540</v>
      </c>
      <c r="G4814" s="1" t="s">
        <v>5630</v>
      </c>
      <c r="H4814" s="1" t="s">
        <v>5631</v>
      </c>
      <c r="J4814" s="1" t="s">
        <v>4050</v>
      </c>
      <c r="L4814" s="1" t="s">
        <v>4057</v>
      </c>
      <c r="N4814" s="1" t="s">
        <v>6003</v>
      </c>
      <c r="P4814" s="1" t="s">
        <v>6004</v>
      </c>
      <c r="Q4814" s="3">
        <v>1</v>
      </c>
      <c r="R4814" s="23" t="s">
        <v>12893</v>
      </c>
      <c r="S4814" s="23" t="s">
        <v>6848</v>
      </c>
      <c r="T4814" s="23" t="s">
        <v>4866</v>
      </c>
      <c r="U4814" s="3">
        <v>35</v>
      </c>
      <c r="W4814" s="45" t="str">
        <f>HYPERLINK("http://ictvonline.org/taxonomy/p/taxonomy-history?taxnode_id=201906611","ICTVonline=201906611")</f>
        <v>ICTVonline=201906611</v>
      </c>
      <c r="X4814" s="1" t="s">
        <v>14588</v>
      </c>
      <c r="Y4814" s="1" t="s">
        <v>14589</v>
      </c>
      <c r="Z4814" s="1" t="s">
        <v>14590</v>
      </c>
      <c r="AA4814" s="1">
        <v>201900000</v>
      </c>
      <c r="AB4814" s="1">
        <v>35</v>
      </c>
    </row>
    <row r="4815" spans="1:28" x14ac:dyDescent="0.2">
      <c r="A4815" s="1">
        <v>12240</v>
      </c>
      <c r="B4815" s="1" t="s">
        <v>6839</v>
      </c>
      <c r="D4815" s="1" t="s">
        <v>11735</v>
      </c>
      <c r="F4815" s="1" t="s">
        <v>5540</v>
      </c>
      <c r="G4815" s="1" t="s">
        <v>5630</v>
      </c>
      <c r="H4815" s="1" t="s">
        <v>5631</v>
      </c>
      <c r="J4815" s="1" t="s">
        <v>4050</v>
      </c>
      <c r="L4815" s="1" t="s">
        <v>6005</v>
      </c>
      <c r="N4815" s="1" t="s">
        <v>6006</v>
      </c>
      <c r="P4815" s="1" t="s">
        <v>14591</v>
      </c>
      <c r="Q4815" s="3">
        <v>0</v>
      </c>
      <c r="R4815" s="23" t="s">
        <v>13790</v>
      </c>
      <c r="S4815" s="23" t="s">
        <v>6847</v>
      </c>
      <c r="T4815" s="23" t="s">
        <v>4864</v>
      </c>
      <c r="U4815" s="3">
        <v>35</v>
      </c>
      <c r="V4815" s="3" t="s">
        <v>14592</v>
      </c>
      <c r="W4815" s="45" t="str">
        <f>HYPERLINK("http://ictvonline.org/taxonomy/p/taxonomy-history?taxnode_id=201907245","ICTVonline=201907245")</f>
        <v>ICTVonline=201907245</v>
      </c>
      <c r="X4815" s="1" t="s">
        <v>14593</v>
      </c>
      <c r="Y4815" s="1" t="s">
        <v>14594</v>
      </c>
      <c r="Z4815" s="1" t="s">
        <v>14595</v>
      </c>
      <c r="AA4815" s="1">
        <v>201900000</v>
      </c>
      <c r="AB4815" s="1">
        <v>35</v>
      </c>
    </row>
    <row r="4816" spans="1:28" x14ac:dyDescent="0.2">
      <c r="A4816" s="1">
        <v>12242</v>
      </c>
      <c r="B4816" s="1" t="s">
        <v>6839</v>
      </c>
      <c r="D4816" s="1" t="s">
        <v>11735</v>
      </c>
      <c r="F4816" s="1" t="s">
        <v>5540</v>
      </c>
      <c r="G4816" s="1" t="s">
        <v>5630</v>
      </c>
      <c r="H4816" s="1" t="s">
        <v>5631</v>
      </c>
      <c r="J4816" s="1" t="s">
        <v>4050</v>
      </c>
      <c r="L4816" s="1" t="s">
        <v>6005</v>
      </c>
      <c r="N4816" s="1" t="s">
        <v>6006</v>
      </c>
      <c r="P4816" s="1" t="s">
        <v>14596</v>
      </c>
      <c r="Q4816" s="3">
        <v>0</v>
      </c>
      <c r="R4816" s="23" t="s">
        <v>13790</v>
      </c>
      <c r="S4816" s="23" t="s">
        <v>6847</v>
      </c>
      <c r="T4816" s="23" t="s">
        <v>4864</v>
      </c>
      <c r="U4816" s="3">
        <v>35</v>
      </c>
      <c r="V4816" s="3" t="s">
        <v>14592</v>
      </c>
      <c r="W4816" s="45" t="str">
        <f>HYPERLINK("http://ictvonline.org/taxonomy/p/taxonomy-history?taxnode_id=201907246","ICTVonline=201907246")</f>
        <v>ICTVonline=201907246</v>
      </c>
      <c r="X4816" s="1" t="s">
        <v>14597</v>
      </c>
      <c r="Y4816" s="1" t="s">
        <v>14598</v>
      </c>
      <c r="Z4816" s="1" t="s">
        <v>14599</v>
      </c>
      <c r="AA4816" s="1">
        <v>201900000</v>
      </c>
      <c r="AB4816" s="1">
        <v>35</v>
      </c>
    </row>
    <row r="4817" spans="1:28" x14ac:dyDescent="0.2">
      <c r="A4817" s="1">
        <v>12244</v>
      </c>
      <c r="B4817" s="1" t="s">
        <v>6839</v>
      </c>
      <c r="D4817" s="1" t="s">
        <v>11735</v>
      </c>
      <c r="F4817" s="1" t="s">
        <v>5540</v>
      </c>
      <c r="G4817" s="1" t="s">
        <v>5630</v>
      </c>
      <c r="H4817" s="1" t="s">
        <v>5631</v>
      </c>
      <c r="J4817" s="1" t="s">
        <v>4050</v>
      </c>
      <c r="L4817" s="1" t="s">
        <v>6005</v>
      </c>
      <c r="N4817" s="1" t="s">
        <v>6006</v>
      </c>
      <c r="P4817" s="1" t="s">
        <v>6007</v>
      </c>
      <c r="Q4817" s="3">
        <v>0</v>
      </c>
      <c r="R4817" s="23" t="s">
        <v>13790</v>
      </c>
      <c r="S4817" s="23" t="s">
        <v>6847</v>
      </c>
      <c r="T4817" s="23" t="s">
        <v>4866</v>
      </c>
      <c r="U4817" s="3">
        <v>35</v>
      </c>
      <c r="W4817" s="45" t="str">
        <f>HYPERLINK("http://ictvonline.org/taxonomy/p/taxonomy-history?taxnode_id=201906661","ICTVonline=201906661")</f>
        <v>ICTVonline=201906661</v>
      </c>
      <c r="X4817" s="1" t="s">
        <v>14600</v>
      </c>
      <c r="Y4817" s="1" t="s">
        <v>14601</v>
      </c>
      <c r="Z4817" s="1" t="s">
        <v>14602</v>
      </c>
      <c r="AA4817" s="1">
        <v>201900000</v>
      </c>
      <c r="AB4817" s="1">
        <v>35</v>
      </c>
    </row>
    <row r="4818" spans="1:28" x14ac:dyDescent="0.2">
      <c r="A4818" s="1">
        <v>12246</v>
      </c>
      <c r="B4818" s="1" t="s">
        <v>6839</v>
      </c>
      <c r="D4818" s="1" t="s">
        <v>11735</v>
      </c>
      <c r="F4818" s="1" t="s">
        <v>5540</v>
      </c>
      <c r="G4818" s="1" t="s">
        <v>5630</v>
      </c>
      <c r="H4818" s="1" t="s">
        <v>5631</v>
      </c>
      <c r="J4818" s="1" t="s">
        <v>4050</v>
      </c>
      <c r="L4818" s="1" t="s">
        <v>6005</v>
      </c>
      <c r="N4818" s="1" t="s">
        <v>6006</v>
      </c>
      <c r="P4818" s="1" t="s">
        <v>6008</v>
      </c>
      <c r="Q4818" s="3">
        <v>0</v>
      </c>
      <c r="R4818" s="23" t="s">
        <v>13790</v>
      </c>
      <c r="S4818" s="23" t="s">
        <v>6847</v>
      </c>
      <c r="T4818" s="23" t="s">
        <v>4866</v>
      </c>
      <c r="U4818" s="3">
        <v>35</v>
      </c>
      <c r="W4818" s="45" t="str">
        <f>HYPERLINK("http://ictvonline.org/taxonomy/p/taxonomy-history?taxnode_id=201906662","ICTVonline=201906662")</f>
        <v>ICTVonline=201906662</v>
      </c>
      <c r="X4818" s="1" t="s">
        <v>14603</v>
      </c>
      <c r="Y4818" s="1" t="s">
        <v>14604</v>
      </c>
      <c r="Z4818" s="1" t="s">
        <v>14605</v>
      </c>
      <c r="AA4818" s="1">
        <v>201900000</v>
      </c>
      <c r="AB4818" s="1">
        <v>35</v>
      </c>
    </row>
    <row r="4819" spans="1:28" x14ac:dyDescent="0.2">
      <c r="A4819" s="1">
        <v>12248</v>
      </c>
      <c r="B4819" s="1" t="s">
        <v>6839</v>
      </c>
      <c r="D4819" s="1" t="s">
        <v>11735</v>
      </c>
      <c r="F4819" s="1" t="s">
        <v>5540</v>
      </c>
      <c r="G4819" s="1" t="s">
        <v>5630</v>
      </c>
      <c r="H4819" s="1" t="s">
        <v>5631</v>
      </c>
      <c r="J4819" s="1" t="s">
        <v>4050</v>
      </c>
      <c r="L4819" s="1" t="s">
        <v>6005</v>
      </c>
      <c r="N4819" s="1" t="s">
        <v>6006</v>
      </c>
      <c r="P4819" s="1" t="s">
        <v>6009</v>
      </c>
      <c r="Q4819" s="3">
        <v>0</v>
      </c>
      <c r="R4819" s="23" t="s">
        <v>13790</v>
      </c>
      <c r="S4819" s="23" t="s">
        <v>6847</v>
      </c>
      <c r="T4819" s="23" t="s">
        <v>4866</v>
      </c>
      <c r="U4819" s="3">
        <v>35</v>
      </c>
      <c r="W4819" s="45" t="str">
        <f>HYPERLINK("http://ictvonline.org/taxonomy/p/taxonomy-history?taxnode_id=201906663","ICTVonline=201906663")</f>
        <v>ICTVonline=201906663</v>
      </c>
      <c r="X4819" s="1" t="s">
        <v>14606</v>
      </c>
      <c r="Y4819" s="1" t="s">
        <v>14607</v>
      </c>
      <c r="Z4819" s="1" t="s">
        <v>14608</v>
      </c>
      <c r="AA4819" s="1">
        <v>201900000</v>
      </c>
      <c r="AB4819" s="1">
        <v>35</v>
      </c>
    </row>
    <row r="4820" spans="1:28" x14ac:dyDescent="0.2">
      <c r="A4820" s="1">
        <v>12250</v>
      </c>
      <c r="B4820" s="1" t="s">
        <v>6839</v>
      </c>
      <c r="D4820" s="1" t="s">
        <v>11735</v>
      </c>
      <c r="F4820" s="1" t="s">
        <v>5540</v>
      </c>
      <c r="G4820" s="1" t="s">
        <v>5630</v>
      </c>
      <c r="H4820" s="1" t="s">
        <v>5631</v>
      </c>
      <c r="J4820" s="1" t="s">
        <v>4050</v>
      </c>
      <c r="L4820" s="1" t="s">
        <v>6005</v>
      </c>
      <c r="N4820" s="1" t="s">
        <v>6006</v>
      </c>
      <c r="P4820" s="1" t="s">
        <v>6010</v>
      </c>
      <c r="Q4820" s="3">
        <v>0</v>
      </c>
      <c r="R4820" s="23" t="s">
        <v>13790</v>
      </c>
      <c r="S4820" s="23" t="s">
        <v>6847</v>
      </c>
      <c r="T4820" s="23" t="s">
        <v>4866</v>
      </c>
      <c r="U4820" s="3">
        <v>35</v>
      </c>
      <c r="W4820" s="45" t="str">
        <f>HYPERLINK("http://ictvonline.org/taxonomy/p/taxonomy-history?taxnode_id=201906664","ICTVonline=201906664")</f>
        <v>ICTVonline=201906664</v>
      </c>
      <c r="X4820" s="1" t="s">
        <v>14609</v>
      </c>
      <c r="Y4820" s="1" t="s">
        <v>14610</v>
      </c>
      <c r="Z4820" s="1" t="s">
        <v>14611</v>
      </c>
      <c r="AA4820" s="1">
        <v>201900000</v>
      </c>
      <c r="AB4820" s="1">
        <v>35</v>
      </c>
    </row>
    <row r="4821" spans="1:28" x14ac:dyDescent="0.2">
      <c r="A4821" s="1">
        <v>12252</v>
      </c>
      <c r="B4821" s="1" t="s">
        <v>6839</v>
      </c>
      <c r="D4821" s="1" t="s">
        <v>11735</v>
      </c>
      <c r="F4821" s="1" t="s">
        <v>5540</v>
      </c>
      <c r="G4821" s="1" t="s">
        <v>5630</v>
      </c>
      <c r="H4821" s="1" t="s">
        <v>5631</v>
      </c>
      <c r="J4821" s="1" t="s">
        <v>4050</v>
      </c>
      <c r="L4821" s="1" t="s">
        <v>6005</v>
      </c>
      <c r="N4821" s="1" t="s">
        <v>6006</v>
      </c>
      <c r="P4821" s="1" t="s">
        <v>14612</v>
      </c>
      <c r="Q4821" s="3">
        <v>0</v>
      </c>
      <c r="R4821" s="23" t="s">
        <v>13790</v>
      </c>
      <c r="S4821" s="23" t="s">
        <v>6847</v>
      </c>
      <c r="T4821" s="23" t="s">
        <v>4865</v>
      </c>
      <c r="U4821" s="3">
        <v>35</v>
      </c>
      <c r="V4821" s="3" t="s">
        <v>13174</v>
      </c>
      <c r="W4821" s="45" t="str">
        <f>HYPERLINK("http://ictvonline.org/taxonomy/p/taxonomy-history?taxnode_id=201900179","ICTVonline=201900179")</f>
        <v>ICTVonline=201900179</v>
      </c>
      <c r="AA4821" s="1">
        <v>201900000</v>
      </c>
      <c r="AB4821" s="1">
        <v>35</v>
      </c>
    </row>
    <row r="4822" spans="1:28" x14ac:dyDescent="0.2">
      <c r="A4822" s="1">
        <v>12254</v>
      </c>
      <c r="B4822" s="1" t="s">
        <v>6839</v>
      </c>
      <c r="D4822" s="1" t="s">
        <v>11735</v>
      </c>
      <c r="F4822" s="1" t="s">
        <v>5540</v>
      </c>
      <c r="G4822" s="1" t="s">
        <v>5630</v>
      </c>
      <c r="H4822" s="1" t="s">
        <v>5631</v>
      </c>
      <c r="J4822" s="1" t="s">
        <v>4050</v>
      </c>
      <c r="L4822" s="1" t="s">
        <v>6005</v>
      </c>
      <c r="N4822" s="1" t="s">
        <v>6006</v>
      </c>
      <c r="P4822" s="1" t="s">
        <v>14613</v>
      </c>
      <c r="Q4822" s="3">
        <v>0</v>
      </c>
      <c r="R4822" s="23" t="s">
        <v>13790</v>
      </c>
      <c r="S4822" s="23" t="s">
        <v>6847</v>
      </c>
      <c r="T4822" s="23" t="s">
        <v>4864</v>
      </c>
      <c r="U4822" s="3">
        <v>35</v>
      </c>
      <c r="V4822" s="3" t="s">
        <v>14592</v>
      </c>
      <c r="W4822" s="45" t="str">
        <f>HYPERLINK("http://ictvonline.org/taxonomy/p/taxonomy-history?taxnode_id=201907247","ICTVonline=201907247")</f>
        <v>ICTVonline=201907247</v>
      </c>
      <c r="X4822" s="1" t="s">
        <v>14614</v>
      </c>
      <c r="Y4822" s="1" t="s">
        <v>14615</v>
      </c>
      <c r="Z4822" s="1" t="s">
        <v>14616</v>
      </c>
      <c r="AA4822" s="1">
        <v>201900000</v>
      </c>
      <c r="AB4822" s="1">
        <v>35</v>
      </c>
    </row>
    <row r="4823" spans="1:28" x14ac:dyDescent="0.2">
      <c r="A4823" s="1">
        <v>12256</v>
      </c>
      <c r="B4823" s="1" t="s">
        <v>6839</v>
      </c>
      <c r="D4823" s="1" t="s">
        <v>11735</v>
      </c>
      <c r="F4823" s="1" t="s">
        <v>5540</v>
      </c>
      <c r="G4823" s="1" t="s">
        <v>5630</v>
      </c>
      <c r="H4823" s="1" t="s">
        <v>5631</v>
      </c>
      <c r="J4823" s="1" t="s">
        <v>4050</v>
      </c>
      <c r="L4823" s="1" t="s">
        <v>6005</v>
      </c>
      <c r="N4823" s="1" t="s">
        <v>6006</v>
      </c>
      <c r="P4823" s="1" t="s">
        <v>14617</v>
      </c>
      <c r="Q4823" s="3">
        <v>0</v>
      </c>
      <c r="R4823" s="23" t="s">
        <v>13790</v>
      </c>
      <c r="S4823" s="23" t="s">
        <v>6847</v>
      </c>
      <c r="T4823" s="23" t="s">
        <v>4865</v>
      </c>
      <c r="U4823" s="3">
        <v>35</v>
      </c>
      <c r="V4823" s="3" t="s">
        <v>13174</v>
      </c>
      <c r="W4823" s="45" t="str">
        <f>HYPERLINK("http://ictvonline.org/taxonomy/p/taxonomy-history?taxnode_id=201900180","ICTVonline=201900180")</f>
        <v>ICTVonline=201900180</v>
      </c>
      <c r="AA4823" s="1">
        <v>201900000</v>
      </c>
      <c r="AB4823" s="1">
        <v>35</v>
      </c>
    </row>
    <row r="4824" spans="1:28" x14ac:dyDescent="0.2">
      <c r="A4824" s="1">
        <v>12258</v>
      </c>
      <c r="B4824" s="1" t="s">
        <v>6839</v>
      </c>
      <c r="D4824" s="1" t="s">
        <v>11735</v>
      </c>
      <c r="F4824" s="1" t="s">
        <v>5540</v>
      </c>
      <c r="G4824" s="1" t="s">
        <v>5630</v>
      </c>
      <c r="H4824" s="1" t="s">
        <v>5631</v>
      </c>
      <c r="J4824" s="1" t="s">
        <v>4050</v>
      </c>
      <c r="L4824" s="1" t="s">
        <v>6005</v>
      </c>
      <c r="N4824" s="1" t="s">
        <v>6006</v>
      </c>
      <c r="P4824" s="1" t="s">
        <v>14618</v>
      </c>
      <c r="Q4824" s="3">
        <v>0</v>
      </c>
      <c r="R4824" s="23" t="s">
        <v>13790</v>
      </c>
      <c r="S4824" s="23" t="s">
        <v>6847</v>
      </c>
      <c r="T4824" s="23" t="s">
        <v>4865</v>
      </c>
      <c r="U4824" s="3">
        <v>35</v>
      </c>
      <c r="V4824" s="3" t="s">
        <v>13174</v>
      </c>
      <c r="W4824" s="45" t="str">
        <f>HYPERLINK("http://ictvonline.org/taxonomy/p/taxonomy-history?taxnode_id=201900181","ICTVonline=201900181")</f>
        <v>ICTVonline=201900181</v>
      </c>
      <c r="AA4824" s="1">
        <v>201900000</v>
      </c>
      <c r="AB4824" s="1">
        <v>35</v>
      </c>
    </row>
    <row r="4825" spans="1:28" x14ac:dyDescent="0.2">
      <c r="A4825" s="1">
        <v>12260</v>
      </c>
      <c r="B4825" s="1" t="s">
        <v>6839</v>
      </c>
      <c r="D4825" s="1" t="s">
        <v>11735</v>
      </c>
      <c r="F4825" s="1" t="s">
        <v>5540</v>
      </c>
      <c r="G4825" s="1" t="s">
        <v>5630</v>
      </c>
      <c r="H4825" s="1" t="s">
        <v>5631</v>
      </c>
      <c r="J4825" s="1" t="s">
        <v>4050</v>
      </c>
      <c r="L4825" s="1" t="s">
        <v>6005</v>
      </c>
      <c r="N4825" s="1" t="s">
        <v>6006</v>
      </c>
      <c r="P4825" s="1" t="s">
        <v>14619</v>
      </c>
      <c r="Q4825" s="3">
        <v>0</v>
      </c>
      <c r="R4825" s="23" t="s">
        <v>13790</v>
      </c>
      <c r="S4825" s="23" t="s">
        <v>6847</v>
      </c>
      <c r="T4825" s="23" t="s">
        <v>4864</v>
      </c>
      <c r="U4825" s="3">
        <v>35</v>
      </c>
      <c r="V4825" s="3" t="s">
        <v>14592</v>
      </c>
      <c r="W4825" s="45" t="str">
        <f>HYPERLINK("http://ictvonline.org/taxonomy/p/taxonomy-history?taxnode_id=201907248","ICTVonline=201907248")</f>
        <v>ICTVonline=201907248</v>
      </c>
      <c r="X4825" s="1" t="s">
        <v>14620</v>
      </c>
      <c r="Y4825" s="1" t="s">
        <v>14621</v>
      </c>
      <c r="Z4825" s="1" t="s">
        <v>14622</v>
      </c>
      <c r="AA4825" s="1">
        <v>201900000</v>
      </c>
      <c r="AB4825" s="1">
        <v>35</v>
      </c>
    </row>
    <row r="4826" spans="1:28" x14ac:dyDescent="0.2">
      <c r="A4826" s="1">
        <v>12262</v>
      </c>
      <c r="B4826" s="1" t="s">
        <v>6839</v>
      </c>
      <c r="D4826" s="1" t="s">
        <v>11735</v>
      </c>
      <c r="F4826" s="1" t="s">
        <v>5540</v>
      </c>
      <c r="G4826" s="1" t="s">
        <v>5630</v>
      </c>
      <c r="H4826" s="1" t="s">
        <v>5631</v>
      </c>
      <c r="J4826" s="1" t="s">
        <v>4050</v>
      </c>
      <c r="L4826" s="1" t="s">
        <v>6005</v>
      </c>
      <c r="N4826" s="1" t="s">
        <v>6006</v>
      </c>
      <c r="P4826" s="1" t="s">
        <v>14623</v>
      </c>
      <c r="Q4826" s="3">
        <v>0</v>
      </c>
      <c r="R4826" s="23" t="s">
        <v>13790</v>
      </c>
      <c r="S4826" s="23" t="s">
        <v>6847</v>
      </c>
      <c r="T4826" s="23" t="s">
        <v>4865</v>
      </c>
      <c r="U4826" s="3">
        <v>35</v>
      </c>
      <c r="V4826" s="3" t="s">
        <v>13174</v>
      </c>
      <c r="W4826" s="45" t="str">
        <f>HYPERLINK("http://ictvonline.org/taxonomy/p/taxonomy-history?taxnode_id=201900182","ICTVonline=201900182")</f>
        <v>ICTVonline=201900182</v>
      </c>
      <c r="AA4826" s="1">
        <v>201900000</v>
      </c>
      <c r="AB4826" s="1">
        <v>35</v>
      </c>
    </row>
    <row r="4827" spans="1:28" x14ac:dyDescent="0.2">
      <c r="A4827" s="1">
        <v>12264</v>
      </c>
      <c r="B4827" s="1" t="s">
        <v>6839</v>
      </c>
      <c r="D4827" s="1" t="s">
        <v>11735</v>
      </c>
      <c r="F4827" s="1" t="s">
        <v>5540</v>
      </c>
      <c r="G4827" s="1" t="s">
        <v>5630</v>
      </c>
      <c r="H4827" s="1" t="s">
        <v>5631</v>
      </c>
      <c r="J4827" s="1" t="s">
        <v>4050</v>
      </c>
      <c r="L4827" s="1" t="s">
        <v>6005</v>
      </c>
      <c r="N4827" s="1" t="s">
        <v>6006</v>
      </c>
      <c r="P4827" s="1" t="s">
        <v>14624</v>
      </c>
      <c r="Q4827" s="3">
        <v>0</v>
      </c>
      <c r="R4827" s="23" t="s">
        <v>13790</v>
      </c>
      <c r="S4827" s="23" t="s">
        <v>6847</v>
      </c>
      <c r="T4827" s="23" t="s">
        <v>4865</v>
      </c>
      <c r="U4827" s="3">
        <v>35</v>
      </c>
      <c r="V4827" s="3" t="s">
        <v>13174</v>
      </c>
      <c r="W4827" s="45" t="str">
        <f>HYPERLINK("http://ictvonline.org/taxonomy/p/taxonomy-history?taxnode_id=201900183","ICTVonline=201900183")</f>
        <v>ICTVonline=201900183</v>
      </c>
      <c r="AA4827" s="1">
        <v>201900000</v>
      </c>
      <c r="AB4827" s="1">
        <v>35</v>
      </c>
    </row>
    <row r="4828" spans="1:28" x14ac:dyDescent="0.2">
      <c r="A4828" s="1">
        <v>12266</v>
      </c>
      <c r="B4828" s="1" t="s">
        <v>6839</v>
      </c>
      <c r="D4828" s="1" t="s">
        <v>11735</v>
      </c>
      <c r="F4828" s="1" t="s">
        <v>5540</v>
      </c>
      <c r="G4828" s="1" t="s">
        <v>5630</v>
      </c>
      <c r="H4828" s="1" t="s">
        <v>5631</v>
      </c>
      <c r="J4828" s="1" t="s">
        <v>4050</v>
      </c>
      <c r="L4828" s="1" t="s">
        <v>6005</v>
      </c>
      <c r="N4828" s="1" t="s">
        <v>6006</v>
      </c>
      <c r="P4828" s="1" t="s">
        <v>6011</v>
      </c>
      <c r="Q4828" s="3">
        <v>0</v>
      </c>
      <c r="R4828" s="23" t="s">
        <v>13790</v>
      </c>
      <c r="S4828" s="23" t="s">
        <v>6847</v>
      </c>
      <c r="T4828" s="23" t="s">
        <v>4866</v>
      </c>
      <c r="U4828" s="3">
        <v>35</v>
      </c>
      <c r="W4828" s="45" t="str">
        <f>HYPERLINK("http://ictvonline.org/taxonomy/p/taxonomy-history?taxnode_id=201906665","ICTVonline=201906665")</f>
        <v>ICTVonline=201906665</v>
      </c>
      <c r="X4828" s="1" t="s">
        <v>11518</v>
      </c>
      <c r="Y4828" s="1" t="s">
        <v>14625</v>
      </c>
      <c r="Z4828" s="1" t="s">
        <v>14626</v>
      </c>
      <c r="AA4828" s="1">
        <v>201900000</v>
      </c>
      <c r="AB4828" s="1">
        <v>35</v>
      </c>
    </row>
    <row r="4829" spans="1:28" x14ac:dyDescent="0.2">
      <c r="A4829" s="1">
        <v>12268</v>
      </c>
      <c r="B4829" s="1" t="s">
        <v>6839</v>
      </c>
      <c r="D4829" s="1" t="s">
        <v>11735</v>
      </c>
      <c r="F4829" s="1" t="s">
        <v>5540</v>
      </c>
      <c r="G4829" s="1" t="s">
        <v>5630</v>
      </c>
      <c r="H4829" s="1" t="s">
        <v>5631</v>
      </c>
      <c r="J4829" s="1" t="s">
        <v>4050</v>
      </c>
      <c r="L4829" s="1" t="s">
        <v>6005</v>
      </c>
      <c r="N4829" s="1" t="s">
        <v>6006</v>
      </c>
      <c r="P4829" s="1" t="s">
        <v>6012</v>
      </c>
      <c r="Q4829" s="3">
        <v>0</v>
      </c>
      <c r="R4829" s="23" t="s">
        <v>13790</v>
      </c>
      <c r="S4829" s="23" t="s">
        <v>6847</v>
      </c>
      <c r="T4829" s="23" t="s">
        <v>4866</v>
      </c>
      <c r="U4829" s="3">
        <v>35</v>
      </c>
      <c r="W4829" s="45" t="str">
        <f>HYPERLINK("http://ictvonline.org/taxonomy/p/taxonomy-history?taxnode_id=201906666","ICTVonline=201906666")</f>
        <v>ICTVonline=201906666</v>
      </c>
      <c r="X4829" s="1" t="s">
        <v>13393</v>
      </c>
      <c r="Y4829" s="1" t="s">
        <v>14627</v>
      </c>
      <c r="Z4829" s="1" t="s">
        <v>14628</v>
      </c>
      <c r="AA4829" s="1">
        <v>201900000</v>
      </c>
      <c r="AB4829" s="1">
        <v>35</v>
      </c>
    </row>
    <row r="4830" spans="1:28" x14ac:dyDescent="0.2">
      <c r="A4830" s="1">
        <v>12270</v>
      </c>
      <c r="B4830" s="1" t="s">
        <v>6839</v>
      </c>
      <c r="D4830" s="1" t="s">
        <v>11735</v>
      </c>
      <c r="F4830" s="1" t="s">
        <v>5540</v>
      </c>
      <c r="G4830" s="1" t="s">
        <v>5630</v>
      </c>
      <c r="H4830" s="1" t="s">
        <v>5631</v>
      </c>
      <c r="J4830" s="1" t="s">
        <v>4050</v>
      </c>
      <c r="L4830" s="1" t="s">
        <v>6005</v>
      </c>
      <c r="N4830" s="1" t="s">
        <v>6006</v>
      </c>
      <c r="P4830" s="1" t="s">
        <v>14629</v>
      </c>
      <c r="Q4830" s="3">
        <v>0</v>
      </c>
      <c r="R4830" s="23" t="s">
        <v>13790</v>
      </c>
      <c r="S4830" s="23" t="s">
        <v>6847</v>
      </c>
      <c r="T4830" s="23" t="s">
        <v>4864</v>
      </c>
      <c r="U4830" s="3">
        <v>35</v>
      </c>
      <c r="V4830" s="3" t="s">
        <v>14592</v>
      </c>
      <c r="W4830" s="45" t="str">
        <f>HYPERLINK("http://ictvonline.org/taxonomy/p/taxonomy-history?taxnode_id=201907249","ICTVonline=201907249")</f>
        <v>ICTVonline=201907249</v>
      </c>
      <c r="X4830" s="1" t="s">
        <v>14630</v>
      </c>
      <c r="Y4830" s="1" t="s">
        <v>14631</v>
      </c>
      <c r="Z4830" s="1" t="s">
        <v>14632</v>
      </c>
      <c r="AA4830" s="1">
        <v>201900000</v>
      </c>
      <c r="AB4830" s="1">
        <v>35</v>
      </c>
    </row>
    <row r="4831" spans="1:28" x14ac:dyDescent="0.2">
      <c r="A4831" s="1">
        <v>12272</v>
      </c>
      <c r="B4831" s="1" t="s">
        <v>6839</v>
      </c>
      <c r="D4831" s="1" t="s">
        <v>11735</v>
      </c>
      <c r="F4831" s="1" t="s">
        <v>5540</v>
      </c>
      <c r="G4831" s="1" t="s">
        <v>5630</v>
      </c>
      <c r="H4831" s="1" t="s">
        <v>5631</v>
      </c>
      <c r="J4831" s="1" t="s">
        <v>4050</v>
      </c>
      <c r="L4831" s="1" t="s">
        <v>6005</v>
      </c>
      <c r="N4831" s="1" t="s">
        <v>6006</v>
      </c>
      <c r="P4831" s="1" t="s">
        <v>14633</v>
      </c>
      <c r="Q4831" s="3">
        <v>0</v>
      </c>
      <c r="R4831" s="23" t="s">
        <v>13790</v>
      </c>
      <c r="S4831" s="23" t="s">
        <v>6847</v>
      </c>
      <c r="T4831" s="23" t="s">
        <v>4864</v>
      </c>
      <c r="U4831" s="3">
        <v>35</v>
      </c>
      <c r="V4831" s="3" t="s">
        <v>14592</v>
      </c>
      <c r="W4831" s="45" t="str">
        <f>HYPERLINK("http://ictvonline.org/taxonomy/p/taxonomy-history?taxnode_id=201907250","ICTVonline=201907250")</f>
        <v>ICTVonline=201907250</v>
      </c>
      <c r="X4831" s="1" t="s">
        <v>14634</v>
      </c>
      <c r="Y4831" s="1" t="s">
        <v>14635</v>
      </c>
      <c r="Z4831" s="1" t="s">
        <v>14636</v>
      </c>
      <c r="AA4831" s="1">
        <v>201900000</v>
      </c>
      <c r="AB4831" s="1">
        <v>35</v>
      </c>
    </row>
    <row r="4832" spans="1:28" x14ac:dyDescent="0.2">
      <c r="A4832" s="1">
        <v>12274</v>
      </c>
      <c r="B4832" s="1" t="s">
        <v>6839</v>
      </c>
      <c r="D4832" s="1" t="s">
        <v>11735</v>
      </c>
      <c r="F4832" s="1" t="s">
        <v>5540</v>
      </c>
      <c r="G4832" s="1" t="s">
        <v>5630</v>
      </c>
      <c r="H4832" s="1" t="s">
        <v>5631</v>
      </c>
      <c r="J4832" s="1" t="s">
        <v>4050</v>
      </c>
      <c r="L4832" s="1" t="s">
        <v>6005</v>
      </c>
      <c r="N4832" s="1" t="s">
        <v>6006</v>
      </c>
      <c r="P4832" s="1" t="s">
        <v>14637</v>
      </c>
      <c r="Q4832" s="3">
        <v>0</v>
      </c>
      <c r="R4832" s="23" t="s">
        <v>13790</v>
      </c>
      <c r="S4832" s="23" t="s">
        <v>6847</v>
      </c>
      <c r="T4832" s="23" t="s">
        <v>4865</v>
      </c>
      <c r="U4832" s="3">
        <v>35</v>
      </c>
      <c r="V4832" s="3" t="s">
        <v>13174</v>
      </c>
      <c r="W4832" s="45" t="str">
        <f>HYPERLINK("http://ictvonline.org/taxonomy/p/taxonomy-history?taxnode_id=201900184","ICTVonline=201900184")</f>
        <v>ICTVonline=201900184</v>
      </c>
      <c r="AA4832" s="1">
        <v>201900000</v>
      </c>
      <c r="AB4832" s="1">
        <v>35</v>
      </c>
    </row>
    <row r="4833" spans="1:28" x14ac:dyDescent="0.2">
      <c r="A4833" s="1">
        <v>12276</v>
      </c>
      <c r="B4833" s="1" t="s">
        <v>6839</v>
      </c>
      <c r="D4833" s="1" t="s">
        <v>11735</v>
      </c>
      <c r="F4833" s="1" t="s">
        <v>5540</v>
      </c>
      <c r="G4833" s="1" t="s">
        <v>5630</v>
      </c>
      <c r="H4833" s="1" t="s">
        <v>5631</v>
      </c>
      <c r="J4833" s="1" t="s">
        <v>4050</v>
      </c>
      <c r="L4833" s="1" t="s">
        <v>6005</v>
      </c>
      <c r="N4833" s="1" t="s">
        <v>6006</v>
      </c>
      <c r="P4833" s="1" t="s">
        <v>6013</v>
      </c>
      <c r="Q4833" s="3">
        <v>0</v>
      </c>
      <c r="R4833" s="23" t="s">
        <v>13790</v>
      </c>
      <c r="S4833" s="23" t="s">
        <v>6847</v>
      </c>
      <c r="T4833" s="23" t="s">
        <v>4866</v>
      </c>
      <c r="U4833" s="3">
        <v>35</v>
      </c>
      <c r="W4833" s="45" t="str">
        <f>HYPERLINK("http://ictvonline.org/taxonomy/p/taxonomy-history?taxnode_id=201906667","ICTVonline=201906667")</f>
        <v>ICTVonline=201906667</v>
      </c>
      <c r="X4833" s="1" t="s">
        <v>14638</v>
      </c>
      <c r="Y4833" s="1" t="s">
        <v>14639</v>
      </c>
      <c r="Z4833" s="1" t="s">
        <v>14640</v>
      </c>
      <c r="AA4833" s="1">
        <v>201900000</v>
      </c>
      <c r="AB4833" s="1">
        <v>35</v>
      </c>
    </row>
    <row r="4834" spans="1:28" x14ac:dyDescent="0.2">
      <c r="A4834" s="1">
        <v>12278</v>
      </c>
      <c r="B4834" s="1" t="s">
        <v>6839</v>
      </c>
      <c r="D4834" s="1" t="s">
        <v>11735</v>
      </c>
      <c r="F4834" s="1" t="s">
        <v>5540</v>
      </c>
      <c r="G4834" s="1" t="s">
        <v>5630</v>
      </c>
      <c r="H4834" s="1" t="s">
        <v>5631</v>
      </c>
      <c r="J4834" s="1" t="s">
        <v>4050</v>
      </c>
      <c r="L4834" s="1" t="s">
        <v>6005</v>
      </c>
      <c r="N4834" s="1" t="s">
        <v>6006</v>
      </c>
      <c r="P4834" s="1" t="s">
        <v>14641</v>
      </c>
      <c r="Q4834" s="3">
        <v>0</v>
      </c>
      <c r="R4834" s="23" t="s">
        <v>13790</v>
      </c>
      <c r="S4834" s="23" t="s">
        <v>6847</v>
      </c>
      <c r="T4834" s="23" t="s">
        <v>4865</v>
      </c>
      <c r="U4834" s="3">
        <v>35</v>
      </c>
      <c r="V4834" s="3" t="s">
        <v>13174</v>
      </c>
      <c r="W4834" s="45" t="str">
        <f>HYPERLINK("http://ictvonline.org/taxonomy/p/taxonomy-history?taxnode_id=201900185","ICTVonline=201900185")</f>
        <v>ICTVonline=201900185</v>
      </c>
      <c r="AA4834" s="1">
        <v>201900000</v>
      </c>
      <c r="AB4834" s="1">
        <v>35</v>
      </c>
    </row>
    <row r="4835" spans="1:28" x14ac:dyDescent="0.2">
      <c r="A4835" s="1">
        <v>12280</v>
      </c>
      <c r="B4835" s="1" t="s">
        <v>6839</v>
      </c>
      <c r="D4835" s="1" t="s">
        <v>11735</v>
      </c>
      <c r="F4835" s="1" t="s">
        <v>5540</v>
      </c>
      <c r="G4835" s="1" t="s">
        <v>5630</v>
      </c>
      <c r="H4835" s="1" t="s">
        <v>5631</v>
      </c>
      <c r="J4835" s="1" t="s">
        <v>4050</v>
      </c>
      <c r="L4835" s="1" t="s">
        <v>6005</v>
      </c>
      <c r="N4835" s="1" t="s">
        <v>6006</v>
      </c>
      <c r="P4835" s="1" t="s">
        <v>14642</v>
      </c>
      <c r="Q4835" s="3">
        <v>1</v>
      </c>
      <c r="R4835" s="23" t="s">
        <v>13790</v>
      </c>
      <c r="S4835" s="23" t="s">
        <v>6847</v>
      </c>
      <c r="T4835" s="23" t="s">
        <v>4865</v>
      </c>
      <c r="U4835" s="3">
        <v>35</v>
      </c>
      <c r="V4835" s="3" t="s">
        <v>13174</v>
      </c>
      <c r="W4835" s="45" t="str">
        <f>HYPERLINK("http://ictvonline.org/taxonomy/p/taxonomy-history?taxnode_id=201900186","ICTVonline=201900186")</f>
        <v>ICTVonline=201900186</v>
      </c>
      <c r="AA4835" s="1">
        <v>201900000</v>
      </c>
      <c r="AB4835" s="1">
        <v>35</v>
      </c>
    </row>
    <row r="4836" spans="1:28" x14ac:dyDescent="0.2">
      <c r="A4836" s="1">
        <v>12282</v>
      </c>
      <c r="B4836" s="1" t="s">
        <v>6839</v>
      </c>
      <c r="D4836" s="1" t="s">
        <v>11735</v>
      </c>
      <c r="F4836" s="1" t="s">
        <v>5540</v>
      </c>
      <c r="G4836" s="1" t="s">
        <v>5630</v>
      </c>
      <c r="H4836" s="1" t="s">
        <v>5631</v>
      </c>
      <c r="J4836" s="1" t="s">
        <v>4050</v>
      </c>
      <c r="L4836" s="1" t="s">
        <v>6005</v>
      </c>
      <c r="N4836" s="1" t="s">
        <v>6006</v>
      </c>
      <c r="P4836" s="1" t="s">
        <v>14643</v>
      </c>
      <c r="Q4836" s="3">
        <v>0</v>
      </c>
      <c r="R4836" s="23" t="s">
        <v>13790</v>
      </c>
      <c r="S4836" s="23" t="s">
        <v>6847</v>
      </c>
      <c r="T4836" s="23" t="s">
        <v>4864</v>
      </c>
      <c r="U4836" s="3">
        <v>35</v>
      </c>
      <c r="V4836" s="3" t="s">
        <v>14592</v>
      </c>
      <c r="W4836" s="45" t="str">
        <f>HYPERLINK("http://ictvonline.org/taxonomy/p/taxonomy-history?taxnode_id=201907251","ICTVonline=201907251")</f>
        <v>ICTVonline=201907251</v>
      </c>
      <c r="X4836" s="1" t="s">
        <v>14644</v>
      </c>
      <c r="Y4836" s="1" t="s">
        <v>14645</v>
      </c>
      <c r="Z4836" s="1" t="s">
        <v>14646</v>
      </c>
      <c r="AA4836" s="1">
        <v>201900000</v>
      </c>
      <c r="AB4836" s="1">
        <v>35</v>
      </c>
    </row>
    <row r="4837" spans="1:28" x14ac:dyDescent="0.2">
      <c r="A4837" s="1">
        <v>12284</v>
      </c>
      <c r="B4837" s="1" t="s">
        <v>6839</v>
      </c>
      <c r="D4837" s="1" t="s">
        <v>11735</v>
      </c>
      <c r="F4837" s="1" t="s">
        <v>5540</v>
      </c>
      <c r="G4837" s="1" t="s">
        <v>5630</v>
      </c>
      <c r="H4837" s="1" t="s">
        <v>5631</v>
      </c>
      <c r="J4837" s="1" t="s">
        <v>4050</v>
      </c>
      <c r="L4837" s="1" t="s">
        <v>6005</v>
      </c>
      <c r="N4837" s="1" t="s">
        <v>6006</v>
      </c>
      <c r="P4837" s="1" t="s">
        <v>14647</v>
      </c>
      <c r="Q4837" s="3">
        <v>0</v>
      </c>
      <c r="R4837" s="23" t="s">
        <v>13790</v>
      </c>
      <c r="S4837" s="23" t="s">
        <v>6847</v>
      </c>
      <c r="T4837" s="23" t="s">
        <v>4864</v>
      </c>
      <c r="U4837" s="3">
        <v>35</v>
      </c>
      <c r="V4837" s="3" t="s">
        <v>14592</v>
      </c>
      <c r="W4837" s="45" t="str">
        <f>HYPERLINK("http://ictvonline.org/taxonomy/p/taxonomy-history?taxnode_id=201907252","ICTVonline=201907252")</f>
        <v>ICTVonline=201907252</v>
      </c>
      <c r="X4837" s="1" t="s">
        <v>14648</v>
      </c>
      <c r="Y4837" s="1" t="s">
        <v>14649</v>
      </c>
      <c r="Z4837" s="1" t="s">
        <v>14650</v>
      </c>
      <c r="AA4837" s="1">
        <v>201900000</v>
      </c>
      <c r="AB4837" s="1">
        <v>35</v>
      </c>
    </row>
    <row r="4838" spans="1:28" x14ac:dyDescent="0.2">
      <c r="A4838" s="1">
        <v>12286</v>
      </c>
      <c r="B4838" s="1" t="s">
        <v>6839</v>
      </c>
      <c r="D4838" s="1" t="s">
        <v>11735</v>
      </c>
      <c r="F4838" s="1" t="s">
        <v>5540</v>
      </c>
      <c r="G4838" s="1" t="s">
        <v>5630</v>
      </c>
      <c r="H4838" s="1" t="s">
        <v>5631</v>
      </c>
      <c r="J4838" s="1" t="s">
        <v>4050</v>
      </c>
      <c r="L4838" s="1" t="s">
        <v>6005</v>
      </c>
      <c r="N4838" s="1" t="s">
        <v>6006</v>
      </c>
      <c r="P4838" s="1" t="s">
        <v>14651</v>
      </c>
      <c r="Q4838" s="3">
        <v>0</v>
      </c>
      <c r="R4838" s="23" t="s">
        <v>13790</v>
      </c>
      <c r="S4838" s="23" t="s">
        <v>6847</v>
      </c>
      <c r="T4838" s="23" t="s">
        <v>4865</v>
      </c>
      <c r="U4838" s="3">
        <v>35</v>
      </c>
      <c r="V4838" s="3" t="s">
        <v>13174</v>
      </c>
      <c r="W4838" s="45" t="str">
        <f>HYPERLINK("http://ictvonline.org/taxonomy/p/taxonomy-history?taxnode_id=201900187","ICTVonline=201900187")</f>
        <v>ICTVonline=201900187</v>
      </c>
      <c r="AA4838" s="1">
        <v>201900000</v>
      </c>
      <c r="AB4838" s="1">
        <v>35</v>
      </c>
    </row>
    <row r="4839" spans="1:28" x14ac:dyDescent="0.2">
      <c r="A4839" s="1">
        <v>12288</v>
      </c>
      <c r="B4839" s="1" t="s">
        <v>6839</v>
      </c>
      <c r="D4839" s="1" t="s">
        <v>11735</v>
      </c>
      <c r="F4839" s="1" t="s">
        <v>5540</v>
      </c>
      <c r="G4839" s="1" t="s">
        <v>5630</v>
      </c>
      <c r="H4839" s="1" t="s">
        <v>5631</v>
      </c>
      <c r="J4839" s="1" t="s">
        <v>4050</v>
      </c>
      <c r="L4839" s="1" t="s">
        <v>6005</v>
      </c>
      <c r="N4839" s="1" t="s">
        <v>6006</v>
      </c>
      <c r="P4839" s="1" t="s">
        <v>14652</v>
      </c>
      <c r="Q4839" s="3">
        <v>0</v>
      </c>
      <c r="R4839" s="23" t="s">
        <v>13790</v>
      </c>
      <c r="S4839" s="23" t="s">
        <v>6847</v>
      </c>
      <c r="T4839" s="23" t="s">
        <v>4865</v>
      </c>
      <c r="U4839" s="3">
        <v>35</v>
      </c>
      <c r="V4839" s="3" t="s">
        <v>13174</v>
      </c>
      <c r="W4839" s="45" t="str">
        <f>HYPERLINK("http://ictvonline.org/taxonomy/p/taxonomy-history?taxnode_id=201900188","ICTVonline=201900188")</f>
        <v>ICTVonline=201900188</v>
      </c>
      <c r="AA4839" s="1">
        <v>201900000</v>
      </c>
      <c r="AB4839" s="1">
        <v>35</v>
      </c>
    </row>
    <row r="4840" spans="1:28" x14ac:dyDescent="0.2">
      <c r="A4840" s="1">
        <v>12290</v>
      </c>
      <c r="B4840" s="1" t="s">
        <v>6839</v>
      </c>
      <c r="D4840" s="1" t="s">
        <v>11735</v>
      </c>
      <c r="F4840" s="1" t="s">
        <v>5540</v>
      </c>
      <c r="G4840" s="1" t="s">
        <v>5630</v>
      </c>
      <c r="H4840" s="1" t="s">
        <v>5631</v>
      </c>
      <c r="J4840" s="1" t="s">
        <v>4050</v>
      </c>
      <c r="L4840" s="1" t="s">
        <v>6005</v>
      </c>
      <c r="N4840" s="1" t="s">
        <v>6006</v>
      </c>
      <c r="P4840" s="1" t="s">
        <v>14653</v>
      </c>
      <c r="Q4840" s="3">
        <v>0</v>
      </c>
      <c r="R4840" s="23" t="s">
        <v>13790</v>
      </c>
      <c r="S4840" s="23" t="s">
        <v>6847</v>
      </c>
      <c r="T4840" s="23" t="s">
        <v>4865</v>
      </c>
      <c r="U4840" s="3">
        <v>35</v>
      </c>
      <c r="V4840" s="3" t="s">
        <v>13174</v>
      </c>
      <c r="W4840" s="45" t="str">
        <f>HYPERLINK("http://ictvonline.org/taxonomy/p/taxonomy-history?taxnode_id=201900189","ICTVonline=201900189")</f>
        <v>ICTVonline=201900189</v>
      </c>
      <c r="AA4840" s="1">
        <v>201900000</v>
      </c>
      <c r="AB4840" s="1">
        <v>35</v>
      </c>
    </row>
    <row r="4841" spans="1:28" x14ac:dyDescent="0.2">
      <c r="A4841" s="1">
        <v>12296</v>
      </c>
      <c r="B4841" s="1" t="s">
        <v>6839</v>
      </c>
      <c r="D4841" s="1" t="s">
        <v>11735</v>
      </c>
      <c r="F4841" s="1" t="s">
        <v>5540</v>
      </c>
      <c r="G4841" s="1" t="s">
        <v>5630</v>
      </c>
      <c r="H4841" s="1" t="s">
        <v>5631</v>
      </c>
      <c r="J4841" s="1" t="s">
        <v>4050</v>
      </c>
      <c r="L4841" s="1" t="s">
        <v>5671</v>
      </c>
      <c r="N4841" s="1" t="s">
        <v>5672</v>
      </c>
      <c r="P4841" s="1" t="s">
        <v>5673</v>
      </c>
      <c r="Q4841" s="3">
        <v>1</v>
      </c>
      <c r="R4841" s="23" t="s">
        <v>12893</v>
      </c>
      <c r="S4841" s="23" t="s">
        <v>6847</v>
      </c>
      <c r="T4841" s="23" t="s">
        <v>4866</v>
      </c>
      <c r="U4841" s="3">
        <v>35</v>
      </c>
      <c r="W4841" s="45" t="str">
        <f>HYPERLINK("http://ictvonline.org/taxonomy/p/taxonomy-history?taxnode_id=201906242","ICTVonline=201906242")</f>
        <v>ICTVonline=201906242</v>
      </c>
      <c r="X4841" s="1" t="s">
        <v>14654</v>
      </c>
      <c r="Y4841" s="1" t="s">
        <v>14655</v>
      </c>
      <c r="Z4841" s="1" t="s">
        <v>14656</v>
      </c>
      <c r="AA4841" s="1">
        <v>201900000</v>
      </c>
      <c r="AB4841" s="1">
        <v>35</v>
      </c>
    </row>
    <row r="4842" spans="1:28" x14ac:dyDescent="0.2">
      <c r="A4842" s="1">
        <v>12306</v>
      </c>
      <c r="B4842" s="1" t="s">
        <v>6839</v>
      </c>
      <c r="D4842" s="1" t="s">
        <v>11735</v>
      </c>
      <c r="F4842" s="1" t="s">
        <v>5540</v>
      </c>
      <c r="G4842" s="1" t="s">
        <v>5630</v>
      </c>
      <c r="H4842" s="1" t="s">
        <v>5674</v>
      </c>
      <c r="J4842" s="1" t="s">
        <v>5675</v>
      </c>
      <c r="L4842" s="1" t="s">
        <v>5676</v>
      </c>
      <c r="N4842" s="1" t="s">
        <v>4858</v>
      </c>
      <c r="P4842" s="1" t="s">
        <v>4859</v>
      </c>
      <c r="Q4842" s="3">
        <v>1</v>
      </c>
      <c r="R4842" s="23" t="s">
        <v>12893</v>
      </c>
      <c r="S4842" s="23" t="s">
        <v>6846</v>
      </c>
      <c r="T4842" s="23" t="s">
        <v>4866</v>
      </c>
      <c r="U4842" s="3">
        <v>35</v>
      </c>
      <c r="W4842" s="45" t="str">
        <f>HYPERLINK("http://ictvonline.org/taxonomy/p/taxonomy-history?taxnode_id=201905391","ICTVonline=201905391")</f>
        <v>ICTVonline=201905391</v>
      </c>
      <c r="Y4842" s="1" t="s">
        <v>14657</v>
      </c>
      <c r="Z4842" s="1" t="s">
        <v>14658</v>
      </c>
      <c r="AA4842" s="1">
        <v>201900000</v>
      </c>
      <c r="AB4842" s="1">
        <v>35</v>
      </c>
    </row>
    <row r="4843" spans="1:28" x14ac:dyDescent="0.2">
      <c r="A4843" s="1">
        <v>12312</v>
      </c>
      <c r="B4843" s="1" t="s">
        <v>6839</v>
      </c>
      <c r="D4843" s="1" t="s">
        <v>11735</v>
      </c>
      <c r="F4843" s="1" t="s">
        <v>5540</v>
      </c>
      <c r="G4843" s="1" t="s">
        <v>5630</v>
      </c>
      <c r="H4843" s="1" t="s">
        <v>5674</v>
      </c>
      <c r="J4843" s="1" t="s">
        <v>5675</v>
      </c>
      <c r="L4843" s="1" t="s">
        <v>1612</v>
      </c>
      <c r="N4843" s="1" t="s">
        <v>5388</v>
      </c>
      <c r="P4843" s="1" t="s">
        <v>903</v>
      </c>
      <c r="Q4843" s="3">
        <v>1</v>
      </c>
      <c r="R4843" s="23" t="s">
        <v>12893</v>
      </c>
      <c r="S4843" s="23" t="s">
        <v>6846</v>
      </c>
      <c r="T4843" s="23" t="s">
        <v>4866</v>
      </c>
      <c r="U4843" s="3">
        <v>35</v>
      </c>
      <c r="W4843" s="45" t="str">
        <f>HYPERLINK("http://ictvonline.org/taxonomy/p/taxonomy-history?taxnode_id=201903956","ICTVonline=201903956")</f>
        <v>ICTVonline=201903956</v>
      </c>
      <c r="AA4843" s="1">
        <v>201900000</v>
      </c>
      <c r="AB4843" s="1">
        <v>35</v>
      </c>
    </row>
    <row r="4844" spans="1:28" x14ac:dyDescent="0.2">
      <c r="A4844" s="1">
        <v>12316</v>
      </c>
      <c r="B4844" s="1" t="s">
        <v>6839</v>
      </c>
      <c r="D4844" s="1" t="s">
        <v>11735</v>
      </c>
      <c r="F4844" s="1" t="s">
        <v>5540</v>
      </c>
      <c r="G4844" s="1" t="s">
        <v>5630</v>
      </c>
      <c r="H4844" s="1" t="s">
        <v>5674</v>
      </c>
      <c r="J4844" s="1" t="s">
        <v>5675</v>
      </c>
      <c r="L4844" s="1" t="s">
        <v>1612</v>
      </c>
      <c r="N4844" s="1" t="s">
        <v>5389</v>
      </c>
      <c r="P4844" s="1" t="s">
        <v>821</v>
      </c>
      <c r="Q4844" s="3">
        <v>1</v>
      </c>
      <c r="R4844" s="23" t="s">
        <v>12893</v>
      </c>
      <c r="S4844" s="23" t="s">
        <v>6846</v>
      </c>
      <c r="T4844" s="23" t="s">
        <v>4866</v>
      </c>
      <c r="U4844" s="3">
        <v>35</v>
      </c>
      <c r="W4844" s="45" t="str">
        <f>HYPERLINK("http://ictvonline.org/taxonomy/p/taxonomy-history?taxnode_id=201903958","ICTVonline=201903958")</f>
        <v>ICTVonline=201903958</v>
      </c>
      <c r="AA4844" s="1">
        <v>201900000</v>
      </c>
      <c r="AB4844" s="1">
        <v>35</v>
      </c>
    </row>
    <row r="4845" spans="1:28" x14ac:dyDescent="0.2">
      <c r="A4845" s="1">
        <v>12320</v>
      </c>
      <c r="B4845" s="1" t="s">
        <v>6839</v>
      </c>
      <c r="D4845" s="1" t="s">
        <v>11735</v>
      </c>
      <c r="F4845" s="1" t="s">
        <v>5540</v>
      </c>
      <c r="G4845" s="1" t="s">
        <v>5630</v>
      </c>
      <c r="H4845" s="1" t="s">
        <v>5674</v>
      </c>
      <c r="J4845" s="1" t="s">
        <v>5675</v>
      </c>
      <c r="L4845" s="1" t="s">
        <v>1612</v>
      </c>
      <c r="N4845" s="1" t="s">
        <v>5390</v>
      </c>
      <c r="P4845" s="1" t="s">
        <v>4756</v>
      </c>
      <c r="Q4845" s="3">
        <v>1</v>
      </c>
      <c r="R4845" s="23" t="s">
        <v>12893</v>
      </c>
      <c r="S4845" s="23" t="s">
        <v>6846</v>
      </c>
      <c r="T4845" s="23" t="s">
        <v>4866</v>
      </c>
      <c r="U4845" s="3">
        <v>35</v>
      </c>
      <c r="W4845" s="45" t="str">
        <f>HYPERLINK("http://ictvonline.org/taxonomy/p/taxonomy-history?taxnode_id=201903962","ICTVonline=201903962")</f>
        <v>ICTVonline=201903962</v>
      </c>
      <c r="Y4845" s="1" t="s">
        <v>14659</v>
      </c>
      <c r="Z4845" s="1" t="s">
        <v>14660</v>
      </c>
      <c r="AA4845" s="1">
        <v>201900000</v>
      </c>
      <c r="AB4845" s="1">
        <v>35</v>
      </c>
    </row>
    <row r="4846" spans="1:28" x14ac:dyDescent="0.2">
      <c r="A4846" s="1">
        <v>12324</v>
      </c>
      <c r="B4846" s="1" t="s">
        <v>6839</v>
      </c>
      <c r="D4846" s="1" t="s">
        <v>11735</v>
      </c>
      <c r="F4846" s="1" t="s">
        <v>5540</v>
      </c>
      <c r="G4846" s="1" t="s">
        <v>5630</v>
      </c>
      <c r="H4846" s="1" t="s">
        <v>5674</v>
      </c>
      <c r="J4846" s="1" t="s">
        <v>5675</v>
      </c>
      <c r="L4846" s="1" t="s">
        <v>1612</v>
      </c>
      <c r="N4846" s="1" t="s">
        <v>5391</v>
      </c>
      <c r="P4846" s="1" t="s">
        <v>822</v>
      </c>
      <c r="Q4846" s="3">
        <v>1</v>
      </c>
      <c r="R4846" s="23" t="s">
        <v>12893</v>
      </c>
      <c r="S4846" s="23" t="s">
        <v>6846</v>
      </c>
      <c r="T4846" s="23" t="s">
        <v>4866</v>
      </c>
      <c r="U4846" s="3">
        <v>35</v>
      </c>
      <c r="W4846" s="45" t="str">
        <f>HYPERLINK("http://ictvonline.org/taxonomy/p/taxonomy-history?taxnode_id=201903960","ICTVonline=201903960")</f>
        <v>ICTVonline=201903960</v>
      </c>
      <c r="Y4846" s="49"/>
      <c r="Z4846" s="49"/>
      <c r="AA4846" s="1">
        <v>201900000</v>
      </c>
      <c r="AB4846" s="49">
        <v>35</v>
      </c>
    </row>
    <row r="4847" spans="1:28" x14ac:dyDescent="0.2">
      <c r="A4847" s="1">
        <v>12328</v>
      </c>
      <c r="B4847" s="1" t="s">
        <v>6839</v>
      </c>
      <c r="D4847" s="1" t="s">
        <v>11735</v>
      </c>
      <c r="F4847" s="1" t="s">
        <v>5540</v>
      </c>
      <c r="G4847" s="1" t="s">
        <v>5630</v>
      </c>
      <c r="H4847" s="1" t="s">
        <v>5674</v>
      </c>
      <c r="J4847" s="1" t="s">
        <v>5675</v>
      </c>
      <c r="L4847" s="1" t="s">
        <v>1612</v>
      </c>
      <c r="N4847" s="1" t="s">
        <v>823</v>
      </c>
      <c r="P4847" s="1" t="s">
        <v>5392</v>
      </c>
      <c r="Q4847" s="3">
        <v>1</v>
      </c>
      <c r="R4847" s="23" t="s">
        <v>12893</v>
      </c>
      <c r="S4847" s="23" t="s">
        <v>6846</v>
      </c>
      <c r="T4847" s="23" t="s">
        <v>4866</v>
      </c>
      <c r="U4847" s="3">
        <v>35</v>
      </c>
      <c r="W4847" s="45" t="str">
        <f>HYPERLINK("http://ictvonline.org/taxonomy/p/taxonomy-history?taxnode_id=201903964","ICTVonline=201903964")</f>
        <v>ICTVonline=201903964</v>
      </c>
      <c r="Y4847" s="49"/>
      <c r="Z4847" s="49"/>
      <c r="AA4847" s="1">
        <v>201900000</v>
      </c>
      <c r="AB4847" s="49">
        <v>35</v>
      </c>
    </row>
    <row r="4848" spans="1:28" x14ac:dyDescent="0.2">
      <c r="A4848" s="1">
        <v>12332</v>
      </c>
      <c r="B4848" s="1" t="s">
        <v>6839</v>
      </c>
      <c r="D4848" s="1" t="s">
        <v>11735</v>
      </c>
      <c r="F4848" s="1" t="s">
        <v>5540</v>
      </c>
      <c r="G4848" s="1" t="s">
        <v>5630</v>
      </c>
      <c r="H4848" s="1" t="s">
        <v>5674</v>
      </c>
      <c r="J4848" s="1" t="s">
        <v>5675</v>
      </c>
      <c r="L4848" s="1" t="s">
        <v>1612</v>
      </c>
      <c r="N4848" s="1" t="s">
        <v>2257</v>
      </c>
      <c r="P4848" s="1" t="s">
        <v>5393</v>
      </c>
      <c r="Q4848" s="3">
        <v>0</v>
      </c>
      <c r="R4848" s="23" t="s">
        <v>12893</v>
      </c>
      <c r="S4848" s="23" t="s">
        <v>6846</v>
      </c>
      <c r="T4848" s="23" t="s">
        <v>4866</v>
      </c>
      <c r="U4848" s="3">
        <v>35</v>
      </c>
      <c r="W4848" s="45" t="str">
        <f>HYPERLINK("http://ictvonline.org/taxonomy/p/taxonomy-history?taxnode_id=201903966","ICTVonline=201903966")</f>
        <v>ICTVonline=201903966</v>
      </c>
      <c r="AA4848" s="1">
        <v>201900000</v>
      </c>
      <c r="AB4848" s="1">
        <v>35</v>
      </c>
    </row>
    <row r="4849" spans="1:28" x14ac:dyDescent="0.2">
      <c r="A4849" s="1">
        <v>12334</v>
      </c>
      <c r="B4849" s="1" t="s">
        <v>6839</v>
      </c>
      <c r="D4849" s="1" t="s">
        <v>11735</v>
      </c>
      <c r="F4849" s="1" t="s">
        <v>5540</v>
      </c>
      <c r="G4849" s="1" t="s">
        <v>5630</v>
      </c>
      <c r="H4849" s="1" t="s">
        <v>5674</v>
      </c>
      <c r="J4849" s="1" t="s">
        <v>5675</v>
      </c>
      <c r="L4849" s="1" t="s">
        <v>1612</v>
      </c>
      <c r="N4849" s="1" t="s">
        <v>2257</v>
      </c>
      <c r="P4849" s="1" t="s">
        <v>5394</v>
      </c>
      <c r="Q4849" s="3">
        <v>1</v>
      </c>
      <c r="R4849" s="23" t="s">
        <v>12893</v>
      </c>
      <c r="S4849" s="23" t="s">
        <v>6846</v>
      </c>
      <c r="T4849" s="23" t="s">
        <v>4866</v>
      </c>
      <c r="U4849" s="3">
        <v>35</v>
      </c>
      <c r="W4849" s="45" t="str">
        <f>HYPERLINK("http://ictvonline.org/taxonomy/p/taxonomy-history?taxnode_id=201903967","ICTVonline=201903967")</f>
        <v>ICTVonline=201903967</v>
      </c>
      <c r="AA4849" s="1">
        <v>201900000</v>
      </c>
      <c r="AB4849" s="1">
        <v>35</v>
      </c>
    </row>
    <row r="4850" spans="1:28" x14ac:dyDescent="0.2">
      <c r="A4850" s="1">
        <v>12338</v>
      </c>
      <c r="B4850" s="1" t="s">
        <v>6839</v>
      </c>
      <c r="D4850" s="1" t="s">
        <v>11735</v>
      </c>
      <c r="F4850" s="1" t="s">
        <v>5540</v>
      </c>
      <c r="G4850" s="1" t="s">
        <v>5630</v>
      </c>
      <c r="H4850" s="1" t="s">
        <v>5674</v>
      </c>
      <c r="J4850" s="1" t="s">
        <v>5675</v>
      </c>
      <c r="L4850" s="1" t="s">
        <v>1612</v>
      </c>
      <c r="N4850" s="1" t="s">
        <v>824</v>
      </c>
      <c r="P4850" s="1" t="s">
        <v>5395</v>
      </c>
      <c r="Q4850" s="3">
        <v>0</v>
      </c>
      <c r="R4850" s="23" t="s">
        <v>12893</v>
      </c>
      <c r="S4850" s="23" t="s">
        <v>6846</v>
      </c>
      <c r="T4850" s="23" t="s">
        <v>4866</v>
      </c>
      <c r="U4850" s="3">
        <v>35</v>
      </c>
      <c r="W4850" s="45" t="str">
        <f>HYPERLINK("http://ictvonline.org/taxonomy/p/taxonomy-history?taxnode_id=201903969","ICTVonline=201903969")</f>
        <v>ICTVonline=201903969</v>
      </c>
      <c r="AA4850" s="1">
        <v>201900000</v>
      </c>
      <c r="AB4850" s="1">
        <v>35</v>
      </c>
    </row>
    <row r="4851" spans="1:28" x14ac:dyDescent="0.2">
      <c r="A4851" s="1">
        <v>12340</v>
      </c>
      <c r="B4851" s="1" t="s">
        <v>6839</v>
      </c>
      <c r="D4851" s="1" t="s">
        <v>11735</v>
      </c>
      <c r="F4851" s="1" t="s">
        <v>5540</v>
      </c>
      <c r="G4851" s="1" t="s">
        <v>5630</v>
      </c>
      <c r="H4851" s="1" t="s">
        <v>5674</v>
      </c>
      <c r="J4851" s="1" t="s">
        <v>5675</v>
      </c>
      <c r="L4851" s="1" t="s">
        <v>1612</v>
      </c>
      <c r="N4851" s="1" t="s">
        <v>824</v>
      </c>
      <c r="P4851" s="1" t="s">
        <v>5396</v>
      </c>
      <c r="Q4851" s="3">
        <v>1</v>
      </c>
      <c r="R4851" s="23" t="s">
        <v>12893</v>
      </c>
      <c r="S4851" s="23" t="s">
        <v>6846</v>
      </c>
      <c r="T4851" s="23" t="s">
        <v>4866</v>
      </c>
      <c r="U4851" s="3">
        <v>35</v>
      </c>
      <c r="W4851" s="45" t="str">
        <f>HYPERLINK("http://ictvonline.org/taxonomy/p/taxonomy-history?taxnode_id=201903970","ICTVonline=201903970")</f>
        <v>ICTVonline=201903970</v>
      </c>
      <c r="AA4851" s="1">
        <v>201900000</v>
      </c>
      <c r="AB4851" s="1">
        <v>35</v>
      </c>
    </row>
    <row r="4852" spans="1:28" x14ac:dyDescent="0.2">
      <c r="A4852" s="1">
        <v>12353</v>
      </c>
      <c r="B4852" s="1" t="s">
        <v>6839</v>
      </c>
      <c r="D4852" s="1" t="s">
        <v>11735</v>
      </c>
      <c r="F4852" s="1" t="s">
        <v>14661</v>
      </c>
      <c r="H4852" s="1" t="s">
        <v>14662</v>
      </c>
      <c r="J4852" s="1" t="s">
        <v>14663</v>
      </c>
      <c r="L4852" s="1" t="s">
        <v>2359</v>
      </c>
      <c r="N4852" s="1" t="s">
        <v>2360</v>
      </c>
      <c r="P4852" s="1" t="s">
        <v>6664</v>
      </c>
      <c r="Q4852" s="3">
        <v>0</v>
      </c>
      <c r="R4852" s="23" t="s">
        <v>11739</v>
      </c>
      <c r="S4852" s="23" t="s">
        <v>6847</v>
      </c>
      <c r="T4852" s="23" t="s">
        <v>4866</v>
      </c>
      <c r="U4852" s="3">
        <v>35</v>
      </c>
      <c r="W4852" s="45" t="str">
        <f>HYPERLINK("http://ictvonline.org/taxonomy/p/taxonomy-history?taxnode_id=201906725","ICTVonline=201906725")</f>
        <v>ICTVonline=201906725</v>
      </c>
      <c r="X4852" s="1" t="s">
        <v>14664</v>
      </c>
      <c r="Y4852" s="1" t="s">
        <v>14665</v>
      </c>
      <c r="Z4852" s="1" t="s">
        <v>14666</v>
      </c>
      <c r="AA4852" s="1">
        <v>201900000</v>
      </c>
      <c r="AB4852" s="1">
        <v>35</v>
      </c>
    </row>
    <row r="4853" spans="1:28" x14ac:dyDescent="0.2">
      <c r="A4853" s="1">
        <v>12355</v>
      </c>
      <c r="B4853" s="1" t="s">
        <v>6839</v>
      </c>
      <c r="D4853" s="1" t="s">
        <v>11735</v>
      </c>
      <c r="F4853" s="1" t="s">
        <v>14661</v>
      </c>
      <c r="H4853" s="1" t="s">
        <v>14662</v>
      </c>
      <c r="J4853" s="1" t="s">
        <v>14663</v>
      </c>
      <c r="L4853" s="1" t="s">
        <v>2359</v>
      </c>
      <c r="N4853" s="1" t="s">
        <v>2360</v>
      </c>
      <c r="P4853" s="1" t="s">
        <v>6665</v>
      </c>
      <c r="Q4853" s="3">
        <v>0</v>
      </c>
      <c r="R4853" s="23" t="s">
        <v>11739</v>
      </c>
      <c r="S4853" s="23" t="s">
        <v>6847</v>
      </c>
      <c r="T4853" s="23" t="s">
        <v>4866</v>
      </c>
      <c r="U4853" s="3">
        <v>35</v>
      </c>
      <c r="W4853" s="45" t="str">
        <f>HYPERLINK("http://ictvonline.org/taxonomy/p/taxonomy-history?taxnode_id=201906726","ICTVonline=201906726")</f>
        <v>ICTVonline=201906726</v>
      </c>
      <c r="X4853" s="1" t="s">
        <v>14667</v>
      </c>
      <c r="Y4853" s="1" t="s">
        <v>14668</v>
      </c>
      <c r="Z4853" s="1" t="s">
        <v>14669</v>
      </c>
      <c r="AA4853" s="1">
        <v>201900000</v>
      </c>
      <c r="AB4853" s="1">
        <v>35</v>
      </c>
    </row>
    <row r="4854" spans="1:28" x14ac:dyDescent="0.2">
      <c r="A4854" s="1">
        <v>12357</v>
      </c>
      <c r="B4854" s="1" t="s">
        <v>6839</v>
      </c>
      <c r="D4854" s="1" t="s">
        <v>11735</v>
      </c>
      <c r="F4854" s="1" t="s">
        <v>14661</v>
      </c>
      <c r="H4854" s="1" t="s">
        <v>14662</v>
      </c>
      <c r="J4854" s="1" t="s">
        <v>14663</v>
      </c>
      <c r="L4854" s="1" t="s">
        <v>2359</v>
      </c>
      <c r="N4854" s="1" t="s">
        <v>2360</v>
      </c>
      <c r="P4854" s="1" t="s">
        <v>2361</v>
      </c>
      <c r="Q4854" s="3">
        <v>0</v>
      </c>
      <c r="R4854" s="23" t="s">
        <v>11739</v>
      </c>
      <c r="S4854" s="23" t="s">
        <v>6847</v>
      </c>
      <c r="T4854" s="23" t="s">
        <v>4866</v>
      </c>
      <c r="U4854" s="3">
        <v>35</v>
      </c>
      <c r="W4854" s="45" t="str">
        <f>HYPERLINK("http://ictvonline.org/taxonomy/p/taxonomy-history?taxnode_id=201902477","ICTVonline=201902477")</f>
        <v>ICTVonline=201902477</v>
      </c>
      <c r="Y4854" s="1" t="s">
        <v>14670</v>
      </c>
      <c r="Z4854" s="1" t="s">
        <v>14671</v>
      </c>
      <c r="AA4854" s="1">
        <v>201900000</v>
      </c>
      <c r="AB4854" s="1">
        <v>35</v>
      </c>
    </row>
    <row r="4855" spans="1:28" x14ac:dyDescent="0.2">
      <c r="A4855" s="1">
        <v>12359</v>
      </c>
      <c r="B4855" s="1" t="s">
        <v>6839</v>
      </c>
      <c r="D4855" s="1" t="s">
        <v>11735</v>
      </c>
      <c r="F4855" s="1" t="s">
        <v>14661</v>
      </c>
      <c r="H4855" s="1" t="s">
        <v>14662</v>
      </c>
      <c r="J4855" s="1" t="s">
        <v>14663</v>
      </c>
      <c r="L4855" s="1" t="s">
        <v>2359</v>
      </c>
      <c r="N4855" s="1" t="s">
        <v>2360</v>
      </c>
      <c r="P4855" s="1" t="s">
        <v>2362</v>
      </c>
      <c r="Q4855" s="3">
        <v>0</v>
      </c>
      <c r="R4855" s="23" t="s">
        <v>11739</v>
      </c>
      <c r="S4855" s="23" t="s">
        <v>6847</v>
      </c>
      <c r="T4855" s="23" t="s">
        <v>4866</v>
      </c>
      <c r="U4855" s="3">
        <v>35</v>
      </c>
      <c r="W4855" s="45" t="str">
        <f>HYPERLINK("http://ictvonline.org/taxonomy/p/taxonomy-history?taxnode_id=201902478","ICTVonline=201902478")</f>
        <v>ICTVonline=201902478</v>
      </c>
      <c r="Y4855" s="1" t="s">
        <v>14672</v>
      </c>
      <c r="Z4855" s="1" t="s">
        <v>14673</v>
      </c>
      <c r="AA4855" s="1">
        <v>201900000</v>
      </c>
      <c r="AB4855" s="1">
        <v>35</v>
      </c>
    </row>
    <row r="4856" spans="1:28" x14ac:dyDescent="0.2">
      <c r="A4856" s="1">
        <v>12361</v>
      </c>
      <c r="B4856" s="1" t="s">
        <v>6839</v>
      </c>
      <c r="D4856" s="1" t="s">
        <v>11735</v>
      </c>
      <c r="F4856" s="1" t="s">
        <v>14661</v>
      </c>
      <c r="H4856" s="1" t="s">
        <v>14662</v>
      </c>
      <c r="J4856" s="1" t="s">
        <v>14663</v>
      </c>
      <c r="L4856" s="1" t="s">
        <v>2359</v>
      </c>
      <c r="N4856" s="1" t="s">
        <v>2360</v>
      </c>
      <c r="P4856" s="1" t="s">
        <v>2363</v>
      </c>
      <c r="Q4856" s="3">
        <v>1</v>
      </c>
      <c r="R4856" s="23" t="s">
        <v>11739</v>
      </c>
      <c r="S4856" s="23" t="s">
        <v>6847</v>
      </c>
      <c r="T4856" s="23" t="s">
        <v>4866</v>
      </c>
      <c r="U4856" s="3">
        <v>35</v>
      </c>
      <c r="W4856" s="45" t="str">
        <f>HYPERLINK("http://ictvonline.org/taxonomy/p/taxonomy-history?taxnode_id=201902479","ICTVonline=201902479")</f>
        <v>ICTVonline=201902479</v>
      </c>
      <c r="Y4856" s="1" t="s">
        <v>14674</v>
      </c>
      <c r="Z4856" s="1" t="s">
        <v>14675</v>
      </c>
      <c r="AA4856" s="1">
        <v>201900000</v>
      </c>
      <c r="AB4856" s="1">
        <v>35</v>
      </c>
    </row>
    <row r="4857" spans="1:28" x14ac:dyDescent="0.2">
      <c r="A4857" s="1">
        <v>12363</v>
      </c>
      <c r="B4857" s="1" t="s">
        <v>6839</v>
      </c>
      <c r="D4857" s="1" t="s">
        <v>11735</v>
      </c>
      <c r="F4857" s="1" t="s">
        <v>14661</v>
      </c>
      <c r="H4857" s="1" t="s">
        <v>14662</v>
      </c>
      <c r="J4857" s="1" t="s">
        <v>14663</v>
      </c>
      <c r="L4857" s="1" t="s">
        <v>2359</v>
      </c>
      <c r="N4857" s="1" t="s">
        <v>2360</v>
      </c>
      <c r="P4857" s="1" t="s">
        <v>6666</v>
      </c>
      <c r="Q4857" s="3">
        <v>0</v>
      </c>
      <c r="R4857" s="23" t="s">
        <v>11739</v>
      </c>
      <c r="S4857" s="23" t="s">
        <v>6847</v>
      </c>
      <c r="T4857" s="23" t="s">
        <v>4866</v>
      </c>
      <c r="U4857" s="3">
        <v>35</v>
      </c>
      <c r="W4857" s="45" t="str">
        <f>HYPERLINK("http://ictvonline.org/taxonomy/p/taxonomy-history?taxnode_id=201906727","ICTVonline=201906727")</f>
        <v>ICTVonline=201906727</v>
      </c>
      <c r="X4857" s="1" t="s">
        <v>14676</v>
      </c>
      <c r="Y4857" s="1" t="s">
        <v>14677</v>
      </c>
      <c r="Z4857" s="1" t="s">
        <v>14678</v>
      </c>
      <c r="AA4857" s="1">
        <v>201900000</v>
      </c>
      <c r="AB4857" s="1">
        <v>35</v>
      </c>
    </row>
    <row r="4858" spans="1:28" x14ac:dyDescent="0.2">
      <c r="A4858" s="1">
        <v>12365</v>
      </c>
      <c r="B4858" s="1" t="s">
        <v>6839</v>
      </c>
      <c r="D4858" s="1" t="s">
        <v>11735</v>
      </c>
      <c r="F4858" s="1" t="s">
        <v>14661</v>
      </c>
      <c r="H4858" s="1" t="s">
        <v>14662</v>
      </c>
      <c r="J4858" s="1" t="s">
        <v>14663</v>
      </c>
      <c r="L4858" s="1" t="s">
        <v>2359</v>
      </c>
      <c r="N4858" s="1" t="s">
        <v>2360</v>
      </c>
      <c r="P4858" s="1" t="s">
        <v>2364</v>
      </c>
      <c r="Q4858" s="3">
        <v>0</v>
      </c>
      <c r="R4858" s="23" t="s">
        <v>11739</v>
      </c>
      <c r="S4858" s="23" t="s">
        <v>6847</v>
      </c>
      <c r="T4858" s="23" t="s">
        <v>4866</v>
      </c>
      <c r="U4858" s="3">
        <v>35</v>
      </c>
      <c r="W4858" s="45" t="str">
        <f>HYPERLINK("http://ictvonline.org/taxonomy/p/taxonomy-history?taxnode_id=201902480","ICTVonline=201902480")</f>
        <v>ICTVonline=201902480</v>
      </c>
      <c r="Y4858" s="1" t="s">
        <v>14679</v>
      </c>
      <c r="Z4858" s="1" t="s">
        <v>14680</v>
      </c>
      <c r="AA4858" s="1">
        <v>201900000</v>
      </c>
      <c r="AB4858" s="1">
        <v>35</v>
      </c>
    </row>
    <row r="4859" spans="1:28" x14ac:dyDescent="0.2">
      <c r="A4859" s="1">
        <v>12367</v>
      </c>
      <c r="B4859" s="1" t="s">
        <v>6839</v>
      </c>
      <c r="D4859" s="1" t="s">
        <v>11735</v>
      </c>
      <c r="F4859" s="1" t="s">
        <v>14661</v>
      </c>
      <c r="H4859" s="1" t="s">
        <v>14662</v>
      </c>
      <c r="J4859" s="1" t="s">
        <v>14663</v>
      </c>
      <c r="L4859" s="1" t="s">
        <v>2359</v>
      </c>
      <c r="N4859" s="1" t="s">
        <v>2360</v>
      </c>
      <c r="P4859" s="1" t="s">
        <v>6667</v>
      </c>
      <c r="Q4859" s="3">
        <v>0</v>
      </c>
      <c r="R4859" s="23" t="s">
        <v>11739</v>
      </c>
      <c r="S4859" s="23" t="s">
        <v>6847</v>
      </c>
      <c r="T4859" s="23" t="s">
        <v>4866</v>
      </c>
      <c r="U4859" s="3">
        <v>35</v>
      </c>
      <c r="W4859" s="45" t="str">
        <f>HYPERLINK("http://ictvonline.org/taxonomy/p/taxonomy-history?taxnode_id=201906728","ICTVonline=201906728")</f>
        <v>ICTVonline=201906728</v>
      </c>
      <c r="X4859" s="1" t="s">
        <v>14681</v>
      </c>
      <c r="Y4859" s="1" t="s">
        <v>14682</v>
      </c>
      <c r="Z4859" s="49" t="s">
        <v>14683</v>
      </c>
      <c r="AA4859" s="1">
        <v>201900000</v>
      </c>
      <c r="AB4859" s="1">
        <v>35</v>
      </c>
    </row>
    <row r="4860" spans="1:28" x14ac:dyDescent="0.2">
      <c r="A4860" s="1">
        <v>12369</v>
      </c>
      <c r="B4860" s="1" t="s">
        <v>6839</v>
      </c>
      <c r="D4860" s="1" t="s">
        <v>11735</v>
      </c>
      <c r="F4860" s="1" t="s">
        <v>14661</v>
      </c>
      <c r="H4860" s="1" t="s">
        <v>14662</v>
      </c>
      <c r="J4860" s="1" t="s">
        <v>14663</v>
      </c>
      <c r="L4860" s="1" t="s">
        <v>2359</v>
      </c>
      <c r="N4860" s="1" t="s">
        <v>2360</v>
      </c>
      <c r="P4860" s="1" t="s">
        <v>6668</v>
      </c>
      <c r="Q4860" s="3">
        <v>0</v>
      </c>
      <c r="R4860" s="23" t="s">
        <v>11739</v>
      </c>
      <c r="S4860" s="23" t="s">
        <v>6847</v>
      </c>
      <c r="T4860" s="23" t="s">
        <v>4866</v>
      </c>
      <c r="U4860" s="3">
        <v>35</v>
      </c>
      <c r="W4860" s="45" t="str">
        <f>HYPERLINK("http://ictvonline.org/taxonomy/p/taxonomy-history?taxnode_id=201906729","ICTVonline=201906729")</f>
        <v>ICTVonline=201906729</v>
      </c>
      <c r="X4860" s="1" t="s">
        <v>14684</v>
      </c>
      <c r="Y4860" s="1" t="s">
        <v>14685</v>
      </c>
      <c r="Z4860" s="49" t="s">
        <v>14686</v>
      </c>
      <c r="AA4860" s="1">
        <v>201900000</v>
      </c>
      <c r="AB4860" s="1">
        <v>35</v>
      </c>
    </row>
    <row r="4861" spans="1:28" x14ac:dyDescent="0.2">
      <c r="A4861" s="1">
        <v>12373</v>
      </c>
      <c r="B4861" s="1" t="s">
        <v>6839</v>
      </c>
      <c r="D4861" s="1" t="s">
        <v>11735</v>
      </c>
      <c r="F4861" s="1" t="s">
        <v>14661</v>
      </c>
      <c r="H4861" s="1" t="s">
        <v>14662</v>
      </c>
      <c r="J4861" s="1" t="s">
        <v>14663</v>
      </c>
      <c r="L4861" s="1" t="s">
        <v>2359</v>
      </c>
      <c r="N4861" s="1" t="s">
        <v>6669</v>
      </c>
      <c r="P4861" s="1" t="s">
        <v>6670</v>
      </c>
      <c r="Q4861" s="3">
        <v>1</v>
      </c>
      <c r="R4861" s="23" t="s">
        <v>11739</v>
      </c>
      <c r="S4861" s="23" t="s">
        <v>6847</v>
      </c>
      <c r="T4861" s="23" t="s">
        <v>4866</v>
      </c>
      <c r="U4861" s="3">
        <v>35</v>
      </c>
      <c r="W4861" s="45" t="str">
        <f>HYPERLINK("http://ictvonline.org/taxonomy/p/taxonomy-history?taxnode_id=201906731","ICTVonline=201906731")</f>
        <v>ICTVonline=201906731</v>
      </c>
      <c r="X4861" s="1" t="s">
        <v>14687</v>
      </c>
      <c r="Y4861" s="1" t="s">
        <v>14688</v>
      </c>
      <c r="Z4861" s="1" t="s">
        <v>14689</v>
      </c>
      <c r="AA4861" s="1">
        <v>201900000</v>
      </c>
      <c r="AB4861" s="1">
        <v>35</v>
      </c>
    </row>
    <row r="4862" spans="1:28" x14ac:dyDescent="0.2">
      <c r="A4862" s="1">
        <v>12379</v>
      </c>
      <c r="B4862" s="1" t="s">
        <v>6839</v>
      </c>
      <c r="D4862" s="1" t="s">
        <v>11735</v>
      </c>
      <c r="F4862" s="1" t="s">
        <v>14661</v>
      </c>
      <c r="H4862" s="1" t="s">
        <v>14662</v>
      </c>
      <c r="J4862" s="1" t="s">
        <v>14663</v>
      </c>
      <c r="L4862" s="1" t="s">
        <v>253</v>
      </c>
      <c r="N4862" s="1" t="s">
        <v>254</v>
      </c>
      <c r="P4862" s="1" t="s">
        <v>255</v>
      </c>
      <c r="Q4862" s="3">
        <v>1</v>
      </c>
      <c r="R4862" s="23" t="s">
        <v>11933</v>
      </c>
      <c r="S4862" s="23" t="s">
        <v>5849</v>
      </c>
      <c r="T4862" s="23" t="s">
        <v>4866</v>
      </c>
      <c r="U4862" s="3">
        <v>35</v>
      </c>
      <c r="W4862" s="45" t="str">
        <f>HYPERLINK("http://ictvonline.org/taxonomy/p/taxonomy-history?taxnode_id=201903674","ICTVonline=201903674")</f>
        <v>ICTVonline=201903674</v>
      </c>
      <c r="Y4862" s="1" t="s">
        <v>14690</v>
      </c>
      <c r="Z4862" s="1" t="s">
        <v>14691</v>
      </c>
      <c r="AA4862" s="1">
        <v>201900000</v>
      </c>
      <c r="AB4862" s="1">
        <v>35</v>
      </c>
    </row>
    <row r="4863" spans="1:28" x14ac:dyDescent="0.2">
      <c r="A4863" s="1">
        <v>12381</v>
      </c>
      <c r="B4863" s="1" t="s">
        <v>6839</v>
      </c>
      <c r="D4863" s="1" t="s">
        <v>11735</v>
      </c>
      <c r="F4863" s="1" t="s">
        <v>14661</v>
      </c>
      <c r="H4863" s="1" t="s">
        <v>14662</v>
      </c>
      <c r="J4863" s="1" t="s">
        <v>14663</v>
      </c>
      <c r="L4863" s="1" t="s">
        <v>253</v>
      </c>
      <c r="N4863" s="1" t="s">
        <v>254</v>
      </c>
      <c r="P4863" s="1" t="s">
        <v>256</v>
      </c>
      <c r="Q4863" s="3">
        <v>0</v>
      </c>
      <c r="R4863" s="23" t="s">
        <v>11933</v>
      </c>
      <c r="S4863" s="23" t="s">
        <v>5849</v>
      </c>
      <c r="T4863" s="23" t="s">
        <v>4866</v>
      </c>
      <c r="U4863" s="3">
        <v>35</v>
      </c>
      <c r="W4863" s="45" t="str">
        <f>HYPERLINK("http://ictvonline.org/taxonomy/p/taxonomy-history?taxnode_id=201903675","ICTVonline=201903675")</f>
        <v>ICTVonline=201903675</v>
      </c>
      <c r="Y4863" s="1" t="s">
        <v>14692</v>
      </c>
      <c r="Z4863" s="1" t="s">
        <v>14693</v>
      </c>
      <c r="AA4863" s="1">
        <v>201900000</v>
      </c>
      <c r="AB4863" s="1">
        <v>35</v>
      </c>
    </row>
    <row r="4864" spans="1:28" x14ac:dyDescent="0.2">
      <c r="A4864" s="1">
        <v>12383</v>
      </c>
      <c r="B4864" s="1" t="s">
        <v>6839</v>
      </c>
      <c r="D4864" s="1" t="s">
        <v>11735</v>
      </c>
      <c r="F4864" s="1" t="s">
        <v>14661</v>
      </c>
      <c r="H4864" s="1" t="s">
        <v>14662</v>
      </c>
      <c r="J4864" s="1" t="s">
        <v>14663</v>
      </c>
      <c r="L4864" s="1" t="s">
        <v>253</v>
      </c>
      <c r="N4864" s="1" t="s">
        <v>254</v>
      </c>
      <c r="P4864" s="1" t="s">
        <v>257</v>
      </c>
      <c r="Q4864" s="3">
        <v>0</v>
      </c>
      <c r="R4864" s="23" t="s">
        <v>11933</v>
      </c>
      <c r="S4864" s="23" t="s">
        <v>5849</v>
      </c>
      <c r="T4864" s="23" t="s">
        <v>4866</v>
      </c>
      <c r="U4864" s="3">
        <v>35</v>
      </c>
      <c r="W4864" s="45" t="str">
        <f>HYPERLINK("http://ictvonline.org/taxonomy/p/taxonomy-history?taxnode_id=201903676","ICTVonline=201903676")</f>
        <v>ICTVonline=201903676</v>
      </c>
      <c r="Y4864" s="1" t="s">
        <v>14694</v>
      </c>
      <c r="Z4864" s="1" t="s">
        <v>14695</v>
      </c>
      <c r="AA4864" s="1">
        <v>201900000</v>
      </c>
      <c r="AB4864" s="1">
        <v>35</v>
      </c>
    </row>
    <row r="4865" spans="1:28" x14ac:dyDescent="0.2">
      <c r="A4865" s="1">
        <v>12385</v>
      </c>
      <c r="B4865" s="1" t="s">
        <v>6839</v>
      </c>
      <c r="D4865" s="1" t="s">
        <v>11735</v>
      </c>
      <c r="F4865" s="1" t="s">
        <v>14661</v>
      </c>
      <c r="H4865" s="1" t="s">
        <v>14662</v>
      </c>
      <c r="J4865" s="1" t="s">
        <v>14663</v>
      </c>
      <c r="L4865" s="1" t="s">
        <v>253</v>
      </c>
      <c r="N4865" s="1" t="s">
        <v>254</v>
      </c>
      <c r="P4865" s="1" t="s">
        <v>1667</v>
      </c>
      <c r="Q4865" s="3">
        <v>0</v>
      </c>
      <c r="R4865" s="23" t="s">
        <v>11933</v>
      </c>
      <c r="S4865" s="23" t="s">
        <v>5849</v>
      </c>
      <c r="T4865" s="23" t="s">
        <v>4866</v>
      </c>
      <c r="U4865" s="3">
        <v>35</v>
      </c>
      <c r="W4865" s="45" t="str">
        <f>HYPERLINK("http://ictvonline.org/taxonomy/p/taxonomy-history?taxnode_id=201903677","ICTVonline=201903677")</f>
        <v>ICTVonline=201903677</v>
      </c>
      <c r="Y4865" s="1" t="s">
        <v>14696</v>
      </c>
      <c r="Z4865" s="1" t="s">
        <v>14697</v>
      </c>
      <c r="AA4865" s="1">
        <v>201900000</v>
      </c>
      <c r="AB4865" s="1">
        <v>35</v>
      </c>
    </row>
    <row r="4866" spans="1:28" x14ac:dyDescent="0.2">
      <c r="A4866" s="1">
        <v>12391</v>
      </c>
      <c r="B4866" s="1" t="s">
        <v>6839</v>
      </c>
      <c r="D4866" s="1" t="s">
        <v>11735</v>
      </c>
      <c r="F4866" s="1" t="s">
        <v>14661</v>
      </c>
      <c r="H4866" s="1" t="s">
        <v>14662</v>
      </c>
      <c r="J4866" s="1" t="s">
        <v>14663</v>
      </c>
      <c r="L4866" s="1" t="s">
        <v>1657</v>
      </c>
      <c r="N4866" s="1" t="s">
        <v>2505</v>
      </c>
      <c r="P4866" s="1" t="s">
        <v>947</v>
      </c>
      <c r="Q4866" s="3">
        <v>0</v>
      </c>
      <c r="R4866" s="23" t="s">
        <v>11739</v>
      </c>
      <c r="S4866" s="23" t="s">
        <v>6847</v>
      </c>
      <c r="T4866" s="23" t="s">
        <v>4866</v>
      </c>
      <c r="U4866" s="3">
        <v>35</v>
      </c>
      <c r="W4866" s="45" t="str">
        <f>HYPERLINK("http://ictvonline.org/taxonomy/p/taxonomy-history?taxnode_id=201904141","ICTVonline=201904141")</f>
        <v>ICTVonline=201904141</v>
      </c>
      <c r="Y4866" s="1" t="s">
        <v>14698</v>
      </c>
      <c r="Z4866" s="1" t="s">
        <v>14699</v>
      </c>
      <c r="AA4866" s="1">
        <v>201900000</v>
      </c>
      <c r="AB4866" s="1">
        <v>35</v>
      </c>
    </row>
    <row r="4867" spans="1:28" x14ac:dyDescent="0.2">
      <c r="A4867" s="1">
        <v>12393</v>
      </c>
      <c r="B4867" s="1" t="s">
        <v>6839</v>
      </c>
      <c r="D4867" s="1" t="s">
        <v>11735</v>
      </c>
      <c r="F4867" s="1" t="s">
        <v>14661</v>
      </c>
      <c r="H4867" s="1" t="s">
        <v>14662</v>
      </c>
      <c r="J4867" s="1" t="s">
        <v>14663</v>
      </c>
      <c r="L4867" s="1" t="s">
        <v>1657</v>
      </c>
      <c r="N4867" s="1" t="s">
        <v>2505</v>
      </c>
      <c r="P4867" s="1" t="s">
        <v>2506</v>
      </c>
      <c r="Q4867" s="3">
        <v>0</v>
      </c>
      <c r="R4867" s="23" t="s">
        <v>11739</v>
      </c>
      <c r="S4867" s="23" t="s">
        <v>6847</v>
      </c>
      <c r="T4867" s="23" t="s">
        <v>4866</v>
      </c>
      <c r="U4867" s="3">
        <v>35</v>
      </c>
      <c r="W4867" s="45" t="str">
        <f>HYPERLINK("http://ictvonline.org/taxonomy/p/taxonomy-history?taxnode_id=201904142","ICTVonline=201904142")</f>
        <v>ICTVonline=201904142</v>
      </c>
      <c r="Y4867" s="1" t="s">
        <v>14700</v>
      </c>
      <c r="Z4867" s="1" t="s">
        <v>12039</v>
      </c>
      <c r="AA4867" s="1">
        <v>201900000</v>
      </c>
      <c r="AB4867" s="1">
        <v>35</v>
      </c>
    </row>
    <row r="4868" spans="1:28" x14ac:dyDescent="0.2">
      <c r="A4868" s="1">
        <v>12395</v>
      </c>
      <c r="B4868" s="1" t="s">
        <v>6839</v>
      </c>
      <c r="D4868" s="1" t="s">
        <v>11735</v>
      </c>
      <c r="F4868" s="1" t="s">
        <v>14661</v>
      </c>
      <c r="H4868" s="1" t="s">
        <v>14662</v>
      </c>
      <c r="J4868" s="1" t="s">
        <v>14663</v>
      </c>
      <c r="L4868" s="1" t="s">
        <v>1657</v>
      </c>
      <c r="N4868" s="1" t="s">
        <v>2505</v>
      </c>
      <c r="P4868" s="1" t="s">
        <v>2507</v>
      </c>
      <c r="Q4868" s="3">
        <v>0</v>
      </c>
      <c r="R4868" s="23" t="s">
        <v>11739</v>
      </c>
      <c r="S4868" s="23" t="s">
        <v>6847</v>
      </c>
      <c r="T4868" s="23" t="s">
        <v>4866</v>
      </c>
      <c r="U4868" s="3">
        <v>35</v>
      </c>
      <c r="W4868" s="45" t="str">
        <f>HYPERLINK("http://ictvonline.org/taxonomy/p/taxonomy-history?taxnode_id=201904143","ICTVonline=201904143")</f>
        <v>ICTVonline=201904143</v>
      </c>
      <c r="Y4868" s="1" t="s">
        <v>14701</v>
      </c>
      <c r="Z4868" s="1" t="s">
        <v>11741</v>
      </c>
      <c r="AA4868" s="1">
        <v>201900000</v>
      </c>
      <c r="AB4868" s="1">
        <v>35</v>
      </c>
    </row>
    <row r="4869" spans="1:28" x14ac:dyDescent="0.2">
      <c r="A4869" s="1">
        <v>12397</v>
      </c>
      <c r="B4869" s="1" t="s">
        <v>6839</v>
      </c>
      <c r="D4869" s="1" t="s">
        <v>11735</v>
      </c>
      <c r="F4869" s="1" t="s">
        <v>14661</v>
      </c>
      <c r="H4869" s="1" t="s">
        <v>14662</v>
      </c>
      <c r="J4869" s="1" t="s">
        <v>14663</v>
      </c>
      <c r="L4869" s="1" t="s">
        <v>1657</v>
      </c>
      <c r="N4869" s="1" t="s">
        <v>2505</v>
      </c>
      <c r="P4869" s="1" t="s">
        <v>2508</v>
      </c>
      <c r="Q4869" s="3">
        <v>0</v>
      </c>
      <c r="R4869" s="23" t="s">
        <v>11739</v>
      </c>
      <c r="S4869" s="23" t="s">
        <v>6847</v>
      </c>
      <c r="T4869" s="23" t="s">
        <v>4866</v>
      </c>
      <c r="U4869" s="3">
        <v>35</v>
      </c>
      <c r="W4869" s="45" t="str">
        <f>HYPERLINK("http://ictvonline.org/taxonomy/p/taxonomy-history?taxnode_id=201904144","ICTVonline=201904144")</f>
        <v>ICTVonline=201904144</v>
      </c>
      <c r="Y4869" s="1" t="s">
        <v>14702</v>
      </c>
      <c r="Z4869" s="1" t="s">
        <v>14703</v>
      </c>
      <c r="AA4869" s="1">
        <v>201900000</v>
      </c>
      <c r="AB4869" s="1">
        <v>35</v>
      </c>
    </row>
    <row r="4870" spans="1:28" x14ac:dyDescent="0.2">
      <c r="A4870" s="1">
        <v>12399</v>
      </c>
      <c r="B4870" s="1" t="s">
        <v>6839</v>
      </c>
      <c r="D4870" s="1" t="s">
        <v>11735</v>
      </c>
      <c r="F4870" s="1" t="s">
        <v>14661</v>
      </c>
      <c r="H4870" s="1" t="s">
        <v>14662</v>
      </c>
      <c r="J4870" s="1" t="s">
        <v>14663</v>
      </c>
      <c r="L4870" s="1" t="s">
        <v>1657</v>
      </c>
      <c r="N4870" s="1" t="s">
        <v>2505</v>
      </c>
      <c r="P4870" s="1" t="s">
        <v>2509</v>
      </c>
      <c r="Q4870" s="3">
        <v>0</v>
      </c>
      <c r="R4870" s="23" t="s">
        <v>11739</v>
      </c>
      <c r="S4870" s="23" t="s">
        <v>6847</v>
      </c>
      <c r="T4870" s="23" t="s">
        <v>4866</v>
      </c>
      <c r="U4870" s="3">
        <v>35</v>
      </c>
      <c r="W4870" s="45" t="str">
        <f>HYPERLINK("http://ictvonline.org/taxonomy/p/taxonomy-history?taxnode_id=201904145","ICTVonline=201904145")</f>
        <v>ICTVonline=201904145</v>
      </c>
      <c r="Y4870" s="1" t="s">
        <v>14704</v>
      </c>
      <c r="Z4870" s="1" t="s">
        <v>14705</v>
      </c>
      <c r="AA4870" s="1">
        <v>201900000</v>
      </c>
      <c r="AB4870" s="1">
        <v>35</v>
      </c>
    </row>
    <row r="4871" spans="1:28" x14ac:dyDescent="0.2">
      <c r="A4871" s="1">
        <v>12401</v>
      </c>
      <c r="B4871" s="1" t="s">
        <v>6839</v>
      </c>
      <c r="D4871" s="1" t="s">
        <v>11735</v>
      </c>
      <c r="F4871" s="1" t="s">
        <v>14661</v>
      </c>
      <c r="H4871" s="1" t="s">
        <v>14662</v>
      </c>
      <c r="J4871" s="1" t="s">
        <v>14663</v>
      </c>
      <c r="L4871" s="1" t="s">
        <v>1657</v>
      </c>
      <c r="N4871" s="1" t="s">
        <v>2505</v>
      </c>
      <c r="P4871" s="1" t="s">
        <v>2663</v>
      </c>
      <c r="Q4871" s="3">
        <v>0</v>
      </c>
      <c r="R4871" s="23" t="s">
        <v>11739</v>
      </c>
      <c r="S4871" s="23" t="s">
        <v>6847</v>
      </c>
      <c r="T4871" s="23" t="s">
        <v>4866</v>
      </c>
      <c r="U4871" s="3">
        <v>35</v>
      </c>
      <c r="W4871" s="45" t="str">
        <f>HYPERLINK("http://ictvonline.org/taxonomy/p/taxonomy-history?taxnode_id=201904146","ICTVonline=201904146")</f>
        <v>ICTVonline=201904146</v>
      </c>
      <c r="Y4871" s="1" t="s">
        <v>14706</v>
      </c>
      <c r="Z4871" s="1" t="s">
        <v>11840</v>
      </c>
      <c r="AA4871" s="1">
        <v>201900000</v>
      </c>
      <c r="AB4871" s="1">
        <v>35</v>
      </c>
    </row>
    <row r="4872" spans="1:28" x14ac:dyDescent="0.2">
      <c r="A4872" s="1">
        <v>12403</v>
      </c>
      <c r="B4872" s="1" t="s">
        <v>6839</v>
      </c>
      <c r="D4872" s="1" t="s">
        <v>11735</v>
      </c>
      <c r="F4872" s="1" t="s">
        <v>14661</v>
      </c>
      <c r="H4872" s="1" t="s">
        <v>14662</v>
      </c>
      <c r="J4872" s="1" t="s">
        <v>14663</v>
      </c>
      <c r="L4872" s="1" t="s">
        <v>1657</v>
      </c>
      <c r="N4872" s="1" t="s">
        <v>2505</v>
      </c>
      <c r="P4872" s="1" t="s">
        <v>2664</v>
      </c>
      <c r="Q4872" s="3">
        <v>0</v>
      </c>
      <c r="R4872" s="23" t="s">
        <v>11739</v>
      </c>
      <c r="S4872" s="23" t="s">
        <v>6847</v>
      </c>
      <c r="T4872" s="23" t="s">
        <v>4866</v>
      </c>
      <c r="U4872" s="3">
        <v>35</v>
      </c>
      <c r="W4872" s="45" t="str">
        <f>HYPERLINK("http://ictvonline.org/taxonomy/p/taxonomy-history?taxnode_id=201904147","ICTVonline=201904147")</f>
        <v>ICTVonline=201904147</v>
      </c>
      <c r="Y4872" s="1" t="s">
        <v>14707</v>
      </c>
      <c r="Z4872" s="1" t="s">
        <v>14708</v>
      </c>
      <c r="AA4872" s="1">
        <v>201900000</v>
      </c>
      <c r="AB4872" s="1">
        <v>35</v>
      </c>
    </row>
    <row r="4873" spans="1:28" x14ac:dyDescent="0.2">
      <c r="A4873" s="1">
        <v>12405</v>
      </c>
      <c r="B4873" s="1" t="s">
        <v>6839</v>
      </c>
      <c r="D4873" s="1" t="s">
        <v>11735</v>
      </c>
      <c r="F4873" s="1" t="s">
        <v>14661</v>
      </c>
      <c r="H4873" s="1" t="s">
        <v>14662</v>
      </c>
      <c r="J4873" s="1" t="s">
        <v>14663</v>
      </c>
      <c r="L4873" s="1" t="s">
        <v>1657</v>
      </c>
      <c r="N4873" s="1" t="s">
        <v>2505</v>
      </c>
      <c r="P4873" s="1" t="s">
        <v>2665</v>
      </c>
      <c r="Q4873" s="3">
        <v>0</v>
      </c>
      <c r="R4873" s="23" t="s">
        <v>11739</v>
      </c>
      <c r="S4873" s="23" t="s">
        <v>6847</v>
      </c>
      <c r="T4873" s="23" t="s">
        <v>4866</v>
      </c>
      <c r="U4873" s="3">
        <v>35</v>
      </c>
      <c r="W4873" s="45" t="str">
        <f>HYPERLINK("http://ictvonline.org/taxonomy/p/taxonomy-history?taxnode_id=201904148","ICTVonline=201904148")</f>
        <v>ICTVonline=201904148</v>
      </c>
      <c r="Y4873" s="1" t="s">
        <v>14709</v>
      </c>
      <c r="Z4873" s="1">
        <v>5166</v>
      </c>
      <c r="AA4873" s="1">
        <v>201900000</v>
      </c>
      <c r="AB4873" s="1">
        <v>35</v>
      </c>
    </row>
    <row r="4874" spans="1:28" x14ac:dyDescent="0.2">
      <c r="A4874" s="1">
        <v>12407</v>
      </c>
      <c r="B4874" s="1" t="s">
        <v>6839</v>
      </c>
      <c r="D4874" s="1" t="s">
        <v>11735</v>
      </c>
      <c r="F4874" s="1" t="s">
        <v>14661</v>
      </c>
      <c r="H4874" s="1" t="s">
        <v>14662</v>
      </c>
      <c r="J4874" s="1" t="s">
        <v>14663</v>
      </c>
      <c r="L4874" s="1" t="s">
        <v>1657</v>
      </c>
      <c r="N4874" s="1" t="s">
        <v>2505</v>
      </c>
      <c r="P4874" s="1" t="s">
        <v>3854</v>
      </c>
      <c r="Q4874" s="3">
        <v>0</v>
      </c>
      <c r="R4874" s="23" t="s">
        <v>11739</v>
      </c>
      <c r="S4874" s="23" t="s">
        <v>6847</v>
      </c>
      <c r="T4874" s="23" t="s">
        <v>4866</v>
      </c>
      <c r="U4874" s="3">
        <v>35</v>
      </c>
      <c r="W4874" s="45" t="str">
        <f>HYPERLINK("http://ictvonline.org/taxonomy/p/taxonomy-history?taxnode_id=201904149","ICTVonline=201904149")</f>
        <v>ICTVonline=201904149</v>
      </c>
      <c r="Y4874" s="1" t="s">
        <v>14710</v>
      </c>
      <c r="Z4874" s="1" t="s">
        <v>14711</v>
      </c>
      <c r="AA4874" s="1">
        <v>201900000</v>
      </c>
      <c r="AB4874" s="1">
        <v>35</v>
      </c>
    </row>
    <row r="4875" spans="1:28" x14ac:dyDescent="0.2">
      <c r="A4875" s="1">
        <v>12409</v>
      </c>
      <c r="B4875" s="1" t="s">
        <v>6839</v>
      </c>
      <c r="D4875" s="1" t="s">
        <v>11735</v>
      </c>
      <c r="F4875" s="1" t="s">
        <v>14661</v>
      </c>
      <c r="H4875" s="1" t="s">
        <v>14662</v>
      </c>
      <c r="J4875" s="1" t="s">
        <v>14663</v>
      </c>
      <c r="L4875" s="1" t="s">
        <v>1657</v>
      </c>
      <c r="N4875" s="1" t="s">
        <v>2505</v>
      </c>
      <c r="P4875" s="1" t="s">
        <v>3855</v>
      </c>
      <c r="Q4875" s="3">
        <v>0</v>
      </c>
      <c r="R4875" s="23" t="s">
        <v>11739</v>
      </c>
      <c r="S4875" s="23" t="s">
        <v>6847</v>
      </c>
      <c r="T4875" s="23" t="s">
        <v>4866</v>
      </c>
      <c r="U4875" s="3">
        <v>35</v>
      </c>
      <c r="W4875" s="45" t="str">
        <f>HYPERLINK("http://ictvonline.org/taxonomy/p/taxonomy-history?taxnode_id=201904150","ICTVonline=201904150")</f>
        <v>ICTVonline=201904150</v>
      </c>
      <c r="Y4875" s="1" t="s">
        <v>14712</v>
      </c>
      <c r="Z4875" s="1" t="s">
        <v>14713</v>
      </c>
      <c r="AA4875" s="1">
        <v>201900000</v>
      </c>
      <c r="AB4875" s="1">
        <v>35</v>
      </c>
    </row>
    <row r="4876" spans="1:28" x14ac:dyDescent="0.2">
      <c r="A4876" s="1">
        <v>12411</v>
      </c>
      <c r="B4876" s="1" t="s">
        <v>6839</v>
      </c>
      <c r="D4876" s="1" t="s">
        <v>11735</v>
      </c>
      <c r="F4876" s="1" t="s">
        <v>14661</v>
      </c>
      <c r="H4876" s="1" t="s">
        <v>14662</v>
      </c>
      <c r="J4876" s="1" t="s">
        <v>14663</v>
      </c>
      <c r="L4876" s="1" t="s">
        <v>1657</v>
      </c>
      <c r="N4876" s="1" t="s">
        <v>2505</v>
      </c>
      <c r="P4876" s="1" t="s">
        <v>3856</v>
      </c>
      <c r="Q4876" s="3">
        <v>0</v>
      </c>
      <c r="R4876" s="23" t="s">
        <v>11739</v>
      </c>
      <c r="S4876" s="23" t="s">
        <v>6847</v>
      </c>
      <c r="T4876" s="23" t="s">
        <v>4866</v>
      </c>
      <c r="U4876" s="3">
        <v>35</v>
      </c>
      <c r="W4876" s="45" t="str">
        <f>HYPERLINK("http://ictvonline.org/taxonomy/p/taxonomy-history?taxnode_id=201904151","ICTVonline=201904151")</f>
        <v>ICTVonline=201904151</v>
      </c>
      <c r="Y4876" s="1" t="s">
        <v>14714</v>
      </c>
      <c r="Z4876" s="1" t="s">
        <v>14715</v>
      </c>
      <c r="AA4876" s="1">
        <v>201900000</v>
      </c>
      <c r="AB4876" s="1">
        <v>35</v>
      </c>
    </row>
    <row r="4877" spans="1:28" x14ac:dyDescent="0.2">
      <c r="A4877" s="1">
        <v>12413</v>
      </c>
      <c r="B4877" s="1" t="s">
        <v>6839</v>
      </c>
      <c r="D4877" s="1" t="s">
        <v>11735</v>
      </c>
      <c r="F4877" s="1" t="s">
        <v>14661</v>
      </c>
      <c r="H4877" s="1" t="s">
        <v>14662</v>
      </c>
      <c r="J4877" s="1" t="s">
        <v>14663</v>
      </c>
      <c r="L4877" s="1" t="s">
        <v>1657</v>
      </c>
      <c r="N4877" s="1" t="s">
        <v>2505</v>
      </c>
      <c r="P4877" s="1" t="s">
        <v>2510</v>
      </c>
      <c r="Q4877" s="3">
        <v>0</v>
      </c>
      <c r="R4877" s="23" t="s">
        <v>11739</v>
      </c>
      <c r="S4877" s="23" t="s">
        <v>6847</v>
      </c>
      <c r="T4877" s="23" t="s">
        <v>4866</v>
      </c>
      <c r="U4877" s="3">
        <v>35</v>
      </c>
      <c r="W4877" s="45" t="str">
        <f>HYPERLINK("http://ictvonline.org/taxonomy/p/taxonomy-history?taxnode_id=201904152","ICTVonline=201904152")</f>
        <v>ICTVonline=201904152</v>
      </c>
      <c r="Y4877" s="1" t="s">
        <v>14716</v>
      </c>
      <c r="Z4877" s="1" t="s">
        <v>14717</v>
      </c>
      <c r="AA4877" s="1">
        <v>201900000</v>
      </c>
      <c r="AB4877" s="1">
        <v>35</v>
      </c>
    </row>
    <row r="4878" spans="1:28" x14ac:dyDescent="0.2">
      <c r="A4878" s="1">
        <v>12415</v>
      </c>
      <c r="B4878" s="1" t="s">
        <v>6839</v>
      </c>
      <c r="D4878" s="1" t="s">
        <v>11735</v>
      </c>
      <c r="F4878" s="1" t="s">
        <v>14661</v>
      </c>
      <c r="H4878" s="1" t="s">
        <v>14662</v>
      </c>
      <c r="J4878" s="1" t="s">
        <v>14663</v>
      </c>
      <c r="L4878" s="1" t="s">
        <v>1657</v>
      </c>
      <c r="N4878" s="1" t="s">
        <v>2505</v>
      </c>
      <c r="P4878" s="1" t="s">
        <v>876</v>
      </c>
      <c r="Q4878" s="3">
        <v>0</v>
      </c>
      <c r="R4878" s="23" t="s">
        <v>11739</v>
      </c>
      <c r="S4878" s="23" t="s">
        <v>6847</v>
      </c>
      <c r="T4878" s="23" t="s">
        <v>4866</v>
      </c>
      <c r="U4878" s="3">
        <v>35</v>
      </c>
      <c r="W4878" s="45" t="str">
        <f>HYPERLINK("http://ictvonline.org/taxonomy/p/taxonomy-history?taxnode_id=201904153","ICTVonline=201904153")</f>
        <v>ICTVonline=201904153</v>
      </c>
      <c r="Y4878" s="1" t="s">
        <v>14718</v>
      </c>
      <c r="Z4878" s="1" t="s">
        <v>12453</v>
      </c>
      <c r="AA4878" s="1">
        <v>201900000</v>
      </c>
      <c r="AB4878" s="1">
        <v>35</v>
      </c>
    </row>
    <row r="4879" spans="1:28" x14ac:dyDescent="0.2">
      <c r="A4879" s="1">
        <v>12417</v>
      </c>
      <c r="B4879" s="1" t="s">
        <v>6839</v>
      </c>
      <c r="D4879" s="1" t="s">
        <v>11735</v>
      </c>
      <c r="F4879" s="1" t="s">
        <v>14661</v>
      </c>
      <c r="H4879" s="1" t="s">
        <v>14662</v>
      </c>
      <c r="J4879" s="1" t="s">
        <v>14663</v>
      </c>
      <c r="L4879" s="1" t="s">
        <v>1657</v>
      </c>
      <c r="N4879" s="1" t="s">
        <v>2505</v>
      </c>
      <c r="P4879" s="1" t="s">
        <v>877</v>
      </c>
      <c r="Q4879" s="3">
        <v>1</v>
      </c>
      <c r="R4879" s="23" t="s">
        <v>11739</v>
      </c>
      <c r="S4879" s="23" t="s">
        <v>6847</v>
      </c>
      <c r="T4879" s="23" t="s">
        <v>4866</v>
      </c>
      <c r="U4879" s="3">
        <v>35</v>
      </c>
      <c r="W4879" s="45" t="str">
        <f>HYPERLINK("http://ictvonline.org/taxonomy/p/taxonomy-history?taxnode_id=201904154","ICTVonline=201904154")</f>
        <v>ICTVonline=201904154</v>
      </c>
      <c r="Y4879" s="1" t="s">
        <v>14719</v>
      </c>
      <c r="Z4879" s="1" t="s">
        <v>14720</v>
      </c>
      <c r="AA4879" s="1">
        <v>201900000</v>
      </c>
      <c r="AB4879" s="1">
        <v>35</v>
      </c>
    </row>
    <row r="4880" spans="1:28" x14ac:dyDescent="0.2">
      <c r="A4880" s="1">
        <v>12421</v>
      </c>
      <c r="B4880" s="1" t="s">
        <v>6839</v>
      </c>
      <c r="D4880" s="1" t="s">
        <v>11735</v>
      </c>
      <c r="F4880" s="1" t="s">
        <v>14661</v>
      </c>
      <c r="H4880" s="1" t="s">
        <v>14662</v>
      </c>
      <c r="J4880" s="1" t="s">
        <v>14663</v>
      </c>
      <c r="L4880" s="1" t="s">
        <v>1657</v>
      </c>
      <c r="N4880" s="1" t="s">
        <v>2511</v>
      </c>
      <c r="P4880" s="1" t="s">
        <v>1592</v>
      </c>
      <c r="Q4880" s="3">
        <v>1</v>
      </c>
      <c r="R4880" s="23" t="s">
        <v>11739</v>
      </c>
      <c r="S4880" s="23" t="s">
        <v>6847</v>
      </c>
      <c r="T4880" s="23" t="s">
        <v>4866</v>
      </c>
      <c r="U4880" s="3">
        <v>35</v>
      </c>
      <c r="W4880" s="45" t="str">
        <f>HYPERLINK("http://ictvonline.org/taxonomy/p/taxonomy-history?taxnode_id=201904156","ICTVonline=201904156")</f>
        <v>ICTVonline=201904156</v>
      </c>
      <c r="Y4880" s="1" t="s">
        <v>14721</v>
      </c>
      <c r="Z4880" s="1" t="s">
        <v>14722</v>
      </c>
      <c r="AA4880" s="1">
        <v>201900000</v>
      </c>
      <c r="AB4880" s="1">
        <v>35</v>
      </c>
    </row>
    <row r="4881" spans="1:28" x14ac:dyDescent="0.2">
      <c r="A4881" s="1">
        <v>12423</v>
      </c>
      <c r="B4881" s="1" t="s">
        <v>6839</v>
      </c>
      <c r="D4881" s="1" t="s">
        <v>11735</v>
      </c>
      <c r="F4881" s="1" t="s">
        <v>14661</v>
      </c>
      <c r="H4881" s="1" t="s">
        <v>14662</v>
      </c>
      <c r="J4881" s="1" t="s">
        <v>14663</v>
      </c>
      <c r="L4881" s="1" t="s">
        <v>1657</v>
      </c>
      <c r="N4881" s="1" t="s">
        <v>2511</v>
      </c>
      <c r="P4881" s="1" t="s">
        <v>2512</v>
      </c>
      <c r="Q4881" s="3">
        <v>0</v>
      </c>
      <c r="R4881" s="23" t="s">
        <v>11739</v>
      </c>
      <c r="S4881" s="23" t="s">
        <v>6847</v>
      </c>
      <c r="T4881" s="23" t="s">
        <v>4866</v>
      </c>
      <c r="U4881" s="3">
        <v>35</v>
      </c>
      <c r="W4881" s="45" t="str">
        <f>HYPERLINK("http://ictvonline.org/taxonomy/p/taxonomy-history?taxnode_id=201904157","ICTVonline=201904157")</f>
        <v>ICTVonline=201904157</v>
      </c>
      <c r="Y4881" s="1" t="s">
        <v>14723</v>
      </c>
      <c r="Z4881" s="1" t="s">
        <v>14724</v>
      </c>
      <c r="AA4881" s="1">
        <v>201900000</v>
      </c>
      <c r="AB4881" s="1">
        <v>35</v>
      </c>
    </row>
    <row r="4882" spans="1:28" x14ac:dyDescent="0.2">
      <c r="A4882" s="1">
        <v>12425</v>
      </c>
      <c r="B4882" s="1" t="s">
        <v>6839</v>
      </c>
      <c r="D4882" s="1" t="s">
        <v>11735</v>
      </c>
      <c r="F4882" s="1" t="s">
        <v>14661</v>
      </c>
      <c r="H4882" s="1" t="s">
        <v>14662</v>
      </c>
      <c r="J4882" s="1" t="s">
        <v>14663</v>
      </c>
      <c r="L4882" s="1" t="s">
        <v>1657</v>
      </c>
      <c r="N4882" s="1" t="s">
        <v>2511</v>
      </c>
      <c r="P4882" s="1" t="s">
        <v>776</v>
      </c>
      <c r="Q4882" s="3">
        <v>0</v>
      </c>
      <c r="R4882" s="23" t="s">
        <v>11739</v>
      </c>
      <c r="S4882" s="23" t="s">
        <v>6847</v>
      </c>
      <c r="T4882" s="23" t="s">
        <v>4866</v>
      </c>
      <c r="U4882" s="3">
        <v>35</v>
      </c>
      <c r="W4882" s="45" t="str">
        <f>HYPERLINK("http://ictvonline.org/taxonomy/p/taxonomy-history?taxnode_id=201904158","ICTVonline=201904158")</f>
        <v>ICTVonline=201904158</v>
      </c>
      <c r="Y4882" s="1" t="s">
        <v>14725</v>
      </c>
      <c r="Z4882" s="1" t="s">
        <v>14726</v>
      </c>
      <c r="AA4882" s="1">
        <v>201900000</v>
      </c>
      <c r="AB4882" s="1">
        <v>35</v>
      </c>
    </row>
    <row r="4883" spans="1:28" x14ac:dyDescent="0.2">
      <c r="A4883" s="1">
        <v>12427</v>
      </c>
      <c r="B4883" s="1" t="s">
        <v>6839</v>
      </c>
      <c r="D4883" s="1" t="s">
        <v>11735</v>
      </c>
      <c r="F4883" s="1" t="s">
        <v>14661</v>
      </c>
      <c r="H4883" s="1" t="s">
        <v>14662</v>
      </c>
      <c r="J4883" s="1" t="s">
        <v>14663</v>
      </c>
      <c r="L4883" s="1" t="s">
        <v>1657</v>
      </c>
      <c r="N4883" s="1" t="s">
        <v>2511</v>
      </c>
      <c r="P4883" s="1" t="s">
        <v>2513</v>
      </c>
      <c r="Q4883" s="3">
        <v>0</v>
      </c>
      <c r="R4883" s="23" t="s">
        <v>11739</v>
      </c>
      <c r="S4883" s="23" t="s">
        <v>6847</v>
      </c>
      <c r="T4883" s="23" t="s">
        <v>4866</v>
      </c>
      <c r="U4883" s="3">
        <v>35</v>
      </c>
      <c r="W4883" s="45" t="str">
        <f>HYPERLINK("http://ictvonline.org/taxonomy/p/taxonomy-history?taxnode_id=201904159","ICTVonline=201904159")</f>
        <v>ICTVonline=201904159</v>
      </c>
      <c r="Y4883" s="1" t="s">
        <v>14727</v>
      </c>
      <c r="Z4883" s="1" t="s">
        <v>14728</v>
      </c>
      <c r="AA4883" s="1">
        <v>201900000</v>
      </c>
      <c r="AB4883" s="1">
        <v>35</v>
      </c>
    </row>
    <row r="4884" spans="1:28" x14ac:dyDescent="0.2">
      <c r="A4884" s="1">
        <v>12429</v>
      </c>
      <c r="B4884" s="1" t="s">
        <v>6839</v>
      </c>
      <c r="D4884" s="1" t="s">
        <v>11735</v>
      </c>
      <c r="F4884" s="1" t="s">
        <v>14661</v>
      </c>
      <c r="H4884" s="1" t="s">
        <v>14662</v>
      </c>
      <c r="J4884" s="1" t="s">
        <v>14663</v>
      </c>
      <c r="L4884" s="1" t="s">
        <v>1657</v>
      </c>
      <c r="N4884" s="1" t="s">
        <v>2511</v>
      </c>
      <c r="P4884" s="1" t="s">
        <v>2514</v>
      </c>
      <c r="Q4884" s="3">
        <v>0</v>
      </c>
      <c r="R4884" s="23" t="s">
        <v>11739</v>
      </c>
      <c r="S4884" s="23" t="s">
        <v>6847</v>
      </c>
      <c r="T4884" s="23" t="s">
        <v>4866</v>
      </c>
      <c r="U4884" s="3">
        <v>35</v>
      </c>
      <c r="W4884" s="45" t="str">
        <f>HYPERLINK("http://ictvonline.org/taxonomy/p/taxonomy-history?taxnode_id=201904160","ICTVonline=201904160")</f>
        <v>ICTVonline=201904160</v>
      </c>
      <c r="Y4884" s="1" t="s">
        <v>14729</v>
      </c>
      <c r="Z4884" s="1" t="s">
        <v>14730</v>
      </c>
      <c r="AA4884" s="1">
        <v>201900000</v>
      </c>
      <c r="AB4884" s="1">
        <v>35</v>
      </c>
    </row>
    <row r="4885" spans="1:28" x14ac:dyDescent="0.2">
      <c r="A4885" s="1">
        <v>12431</v>
      </c>
      <c r="B4885" s="1" t="s">
        <v>6839</v>
      </c>
      <c r="D4885" s="1" t="s">
        <v>11735</v>
      </c>
      <c r="F4885" s="1" t="s">
        <v>14661</v>
      </c>
      <c r="H4885" s="1" t="s">
        <v>14662</v>
      </c>
      <c r="J4885" s="1" t="s">
        <v>14663</v>
      </c>
      <c r="L4885" s="1" t="s">
        <v>1657</v>
      </c>
      <c r="N4885" s="1" t="s">
        <v>2511</v>
      </c>
      <c r="P4885" s="1" t="s">
        <v>1904</v>
      </c>
      <c r="Q4885" s="3">
        <v>0</v>
      </c>
      <c r="R4885" s="23" t="s">
        <v>11739</v>
      </c>
      <c r="S4885" s="23" t="s">
        <v>6847</v>
      </c>
      <c r="T4885" s="23" t="s">
        <v>4866</v>
      </c>
      <c r="U4885" s="3">
        <v>35</v>
      </c>
      <c r="W4885" s="45" t="str">
        <f>HYPERLINK("http://ictvonline.org/taxonomy/p/taxonomy-history?taxnode_id=201904161","ICTVonline=201904161")</f>
        <v>ICTVonline=201904161</v>
      </c>
      <c r="Y4885" s="1" t="s">
        <v>14731</v>
      </c>
      <c r="Z4885" s="1" t="s">
        <v>14732</v>
      </c>
      <c r="AA4885" s="1">
        <v>201900000</v>
      </c>
      <c r="AB4885" s="1">
        <v>35</v>
      </c>
    </row>
    <row r="4886" spans="1:28" x14ac:dyDescent="0.2">
      <c r="A4886" s="1">
        <v>12433</v>
      </c>
      <c r="B4886" s="1" t="s">
        <v>6839</v>
      </c>
      <c r="D4886" s="1" t="s">
        <v>11735</v>
      </c>
      <c r="F4886" s="1" t="s">
        <v>14661</v>
      </c>
      <c r="H4886" s="1" t="s">
        <v>14662</v>
      </c>
      <c r="J4886" s="1" t="s">
        <v>14663</v>
      </c>
      <c r="L4886" s="1" t="s">
        <v>1657</v>
      </c>
      <c r="N4886" s="1" t="s">
        <v>2511</v>
      </c>
      <c r="P4886" s="1" t="s">
        <v>2666</v>
      </c>
      <c r="Q4886" s="3">
        <v>0</v>
      </c>
      <c r="R4886" s="23" t="s">
        <v>11739</v>
      </c>
      <c r="S4886" s="23" t="s">
        <v>6847</v>
      </c>
      <c r="T4886" s="23" t="s">
        <v>4866</v>
      </c>
      <c r="U4886" s="3">
        <v>35</v>
      </c>
      <c r="W4886" s="45" t="str">
        <f>HYPERLINK("http://ictvonline.org/taxonomy/p/taxonomy-history?taxnode_id=201904162","ICTVonline=201904162")</f>
        <v>ICTVonline=201904162</v>
      </c>
      <c r="Y4886" s="1" t="s">
        <v>14733</v>
      </c>
      <c r="Z4886" s="1" t="s">
        <v>14734</v>
      </c>
      <c r="AA4886" s="1">
        <v>201900000</v>
      </c>
      <c r="AB4886" s="1">
        <v>35</v>
      </c>
    </row>
    <row r="4887" spans="1:28" x14ac:dyDescent="0.2">
      <c r="A4887" s="1">
        <v>12435</v>
      </c>
      <c r="B4887" s="1" t="s">
        <v>6839</v>
      </c>
      <c r="D4887" s="1" t="s">
        <v>11735</v>
      </c>
      <c r="F4887" s="1" t="s">
        <v>14661</v>
      </c>
      <c r="H4887" s="1" t="s">
        <v>14662</v>
      </c>
      <c r="J4887" s="1" t="s">
        <v>14663</v>
      </c>
      <c r="L4887" s="1" t="s">
        <v>1657</v>
      </c>
      <c r="N4887" s="1" t="s">
        <v>2511</v>
      </c>
      <c r="P4887" s="1" t="s">
        <v>3857</v>
      </c>
      <c r="Q4887" s="3">
        <v>0</v>
      </c>
      <c r="R4887" s="23" t="s">
        <v>11739</v>
      </c>
      <c r="S4887" s="23" t="s">
        <v>6847</v>
      </c>
      <c r="T4887" s="23" t="s">
        <v>4866</v>
      </c>
      <c r="U4887" s="3">
        <v>35</v>
      </c>
      <c r="W4887" s="45" t="str">
        <f>HYPERLINK("http://ictvonline.org/taxonomy/p/taxonomy-history?taxnode_id=201904163","ICTVonline=201904163")</f>
        <v>ICTVonline=201904163</v>
      </c>
      <c r="Y4887" s="1" t="s">
        <v>14735</v>
      </c>
      <c r="Z4887" s="1" t="s">
        <v>14736</v>
      </c>
      <c r="AA4887" s="1">
        <v>201900000</v>
      </c>
      <c r="AB4887" s="1">
        <v>35</v>
      </c>
    </row>
    <row r="4888" spans="1:28" x14ac:dyDescent="0.2">
      <c r="A4888" s="1">
        <v>12437</v>
      </c>
      <c r="B4888" s="1" t="s">
        <v>6839</v>
      </c>
      <c r="D4888" s="1" t="s">
        <v>11735</v>
      </c>
      <c r="F4888" s="1" t="s">
        <v>14661</v>
      </c>
      <c r="H4888" s="1" t="s">
        <v>14662</v>
      </c>
      <c r="J4888" s="1" t="s">
        <v>14663</v>
      </c>
      <c r="L4888" s="1" t="s">
        <v>1657</v>
      </c>
      <c r="N4888" s="1" t="s">
        <v>2511</v>
      </c>
      <c r="P4888" s="1" t="s">
        <v>2667</v>
      </c>
      <c r="Q4888" s="3">
        <v>0</v>
      </c>
      <c r="R4888" s="23" t="s">
        <v>11739</v>
      </c>
      <c r="S4888" s="23" t="s">
        <v>6847</v>
      </c>
      <c r="T4888" s="23" t="s">
        <v>4866</v>
      </c>
      <c r="U4888" s="3">
        <v>35</v>
      </c>
      <c r="W4888" s="45" t="str">
        <f>HYPERLINK("http://ictvonline.org/taxonomy/p/taxonomy-history?taxnode_id=201904164","ICTVonline=201904164")</f>
        <v>ICTVonline=201904164</v>
      </c>
      <c r="Y4888" s="1" t="s">
        <v>14737</v>
      </c>
      <c r="Z4888" s="1" t="s">
        <v>14738</v>
      </c>
      <c r="AA4888" s="1">
        <v>201900000</v>
      </c>
      <c r="AB4888" s="1">
        <v>35</v>
      </c>
    </row>
    <row r="4889" spans="1:28" x14ac:dyDescent="0.2">
      <c r="A4889" s="1">
        <v>12439</v>
      </c>
      <c r="B4889" s="1" t="s">
        <v>6839</v>
      </c>
      <c r="D4889" s="1" t="s">
        <v>11735</v>
      </c>
      <c r="F4889" s="1" t="s">
        <v>14661</v>
      </c>
      <c r="H4889" s="1" t="s">
        <v>14662</v>
      </c>
      <c r="J4889" s="1" t="s">
        <v>14663</v>
      </c>
      <c r="L4889" s="1" t="s">
        <v>1657</v>
      </c>
      <c r="N4889" s="1" t="s">
        <v>2511</v>
      </c>
      <c r="P4889" s="1" t="s">
        <v>2668</v>
      </c>
      <c r="Q4889" s="3">
        <v>0</v>
      </c>
      <c r="R4889" s="23" t="s">
        <v>11739</v>
      </c>
      <c r="S4889" s="23" t="s">
        <v>6847</v>
      </c>
      <c r="T4889" s="23" t="s">
        <v>4866</v>
      </c>
      <c r="U4889" s="3">
        <v>35</v>
      </c>
      <c r="W4889" s="45" t="str">
        <f>HYPERLINK("http://ictvonline.org/taxonomy/p/taxonomy-history?taxnode_id=201904165","ICTVonline=201904165")</f>
        <v>ICTVonline=201904165</v>
      </c>
      <c r="Y4889" s="1" t="s">
        <v>14739</v>
      </c>
      <c r="Z4889" s="1" t="s">
        <v>14740</v>
      </c>
      <c r="AA4889" s="1">
        <v>201900000</v>
      </c>
      <c r="AB4889" s="1">
        <v>35</v>
      </c>
    </row>
    <row r="4890" spans="1:28" x14ac:dyDescent="0.2">
      <c r="A4890" s="1">
        <v>12441</v>
      </c>
      <c r="B4890" s="1" t="s">
        <v>6839</v>
      </c>
      <c r="D4890" s="1" t="s">
        <v>11735</v>
      </c>
      <c r="F4890" s="1" t="s">
        <v>14661</v>
      </c>
      <c r="H4890" s="1" t="s">
        <v>14662</v>
      </c>
      <c r="J4890" s="1" t="s">
        <v>14663</v>
      </c>
      <c r="L4890" s="1" t="s">
        <v>1657</v>
      </c>
      <c r="N4890" s="1" t="s">
        <v>2511</v>
      </c>
      <c r="P4890" s="1" t="s">
        <v>613</v>
      </c>
      <c r="Q4890" s="3">
        <v>0</v>
      </c>
      <c r="R4890" s="23" t="s">
        <v>11739</v>
      </c>
      <c r="S4890" s="23" t="s">
        <v>6847</v>
      </c>
      <c r="T4890" s="23" t="s">
        <v>4866</v>
      </c>
      <c r="U4890" s="3">
        <v>35</v>
      </c>
      <c r="W4890" s="45" t="str">
        <f>HYPERLINK("http://ictvonline.org/taxonomy/p/taxonomy-history?taxnode_id=201904166","ICTVonline=201904166")</f>
        <v>ICTVonline=201904166</v>
      </c>
      <c r="Y4890" s="1" t="s">
        <v>14741</v>
      </c>
      <c r="Z4890" s="1" t="s">
        <v>14742</v>
      </c>
      <c r="AA4890" s="1">
        <v>201900000</v>
      </c>
      <c r="AB4890" s="1">
        <v>35</v>
      </c>
    </row>
    <row r="4891" spans="1:28" x14ac:dyDescent="0.2">
      <c r="A4891" s="1">
        <v>12443</v>
      </c>
      <c r="B4891" s="1" t="s">
        <v>6839</v>
      </c>
      <c r="D4891" s="1" t="s">
        <v>11735</v>
      </c>
      <c r="F4891" s="1" t="s">
        <v>14661</v>
      </c>
      <c r="H4891" s="1" t="s">
        <v>14662</v>
      </c>
      <c r="J4891" s="1" t="s">
        <v>14663</v>
      </c>
      <c r="L4891" s="1" t="s">
        <v>1657</v>
      </c>
      <c r="N4891" s="1" t="s">
        <v>2511</v>
      </c>
      <c r="P4891" s="1" t="s">
        <v>1242</v>
      </c>
      <c r="Q4891" s="3">
        <v>0</v>
      </c>
      <c r="R4891" s="23" t="s">
        <v>11739</v>
      </c>
      <c r="S4891" s="23" t="s">
        <v>6847</v>
      </c>
      <c r="T4891" s="23" t="s">
        <v>4866</v>
      </c>
      <c r="U4891" s="3">
        <v>35</v>
      </c>
      <c r="W4891" s="45" t="str">
        <f>HYPERLINK("http://ictvonline.org/taxonomy/p/taxonomy-history?taxnode_id=201904167","ICTVonline=201904167")</f>
        <v>ICTVonline=201904167</v>
      </c>
      <c r="Y4891" s="1" t="s">
        <v>14743</v>
      </c>
      <c r="Z4891" s="1" t="s">
        <v>12387</v>
      </c>
      <c r="AA4891" s="1">
        <v>201900000</v>
      </c>
      <c r="AB4891" s="1">
        <v>35</v>
      </c>
    </row>
    <row r="4892" spans="1:28" x14ac:dyDescent="0.2">
      <c r="A4892" s="1">
        <v>12445</v>
      </c>
      <c r="B4892" s="1" t="s">
        <v>6839</v>
      </c>
      <c r="D4892" s="1" t="s">
        <v>11735</v>
      </c>
      <c r="F4892" s="1" t="s">
        <v>14661</v>
      </c>
      <c r="H4892" s="1" t="s">
        <v>14662</v>
      </c>
      <c r="J4892" s="1" t="s">
        <v>14663</v>
      </c>
      <c r="L4892" s="1" t="s">
        <v>1657</v>
      </c>
      <c r="N4892" s="1" t="s">
        <v>2511</v>
      </c>
      <c r="P4892" s="1" t="s">
        <v>2515</v>
      </c>
      <c r="Q4892" s="3">
        <v>0</v>
      </c>
      <c r="R4892" s="23" t="s">
        <v>11739</v>
      </c>
      <c r="S4892" s="23" t="s">
        <v>6847</v>
      </c>
      <c r="T4892" s="23" t="s">
        <v>4866</v>
      </c>
      <c r="U4892" s="3">
        <v>35</v>
      </c>
      <c r="W4892" s="45" t="str">
        <f>HYPERLINK("http://ictvonline.org/taxonomy/p/taxonomy-history?taxnode_id=201904168","ICTVonline=201904168")</f>
        <v>ICTVonline=201904168</v>
      </c>
      <c r="Y4892" s="1" t="s">
        <v>14744</v>
      </c>
      <c r="Z4892" s="1" t="s">
        <v>11774</v>
      </c>
      <c r="AA4892" s="1">
        <v>201900000</v>
      </c>
      <c r="AB4892" s="1">
        <v>35</v>
      </c>
    </row>
    <row r="4893" spans="1:28" x14ac:dyDescent="0.2">
      <c r="A4893" s="1">
        <v>12447</v>
      </c>
      <c r="B4893" s="1" t="s">
        <v>6839</v>
      </c>
      <c r="D4893" s="1" t="s">
        <v>11735</v>
      </c>
      <c r="F4893" s="1" t="s">
        <v>14661</v>
      </c>
      <c r="H4893" s="1" t="s">
        <v>14662</v>
      </c>
      <c r="J4893" s="1" t="s">
        <v>14663</v>
      </c>
      <c r="L4893" s="1" t="s">
        <v>1657</v>
      </c>
      <c r="N4893" s="1" t="s">
        <v>2511</v>
      </c>
      <c r="P4893" s="1" t="s">
        <v>614</v>
      </c>
      <c r="Q4893" s="3">
        <v>0</v>
      </c>
      <c r="R4893" s="23" t="s">
        <v>11739</v>
      </c>
      <c r="S4893" s="23" t="s">
        <v>6847</v>
      </c>
      <c r="T4893" s="23" t="s">
        <v>4866</v>
      </c>
      <c r="U4893" s="3">
        <v>35</v>
      </c>
      <c r="W4893" s="45" t="str">
        <f>HYPERLINK("http://ictvonline.org/taxonomy/p/taxonomy-history?taxnode_id=201904169","ICTVonline=201904169")</f>
        <v>ICTVonline=201904169</v>
      </c>
      <c r="Y4893" s="1" t="s">
        <v>14745</v>
      </c>
      <c r="Z4893" s="1" t="s">
        <v>14746</v>
      </c>
      <c r="AA4893" s="1">
        <v>201900000</v>
      </c>
      <c r="AB4893" s="1">
        <v>35</v>
      </c>
    </row>
    <row r="4894" spans="1:28" x14ac:dyDescent="0.2">
      <c r="A4894" s="1">
        <v>12449</v>
      </c>
      <c r="B4894" s="1" t="s">
        <v>6839</v>
      </c>
      <c r="D4894" s="1" t="s">
        <v>11735</v>
      </c>
      <c r="F4894" s="1" t="s">
        <v>14661</v>
      </c>
      <c r="H4894" s="1" t="s">
        <v>14662</v>
      </c>
      <c r="J4894" s="1" t="s">
        <v>14663</v>
      </c>
      <c r="L4894" s="1" t="s">
        <v>1657</v>
      </c>
      <c r="N4894" s="1" t="s">
        <v>2511</v>
      </c>
      <c r="P4894" s="1" t="s">
        <v>886</v>
      </c>
      <c r="Q4894" s="3">
        <v>0</v>
      </c>
      <c r="R4894" s="23" t="s">
        <v>11739</v>
      </c>
      <c r="S4894" s="23" t="s">
        <v>6847</v>
      </c>
      <c r="T4894" s="23" t="s">
        <v>4866</v>
      </c>
      <c r="U4894" s="3">
        <v>35</v>
      </c>
      <c r="W4894" s="45" t="str">
        <f>HYPERLINK("http://ictvonline.org/taxonomy/p/taxonomy-history?taxnode_id=201904170","ICTVonline=201904170")</f>
        <v>ICTVonline=201904170</v>
      </c>
      <c r="Y4894" s="1" t="s">
        <v>14747</v>
      </c>
      <c r="Z4894" s="1">
        <v>717</v>
      </c>
      <c r="AA4894" s="1">
        <v>201900000</v>
      </c>
      <c r="AB4894" s="1">
        <v>35</v>
      </c>
    </row>
    <row r="4895" spans="1:28" x14ac:dyDescent="0.2">
      <c r="A4895" s="1">
        <v>12451</v>
      </c>
      <c r="B4895" s="1" t="s">
        <v>6839</v>
      </c>
      <c r="D4895" s="1" t="s">
        <v>11735</v>
      </c>
      <c r="F4895" s="1" t="s">
        <v>14661</v>
      </c>
      <c r="H4895" s="1" t="s">
        <v>14662</v>
      </c>
      <c r="J4895" s="1" t="s">
        <v>14663</v>
      </c>
      <c r="L4895" s="1" t="s">
        <v>1657</v>
      </c>
      <c r="N4895" s="1" t="s">
        <v>2511</v>
      </c>
      <c r="P4895" s="1" t="s">
        <v>1504</v>
      </c>
      <c r="Q4895" s="3">
        <v>0</v>
      </c>
      <c r="R4895" s="23" t="s">
        <v>11739</v>
      </c>
      <c r="S4895" s="23" t="s">
        <v>6847</v>
      </c>
      <c r="T4895" s="23" t="s">
        <v>4866</v>
      </c>
      <c r="U4895" s="3">
        <v>35</v>
      </c>
      <c r="W4895" s="45" t="str">
        <f>HYPERLINK("http://ictvonline.org/taxonomy/p/taxonomy-history?taxnode_id=201904171","ICTVonline=201904171")</f>
        <v>ICTVonline=201904171</v>
      </c>
      <c r="Y4895" s="1" t="s">
        <v>14748</v>
      </c>
      <c r="Z4895" s="1" t="s">
        <v>14749</v>
      </c>
      <c r="AA4895" s="1">
        <v>201900000</v>
      </c>
      <c r="AB4895" s="1">
        <v>35</v>
      </c>
    </row>
    <row r="4896" spans="1:28" x14ac:dyDescent="0.2">
      <c r="A4896" s="1">
        <v>12453</v>
      </c>
      <c r="B4896" s="1" t="s">
        <v>6839</v>
      </c>
      <c r="D4896" s="1" t="s">
        <v>11735</v>
      </c>
      <c r="F4896" s="1" t="s">
        <v>14661</v>
      </c>
      <c r="H4896" s="1" t="s">
        <v>14662</v>
      </c>
      <c r="J4896" s="1" t="s">
        <v>14663</v>
      </c>
      <c r="L4896" s="1" t="s">
        <v>1657</v>
      </c>
      <c r="N4896" s="1" t="s">
        <v>2511</v>
      </c>
      <c r="P4896" s="1" t="s">
        <v>615</v>
      </c>
      <c r="Q4896" s="3">
        <v>0</v>
      </c>
      <c r="R4896" s="23" t="s">
        <v>11739</v>
      </c>
      <c r="S4896" s="23" t="s">
        <v>6847</v>
      </c>
      <c r="T4896" s="23" t="s">
        <v>4866</v>
      </c>
      <c r="U4896" s="3">
        <v>35</v>
      </c>
      <c r="W4896" s="45" t="str">
        <f>HYPERLINK("http://ictvonline.org/taxonomy/p/taxonomy-history?taxnode_id=201904172","ICTVonline=201904172")</f>
        <v>ICTVonline=201904172</v>
      </c>
      <c r="Y4896" s="1" t="s">
        <v>14750</v>
      </c>
      <c r="Z4896" s="1" t="s">
        <v>12039</v>
      </c>
      <c r="AA4896" s="1">
        <v>201900000</v>
      </c>
      <c r="AB4896" s="1">
        <v>35</v>
      </c>
    </row>
    <row r="4897" spans="1:28" x14ac:dyDescent="0.2">
      <c r="A4897" s="1">
        <v>12457</v>
      </c>
      <c r="B4897" s="1" t="s">
        <v>6839</v>
      </c>
      <c r="D4897" s="1" t="s">
        <v>11735</v>
      </c>
      <c r="F4897" s="1" t="s">
        <v>14661</v>
      </c>
      <c r="H4897" s="1" t="s">
        <v>14662</v>
      </c>
      <c r="J4897" s="1" t="s">
        <v>14663</v>
      </c>
      <c r="L4897" s="1" t="s">
        <v>1657</v>
      </c>
      <c r="N4897" s="1" t="s">
        <v>1243</v>
      </c>
      <c r="P4897" s="1" t="s">
        <v>291</v>
      </c>
      <c r="Q4897" s="3">
        <v>1</v>
      </c>
      <c r="R4897" s="23" t="s">
        <v>11739</v>
      </c>
      <c r="S4897" s="23" t="s">
        <v>6847</v>
      </c>
      <c r="T4897" s="23" t="s">
        <v>4866</v>
      </c>
      <c r="U4897" s="3">
        <v>35</v>
      </c>
      <c r="W4897" s="45" t="str">
        <f>HYPERLINK("http://ictvonline.org/taxonomy/p/taxonomy-history?taxnode_id=201904174","ICTVonline=201904174")</f>
        <v>ICTVonline=201904174</v>
      </c>
      <c r="Y4897" s="1" t="s">
        <v>14751</v>
      </c>
      <c r="Z4897" s="1" t="s">
        <v>14752</v>
      </c>
      <c r="AA4897" s="1">
        <v>201900000</v>
      </c>
      <c r="AB4897" s="1">
        <v>35</v>
      </c>
    </row>
    <row r="4898" spans="1:28" x14ac:dyDescent="0.2">
      <c r="A4898" s="1">
        <v>12461</v>
      </c>
      <c r="B4898" s="1" t="s">
        <v>6839</v>
      </c>
      <c r="D4898" s="1" t="s">
        <v>11735</v>
      </c>
      <c r="F4898" s="1" t="s">
        <v>14661</v>
      </c>
      <c r="H4898" s="1" t="s">
        <v>14662</v>
      </c>
      <c r="J4898" s="1" t="s">
        <v>14663</v>
      </c>
      <c r="L4898" s="1" t="s">
        <v>1657</v>
      </c>
      <c r="N4898" s="1" t="s">
        <v>2516</v>
      </c>
      <c r="P4898" s="1" t="s">
        <v>948</v>
      </c>
      <c r="Q4898" s="3">
        <v>0</v>
      </c>
      <c r="R4898" s="23" t="s">
        <v>11739</v>
      </c>
      <c r="S4898" s="23" t="s">
        <v>6847</v>
      </c>
      <c r="T4898" s="23" t="s">
        <v>4866</v>
      </c>
      <c r="U4898" s="3">
        <v>35</v>
      </c>
      <c r="W4898" s="45" t="str">
        <f>HYPERLINK("http://ictvonline.org/taxonomy/p/taxonomy-history?taxnode_id=201904176","ICTVonline=201904176")</f>
        <v>ICTVonline=201904176</v>
      </c>
      <c r="Y4898" s="1" t="s">
        <v>14753</v>
      </c>
      <c r="Z4898" s="1" t="s">
        <v>14699</v>
      </c>
      <c r="AA4898" s="1">
        <v>201900000</v>
      </c>
      <c r="AB4898" s="1">
        <v>35</v>
      </c>
    </row>
    <row r="4899" spans="1:28" x14ac:dyDescent="0.2">
      <c r="A4899" s="1">
        <v>12463</v>
      </c>
      <c r="B4899" s="1" t="s">
        <v>6839</v>
      </c>
      <c r="D4899" s="1" t="s">
        <v>11735</v>
      </c>
      <c r="F4899" s="1" t="s">
        <v>14661</v>
      </c>
      <c r="H4899" s="1" t="s">
        <v>14662</v>
      </c>
      <c r="J4899" s="1" t="s">
        <v>14663</v>
      </c>
      <c r="L4899" s="1" t="s">
        <v>1657</v>
      </c>
      <c r="N4899" s="1" t="s">
        <v>2516</v>
      </c>
      <c r="P4899" s="1" t="s">
        <v>949</v>
      </c>
      <c r="Q4899" s="3">
        <v>0</v>
      </c>
      <c r="R4899" s="23" t="s">
        <v>11739</v>
      </c>
      <c r="S4899" s="23" t="s">
        <v>6847</v>
      </c>
      <c r="T4899" s="23" t="s">
        <v>4866</v>
      </c>
      <c r="U4899" s="3">
        <v>35</v>
      </c>
      <c r="W4899" s="45" t="str">
        <f>HYPERLINK("http://ictvonline.org/taxonomy/p/taxonomy-history?taxnode_id=201904177","ICTVonline=201904177")</f>
        <v>ICTVonline=201904177</v>
      </c>
      <c r="Y4899" s="1" t="s">
        <v>14754</v>
      </c>
      <c r="Z4899" s="1" t="s">
        <v>14755</v>
      </c>
      <c r="AA4899" s="1">
        <v>201900000</v>
      </c>
      <c r="AB4899" s="1">
        <v>35</v>
      </c>
    </row>
    <row r="4900" spans="1:28" x14ac:dyDescent="0.2">
      <c r="A4900" s="1">
        <v>12465</v>
      </c>
      <c r="B4900" s="1" t="s">
        <v>6839</v>
      </c>
      <c r="D4900" s="1" t="s">
        <v>11735</v>
      </c>
      <c r="F4900" s="1" t="s">
        <v>14661</v>
      </c>
      <c r="H4900" s="1" t="s">
        <v>14662</v>
      </c>
      <c r="J4900" s="1" t="s">
        <v>14663</v>
      </c>
      <c r="L4900" s="1" t="s">
        <v>1657</v>
      </c>
      <c r="N4900" s="1" t="s">
        <v>2516</v>
      </c>
      <c r="P4900" s="1" t="s">
        <v>2517</v>
      </c>
      <c r="Q4900" s="3">
        <v>0</v>
      </c>
      <c r="R4900" s="23" t="s">
        <v>11739</v>
      </c>
      <c r="S4900" s="23" t="s">
        <v>6847</v>
      </c>
      <c r="T4900" s="23" t="s">
        <v>4866</v>
      </c>
      <c r="U4900" s="3">
        <v>35</v>
      </c>
      <c r="W4900" s="45" t="str">
        <f>HYPERLINK("http://ictvonline.org/taxonomy/p/taxonomy-history?taxnode_id=201904178","ICTVonline=201904178")</f>
        <v>ICTVonline=201904178</v>
      </c>
      <c r="Y4900" s="1" t="s">
        <v>14756</v>
      </c>
      <c r="Z4900" s="1" t="s">
        <v>14757</v>
      </c>
      <c r="AA4900" s="1">
        <v>201900000</v>
      </c>
      <c r="AB4900" s="1">
        <v>35</v>
      </c>
    </row>
    <row r="4901" spans="1:28" x14ac:dyDescent="0.2">
      <c r="A4901" s="1">
        <v>12467</v>
      </c>
      <c r="B4901" s="1" t="s">
        <v>6839</v>
      </c>
      <c r="D4901" s="1" t="s">
        <v>11735</v>
      </c>
      <c r="F4901" s="1" t="s">
        <v>14661</v>
      </c>
      <c r="H4901" s="1" t="s">
        <v>14662</v>
      </c>
      <c r="J4901" s="1" t="s">
        <v>14663</v>
      </c>
      <c r="L4901" s="1" t="s">
        <v>1657</v>
      </c>
      <c r="N4901" s="1" t="s">
        <v>2516</v>
      </c>
      <c r="P4901" s="1" t="s">
        <v>2518</v>
      </c>
      <c r="Q4901" s="3">
        <v>1</v>
      </c>
      <c r="R4901" s="23" t="s">
        <v>11739</v>
      </c>
      <c r="S4901" s="23" t="s">
        <v>6847</v>
      </c>
      <c r="T4901" s="23" t="s">
        <v>4866</v>
      </c>
      <c r="U4901" s="3">
        <v>35</v>
      </c>
      <c r="W4901" s="45" t="str">
        <f>HYPERLINK("http://ictvonline.org/taxonomy/p/taxonomy-history?taxnode_id=201904179","ICTVonline=201904179")</f>
        <v>ICTVonline=201904179</v>
      </c>
      <c r="Y4901" s="1" t="s">
        <v>14758</v>
      </c>
      <c r="Z4901" s="1" t="s">
        <v>14759</v>
      </c>
      <c r="AA4901" s="1">
        <v>201900000</v>
      </c>
      <c r="AB4901" s="1">
        <v>35</v>
      </c>
    </row>
    <row r="4902" spans="1:28" x14ac:dyDescent="0.2">
      <c r="A4902" s="1">
        <v>12469</v>
      </c>
      <c r="B4902" s="1" t="s">
        <v>6839</v>
      </c>
      <c r="D4902" s="1" t="s">
        <v>11735</v>
      </c>
      <c r="F4902" s="1" t="s">
        <v>14661</v>
      </c>
      <c r="H4902" s="1" t="s">
        <v>14662</v>
      </c>
      <c r="J4902" s="1" t="s">
        <v>14663</v>
      </c>
      <c r="L4902" s="1" t="s">
        <v>1657</v>
      </c>
      <c r="N4902" s="1" t="s">
        <v>2516</v>
      </c>
      <c r="P4902" s="1" t="s">
        <v>2519</v>
      </c>
      <c r="Q4902" s="3">
        <v>0</v>
      </c>
      <c r="R4902" s="23" t="s">
        <v>11739</v>
      </c>
      <c r="S4902" s="23" t="s">
        <v>6847</v>
      </c>
      <c r="T4902" s="23" t="s">
        <v>4866</v>
      </c>
      <c r="U4902" s="3">
        <v>35</v>
      </c>
      <c r="W4902" s="45" t="str">
        <f>HYPERLINK("http://ictvonline.org/taxonomy/p/taxonomy-history?taxnode_id=201904180","ICTVonline=201904180")</f>
        <v>ICTVonline=201904180</v>
      </c>
      <c r="Y4902" s="1" t="s">
        <v>14760</v>
      </c>
      <c r="Z4902" s="1" t="s">
        <v>14761</v>
      </c>
      <c r="AA4902" s="1">
        <v>201900000</v>
      </c>
      <c r="AB4902" s="1">
        <v>35</v>
      </c>
    </row>
    <row r="4903" spans="1:28" x14ac:dyDescent="0.2">
      <c r="A4903" s="1">
        <v>12473</v>
      </c>
      <c r="B4903" s="1" t="s">
        <v>6839</v>
      </c>
      <c r="D4903" s="1" t="s">
        <v>11735</v>
      </c>
      <c r="F4903" s="1" t="s">
        <v>14661</v>
      </c>
      <c r="H4903" s="1" t="s">
        <v>14662</v>
      </c>
      <c r="J4903" s="1" t="s">
        <v>14663</v>
      </c>
      <c r="L4903" s="1" t="s">
        <v>1657</v>
      </c>
      <c r="N4903" s="1" t="s">
        <v>2520</v>
      </c>
      <c r="P4903" s="1" t="s">
        <v>617</v>
      </c>
      <c r="Q4903" s="3">
        <v>0</v>
      </c>
      <c r="R4903" s="23" t="s">
        <v>11739</v>
      </c>
      <c r="S4903" s="23" t="s">
        <v>6847</v>
      </c>
      <c r="T4903" s="23" t="s">
        <v>4866</v>
      </c>
      <c r="U4903" s="3">
        <v>35</v>
      </c>
      <c r="W4903" s="45" t="str">
        <f>HYPERLINK("http://ictvonline.org/taxonomy/p/taxonomy-history?taxnode_id=201904182","ICTVonline=201904182")</f>
        <v>ICTVonline=201904182</v>
      </c>
      <c r="Y4903" s="1" t="s">
        <v>14762</v>
      </c>
      <c r="Z4903" s="1" t="s">
        <v>14763</v>
      </c>
      <c r="AA4903" s="1">
        <v>201900000</v>
      </c>
      <c r="AB4903" s="1">
        <v>35</v>
      </c>
    </row>
    <row r="4904" spans="1:28" x14ac:dyDescent="0.2">
      <c r="A4904" s="1">
        <v>12475</v>
      </c>
      <c r="B4904" s="1" t="s">
        <v>6839</v>
      </c>
      <c r="D4904" s="1" t="s">
        <v>11735</v>
      </c>
      <c r="F4904" s="1" t="s">
        <v>14661</v>
      </c>
      <c r="H4904" s="1" t="s">
        <v>14662</v>
      </c>
      <c r="J4904" s="1" t="s">
        <v>14663</v>
      </c>
      <c r="L4904" s="1" t="s">
        <v>1657</v>
      </c>
      <c r="N4904" s="1" t="s">
        <v>2520</v>
      </c>
      <c r="P4904" s="1" t="s">
        <v>1593</v>
      </c>
      <c r="Q4904" s="3">
        <v>0</v>
      </c>
      <c r="R4904" s="23" t="s">
        <v>11739</v>
      </c>
      <c r="S4904" s="23" t="s">
        <v>6847</v>
      </c>
      <c r="T4904" s="23" t="s">
        <v>4866</v>
      </c>
      <c r="U4904" s="3">
        <v>35</v>
      </c>
      <c r="W4904" s="45" t="str">
        <f>HYPERLINK("http://ictvonline.org/taxonomy/p/taxonomy-history?taxnode_id=201904183","ICTVonline=201904183")</f>
        <v>ICTVonline=201904183</v>
      </c>
      <c r="Y4904" s="1" t="s">
        <v>14764</v>
      </c>
      <c r="Z4904" s="1">
        <v>247</v>
      </c>
      <c r="AA4904" s="1">
        <v>201900000</v>
      </c>
      <c r="AB4904" s="1">
        <v>35</v>
      </c>
    </row>
    <row r="4905" spans="1:28" x14ac:dyDescent="0.2">
      <c r="A4905" s="1">
        <v>12477</v>
      </c>
      <c r="B4905" s="1" t="s">
        <v>6839</v>
      </c>
      <c r="D4905" s="1" t="s">
        <v>11735</v>
      </c>
      <c r="F4905" s="1" t="s">
        <v>14661</v>
      </c>
      <c r="H4905" s="1" t="s">
        <v>14662</v>
      </c>
      <c r="J4905" s="1" t="s">
        <v>14663</v>
      </c>
      <c r="L4905" s="1" t="s">
        <v>1657</v>
      </c>
      <c r="N4905" s="1" t="s">
        <v>2520</v>
      </c>
      <c r="P4905" s="1" t="s">
        <v>1903</v>
      </c>
      <c r="Q4905" s="3">
        <v>0</v>
      </c>
      <c r="R4905" s="23" t="s">
        <v>11739</v>
      </c>
      <c r="S4905" s="23" t="s">
        <v>6847</v>
      </c>
      <c r="T4905" s="23" t="s">
        <v>4866</v>
      </c>
      <c r="U4905" s="3">
        <v>35</v>
      </c>
      <c r="W4905" s="45" t="str">
        <f>HYPERLINK("http://ictvonline.org/taxonomy/p/taxonomy-history?taxnode_id=201904184","ICTVonline=201904184")</f>
        <v>ICTVonline=201904184</v>
      </c>
      <c r="Y4905" s="1" t="s">
        <v>14765</v>
      </c>
      <c r="Z4905" s="1" t="s">
        <v>14766</v>
      </c>
      <c r="AA4905" s="1">
        <v>201900000</v>
      </c>
      <c r="AB4905" s="1">
        <v>35</v>
      </c>
    </row>
    <row r="4906" spans="1:28" x14ac:dyDescent="0.2">
      <c r="A4906" s="1">
        <v>12479</v>
      </c>
      <c r="B4906" s="1" t="s">
        <v>6839</v>
      </c>
      <c r="D4906" s="1" t="s">
        <v>11735</v>
      </c>
      <c r="F4906" s="1" t="s">
        <v>14661</v>
      </c>
      <c r="H4906" s="1" t="s">
        <v>14662</v>
      </c>
      <c r="J4906" s="1" t="s">
        <v>14663</v>
      </c>
      <c r="L4906" s="1" t="s">
        <v>1657</v>
      </c>
      <c r="N4906" s="1" t="s">
        <v>2520</v>
      </c>
      <c r="P4906" s="1" t="s">
        <v>1905</v>
      </c>
      <c r="Q4906" s="3">
        <v>0</v>
      </c>
      <c r="R4906" s="23" t="s">
        <v>11739</v>
      </c>
      <c r="S4906" s="23" t="s">
        <v>6847</v>
      </c>
      <c r="T4906" s="23" t="s">
        <v>4866</v>
      </c>
      <c r="U4906" s="3">
        <v>35</v>
      </c>
      <c r="W4906" s="45" t="str">
        <f>HYPERLINK("http://ictvonline.org/taxonomy/p/taxonomy-history?taxnode_id=201904185","ICTVonline=201904185")</f>
        <v>ICTVonline=201904185</v>
      </c>
      <c r="Y4906" s="1" t="s">
        <v>14767</v>
      </c>
      <c r="Z4906" s="1" t="s">
        <v>14768</v>
      </c>
      <c r="AA4906" s="1">
        <v>201900000</v>
      </c>
      <c r="AB4906" s="1">
        <v>35</v>
      </c>
    </row>
    <row r="4907" spans="1:28" x14ac:dyDescent="0.2">
      <c r="A4907" s="1">
        <v>12481</v>
      </c>
      <c r="B4907" s="1" t="s">
        <v>6839</v>
      </c>
      <c r="D4907" s="1" t="s">
        <v>11735</v>
      </c>
      <c r="F4907" s="1" t="s">
        <v>14661</v>
      </c>
      <c r="H4907" s="1" t="s">
        <v>14662</v>
      </c>
      <c r="J4907" s="1" t="s">
        <v>14663</v>
      </c>
      <c r="L4907" s="1" t="s">
        <v>1657</v>
      </c>
      <c r="N4907" s="1" t="s">
        <v>2520</v>
      </c>
      <c r="P4907" s="1" t="s">
        <v>893</v>
      </c>
      <c r="Q4907" s="3">
        <v>0</v>
      </c>
      <c r="R4907" s="23" t="s">
        <v>11739</v>
      </c>
      <c r="S4907" s="23" t="s">
        <v>6847</v>
      </c>
      <c r="T4907" s="23" t="s">
        <v>4866</v>
      </c>
      <c r="U4907" s="3">
        <v>35</v>
      </c>
      <c r="W4907" s="45" t="str">
        <f>HYPERLINK("http://ictvonline.org/taxonomy/p/taxonomy-history?taxnode_id=201904186","ICTVonline=201904186")</f>
        <v>ICTVonline=201904186</v>
      </c>
      <c r="Y4907" s="1" t="s">
        <v>14769</v>
      </c>
      <c r="Z4907" s="1" t="s">
        <v>14770</v>
      </c>
      <c r="AA4907" s="1">
        <v>201900000</v>
      </c>
      <c r="AB4907" s="1">
        <v>35</v>
      </c>
    </row>
    <row r="4908" spans="1:28" x14ac:dyDescent="0.2">
      <c r="A4908" s="1">
        <v>12483</v>
      </c>
      <c r="B4908" s="1" t="s">
        <v>6839</v>
      </c>
      <c r="D4908" s="1" t="s">
        <v>11735</v>
      </c>
      <c r="F4908" s="1" t="s">
        <v>14661</v>
      </c>
      <c r="H4908" s="1" t="s">
        <v>14662</v>
      </c>
      <c r="J4908" s="1" t="s">
        <v>14663</v>
      </c>
      <c r="L4908" s="1" t="s">
        <v>1657</v>
      </c>
      <c r="N4908" s="1" t="s">
        <v>2520</v>
      </c>
      <c r="P4908" s="1" t="s">
        <v>1240</v>
      </c>
      <c r="Q4908" s="3">
        <v>0</v>
      </c>
      <c r="R4908" s="23" t="s">
        <v>11739</v>
      </c>
      <c r="S4908" s="23" t="s">
        <v>6847</v>
      </c>
      <c r="T4908" s="23" t="s">
        <v>4866</v>
      </c>
      <c r="U4908" s="3">
        <v>35</v>
      </c>
      <c r="W4908" s="45" t="str">
        <f>HYPERLINK("http://ictvonline.org/taxonomy/p/taxonomy-history?taxnode_id=201904187","ICTVonline=201904187")</f>
        <v>ICTVonline=201904187</v>
      </c>
      <c r="Y4908" s="1" t="s">
        <v>14771</v>
      </c>
      <c r="Z4908" s="1" t="s">
        <v>14772</v>
      </c>
      <c r="AA4908" s="1">
        <v>201900000</v>
      </c>
      <c r="AB4908" s="1">
        <v>35</v>
      </c>
    </row>
    <row r="4909" spans="1:28" x14ac:dyDescent="0.2">
      <c r="A4909" s="1">
        <v>12485</v>
      </c>
      <c r="B4909" s="1" t="s">
        <v>6839</v>
      </c>
      <c r="D4909" s="1" t="s">
        <v>11735</v>
      </c>
      <c r="F4909" s="1" t="s">
        <v>14661</v>
      </c>
      <c r="H4909" s="1" t="s">
        <v>14662</v>
      </c>
      <c r="J4909" s="1" t="s">
        <v>14663</v>
      </c>
      <c r="L4909" s="1" t="s">
        <v>1657</v>
      </c>
      <c r="N4909" s="1" t="s">
        <v>2520</v>
      </c>
      <c r="P4909" s="1" t="s">
        <v>1241</v>
      </c>
      <c r="Q4909" s="3">
        <v>0</v>
      </c>
      <c r="R4909" s="23" t="s">
        <v>11739</v>
      </c>
      <c r="S4909" s="23" t="s">
        <v>6847</v>
      </c>
      <c r="T4909" s="23" t="s">
        <v>4866</v>
      </c>
      <c r="U4909" s="3">
        <v>35</v>
      </c>
      <c r="W4909" s="45" t="str">
        <f>HYPERLINK("http://ictvonline.org/taxonomy/p/taxonomy-history?taxnode_id=201904188","ICTVonline=201904188")</f>
        <v>ICTVonline=201904188</v>
      </c>
      <c r="Y4909" s="1" t="s">
        <v>14773</v>
      </c>
      <c r="Z4909" s="1" t="s">
        <v>11977</v>
      </c>
      <c r="AA4909" s="1">
        <v>201900000</v>
      </c>
      <c r="AB4909" s="1">
        <v>35</v>
      </c>
    </row>
    <row r="4910" spans="1:28" x14ac:dyDescent="0.2">
      <c r="A4910" s="1">
        <v>12487</v>
      </c>
      <c r="B4910" s="1" t="s">
        <v>6839</v>
      </c>
      <c r="D4910" s="1" t="s">
        <v>11735</v>
      </c>
      <c r="F4910" s="1" t="s">
        <v>14661</v>
      </c>
      <c r="H4910" s="1" t="s">
        <v>14662</v>
      </c>
      <c r="J4910" s="1" t="s">
        <v>14663</v>
      </c>
      <c r="L4910" s="1" t="s">
        <v>1657</v>
      </c>
      <c r="N4910" s="1" t="s">
        <v>2520</v>
      </c>
      <c r="P4910" s="1" t="s">
        <v>885</v>
      </c>
      <c r="Q4910" s="3">
        <v>1</v>
      </c>
      <c r="R4910" s="23" t="s">
        <v>11739</v>
      </c>
      <c r="S4910" s="23" t="s">
        <v>6847</v>
      </c>
      <c r="T4910" s="23" t="s">
        <v>4866</v>
      </c>
      <c r="U4910" s="3">
        <v>35</v>
      </c>
      <c r="W4910" s="45" t="str">
        <f>HYPERLINK("http://ictvonline.org/taxonomy/p/taxonomy-history?taxnode_id=201904189","ICTVonline=201904189")</f>
        <v>ICTVonline=201904189</v>
      </c>
      <c r="Y4910" s="1" t="s">
        <v>14774</v>
      </c>
      <c r="Z4910" s="1" t="s">
        <v>14775</v>
      </c>
      <c r="AA4910" s="1">
        <v>201900000</v>
      </c>
      <c r="AB4910" s="1">
        <v>35</v>
      </c>
    </row>
    <row r="4911" spans="1:28" x14ac:dyDescent="0.2">
      <c r="A4911" s="1">
        <v>12490</v>
      </c>
      <c r="B4911" s="1" t="s">
        <v>6839</v>
      </c>
      <c r="D4911" s="1" t="s">
        <v>11735</v>
      </c>
      <c r="F4911" s="1" t="s">
        <v>14661</v>
      </c>
      <c r="H4911" s="1" t="s">
        <v>14662</v>
      </c>
      <c r="J4911" s="1" t="s">
        <v>14663</v>
      </c>
      <c r="L4911" s="1" t="s">
        <v>1657</v>
      </c>
      <c r="P4911" s="1" t="s">
        <v>616</v>
      </c>
      <c r="Q4911" s="3">
        <v>0</v>
      </c>
      <c r="R4911" s="23" t="s">
        <v>11739</v>
      </c>
      <c r="S4911" s="23" t="s">
        <v>6847</v>
      </c>
      <c r="T4911" s="23" t="s">
        <v>4866</v>
      </c>
      <c r="U4911" s="3">
        <v>35</v>
      </c>
      <c r="W4911" s="45" t="str">
        <f>HYPERLINK("http://ictvonline.org/taxonomy/p/taxonomy-history?taxnode_id=201904191","ICTVonline=201904191")</f>
        <v>ICTVonline=201904191</v>
      </c>
      <c r="AA4911" s="1">
        <v>201900000</v>
      </c>
      <c r="AB4911" s="1">
        <v>35</v>
      </c>
    </row>
    <row r="4912" spans="1:28" x14ac:dyDescent="0.2">
      <c r="A4912" s="1">
        <v>12492</v>
      </c>
      <c r="B4912" s="1" t="s">
        <v>6839</v>
      </c>
      <c r="D4912" s="1" t="s">
        <v>11735</v>
      </c>
      <c r="F4912" s="1" t="s">
        <v>14661</v>
      </c>
      <c r="H4912" s="1" t="s">
        <v>14662</v>
      </c>
      <c r="J4912" s="1" t="s">
        <v>14663</v>
      </c>
      <c r="L4912" s="1" t="s">
        <v>1657</v>
      </c>
      <c r="P4912" s="1" t="s">
        <v>946</v>
      </c>
      <c r="Q4912" s="3">
        <v>0</v>
      </c>
      <c r="R4912" s="23" t="s">
        <v>11739</v>
      </c>
      <c r="S4912" s="23" t="s">
        <v>6847</v>
      </c>
      <c r="T4912" s="23" t="s">
        <v>4866</v>
      </c>
      <c r="U4912" s="3">
        <v>35</v>
      </c>
      <c r="W4912" s="45" t="str">
        <f>HYPERLINK("http://ictvonline.org/taxonomy/p/taxonomy-history?taxnode_id=201904192","ICTVonline=201904192")</f>
        <v>ICTVonline=201904192</v>
      </c>
      <c r="AA4912" s="1">
        <v>201900000</v>
      </c>
      <c r="AB4912" s="1">
        <v>35</v>
      </c>
    </row>
    <row r="4913" spans="1:28" x14ac:dyDescent="0.2">
      <c r="A4913" s="1">
        <v>12494</v>
      </c>
      <c r="B4913" s="1" t="s">
        <v>6839</v>
      </c>
      <c r="D4913" s="1" t="s">
        <v>11735</v>
      </c>
      <c r="F4913" s="1" t="s">
        <v>14661</v>
      </c>
      <c r="H4913" s="1" t="s">
        <v>14662</v>
      </c>
      <c r="J4913" s="1" t="s">
        <v>14663</v>
      </c>
      <c r="L4913" s="1" t="s">
        <v>1657</v>
      </c>
      <c r="P4913" s="1" t="s">
        <v>950</v>
      </c>
      <c r="Q4913" s="3">
        <v>0</v>
      </c>
      <c r="R4913" s="23" t="s">
        <v>11739</v>
      </c>
      <c r="S4913" s="23" t="s">
        <v>6847</v>
      </c>
      <c r="T4913" s="23" t="s">
        <v>4866</v>
      </c>
      <c r="U4913" s="3">
        <v>35</v>
      </c>
      <c r="W4913" s="45" t="str">
        <f>HYPERLINK("http://ictvonline.org/taxonomy/p/taxonomy-history?taxnode_id=201904193","ICTVonline=201904193")</f>
        <v>ICTVonline=201904193</v>
      </c>
      <c r="AA4913" s="1">
        <v>201900000</v>
      </c>
      <c r="AB4913" s="1">
        <v>35</v>
      </c>
    </row>
    <row r="4914" spans="1:28" x14ac:dyDescent="0.2">
      <c r="A4914" s="1">
        <v>12496</v>
      </c>
      <c r="B4914" s="1" t="s">
        <v>6839</v>
      </c>
      <c r="D4914" s="1" t="s">
        <v>11735</v>
      </c>
      <c r="F4914" s="1" t="s">
        <v>14661</v>
      </c>
      <c r="H4914" s="1" t="s">
        <v>14662</v>
      </c>
      <c r="J4914" s="1" t="s">
        <v>14663</v>
      </c>
      <c r="L4914" s="1" t="s">
        <v>1657</v>
      </c>
      <c r="P4914" s="1" t="s">
        <v>951</v>
      </c>
      <c r="Q4914" s="3">
        <v>0</v>
      </c>
      <c r="R4914" s="23" t="s">
        <v>11739</v>
      </c>
      <c r="S4914" s="23" t="s">
        <v>6847</v>
      </c>
      <c r="T4914" s="23" t="s">
        <v>4866</v>
      </c>
      <c r="U4914" s="3">
        <v>35</v>
      </c>
      <c r="W4914" s="45" t="str">
        <f>HYPERLINK("http://ictvonline.org/taxonomy/p/taxonomy-history?taxnode_id=201904194","ICTVonline=201904194")</f>
        <v>ICTVonline=201904194</v>
      </c>
      <c r="AA4914" s="1">
        <v>201900000</v>
      </c>
      <c r="AB4914" s="1">
        <v>35</v>
      </c>
    </row>
    <row r="4915" spans="1:28" x14ac:dyDescent="0.2">
      <c r="A4915" s="1">
        <v>12498</v>
      </c>
      <c r="B4915" s="1" t="s">
        <v>6839</v>
      </c>
      <c r="D4915" s="1" t="s">
        <v>11735</v>
      </c>
      <c r="F4915" s="1" t="s">
        <v>14661</v>
      </c>
      <c r="H4915" s="1" t="s">
        <v>14662</v>
      </c>
      <c r="J4915" s="1" t="s">
        <v>14663</v>
      </c>
      <c r="L4915" s="1" t="s">
        <v>1657</v>
      </c>
      <c r="P4915" s="1" t="s">
        <v>612</v>
      </c>
      <c r="Q4915" s="3">
        <v>0</v>
      </c>
      <c r="R4915" s="23" t="s">
        <v>11739</v>
      </c>
      <c r="S4915" s="23" t="s">
        <v>6847</v>
      </c>
      <c r="T4915" s="23" t="s">
        <v>4866</v>
      </c>
      <c r="U4915" s="3">
        <v>35</v>
      </c>
      <c r="W4915" s="45" t="str">
        <f>HYPERLINK("http://ictvonline.org/taxonomy/p/taxonomy-history?taxnode_id=201904195","ICTVonline=201904195")</f>
        <v>ICTVonline=201904195</v>
      </c>
      <c r="AA4915" s="1">
        <v>201900000</v>
      </c>
      <c r="AB4915" s="1">
        <v>35</v>
      </c>
    </row>
    <row r="4916" spans="1:28" x14ac:dyDescent="0.2">
      <c r="A4916" s="1">
        <v>12500</v>
      </c>
      <c r="B4916" s="1" t="s">
        <v>6839</v>
      </c>
      <c r="D4916" s="1" t="s">
        <v>11735</v>
      </c>
      <c r="F4916" s="1" t="s">
        <v>14661</v>
      </c>
      <c r="H4916" s="1" t="s">
        <v>14662</v>
      </c>
      <c r="J4916" s="1" t="s">
        <v>14663</v>
      </c>
      <c r="L4916" s="1" t="s">
        <v>1657</v>
      </c>
      <c r="P4916" s="1" t="s">
        <v>952</v>
      </c>
      <c r="Q4916" s="3">
        <v>0</v>
      </c>
      <c r="R4916" s="23" t="s">
        <v>11739</v>
      </c>
      <c r="S4916" s="23" t="s">
        <v>6847</v>
      </c>
      <c r="T4916" s="23" t="s">
        <v>4866</v>
      </c>
      <c r="U4916" s="3">
        <v>35</v>
      </c>
      <c r="W4916" s="45" t="str">
        <f>HYPERLINK("http://ictvonline.org/taxonomy/p/taxonomy-history?taxnode_id=201904196","ICTVonline=201904196")</f>
        <v>ICTVonline=201904196</v>
      </c>
      <c r="AA4916" s="1">
        <v>201900000</v>
      </c>
      <c r="AB4916" s="1">
        <v>35</v>
      </c>
    </row>
    <row r="4917" spans="1:28" x14ac:dyDescent="0.2">
      <c r="A4917" s="1">
        <v>12502</v>
      </c>
      <c r="B4917" s="1" t="s">
        <v>6839</v>
      </c>
      <c r="D4917" s="1" t="s">
        <v>11735</v>
      </c>
      <c r="F4917" s="1" t="s">
        <v>14661</v>
      </c>
      <c r="H4917" s="1" t="s">
        <v>14662</v>
      </c>
      <c r="J4917" s="1" t="s">
        <v>14663</v>
      </c>
      <c r="L4917" s="1" t="s">
        <v>1657</v>
      </c>
      <c r="P4917" s="1" t="s">
        <v>953</v>
      </c>
      <c r="Q4917" s="3">
        <v>0</v>
      </c>
      <c r="R4917" s="23" t="s">
        <v>11739</v>
      </c>
      <c r="S4917" s="23" t="s">
        <v>6847</v>
      </c>
      <c r="T4917" s="23" t="s">
        <v>4866</v>
      </c>
      <c r="U4917" s="3">
        <v>35</v>
      </c>
      <c r="W4917" s="45" t="str">
        <f>HYPERLINK("http://ictvonline.org/taxonomy/p/taxonomy-history?taxnode_id=201904197","ICTVonline=201904197")</f>
        <v>ICTVonline=201904197</v>
      </c>
      <c r="AA4917" s="1">
        <v>201900000</v>
      </c>
      <c r="AB4917" s="1">
        <v>35</v>
      </c>
    </row>
    <row r="4918" spans="1:28" x14ac:dyDescent="0.2">
      <c r="A4918" s="1">
        <v>12504</v>
      </c>
      <c r="B4918" s="1" t="s">
        <v>6839</v>
      </c>
      <c r="D4918" s="1" t="s">
        <v>11735</v>
      </c>
      <c r="F4918" s="1" t="s">
        <v>14661</v>
      </c>
      <c r="H4918" s="1" t="s">
        <v>14662</v>
      </c>
      <c r="J4918" s="1" t="s">
        <v>14663</v>
      </c>
      <c r="L4918" s="1" t="s">
        <v>1657</v>
      </c>
      <c r="P4918" s="1" t="s">
        <v>5420</v>
      </c>
      <c r="Q4918" s="3">
        <v>0</v>
      </c>
      <c r="R4918" s="23" t="s">
        <v>11739</v>
      </c>
      <c r="S4918" s="23" t="s">
        <v>6847</v>
      </c>
      <c r="T4918" s="23" t="s">
        <v>4866</v>
      </c>
      <c r="U4918" s="3">
        <v>35</v>
      </c>
      <c r="W4918" s="45" t="str">
        <f>HYPERLINK("http://ictvonline.org/taxonomy/p/taxonomy-history?taxnode_id=201904198","ICTVonline=201904198")</f>
        <v>ICTVonline=201904198</v>
      </c>
      <c r="AA4918" s="1">
        <v>201900000</v>
      </c>
      <c r="AB4918" s="1">
        <v>35</v>
      </c>
    </row>
    <row r="4919" spans="1:28" x14ac:dyDescent="0.2">
      <c r="A4919" s="1">
        <v>12506</v>
      </c>
      <c r="B4919" s="1" t="s">
        <v>6839</v>
      </c>
      <c r="D4919" s="1" t="s">
        <v>11735</v>
      </c>
      <c r="F4919" s="1" t="s">
        <v>14661</v>
      </c>
      <c r="H4919" s="1" t="s">
        <v>14662</v>
      </c>
      <c r="J4919" s="1" t="s">
        <v>14663</v>
      </c>
      <c r="L4919" s="1" t="s">
        <v>1657</v>
      </c>
      <c r="P4919" s="1" t="s">
        <v>5421</v>
      </c>
      <c r="Q4919" s="3">
        <v>0</v>
      </c>
      <c r="R4919" s="23" t="s">
        <v>11739</v>
      </c>
      <c r="S4919" s="23" t="s">
        <v>6847</v>
      </c>
      <c r="T4919" s="23" t="s">
        <v>4866</v>
      </c>
      <c r="U4919" s="3">
        <v>35</v>
      </c>
      <c r="W4919" s="45" t="str">
        <f>HYPERLINK("http://ictvonline.org/taxonomy/p/taxonomy-history?taxnode_id=201904199","ICTVonline=201904199")</f>
        <v>ICTVonline=201904199</v>
      </c>
      <c r="AA4919" s="1">
        <v>201900000</v>
      </c>
      <c r="AB4919" s="1">
        <v>35</v>
      </c>
    </row>
    <row r="4920" spans="1:28" x14ac:dyDescent="0.2">
      <c r="A4920" s="1">
        <v>12508</v>
      </c>
      <c r="B4920" s="1" t="s">
        <v>6839</v>
      </c>
      <c r="D4920" s="1" t="s">
        <v>11735</v>
      </c>
      <c r="F4920" s="1" t="s">
        <v>14661</v>
      </c>
      <c r="H4920" s="1" t="s">
        <v>14662</v>
      </c>
      <c r="J4920" s="1" t="s">
        <v>14663</v>
      </c>
      <c r="L4920" s="1" t="s">
        <v>1657</v>
      </c>
      <c r="P4920" s="1" t="s">
        <v>871</v>
      </c>
      <c r="Q4920" s="3">
        <v>0</v>
      </c>
      <c r="R4920" s="23" t="s">
        <v>11739</v>
      </c>
      <c r="S4920" s="23" t="s">
        <v>6847</v>
      </c>
      <c r="T4920" s="23" t="s">
        <v>4866</v>
      </c>
      <c r="U4920" s="3">
        <v>35</v>
      </c>
      <c r="W4920" s="45" t="str">
        <f>HYPERLINK("http://ictvonline.org/taxonomy/p/taxonomy-history?taxnode_id=201904200","ICTVonline=201904200")</f>
        <v>ICTVonline=201904200</v>
      </c>
      <c r="AA4920" s="1">
        <v>201900000</v>
      </c>
      <c r="AB4920" s="1">
        <v>35</v>
      </c>
    </row>
    <row r="4921" spans="1:28" x14ac:dyDescent="0.2">
      <c r="A4921" s="1">
        <v>12510</v>
      </c>
      <c r="B4921" s="1" t="s">
        <v>6839</v>
      </c>
      <c r="D4921" s="1" t="s">
        <v>11735</v>
      </c>
      <c r="F4921" s="1" t="s">
        <v>14661</v>
      </c>
      <c r="H4921" s="1" t="s">
        <v>14662</v>
      </c>
      <c r="J4921" s="1" t="s">
        <v>14663</v>
      </c>
      <c r="L4921" s="1" t="s">
        <v>1657</v>
      </c>
      <c r="P4921" s="1" t="s">
        <v>872</v>
      </c>
      <c r="Q4921" s="3">
        <v>0</v>
      </c>
      <c r="R4921" s="23" t="s">
        <v>11739</v>
      </c>
      <c r="S4921" s="23" t="s">
        <v>6847</v>
      </c>
      <c r="T4921" s="23" t="s">
        <v>4866</v>
      </c>
      <c r="U4921" s="3">
        <v>35</v>
      </c>
      <c r="W4921" s="45" t="str">
        <f>HYPERLINK("http://ictvonline.org/taxonomy/p/taxonomy-history?taxnode_id=201904201","ICTVonline=201904201")</f>
        <v>ICTVonline=201904201</v>
      </c>
      <c r="AA4921" s="1">
        <v>201900000</v>
      </c>
      <c r="AB4921" s="1">
        <v>35</v>
      </c>
    </row>
    <row r="4922" spans="1:28" x14ac:dyDescent="0.2">
      <c r="A4922" s="1">
        <v>12512</v>
      </c>
      <c r="B4922" s="1" t="s">
        <v>6839</v>
      </c>
      <c r="D4922" s="1" t="s">
        <v>11735</v>
      </c>
      <c r="F4922" s="1" t="s">
        <v>14661</v>
      </c>
      <c r="H4922" s="1" t="s">
        <v>14662</v>
      </c>
      <c r="J4922" s="1" t="s">
        <v>14663</v>
      </c>
      <c r="L4922" s="1" t="s">
        <v>1657</v>
      </c>
      <c r="P4922" s="1" t="s">
        <v>873</v>
      </c>
      <c r="Q4922" s="3">
        <v>0</v>
      </c>
      <c r="R4922" s="23" t="s">
        <v>11739</v>
      </c>
      <c r="S4922" s="23" t="s">
        <v>6847</v>
      </c>
      <c r="T4922" s="23" t="s">
        <v>4866</v>
      </c>
      <c r="U4922" s="3">
        <v>35</v>
      </c>
      <c r="W4922" s="45" t="str">
        <f>HYPERLINK("http://ictvonline.org/taxonomy/p/taxonomy-history?taxnode_id=201904202","ICTVonline=201904202")</f>
        <v>ICTVonline=201904202</v>
      </c>
      <c r="AA4922" s="1">
        <v>201900000</v>
      </c>
      <c r="AB4922" s="1">
        <v>35</v>
      </c>
    </row>
    <row r="4923" spans="1:28" x14ac:dyDescent="0.2">
      <c r="A4923" s="1">
        <v>12514</v>
      </c>
      <c r="B4923" s="1" t="s">
        <v>6839</v>
      </c>
      <c r="D4923" s="1" t="s">
        <v>11735</v>
      </c>
      <c r="F4923" s="1" t="s">
        <v>14661</v>
      </c>
      <c r="H4923" s="1" t="s">
        <v>14662</v>
      </c>
      <c r="J4923" s="1" t="s">
        <v>14663</v>
      </c>
      <c r="L4923" s="1" t="s">
        <v>1657</v>
      </c>
      <c r="P4923" s="1" t="s">
        <v>874</v>
      </c>
      <c r="Q4923" s="3">
        <v>0</v>
      </c>
      <c r="R4923" s="23" t="s">
        <v>11739</v>
      </c>
      <c r="S4923" s="23" t="s">
        <v>6847</v>
      </c>
      <c r="T4923" s="23" t="s">
        <v>4866</v>
      </c>
      <c r="U4923" s="3">
        <v>35</v>
      </c>
      <c r="W4923" s="45" t="str">
        <f>HYPERLINK("http://ictvonline.org/taxonomy/p/taxonomy-history?taxnode_id=201904203","ICTVonline=201904203")</f>
        <v>ICTVonline=201904203</v>
      </c>
      <c r="AA4923" s="1">
        <v>201900000</v>
      </c>
      <c r="AB4923" s="1">
        <v>35</v>
      </c>
    </row>
    <row r="4924" spans="1:28" x14ac:dyDescent="0.2">
      <c r="A4924" s="1">
        <v>12516</v>
      </c>
      <c r="B4924" s="1" t="s">
        <v>6839</v>
      </c>
      <c r="D4924" s="1" t="s">
        <v>11735</v>
      </c>
      <c r="F4924" s="1" t="s">
        <v>14661</v>
      </c>
      <c r="H4924" s="1" t="s">
        <v>14662</v>
      </c>
      <c r="J4924" s="1" t="s">
        <v>14663</v>
      </c>
      <c r="L4924" s="1" t="s">
        <v>1657</v>
      </c>
      <c r="P4924" s="1" t="s">
        <v>875</v>
      </c>
      <c r="Q4924" s="3">
        <v>0</v>
      </c>
      <c r="R4924" s="23" t="s">
        <v>11739</v>
      </c>
      <c r="S4924" s="23" t="s">
        <v>6847</v>
      </c>
      <c r="T4924" s="23" t="s">
        <v>4866</v>
      </c>
      <c r="U4924" s="3">
        <v>35</v>
      </c>
      <c r="W4924" s="45" t="str">
        <f>HYPERLINK("http://ictvonline.org/taxonomy/p/taxonomy-history?taxnode_id=201904204","ICTVonline=201904204")</f>
        <v>ICTVonline=201904204</v>
      </c>
      <c r="AA4924" s="1">
        <v>201900000</v>
      </c>
      <c r="AB4924" s="1">
        <v>35</v>
      </c>
    </row>
    <row r="4925" spans="1:28" x14ac:dyDescent="0.2">
      <c r="A4925" s="1">
        <v>12518</v>
      </c>
      <c r="B4925" s="1" t="s">
        <v>6839</v>
      </c>
      <c r="D4925" s="1" t="s">
        <v>11735</v>
      </c>
      <c r="F4925" s="1" t="s">
        <v>14661</v>
      </c>
      <c r="H4925" s="1" t="s">
        <v>14662</v>
      </c>
      <c r="J4925" s="1" t="s">
        <v>14663</v>
      </c>
      <c r="L4925" s="1" t="s">
        <v>1657</v>
      </c>
      <c r="P4925" s="1" t="s">
        <v>878</v>
      </c>
      <c r="Q4925" s="3">
        <v>0</v>
      </c>
      <c r="R4925" s="23" t="s">
        <v>11739</v>
      </c>
      <c r="S4925" s="23" t="s">
        <v>6847</v>
      </c>
      <c r="T4925" s="23" t="s">
        <v>4866</v>
      </c>
      <c r="U4925" s="3">
        <v>35</v>
      </c>
      <c r="W4925" s="45" t="str">
        <f>HYPERLINK("http://ictvonline.org/taxonomy/p/taxonomy-history?taxnode_id=201904205","ICTVonline=201904205")</f>
        <v>ICTVonline=201904205</v>
      </c>
      <c r="AA4925" s="1">
        <v>201900000</v>
      </c>
      <c r="AB4925" s="1">
        <v>35</v>
      </c>
    </row>
    <row r="4926" spans="1:28" x14ac:dyDescent="0.2">
      <c r="A4926" s="1">
        <v>12523</v>
      </c>
      <c r="B4926" s="1" t="s">
        <v>6839</v>
      </c>
      <c r="D4926" s="1" t="s">
        <v>11735</v>
      </c>
      <c r="F4926" s="1" t="s">
        <v>14661</v>
      </c>
      <c r="H4926" s="1" t="s">
        <v>14662</v>
      </c>
      <c r="J4926" s="1" t="s">
        <v>14663</v>
      </c>
      <c r="L4926" s="1" t="s">
        <v>860</v>
      </c>
      <c r="N4926" s="1" t="s">
        <v>861</v>
      </c>
      <c r="P4926" s="1" t="s">
        <v>14776</v>
      </c>
      <c r="Q4926" s="3">
        <v>0</v>
      </c>
      <c r="R4926" s="23" t="s">
        <v>11739</v>
      </c>
      <c r="S4926" s="23" t="s">
        <v>6849</v>
      </c>
      <c r="T4926" s="23" t="s">
        <v>4864</v>
      </c>
      <c r="U4926" s="3">
        <v>35</v>
      </c>
      <c r="V4926" s="3" t="s">
        <v>14777</v>
      </c>
      <c r="W4926" s="45" t="str">
        <f>HYPERLINK("http://ictvonline.org/taxonomy/p/taxonomy-history?taxnode_id=201908648","ICTVonline=201908648")</f>
        <v>ICTVonline=201908648</v>
      </c>
      <c r="Y4926" s="1" t="s">
        <v>14778</v>
      </c>
      <c r="Z4926" s="1" t="s">
        <v>14779</v>
      </c>
      <c r="AA4926" s="1">
        <v>201900000</v>
      </c>
      <c r="AB4926" s="1">
        <v>35</v>
      </c>
    </row>
    <row r="4927" spans="1:28" x14ac:dyDescent="0.2">
      <c r="A4927" s="1">
        <v>12525</v>
      </c>
      <c r="B4927" s="1" t="s">
        <v>6839</v>
      </c>
      <c r="D4927" s="1" t="s">
        <v>11735</v>
      </c>
      <c r="F4927" s="1" t="s">
        <v>14661</v>
      </c>
      <c r="H4927" s="1" t="s">
        <v>14662</v>
      </c>
      <c r="J4927" s="1" t="s">
        <v>14663</v>
      </c>
      <c r="L4927" s="1" t="s">
        <v>860</v>
      </c>
      <c r="N4927" s="1" t="s">
        <v>861</v>
      </c>
      <c r="P4927" s="1" t="s">
        <v>14780</v>
      </c>
      <c r="Q4927" s="3">
        <v>0</v>
      </c>
      <c r="R4927" s="23" t="s">
        <v>11739</v>
      </c>
      <c r="S4927" s="23" t="s">
        <v>6849</v>
      </c>
      <c r="T4927" s="23" t="s">
        <v>4864</v>
      </c>
      <c r="U4927" s="3">
        <v>35</v>
      </c>
      <c r="V4927" s="3" t="s">
        <v>14777</v>
      </c>
      <c r="W4927" s="45" t="str">
        <f>HYPERLINK("http://ictvonline.org/taxonomy/p/taxonomy-history?taxnode_id=201908647","ICTVonline=201908647")</f>
        <v>ICTVonline=201908647</v>
      </c>
      <c r="Y4927" s="1" t="s">
        <v>14781</v>
      </c>
      <c r="Z4927" s="1" t="s">
        <v>14782</v>
      </c>
      <c r="AA4927" s="1">
        <v>201900000</v>
      </c>
      <c r="AB4927" s="1">
        <v>35</v>
      </c>
    </row>
    <row r="4928" spans="1:28" x14ac:dyDescent="0.2">
      <c r="A4928" s="1">
        <v>12527</v>
      </c>
      <c r="B4928" s="1" t="s">
        <v>6839</v>
      </c>
      <c r="D4928" s="1" t="s">
        <v>11735</v>
      </c>
      <c r="F4928" s="1" t="s">
        <v>14661</v>
      </c>
      <c r="H4928" s="1" t="s">
        <v>14662</v>
      </c>
      <c r="J4928" s="1" t="s">
        <v>14663</v>
      </c>
      <c r="L4928" s="1" t="s">
        <v>860</v>
      </c>
      <c r="N4928" s="1" t="s">
        <v>861</v>
      </c>
      <c r="P4928" s="1" t="s">
        <v>862</v>
      </c>
      <c r="Q4928" s="3">
        <v>1</v>
      </c>
      <c r="R4928" s="23" t="s">
        <v>11739</v>
      </c>
      <c r="S4928" s="23" t="s">
        <v>6847</v>
      </c>
      <c r="T4928" s="23" t="s">
        <v>4866</v>
      </c>
      <c r="U4928" s="3">
        <v>35</v>
      </c>
      <c r="W4928" s="45" t="str">
        <f>HYPERLINK("http://ictvonline.org/taxonomy/p/taxonomy-history?taxnode_id=201904334","ICTVonline=201904334")</f>
        <v>ICTVonline=201904334</v>
      </c>
      <c r="AA4928" s="1">
        <v>201900000</v>
      </c>
      <c r="AB4928" s="1">
        <v>35</v>
      </c>
    </row>
    <row r="4929" spans="1:28" x14ac:dyDescent="0.2">
      <c r="A4929" s="1">
        <v>12540</v>
      </c>
      <c r="B4929" s="1" t="s">
        <v>6839</v>
      </c>
      <c r="D4929" s="1" t="s">
        <v>11735</v>
      </c>
      <c r="F4929" s="1" t="s">
        <v>14661</v>
      </c>
      <c r="H4929" s="1" t="s">
        <v>14783</v>
      </c>
      <c r="J4929" s="1" t="s">
        <v>1428</v>
      </c>
      <c r="K4929" s="1" t="s">
        <v>5677</v>
      </c>
      <c r="L4929" s="1" t="s">
        <v>5678</v>
      </c>
      <c r="M4929" s="1" t="s">
        <v>5679</v>
      </c>
      <c r="N4929" s="1" t="s">
        <v>5680</v>
      </c>
      <c r="O4929" s="1" t="s">
        <v>5681</v>
      </c>
      <c r="P4929" s="1" t="s">
        <v>5682</v>
      </c>
      <c r="Q4929" s="3">
        <v>1</v>
      </c>
      <c r="R4929" s="23" t="s">
        <v>11933</v>
      </c>
      <c r="S4929" s="23" t="s">
        <v>5849</v>
      </c>
      <c r="T4929" s="23" t="s">
        <v>4866</v>
      </c>
      <c r="U4929" s="3">
        <v>35</v>
      </c>
      <c r="W4929" s="45" t="str">
        <f>HYPERLINK("http://ictvonline.org/taxonomy/p/taxonomy-history?taxnode_id=201906200","ICTVonline=201906200")</f>
        <v>ICTVonline=201906200</v>
      </c>
      <c r="X4929" s="1" t="s">
        <v>14784</v>
      </c>
      <c r="Y4929" s="1" t="s">
        <v>14785</v>
      </c>
      <c r="Z4929" s="1" t="s">
        <v>14786</v>
      </c>
      <c r="AA4929" s="1">
        <v>201900000</v>
      </c>
      <c r="AB4929" s="1">
        <v>35</v>
      </c>
    </row>
    <row r="4930" spans="1:28" x14ac:dyDescent="0.2">
      <c r="A4930" s="1">
        <v>12551</v>
      </c>
      <c r="B4930" s="1" t="s">
        <v>6839</v>
      </c>
      <c r="D4930" s="1" t="s">
        <v>11735</v>
      </c>
      <c r="F4930" s="1" t="s">
        <v>14661</v>
      </c>
      <c r="H4930" s="1" t="s">
        <v>14783</v>
      </c>
      <c r="J4930" s="1" t="s">
        <v>1428</v>
      </c>
      <c r="K4930" s="1" t="s">
        <v>5683</v>
      </c>
      <c r="L4930" s="1" t="s">
        <v>1429</v>
      </c>
      <c r="M4930" s="1" t="s">
        <v>5684</v>
      </c>
      <c r="N4930" s="1" t="s">
        <v>5685</v>
      </c>
      <c r="P4930" s="1" t="s">
        <v>5686</v>
      </c>
      <c r="Q4930" s="3">
        <v>1</v>
      </c>
      <c r="R4930" s="23" t="s">
        <v>11933</v>
      </c>
      <c r="S4930" s="23" t="s">
        <v>5849</v>
      </c>
      <c r="T4930" s="23" t="s">
        <v>4866</v>
      </c>
      <c r="U4930" s="3">
        <v>35</v>
      </c>
      <c r="W4930" s="45" t="str">
        <f>HYPERLINK("http://ictvonline.org/taxonomy/p/taxonomy-history?taxnode_id=201906015","ICTVonline=201906015")</f>
        <v>ICTVonline=201906015</v>
      </c>
      <c r="X4930" s="1" t="s">
        <v>14787</v>
      </c>
      <c r="Y4930" s="1" t="s">
        <v>14788</v>
      </c>
      <c r="Z4930" s="1" t="s">
        <v>14789</v>
      </c>
      <c r="AA4930" s="1">
        <v>201900000</v>
      </c>
      <c r="AB4930" s="1">
        <v>35</v>
      </c>
    </row>
    <row r="4931" spans="1:28" x14ac:dyDescent="0.2">
      <c r="A4931" s="1">
        <v>12557</v>
      </c>
      <c r="B4931" s="1" t="s">
        <v>6839</v>
      </c>
      <c r="D4931" s="1" t="s">
        <v>11735</v>
      </c>
      <c r="F4931" s="1" t="s">
        <v>14661</v>
      </c>
      <c r="H4931" s="1" t="s">
        <v>14783</v>
      </c>
      <c r="J4931" s="1" t="s">
        <v>1428</v>
      </c>
      <c r="K4931" s="1" t="s">
        <v>5683</v>
      </c>
      <c r="L4931" s="1" t="s">
        <v>1429</v>
      </c>
      <c r="M4931" s="1" t="s">
        <v>5687</v>
      </c>
      <c r="N4931" s="1" t="s">
        <v>5688</v>
      </c>
      <c r="P4931" s="1" t="s">
        <v>5689</v>
      </c>
      <c r="Q4931" s="3">
        <v>1</v>
      </c>
      <c r="R4931" s="23" t="s">
        <v>11933</v>
      </c>
      <c r="S4931" s="23" t="s">
        <v>5849</v>
      </c>
      <c r="T4931" s="23" t="s">
        <v>4866</v>
      </c>
      <c r="U4931" s="3">
        <v>35</v>
      </c>
      <c r="W4931" s="45" t="str">
        <f>HYPERLINK("http://ictvonline.org/taxonomy/p/taxonomy-history?taxnode_id=201901827","ICTVonline=201901827")</f>
        <v>ICTVonline=201901827</v>
      </c>
      <c r="X4931" s="1" t="s">
        <v>14790</v>
      </c>
      <c r="Y4931" s="1" t="s">
        <v>14791</v>
      </c>
      <c r="AA4931" s="1">
        <v>201900000</v>
      </c>
      <c r="AB4931" s="1">
        <v>35</v>
      </c>
    </row>
    <row r="4932" spans="1:28" x14ac:dyDescent="0.2">
      <c r="A4932" s="1">
        <v>12563</v>
      </c>
      <c r="B4932" s="1" t="s">
        <v>6839</v>
      </c>
      <c r="D4932" s="1" t="s">
        <v>11735</v>
      </c>
      <c r="F4932" s="1" t="s">
        <v>14661</v>
      </c>
      <c r="H4932" s="1" t="s">
        <v>14783</v>
      </c>
      <c r="J4932" s="1" t="s">
        <v>1428</v>
      </c>
      <c r="K4932" s="1" t="s">
        <v>5683</v>
      </c>
      <c r="L4932" s="1" t="s">
        <v>1429</v>
      </c>
      <c r="M4932" s="1" t="s">
        <v>5690</v>
      </c>
      <c r="N4932" s="1" t="s">
        <v>5691</v>
      </c>
      <c r="P4932" s="1" t="s">
        <v>5692</v>
      </c>
      <c r="Q4932" s="3">
        <v>1</v>
      </c>
      <c r="R4932" s="23" t="s">
        <v>11933</v>
      </c>
      <c r="S4932" s="23" t="s">
        <v>5849</v>
      </c>
      <c r="T4932" s="23" t="s">
        <v>4866</v>
      </c>
      <c r="U4932" s="3">
        <v>35</v>
      </c>
      <c r="W4932" s="45" t="str">
        <f>HYPERLINK("http://ictvonline.org/taxonomy/p/taxonomy-history?taxnode_id=201901829","ICTVonline=201901829")</f>
        <v>ICTVonline=201901829</v>
      </c>
      <c r="X4932" s="1" t="s">
        <v>14792</v>
      </c>
      <c r="Y4932" s="1" t="s">
        <v>14793</v>
      </c>
      <c r="Z4932" s="1" t="s">
        <v>14794</v>
      </c>
      <c r="AA4932" s="1">
        <v>201900000</v>
      </c>
      <c r="AB4932" s="1">
        <v>35</v>
      </c>
    </row>
    <row r="4933" spans="1:28" x14ac:dyDescent="0.2">
      <c r="A4933" s="1">
        <v>12570</v>
      </c>
      <c r="B4933" s="1" t="s">
        <v>6839</v>
      </c>
      <c r="D4933" s="1" t="s">
        <v>11735</v>
      </c>
      <c r="F4933" s="1" t="s">
        <v>14661</v>
      </c>
      <c r="H4933" s="1" t="s">
        <v>14783</v>
      </c>
      <c r="J4933" s="1" t="s">
        <v>1428</v>
      </c>
      <c r="K4933" s="1" t="s">
        <v>5683</v>
      </c>
      <c r="L4933" s="1" t="s">
        <v>1429</v>
      </c>
      <c r="M4933" s="1" t="s">
        <v>5693</v>
      </c>
      <c r="N4933" s="1" t="s">
        <v>5694</v>
      </c>
      <c r="O4933" s="1" t="s">
        <v>5695</v>
      </c>
      <c r="P4933" s="1" t="s">
        <v>5696</v>
      </c>
      <c r="Q4933" s="3">
        <v>1</v>
      </c>
      <c r="R4933" s="23" t="s">
        <v>11933</v>
      </c>
      <c r="S4933" s="23" t="s">
        <v>5849</v>
      </c>
      <c r="T4933" s="23" t="s">
        <v>4866</v>
      </c>
      <c r="U4933" s="3">
        <v>35</v>
      </c>
      <c r="W4933" s="45" t="str">
        <f>HYPERLINK("http://ictvonline.org/taxonomy/p/taxonomy-history?taxnode_id=201901845","ICTVonline=201901845")</f>
        <v>ICTVonline=201901845</v>
      </c>
      <c r="X4933" s="1" t="s">
        <v>14795</v>
      </c>
      <c r="Y4933" s="1" t="s">
        <v>14796</v>
      </c>
      <c r="AA4933" s="1">
        <v>201900000</v>
      </c>
      <c r="AB4933" s="1">
        <v>35</v>
      </c>
    </row>
    <row r="4934" spans="1:28" x14ac:dyDescent="0.2">
      <c r="A4934" s="1">
        <v>12576</v>
      </c>
      <c r="B4934" s="1" t="s">
        <v>6839</v>
      </c>
      <c r="D4934" s="1" t="s">
        <v>11735</v>
      </c>
      <c r="F4934" s="1" t="s">
        <v>14661</v>
      </c>
      <c r="H4934" s="1" t="s">
        <v>14783</v>
      </c>
      <c r="J4934" s="1" t="s">
        <v>1428</v>
      </c>
      <c r="K4934" s="1" t="s">
        <v>5683</v>
      </c>
      <c r="L4934" s="1" t="s">
        <v>1429</v>
      </c>
      <c r="M4934" s="1" t="s">
        <v>5693</v>
      </c>
      <c r="N4934" s="1" t="s">
        <v>5697</v>
      </c>
      <c r="O4934" s="1" t="s">
        <v>5698</v>
      </c>
      <c r="P4934" s="1" t="s">
        <v>5699</v>
      </c>
      <c r="Q4934" s="3">
        <v>1</v>
      </c>
      <c r="R4934" s="23" t="s">
        <v>11933</v>
      </c>
      <c r="S4934" s="23" t="s">
        <v>5849</v>
      </c>
      <c r="T4934" s="23" t="s">
        <v>4866</v>
      </c>
      <c r="U4934" s="3">
        <v>35</v>
      </c>
      <c r="W4934" s="45" t="str">
        <f>HYPERLINK("http://ictvonline.org/taxonomy/p/taxonomy-history?taxnode_id=201901844","ICTVonline=201901844")</f>
        <v>ICTVonline=201901844</v>
      </c>
      <c r="X4934" s="1" t="s">
        <v>14797</v>
      </c>
      <c r="Y4934" s="1" t="s">
        <v>14798</v>
      </c>
      <c r="Z4934" s="1" t="s">
        <v>14799</v>
      </c>
      <c r="AA4934" s="1">
        <v>201900000</v>
      </c>
      <c r="AB4934" s="1">
        <v>35</v>
      </c>
    </row>
    <row r="4935" spans="1:28" x14ac:dyDescent="0.2">
      <c r="A4935" s="1">
        <v>12578</v>
      </c>
      <c r="B4935" s="1" t="s">
        <v>6839</v>
      </c>
      <c r="D4935" s="1" t="s">
        <v>11735</v>
      </c>
      <c r="F4935" s="1" t="s">
        <v>14661</v>
      </c>
      <c r="H4935" s="1" t="s">
        <v>14783</v>
      </c>
      <c r="J4935" s="1" t="s">
        <v>1428</v>
      </c>
      <c r="K4935" s="1" t="s">
        <v>5683</v>
      </c>
      <c r="L4935" s="1" t="s">
        <v>1429</v>
      </c>
      <c r="M4935" s="1" t="s">
        <v>5693</v>
      </c>
      <c r="N4935" s="1" t="s">
        <v>5697</v>
      </c>
      <c r="O4935" s="1" t="s">
        <v>5698</v>
      </c>
      <c r="P4935" s="1" t="s">
        <v>5700</v>
      </c>
      <c r="Q4935" s="3">
        <v>0</v>
      </c>
      <c r="R4935" s="23" t="s">
        <v>11933</v>
      </c>
      <c r="S4935" s="23" t="s">
        <v>5849</v>
      </c>
      <c r="T4935" s="23" t="s">
        <v>4866</v>
      </c>
      <c r="U4935" s="3">
        <v>35</v>
      </c>
      <c r="W4935" s="45" t="str">
        <f>HYPERLINK("http://ictvonline.org/taxonomy/p/taxonomy-history?taxnode_id=201901837","ICTVonline=201901837")</f>
        <v>ICTVonline=201901837</v>
      </c>
      <c r="X4935" s="1" t="s">
        <v>14800</v>
      </c>
      <c r="Y4935" s="1" t="s">
        <v>14801</v>
      </c>
      <c r="Z4935" s="1" t="s">
        <v>14802</v>
      </c>
      <c r="AA4935" s="1">
        <v>201900000</v>
      </c>
      <c r="AB4935" s="1">
        <v>35</v>
      </c>
    </row>
    <row r="4936" spans="1:28" x14ac:dyDescent="0.2">
      <c r="A4936" s="1">
        <v>12580</v>
      </c>
      <c r="B4936" s="1" t="s">
        <v>6839</v>
      </c>
      <c r="D4936" s="1" t="s">
        <v>11735</v>
      </c>
      <c r="F4936" s="1" t="s">
        <v>14661</v>
      </c>
      <c r="H4936" s="1" t="s">
        <v>14783</v>
      </c>
      <c r="J4936" s="1" t="s">
        <v>1428</v>
      </c>
      <c r="K4936" s="1" t="s">
        <v>5683</v>
      </c>
      <c r="L4936" s="1" t="s">
        <v>1429</v>
      </c>
      <c r="M4936" s="1" t="s">
        <v>5693</v>
      </c>
      <c r="N4936" s="1" t="s">
        <v>5697</v>
      </c>
      <c r="O4936" s="1" t="s">
        <v>5698</v>
      </c>
      <c r="P4936" s="1" t="s">
        <v>5701</v>
      </c>
      <c r="Q4936" s="3">
        <v>0</v>
      </c>
      <c r="R4936" s="23" t="s">
        <v>11933</v>
      </c>
      <c r="S4936" s="23" t="s">
        <v>5849</v>
      </c>
      <c r="T4936" s="23" t="s">
        <v>4866</v>
      </c>
      <c r="U4936" s="3">
        <v>35</v>
      </c>
      <c r="W4936" s="45" t="str">
        <f>HYPERLINK("http://ictvonline.org/taxonomy/p/taxonomy-history?taxnode_id=201906098","ICTVonline=201906098")</f>
        <v>ICTVonline=201906098</v>
      </c>
      <c r="X4936" s="1" t="s">
        <v>14803</v>
      </c>
      <c r="Y4936" s="1" t="s">
        <v>14804</v>
      </c>
      <c r="Z4936" s="1" t="s">
        <v>14805</v>
      </c>
      <c r="AA4936" s="1">
        <v>201900000</v>
      </c>
      <c r="AB4936" s="1">
        <v>35</v>
      </c>
    </row>
    <row r="4937" spans="1:28" x14ac:dyDescent="0.2">
      <c r="A4937" s="1">
        <v>12585</v>
      </c>
      <c r="B4937" s="1" t="s">
        <v>6839</v>
      </c>
      <c r="D4937" s="1" t="s">
        <v>11735</v>
      </c>
      <c r="F4937" s="1" t="s">
        <v>14661</v>
      </c>
      <c r="H4937" s="1" t="s">
        <v>14783</v>
      </c>
      <c r="J4937" s="1" t="s">
        <v>1428</v>
      </c>
      <c r="K4937" s="1" t="s">
        <v>5683</v>
      </c>
      <c r="L4937" s="1" t="s">
        <v>1429</v>
      </c>
      <c r="M4937" s="1" t="s">
        <v>5693</v>
      </c>
      <c r="N4937" s="1" t="s">
        <v>5702</v>
      </c>
      <c r="P4937" s="1" t="s">
        <v>5703</v>
      </c>
      <c r="Q4937" s="3">
        <v>1</v>
      </c>
      <c r="R4937" s="23" t="s">
        <v>11933</v>
      </c>
      <c r="S4937" s="23" t="s">
        <v>5849</v>
      </c>
      <c r="T4937" s="23" t="s">
        <v>4866</v>
      </c>
      <c r="U4937" s="3">
        <v>35</v>
      </c>
      <c r="W4937" s="45" t="str">
        <f>HYPERLINK("http://ictvonline.org/taxonomy/p/taxonomy-history?taxnode_id=201901840","ICTVonline=201901840")</f>
        <v>ICTVonline=201901840</v>
      </c>
      <c r="X4937" s="1" t="s">
        <v>14806</v>
      </c>
      <c r="Y4937" s="1" t="s">
        <v>14807</v>
      </c>
      <c r="Z4937" s="1" t="s">
        <v>14808</v>
      </c>
      <c r="AA4937" s="1">
        <v>201900000</v>
      </c>
      <c r="AB4937" s="1">
        <v>35</v>
      </c>
    </row>
    <row r="4938" spans="1:28" x14ac:dyDescent="0.2">
      <c r="A4938" s="1">
        <v>12590</v>
      </c>
      <c r="B4938" s="1" t="s">
        <v>6839</v>
      </c>
      <c r="D4938" s="1" t="s">
        <v>11735</v>
      </c>
      <c r="F4938" s="1" t="s">
        <v>14661</v>
      </c>
      <c r="H4938" s="1" t="s">
        <v>14783</v>
      </c>
      <c r="J4938" s="1" t="s">
        <v>1428</v>
      </c>
      <c r="K4938" s="1" t="s">
        <v>5683</v>
      </c>
      <c r="L4938" s="1" t="s">
        <v>1429</v>
      </c>
      <c r="M4938" s="1" t="s">
        <v>5693</v>
      </c>
      <c r="N4938" s="1" t="s">
        <v>5704</v>
      </c>
      <c r="O4938" s="1" t="s">
        <v>5715</v>
      </c>
      <c r="P4938" s="1" t="s">
        <v>5716</v>
      </c>
      <c r="Q4938" s="3">
        <v>0</v>
      </c>
      <c r="R4938" s="23" t="s">
        <v>11933</v>
      </c>
      <c r="S4938" s="23" t="s">
        <v>5849</v>
      </c>
      <c r="T4938" s="23" t="s">
        <v>4866</v>
      </c>
      <c r="U4938" s="3">
        <v>35</v>
      </c>
      <c r="W4938" s="45" t="str">
        <f>HYPERLINK("http://ictvonline.org/taxonomy/p/taxonomy-history?taxnode_id=201901836","ICTVonline=201901836")</f>
        <v>ICTVonline=201901836</v>
      </c>
      <c r="X4938" s="1" t="s">
        <v>14809</v>
      </c>
      <c r="Y4938" s="1" t="s">
        <v>14810</v>
      </c>
      <c r="Z4938" s="1" t="s">
        <v>14811</v>
      </c>
      <c r="AA4938" s="1">
        <v>201900000</v>
      </c>
      <c r="AB4938" s="1">
        <v>35</v>
      </c>
    </row>
    <row r="4939" spans="1:28" x14ac:dyDescent="0.2">
      <c r="A4939" s="1">
        <v>12594</v>
      </c>
      <c r="B4939" s="1" t="s">
        <v>6839</v>
      </c>
      <c r="D4939" s="1" t="s">
        <v>11735</v>
      </c>
      <c r="F4939" s="1" t="s">
        <v>14661</v>
      </c>
      <c r="H4939" s="1" t="s">
        <v>14783</v>
      </c>
      <c r="J4939" s="1" t="s">
        <v>1428</v>
      </c>
      <c r="K4939" s="1" t="s">
        <v>5683</v>
      </c>
      <c r="L4939" s="1" t="s">
        <v>1429</v>
      </c>
      <c r="M4939" s="1" t="s">
        <v>5693</v>
      </c>
      <c r="N4939" s="1" t="s">
        <v>5704</v>
      </c>
      <c r="O4939" s="1" t="s">
        <v>5705</v>
      </c>
      <c r="P4939" s="1" t="s">
        <v>5706</v>
      </c>
      <c r="Q4939" s="3">
        <v>1</v>
      </c>
      <c r="R4939" s="23" t="s">
        <v>11933</v>
      </c>
      <c r="S4939" s="23" t="s">
        <v>5849</v>
      </c>
      <c r="T4939" s="23" t="s">
        <v>4866</v>
      </c>
      <c r="U4939" s="3">
        <v>35</v>
      </c>
      <c r="W4939" s="45" t="str">
        <f>HYPERLINK("http://ictvonline.org/taxonomy/p/taxonomy-history?taxnode_id=201901841","ICTVonline=201901841")</f>
        <v>ICTVonline=201901841</v>
      </c>
      <c r="X4939" s="1" t="s">
        <v>14812</v>
      </c>
      <c r="Y4939" s="1" t="s">
        <v>14813</v>
      </c>
      <c r="Z4939" s="1" t="s">
        <v>14814</v>
      </c>
      <c r="AA4939" s="1">
        <v>201900000</v>
      </c>
      <c r="AB4939" s="1">
        <v>35</v>
      </c>
    </row>
    <row r="4940" spans="1:28" x14ac:dyDescent="0.2">
      <c r="A4940" s="1">
        <v>12598</v>
      </c>
      <c r="B4940" s="1" t="s">
        <v>6839</v>
      </c>
      <c r="D4940" s="1" t="s">
        <v>11735</v>
      </c>
      <c r="F4940" s="1" t="s">
        <v>14661</v>
      </c>
      <c r="H4940" s="1" t="s">
        <v>14783</v>
      </c>
      <c r="J4940" s="1" t="s">
        <v>1428</v>
      </c>
      <c r="K4940" s="1" t="s">
        <v>5683</v>
      </c>
      <c r="L4940" s="1" t="s">
        <v>1429</v>
      </c>
      <c r="M4940" s="1" t="s">
        <v>5693</v>
      </c>
      <c r="N4940" s="1" t="s">
        <v>5704</v>
      </c>
      <c r="O4940" s="1" t="s">
        <v>5707</v>
      </c>
      <c r="P4940" s="1" t="s">
        <v>14815</v>
      </c>
      <c r="Q4940" s="3">
        <v>0</v>
      </c>
      <c r="R4940" s="23" t="s">
        <v>11933</v>
      </c>
      <c r="S4940" s="23" t="s">
        <v>5849</v>
      </c>
      <c r="T4940" s="23" t="s">
        <v>4865</v>
      </c>
      <c r="U4940" s="3">
        <v>35</v>
      </c>
      <c r="V4940" s="3" t="s">
        <v>14816</v>
      </c>
      <c r="W4940" s="45" t="str">
        <f>HYPERLINK("http://ictvonline.org/taxonomy/p/taxonomy-history?taxnode_id=201901843","ICTVonline=201901843")</f>
        <v>ICTVonline=201901843</v>
      </c>
      <c r="X4940" s="1" t="s">
        <v>14817</v>
      </c>
      <c r="Y4940" s="1" t="s">
        <v>14818</v>
      </c>
      <c r="AA4940" s="1">
        <v>201900000</v>
      </c>
      <c r="AB4940" s="1">
        <v>35</v>
      </c>
    </row>
    <row r="4941" spans="1:28" x14ac:dyDescent="0.2">
      <c r="A4941" s="1">
        <v>12604</v>
      </c>
      <c r="B4941" s="1" t="s">
        <v>6839</v>
      </c>
      <c r="D4941" s="1" t="s">
        <v>11735</v>
      </c>
      <c r="F4941" s="1" t="s">
        <v>14661</v>
      </c>
      <c r="H4941" s="1" t="s">
        <v>14783</v>
      </c>
      <c r="J4941" s="1" t="s">
        <v>1428</v>
      </c>
      <c r="K4941" s="1" t="s">
        <v>5683</v>
      </c>
      <c r="L4941" s="1" t="s">
        <v>1429</v>
      </c>
      <c r="M4941" s="1" t="s">
        <v>5693</v>
      </c>
      <c r="N4941" s="1" t="s">
        <v>5708</v>
      </c>
      <c r="O4941" s="1" t="s">
        <v>5717</v>
      </c>
      <c r="P4941" s="1" t="s">
        <v>5718</v>
      </c>
      <c r="Q4941" s="3">
        <v>0</v>
      </c>
      <c r="R4941" s="23" t="s">
        <v>11933</v>
      </c>
      <c r="S4941" s="23" t="s">
        <v>5849</v>
      </c>
      <c r="T4941" s="23" t="s">
        <v>4866</v>
      </c>
      <c r="U4941" s="3">
        <v>35</v>
      </c>
      <c r="W4941" s="45" t="str">
        <f>HYPERLINK("http://ictvonline.org/taxonomy/p/taxonomy-history?taxnode_id=201901838","ICTVonline=201901838")</f>
        <v>ICTVonline=201901838</v>
      </c>
      <c r="X4941" s="1" t="s">
        <v>14819</v>
      </c>
      <c r="Y4941" s="1" t="s">
        <v>14820</v>
      </c>
      <c r="Z4941" s="1" t="s">
        <v>14821</v>
      </c>
      <c r="AA4941" s="1">
        <v>201900000</v>
      </c>
      <c r="AB4941" s="1">
        <v>35</v>
      </c>
    </row>
    <row r="4942" spans="1:28" x14ac:dyDescent="0.2">
      <c r="A4942" s="1">
        <v>12608</v>
      </c>
      <c r="B4942" s="1" t="s">
        <v>6839</v>
      </c>
      <c r="D4942" s="1" t="s">
        <v>11735</v>
      </c>
      <c r="F4942" s="1" t="s">
        <v>14661</v>
      </c>
      <c r="H4942" s="1" t="s">
        <v>14783</v>
      </c>
      <c r="J4942" s="1" t="s">
        <v>1428</v>
      </c>
      <c r="K4942" s="1" t="s">
        <v>5683</v>
      </c>
      <c r="L4942" s="1" t="s">
        <v>1429</v>
      </c>
      <c r="M4942" s="1" t="s">
        <v>5693</v>
      </c>
      <c r="N4942" s="1" t="s">
        <v>5708</v>
      </c>
      <c r="O4942" s="1" t="s">
        <v>5709</v>
      </c>
      <c r="P4942" s="1" t="s">
        <v>5710</v>
      </c>
      <c r="Q4942" s="3">
        <v>1</v>
      </c>
      <c r="R4942" s="23" t="s">
        <v>11933</v>
      </c>
      <c r="S4942" s="23" t="s">
        <v>5849</v>
      </c>
      <c r="T4942" s="23" t="s">
        <v>4866</v>
      </c>
      <c r="U4942" s="3">
        <v>35</v>
      </c>
      <c r="W4942" s="45" t="str">
        <f>HYPERLINK("http://ictvonline.org/taxonomy/p/taxonomy-history?taxnode_id=201901842","ICTVonline=201901842")</f>
        <v>ICTVonline=201901842</v>
      </c>
      <c r="X4942" s="1" t="s">
        <v>14822</v>
      </c>
      <c r="Y4942" s="1" t="s">
        <v>14823</v>
      </c>
      <c r="Z4942" s="1" t="s">
        <v>14824</v>
      </c>
      <c r="AA4942" s="1">
        <v>201900000</v>
      </c>
      <c r="AB4942" s="1">
        <v>35</v>
      </c>
    </row>
    <row r="4943" spans="1:28" x14ac:dyDescent="0.2">
      <c r="A4943" s="1">
        <v>12613</v>
      </c>
      <c r="B4943" s="1" t="s">
        <v>6839</v>
      </c>
      <c r="D4943" s="1" t="s">
        <v>11735</v>
      </c>
      <c r="F4943" s="1" t="s">
        <v>14661</v>
      </c>
      <c r="H4943" s="1" t="s">
        <v>14783</v>
      </c>
      <c r="J4943" s="1" t="s">
        <v>1428</v>
      </c>
      <c r="K4943" s="1" t="s">
        <v>5683</v>
      </c>
      <c r="L4943" s="1" t="s">
        <v>1429</v>
      </c>
      <c r="M4943" s="1" t="s">
        <v>5693</v>
      </c>
      <c r="N4943" s="1" t="s">
        <v>5724</v>
      </c>
      <c r="P4943" s="1" t="s">
        <v>5725</v>
      </c>
      <c r="Q4943" s="3">
        <v>1</v>
      </c>
      <c r="R4943" s="23" t="s">
        <v>11933</v>
      </c>
      <c r="S4943" s="23" t="s">
        <v>5849</v>
      </c>
      <c r="T4943" s="23" t="s">
        <v>4866</v>
      </c>
      <c r="U4943" s="3">
        <v>35</v>
      </c>
      <c r="W4943" s="45" t="str">
        <f>HYPERLINK("http://ictvonline.org/taxonomy/p/taxonomy-history?taxnode_id=201901839","ICTVonline=201901839")</f>
        <v>ICTVonline=201901839</v>
      </c>
      <c r="X4943" s="1" t="s">
        <v>14825</v>
      </c>
      <c r="Y4943" s="1" t="s">
        <v>14826</v>
      </c>
      <c r="Z4943" s="1" t="s">
        <v>14827</v>
      </c>
      <c r="AA4943" s="1">
        <v>201900000</v>
      </c>
      <c r="AB4943" s="1">
        <v>35</v>
      </c>
    </row>
    <row r="4944" spans="1:28" x14ac:dyDescent="0.2">
      <c r="A4944" s="1">
        <v>12620</v>
      </c>
      <c r="B4944" s="1" t="s">
        <v>6839</v>
      </c>
      <c r="D4944" s="1" t="s">
        <v>11735</v>
      </c>
      <c r="F4944" s="1" t="s">
        <v>14661</v>
      </c>
      <c r="H4944" s="1" t="s">
        <v>14783</v>
      </c>
      <c r="J4944" s="1" t="s">
        <v>1428</v>
      </c>
      <c r="K4944" s="1" t="s">
        <v>5683</v>
      </c>
      <c r="L4944" s="1" t="s">
        <v>1429</v>
      </c>
      <c r="M4944" s="1" t="s">
        <v>5711</v>
      </c>
      <c r="N4944" s="1" t="s">
        <v>5712</v>
      </c>
      <c r="O4944" s="1" t="s">
        <v>5713</v>
      </c>
      <c r="P4944" s="1" t="s">
        <v>5714</v>
      </c>
      <c r="Q4944" s="3">
        <v>0</v>
      </c>
      <c r="R4944" s="23" t="s">
        <v>11933</v>
      </c>
      <c r="S4944" s="23" t="s">
        <v>5849</v>
      </c>
      <c r="T4944" s="23" t="s">
        <v>4866</v>
      </c>
      <c r="U4944" s="3">
        <v>35</v>
      </c>
      <c r="W4944" s="45" t="str">
        <f>HYPERLINK("http://ictvonline.org/taxonomy/p/taxonomy-history?taxnode_id=201901833","ICTVonline=201901833")</f>
        <v>ICTVonline=201901833</v>
      </c>
      <c r="X4944" s="1" t="s">
        <v>14828</v>
      </c>
      <c r="Y4944" s="1" t="s">
        <v>14829</v>
      </c>
      <c r="Z4944" s="1" t="s">
        <v>14830</v>
      </c>
      <c r="AA4944" s="1">
        <v>201900000</v>
      </c>
      <c r="AB4944" s="1">
        <v>35</v>
      </c>
    </row>
    <row r="4945" spans="1:28" x14ac:dyDescent="0.2">
      <c r="A4945" s="1">
        <v>12624</v>
      </c>
      <c r="B4945" s="1" t="s">
        <v>6839</v>
      </c>
      <c r="D4945" s="1" t="s">
        <v>11735</v>
      </c>
      <c r="F4945" s="1" t="s">
        <v>14661</v>
      </c>
      <c r="H4945" s="1" t="s">
        <v>14783</v>
      </c>
      <c r="J4945" s="1" t="s">
        <v>1428</v>
      </c>
      <c r="K4945" s="1" t="s">
        <v>5683</v>
      </c>
      <c r="L4945" s="1" t="s">
        <v>1429</v>
      </c>
      <c r="M4945" s="1" t="s">
        <v>5711</v>
      </c>
      <c r="N4945" s="1" t="s">
        <v>5712</v>
      </c>
      <c r="O4945" s="1" t="s">
        <v>5731</v>
      </c>
      <c r="P4945" s="1" t="s">
        <v>5732</v>
      </c>
      <c r="Q4945" s="3">
        <v>0</v>
      </c>
      <c r="R4945" s="23" t="s">
        <v>11933</v>
      </c>
      <c r="S4945" s="23" t="s">
        <v>5849</v>
      </c>
      <c r="T4945" s="23" t="s">
        <v>4866</v>
      </c>
      <c r="U4945" s="3">
        <v>35</v>
      </c>
      <c r="W4945" s="45" t="str">
        <f>HYPERLINK("http://ictvonline.org/taxonomy/p/taxonomy-history?taxnode_id=201901834","ICTVonline=201901834")</f>
        <v>ICTVonline=201901834</v>
      </c>
      <c r="X4945" s="1" t="s">
        <v>14831</v>
      </c>
      <c r="Y4945" s="1" t="s">
        <v>14832</v>
      </c>
      <c r="AA4945" s="1">
        <v>201900000</v>
      </c>
      <c r="AB4945" s="1">
        <v>35</v>
      </c>
    </row>
    <row r="4946" spans="1:28" x14ac:dyDescent="0.2">
      <c r="A4946" s="1">
        <v>12626</v>
      </c>
      <c r="B4946" s="1" t="s">
        <v>6839</v>
      </c>
      <c r="D4946" s="1" t="s">
        <v>11735</v>
      </c>
      <c r="F4946" s="1" t="s">
        <v>14661</v>
      </c>
      <c r="H4946" s="1" t="s">
        <v>14783</v>
      </c>
      <c r="J4946" s="1" t="s">
        <v>1428</v>
      </c>
      <c r="K4946" s="1" t="s">
        <v>5683</v>
      </c>
      <c r="L4946" s="1" t="s">
        <v>1429</v>
      </c>
      <c r="M4946" s="1" t="s">
        <v>5711</v>
      </c>
      <c r="N4946" s="1" t="s">
        <v>5712</v>
      </c>
      <c r="O4946" s="1" t="s">
        <v>5731</v>
      </c>
      <c r="P4946" s="1" t="s">
        <v>5733</v>
      </c>
      <c r="Q4946" s="3">
        <v>0</v>
      </c>
      <c r="R4946" s="23" t="s">
        <v>11933</v>
      </c>
      <c r="S4946" s="23" t="s">
        <v>5849</v>
      </c>
      <c r="T4946" s="23" t="s">
        <v>4866</v>
      </c>
      <c r="U4946" s="3">
        <v>35</v>
      </c>
      <c r="W4946" s="45" t="str">
        <f>HYPERLINK("http://ictvonline.org/taxonomy/p/taxonomy-history?taxnode_id=201906090","ICTVonline=201906090")</f>
        <v>ICTVonline=201906090</v>
      </c>
      <c r="X4946" s="1" t="s">
        <v>14833</v>
      </c>
      <c r="Y4946" s="1" t="s">
        <v>14834</v>
      </c>
      <c r="AA4946" s="1">
        <v>201900000</v>
      </c>
      <c r="AB4946" s="1">
        <v>35</v>
      </c>
    </row>
    <row r="4947" spans="1:28" x14ac:dyDescent="0.2">
      <c r="A4947" s="1">
        <v>12628</v>
      </c>
      <c r="B4947" s="1" t="s">
        <v>6839</v>
      </c>
      <c r="D4947" s="1" t="s">
        <v>11735</v>
      </c>
      <c r="F4947" s="1" t="s">
        <v>14661</v>
      </c>
      <c r="H4947" s="1" t="s">
        <v>14783</v>
      </c>
      <c r="J4947" s="1" t="s">
        <v>1428</v>
      </c>
      <c r="K4947" s="1" t="s">
        <v>5683</v>
      </c>
      <c r="L4947" s="1" t="s">
        <v>1429</v>
      </c>
      <c r="M4947" s="1" t="s">
        <v>5711</v>
      </c>
      <c r="N4947" s="1" t="s">
        <v>5712</v>
      </c>
      <c r="O4947" s="1" t="s">
        <v>5731</v>
      </c>
      <c r="P4947" s="1" t="s">
        <v>14835</v>
      </c>
      <c r="Q4947" s="3">
        <v>0</v>
      </c>
      <c r="R4947" s="23" t="s">
        <v>11933</v>
      </c>
      <c r="S4947" s="23" t="s">
        <v>5849</v>
      </c>
      <c r="T4947" s="23" t="s">
        <v>4864</v>
      </c>
      <c r="U4947" s="3">
        <v>35</v>
      </c>
      <c r="V4947" s="3" t="s">
        <v>14816</v>
      </c>
      <c r="W4947" s="45" t="str">
        <f>HYPERLINK("http://ictvonline.org/taxonomy/p/taxonomy-history?taxnode_id=201907464","ICTVonline=201907464")</f>
        <v>ICTVonline=201907464</v>
      </c>
      <c r="X4947" s="1" t="s">
        <v>14836</v>
      </c>
      <c r="Y4947" s="1" t="s">
        <v>14837</v>
      </c>
      <c r="AA4947" s="1">
        <v>201900000</v>
      </c>
      <c r="AB4947" s="1">
        <v>35</v>
      </c>
    </row>
    <row r="4948" spans="1:28" x14ac:dyDescent="0.2">
      <c r="A4948" s="1">
        <v>12632</v>
      </c>
      <c r="B4948" s="1" t="s">
        <v>6839</v>
      </c>
      <c r="D4948" s="1" t="s">
        <v>11735</v>
      </c>
      <c r="F4948" s="1" t="s">
        <v>14661</v>
      </c>
      <c r="H4948" s="1" t="s">
        <v>14783</v>
      </c>
      <c r="J4948" s="1" t="s">
        <v>1428</v>
      </c>
      <c r="K4948" s="1" t="s">
        <v>5683</v>
      </c>
      <c r="L4948" s="1" t="s">
        <v>1429</v>
      </c>
      <c r="M4948" s="1" t="s">
        <v>5711</v>
      </c>
      <c r="N4948" s="1" t="s">
        <v>5712</v>
      </c>
      <c r="O4948" s="1" t="s">
        <v>5736</v>
      </c>
      <c r="P4948" s="1" t="s">
        <v>5737</v>
      </c>
      <c r="Q4948" s="3">
        <v>1</v>
      </c>
      <c r="R4948" s="23" t="s">
        <v>11933</v>
      </c>
      <c r="S4948" s="23" t="s">
        <v>5849</v>
      </c>
      <c r="T4948" s="23" t="s">
        <v>4866</v>
      </c>
      <c r="U4948" s="3">
        <v>35</v>
      </c>
      <c r="W4948" s="45" t="str">
        <f>HYPERLINK("http://ictvonline.org/taxonomy/p/taxonomy-history?taxnode_id=201901832","ICTVonline=201901832")</f>
        <v>ICTVonline=201901832</v>
      </c>
      <c r="X4948" s="1" t="s">
        <v>14838</v>
      </c>
      <c r="Y4948" s="1" t="s">
        <v>14839</v>
      </c>
      <c r="AA4948" s="1">
        <v>201900000</v>
      </c>
      <c r="AB4948" s="1">
        <v>35</v>
      </c>
    </row>
    <row r="4949" spans="1:28" x14ac:dyDescent="0.2">
      <c r="A4949" s="1">
        <v>12636</v>
      </c>
      <c r="B4949" s="1" t="s">
        <v>6839</v>
      </c>
      <c r="D4949" s="1" t="s">
        <v>11735</v>
      </c>
      <c r="F4949" s="1" t="s">
        <v>14661</v>
      </c>
      <c r="H4949" s="1" t="s">
        <v>14783</v>
      </c>
      <c r="J4949" s="1" t="s">
        <v>1428</v>
      </c>
      <c r="K4949" s="1" t="s">
        <v>5683</v>
      </c>
      <c r="L4949" s="1" t="s">
        <v>1429</v>
      </c>
      <c r="M4949" s="1" t="s">
        <v>5711</v>
      </c>
      <c r="N4949" s="1" t="s">
        <v>5712</v>
      </c>
      <c r="O4949" s="1" t="s">
        <v>14840</v>
      </c>
      <c r="P4949" s="1" t="s">
        <v>14841</v>
      </c>
      <c r="Q4949" s="3">
        <v>0</v>
      </c>
      <c r="R4949" s="23" t="s">
        <v>11933</v>
      </c>
      <c r="S4949" s="23" t="s">
        <v>5849</v>
      </c>
      <c r="T4949" s="23" t="s">
        <v>4864</v>
      </c>
      <c r="U4949" s="3">
        <v>35</v>
      </c>
      <c r="V4949" s="3" t="s">
        <v>14816</v>
      </c>
      <c r="W4949" s="45" t="str">
        <f>HYPERLINK("http://ictvonline.org/taxonomy/p/taxonomy-history?taxnode_id=201907466","ICTVonline=201907466")</f>
        <v>ICTVonline=201907466</v>
      </c>
      <c r="X4949" s="1" t="s">
        <v>14842</v>
      </c>
      <c r="Y4949" s="1" t="s">
        <v>14843</v>
      </c>
      <c r="AA4949" s="1">
        <v>201900000</v>
      </c>
      <c r="AB4949" s="1">
        <v>35</v>
      </c>
    </row>
    <row r="4950" spans="1:28" x14ac:dyDescent="0.2">
      <c r="A4950" s="1">
        <v>12641</v>
      </c>
      <c r="B4950" s="1" t="s">
        <v>6839</v>
      </c>
      <c r="D4950" s="1" t="s">
        <v>11735</v>
      </c>
      <c r="F4950" s="1" t="s">
        <v>14661</v>
      </c>
      <c r="H4950" s="1" t="s">
        <v>14783</v>
      </c>
      <c r="J4950" s="1" t="s">
        <v>1428</v>
      </c>
      <c r="K4950" s="1" t="s">
        <v>5683</v>
      </c>
      <c r="L4950" s="1" t="s">
        <v>1429</v>
      </c>
      <c r="M4950" s="1" t="s">
        <v>5711</v>
      </c>
      <c r="N4950" s="1" t="s">
        <v>5719</v>
      </c>
      <c r="P4950" s="1" t="s">
        <v>5720</v>
      </c>
      <c r="Q4950" s="3">
        <v>1</v>
      </c>
      <c r="R4950" s="23" t="s">
        <v>11933</v>
      </c>
      <c r="S4950" s="23" t="s">
        <v>5849</v>
      </c>
      <c r="T4950" s="23" t="s">
        <v>4866</v>
      </c>
      <c r="U4950" s="3">
        <v>35</v>
      </c>
      <c r="W4950" s="45" t="str">
        <f>HYPERLINK("http://ictvonline.org/taxonomy/p/taxonomy-history?taxnode_id=201901831","ICTVonline=201901831")</f>
        <v>ICTVonline=201901831</v>
      </c>
      <c r="X4950" s="1" t="s">
        <v>14844</v>
      </c>
      <c r="Y4950" s="1" t="s">
        <v>14845</v>
      </c>
      <c r="Z4950" s="1" t="s">
        <v>14846</v>
      </c>
      <c r="AA4950" s="1">
        <v>201900000</v>
      </c>
      <c r="AB4950" s="1">
        <v>35</v>
      </c>
    </row>
    <row r="4951" spans="1:28" x14ac:dyDescent="0.2">
      <c r="A4951" s="1">
        <v>12645</v>
      </c>
      <c r="B4951" s="1" t="s">
        <v>6839</v>
      </c>
      <c r="D4951" s="1" t="s">
        <v>11735</v>
      </c>
      <c r="F4951" s="1" t="s">
        <v>14661</v>
      </c>
      <c r="H4951" s="1" t="s">
        <v>14783</v>
      </c>
      <c r="J4951" s="1" t="s">
        <v>1428</v>
      </c>
      <c r="K4951" s="1" t="s">
        <v>5683</v>
      </c>
      <c r="L4951" s="1" t="s">
        <v>1429</v>
      </c>
      <c r="M4951" s="1" t="s">
        <v>5711</v>
      </c>
      <c r="N4951" s="1" t="s">
        <v>14847</v>
      </c>
      <c r="P4951" s="1" t="s">
        <v>14848</v>
      </c>
      <c r="Q4951" s="3">
        <v>1</v>
      </c>
      <c r="R4951" s="23" t="s">
        <v>11933</v>
      </c>
      <c r="S4951" s="23" t="s">
        <v>5849</v>
      </c>
      <c r="T4951" s="23" t="s">
        <v>4864</v>
      </c>
      <c r="U4951" s="3">
        <v>35</v>
      </c>
      <c r="V4951" s="3" t="s">
        <v>14816</v>
      </c>
      <c r="W4951" s="45" t="str">
        <f>HYPERLINK("http://ictvonline.org/taxonomy/p/taxonomy-history?taxnode_id=201907468","ICTVonline=201907468")</f>
        <v>ICTVonline=201907468</v>
      </c>
      <c r="X4951" s="1" t="s">
        <v>14849</v>
      </c>
      <c r="Y4951" s="1" t="s">
        <v>14850</v>
      </c>
      <c r="AA4951" s="1">
        <v>201900000</v>
      </c>
      <c r="AB4951" s="1">
        <v>35</v>
      </c>
    </row>
    <row r="4952" spans="1:28" x14ac:dyDescent="0.2">
      <c r="A4952" s="1">
        <v>12651</v>
      </c>
      <c r="B4952" s="1" t="s">
        <v>6839</v>
      </c>
      <c r="D4952" s="1" t="s">
        <v>11735</v>
      </c>
      <c r="F4952" s="1" t="s">
        <v>14661</v>
      </c>
      <c r="H4952" s="1" t="s">
        <v>14783</v>
      </c>
      <c r="J4952" s="1" t="s">
        <v>1428</v>
      </c>
      <c r="K4952" s="1" t="s">
        <v>5683</v>
      </c>
      <c r="L4952" s="1" t="s">
        <v>1429</v>
      </c>
      <c r="M4952" s="1" t="s">
        <v>5721</v>
      </c>
      <c r="N4952" s="1" t="s">
        <v>5722</v>
      </c>
      <c r="P4952" s="1" t="s">
        <v>5723</v>
      </c>
      <c r="Q4952" s="3">
        <v>1</v>
      </c>
      <c r="R4952" s="23" t="s">
        <v>11933</v>
      </c>
      <c r="S4952" s="23" t="s">
        <v>5849</v>
      </c>
      <c r="T4952" s="23" t="s">
        <v>4866</v>
      </c>
      <c r="U4952" s="3">
        <v>35</v>
      </c>
      <c r="W4952" s="45" t="str">
        <f>HYPERLINK("http://ictvonline.org/taxonomy/p/taxonomy-history?taxnode_id=201901825","ICTVonline=201901825")</f>
        <v>ICTVonline=201901825</v>
      </c>
      <c r="X4952" s="1" t="s">
        <v>14851</v>
      </c>
      <c r="Y4952" s="1" t="s">
        <v>14852</v>
      </c>
      <c r="Z4952" s="1" t="s">
        <v>14853</v>
      </c>
      <c r="AA4952" s="1">
        <v>201900000</v>
      </c>
      <c r="AB4952" s="1">
        <v>35</v>
      </c>
    </row>
    <row r="4953" spans="1:28" x14ac:dyDescent="0.2">
      <c r="A4953" s="1">
        <v>12659</v>
      </c>
      <c r="B4953" s="1" t="s">
        <v>6839</v>
      </c>
      <c r="D4953" s="1" t="s">
        <v>11735</v>
      </c>
      <c r="F4953" s="1" t="s">
        <v>14661</v>
      </c>
      <c r="H4953" s="1" t="s">
        <v>14783</v>
      </c>
      <c r="J4953" s="1" t="s">
        <v>1428</v>
      </c>
      <c r="K4953" s="1" t="s">
        <v>5683</v>
      </c>
      <c r="L4953" s="1" t="s">
        <v>14854</v>
      </c>
      <c r="M4953" s="1" t="s">
        <v>14855</v>
      </c>
      <c r="N4953" s="1" t="s">
        <v>14856</v>
      </c>
      <c r="P4953" s="1" t="s">
        <v>14857</v>
      </c>
      <c r="Q4953" s="3">
        <v>1</v>
      </c>
      <c r="R4953" s="23" t="s">
        <v>11933</v>
      </c>
      <c r="S4953" s="23" t="s">
        <v>5849</v>
      </c>
      <c r="T4953" s="23" t="s">
        <v>4864</v>
      </c>
      <c r="U4953" s="3">
        <v>35</v>
      </c>
      <c r="V4953" s="3" t="s">
        <v>14816</v>
      </c>
      <c r="W4953" s="45" t="str">
        <f>HYPERLINK("http://ictvonline.org/taxonomy/p/taxonomy-history?taxnode_id=201907480","ICTVonline=201907480")</f>
        <v>ICTVonline=201907480</v>
      </c>
      <c r="X4953" s="1" t="s">
        <v>14858</v>
      </c>
      <c r="Y4953" s="1" t="s">
        <v>14859</v>
      </c>
      <c r="AA4953" s="1">
        <v>201900000</v>
      </c>
      <c r="AB4953" s="1">
        <v>35</v>
      </c>
    </row>
    <row r="4954" spans="1:28" x14ac:dyDescent="0.2">
      <c r="A4954" s="1">
        <v>12667</v>
      </c>
      <c r="B4954" s="1" t="s">
        <v>6839</v>
      </c>
      <c r="D4954" s="1" t="s">
        <v>11735</v>
      </c>
      <c r="F4954" s="1" t="s">
        <v>14661</v>
      </c>
      <c r="H4954" s="1" t="s">
        <v>14783</v>
      </c>
      <c r="J4954" s="1" t="s">
        <v>1428</v>
      </c>
      <c r="K4954" s="1" t="s">
        <v>5683</v>
      </c>
      <c r="L4954" s="1" t="s">
        <v>14860</v>
      </c>
      <c r="M4954" s="1" t="s">
        <v>14861</v>
      </c>
      <c r="N4954" s="1" t="s">
        <v>14862</v>
      </c>
      <c r="P4954" s="1" t="s">
        <v>14863</v>
      </c>
      <c r="Q4954" s="3">
        <v>1</v>
      </c>
      <c r="R4954" s="23" t="s">
        <v>11933</v>
      </c>
      <c r="S4954" s="23" t="s">
        <v>5849</v>
      </c>
      <c r="T4954" s="23" t="s">
        <v>4864</v>
      </c>
      <c r="U4954" s="3">
        <v>35</v>
      </c>
      <c r="V4954" s="3" t="s">
        <v>14816</v>
      </c>
      <c r="W4954" s="45" t="str">
        <f>HYPERLINK("http://ictvonline.org/taxonomy/p/taxonomy-history?taxnode_id=201907476","ICTVonline=201907476")</f>
        <v>ICTVonline=201907476</v>
      </c>
      <c r="X4954" s="1" t="s">
        <v>14864</v>
      </c>
      <c r="Y4954" s="1" t="s">
        <v>14865</v>
      </c>
      <c r="AA4954" s="1">
        <v>201900000</v>
      </c>
      <c r="AB4954" s="1">
        <v>35</v>
      </c>
    </row>
    <row r="4955" spans="1:28" x14ac:dyDescent="0.2">
      <c r="A4955" s="1">
        <v>12675</v>
      </c>
      <c r="B4955" s="1" t="s">
        <v>6839</v>
      </c>
      <c r="D4955" s="1" t="s">
        <v>11735</v>
      </c>
      <c r="F4955" s="1" t="s">
        <v>14661</v>
      </c>
      <c r="H4955" s="1" t="s">
        <v>14783</v>
      </c>
      <c r="J4955" s="1" t="s">
        <v>1428</v>
      </c>
      <c r="K4955" s="1" t="s">
        <v>5683</v>
      </c>
      <c r="L4955" s="1" t="s">
        <v>14866</v>
      </c>
      <c r="M4955" s="1" t="s">
        <v>14867</v>
      </c>
      <c r="N4955" s="1" t="s">
        <v>14868</v>
      </c>
      <c r="P4955" s="1" t="s">
        <v>14869</v>
      </c>
      <c r="Q4955" s="3">
        <v>1</v>
      </c>
      <c r="R4955" s="23" t="s">
        <v>11933</v>
      </c>
      <c r="S4955" s="23" t="s">
        <v>5849</v>
      </c>
      <c r="T4955" s="23" t="s">
        <v>4864</v>
      </c>
      <c r="U4955" s="3">
        <v>35</v>
      </c>
      <c r="V4955" s="3" t="s">
        <v>14816</v>
      </c>
      <c r="W4955" s="45" t="str">
        <f>HYPERLINK("http://ictvonline.org/taxonomy/p/taxonomy-history?taxnode_id=201907472","ICTVonline=201907472")</f>
        <v>ICTVonline=201907472</v>
      </c>
      <c r="X4955" s="1" t="s">
        <v>14870</v>
      </c>
      <c r="Y4955" s="1" t="s">
        <v>14871</v>
      </c>
      <c r="AA4955" s="1">
        <v>201900000</v>
      </c>
      <c r="AB4955" s="1">
        <v>35</v>
      </c>
    </row>
    <row r="4956" spans="1:28" x14ac:dyDescent="0.2">
      <c r="A4956" s="1">
        <v>12686</v>
      </c>
      <c r="B4956" s="1" t="s">
        <v>6839</v>
      </c>
      <c r="D4956" s="1" t="s">
        <v>11735</v>
      </c>
      <c r="F4956" s="1" t="s">
        <v>14661</v>
      </c>
      <c r="H4956" s="1" t="s">
        <v>14783</v>
      </c>
      <c r="J4956" s="1" t="s">
        <v>1428</v>
      </c>
      <c r="K4956" s="1" t="s">
        <v>5726</v>
      </c>
      <c r="L4956" s="1" t="s">
        <v>1373</v>
      </c>
      <c r="M4956" s="1" t="s">
        <v>5727</v>
      </c>
      <c r="N4956" s="1" t="s">
        <v>5728</v>
      </c>
      <c r="O4956" s="1" t="s">
        <v>5729</v>
      </c>
      <c r="P4956" s="1" t="s">
        <v>5730</v>
      </c>
      <c r="Q4956" s="3">
        <v>1</v>
      </c>
      <c r="R4956" s="23" t="s">
        <v>11933</v>
      </c>
      <c r="S4956" s="23" t="s">
        <v>5849</v>
      </c>
      <c r="T4956" s="23" t="s">
        <v>4866</v>
      </c>
      <c r="U4956" s="3">
        <v>35</v>
      </c>
      <c r="W4956" s="45" t="str">
        <f>HYPERLINK("http://ictvonline.org/taxonomy/p/taxonomy-history?taxnode_id=201906140","ICTVonline=201906140")</f>
        <v>ICTVonline=201906140</v>
      </c>
      <c r="X4956" s="1" t="s">
        <v>14872</v>
      </c>
      <c r="Y4956" s="1" t="s">
        <v>14873</v>
      </c>
      <c r="Z4956" s="1" t="s">
        <v>14874</v>
      </c>
      <c r="AA4956" s="1">
        <v>201900000</v>
      </c>
      <c r="AB4956" s="1">
        <v>35</v>
      </c>
    </row>
    <row r="4957" spans="1:28" x14ac:dyDescent="0.2">
      <c r="A4957" s="1">
        <v>12694</v>
      </c>
      <c r="B4957" s="1" t="s">
        <v>6839</v>
      </c>
      <c r="D4957" s="1" t="s">
        <v>11735</v>
      </c>
      <c r="F4957" s="1" t="s">
        <v>14661</v>
      </c>
      <c r="H4957" s="1" t="s">
        <v>14783</v>
      </c>
      <c r="J4957" s="1" t="s">
        <v>1428</v>
      </c>
      <c r="K4957" s="1" t="s">
        <v>5726</v>
      </c>
      <c r="L4957" s="1" t="s">
        <v>1373</v>
      </c>
      <c r="M4957" s="1" t="s">
        <v>5734</v>
      </c>
      <c r="N4957" s="1" t="s">
        <v>1829</v>
      </c>
      <c r="O4957" s="1" t="s">
        <v>5735</v>
      </c>
      <c r="P4957" s="1" t="s">
        <v>3570</v>
      </c>
      <c r="Q4957" s="3">
        <v>0</v>
      </c>
      <c r="R4957" s="23" t="s">
        <v>11933</v>
      </c>
      <c r="S4957" s="23" t="s">
        <v>5849</v>
      </c>
      <c r="T4957" s="23" t="s">
        <v>4866</v>
      </c>
      <c r="U4957" s="3">
        <v>35</v>
      </c>
      <c r="W4957" s="45" t="str">
        <f>HYPERLINK("http://ictvonline.org/taxonomy/p/taxonomy-history?taxnode_id=201901850","ICTVonline=201901850")</f>
        <v>ICTVonline=201901850</v>
      </c>
      <c r="X4957" s="1" t="s">
        <v>14875</v>
      </c>
      <c r="Y4957" s="1" t="s">
        <v>14876</v>
      </c>
      <c r="Z4957" s="1" t="s">
        <v>14877</v>
      </c>
      <c r="AA4957" s="1">
        <v>201900000</v>
      </c>
      <c r="AB4957" s="1">
        <v>35</v>
      </c>
    </row>
    <row r="4958" spans="1:28" x14ac:dyDescent="0.2">
      <c r="A4958" s="1">
        <v>12698</v>
      </c>
      <c r="B4958" s="1" t="s">
        <v>6839</v>
      </c>
      <c r="D4958" s="1" t="s">
        <v>11735</v>
      </c>
      <c r="F4958" s="1" t="s">
        <v>14661</v>
      </c>
      <c r="H4958" s="1" t="s">
        <v>14783</v>
      </c>
      <c r="J4958" s="1" t="s">
        <v>1428</v>
      </c>
      <c r="K4958" s="1" t="s">
        <v>5726</v>
      </c>
      <c r="L4958" s="1" t="s">
        <v>1373</v>
      </c>
      <c r="M4958" s="1" t="s">
        <v>5734</v>
      </c>
      <c r="N4958" s="1" t="s">
        <v>1829</v>
      </c>
      <c r="O4958" s="1" t="s">
        <v>5745</v>
      </c>
      <c r="P4958" s="1" t="s">
        <v>3571</v>
      </c>
      <c r="Q4958" s="3">
        <v>0</v>
      </c>
      <c r="R4958" s="23" t="s">
        <v>11933</v>
      </c>
      <c r="S4958" s="23" t="s">
        <v>5849</v>
      </c>
      <c r="T4958" s="23" t="s">
        <v>4866</v>
      </c>
      <c r="U4958" s="3">
        <v>35</v>
      </c>
      <c r="W4958" s="45" t="str">
        <f>HYPERLINK("http://ictvonline.org/taxonomy/p/taxonomy-history?taxnode_id=201901851","ICTVonline=201901851")</f>
        <v>ICTVonline=201901851</v>
      </c>
      <c r="X4958" s="1" t="s">
        <v>14878</v>
      </c>
      <c r="Y4958" s="1" t="s">
        <v>14879</v>
      </c>
      <c r="Z4958" s="1" t="s">
        <v>14880</v>
      </c>
      <c r="AA4958" s="1">
        <v>201900000</v>
      </c>
      <c r="AB4958" s="1">
        <v>35</v>
      </c>
    </row>
    <row r="4959" spans="1:28" x14ac:dyDescent="0.2">
      <c r="A4959" s="1">
        <v>12700</v>
      </c>
      <c r="B4959" s="1" t="s">
        <v>6839</v>
      </c>
      <c r="D4959" s="1" t="s">
        <v>11735</v>
      </c>
      <c r="F4959" s="1" t="s">
        <v>14661</v>
      </c>
      <c r="H4959" s="1" t="s">
        <v>14783</v>
      </c>
      <c r="J4959" s="1" t="s">
        <v>1428</v>
      </c>
      <c r="K4959" s="1" t="s">
        <v>5726</v>
      </c>
      <c r="L4959" s="1" t="s">
        <v>1373</v>
      </c>
      <c r="M4959" s="1" t="s">
        <v>5734</v>
      </c>
      <c r="N4959" s="1" t="s">
        <v>1829</v>
      </c>
      <c r="O4959" s="1" t="s">
        <v>5745</v>
      </c>
      <c r="P4959" s="1" t="s">
        <v>5746</v>
      </c>
      <c r="Q4959" s="3">
        <v>0</v>
      </c>
      <c r="R4959" s="23" t="s">
        <v>11933</v>
      </c>
      <c r="S4959" s="23" t="s">
        <v>5849</v>
      </c>
      <c r="T4959" s="23" t="s">
        <v>4866</v>
      </c>
      <c r="U4959" s="3">
        <v>35</v>
      </c>
      <c r="W4959" s="45" t="str">
        <f>HYPERLINK("http://ictvonline.org/taxonomy/p/taxonomy-history?taxnode_id=201906109","ICTVonline=201906109")</f>
        <v>ICTVonline=201906109</v>
      </c>
      <c r="X4959" s="1" t="s">
        <v>14881</v>
      </c>
      <c r="Y4959" s="1" t="s">
        <v>14882</v>
      </c>
      <c r="AA4959" s="1">
        <v>201900000</v>
      </c>
      <c r="AB4959" s="1">
        <v>35</v>
      </c>
    </row>
    <row r="4960" spans="1:28" x14ac:dyDescent="0.2">
      <c r="A4960" s="1">
        <v>12704</v>
      </c>
      <c r="B4960" s="1" t="s">
        <v>6839</v>
      </c>
      <c r="D4960" s="1" t="s">
        <v>11735</v>
      </c>
      <c r="F4960" s="1" t="s">
        <v>14661</v>
      </c>
      <c r="H4960" s="1" t="s">
        <v>14783</v>
      </c>
      <c r="J4960" s="1" t="s">
        <v>1428</v>
      </c>
      <c r="K4960" s="1" t="s">
        <v>5726</v>
      </c>
      <c r="L4960" s="1" t="s">
        <v>1373</v>
      </c>
      <c r="M4960" s="1" t="s">
        <v>5734</v>
      </c>
      <c r="N4960" s="1" t="s">
        <v>1829</v>
      </c>
      <c r="O4960" s="1" t="s">
        <v>5748</v>
      </c>
      <c r="P4960" s="1" t="s">
        <v>1374</v>
      </c>
      <c r="Q4960" s="3">
        <v>0</v>
      </c>
      <c r="R4960" s="23" t="s">
        <v>11933</v>
      </c>
      <c r="S4960" s="23" t="s">
        <v>5849</v>
      </c>
      <c r="T4960" s="23" t="s">
        <v>4866</v>
      </c>
      <c r="U4960" s="3">
        <v>35</v>
      </c>
      <c r="W4960" s="45" t="str">
        <f>HYPERLINK("http://ictvonline.org/taxonomy/p/taxonomy-history?taxnode_id=201901852","ICTVonline=201901852")</f>
        <v>ICTVonline=201901852</v>
      </c>
      <c r="X4960" s="1" t="s">
        <v>14883</v>
      </c>
      <c r="Y4960" s="1" t="s">
        <v>14884</v>
      </c>
      <c r="AA4960" s="1">
        <v>201900000</v>
      </c>
      <c r="AB4960" s="1">
        <v>35</v>
      </c>
    </row>
    <row r="4961" spans="1:28" x14ac:dyDescent="0.2">
      <c r="A4961" s="1">
        <v>12708</v>
      </c>
      <c r="B4961" s="1" t="s">
        <v>6839</v>
      </c>
      <c r="D4961" s="1" t="s">
        <v>11735</v>
      </c>
      <c r="F4961" s="1" t="s">
        <v>14661</v>
      </c>
      <c r="H4961" s="1" t="s">
        <v>14783</v>
      </c>
      <c r="J4961" s="1" t="s">
        <v>1428</v>
      </c>
      <c r="K4961" s="1" t="s">
        <v>5726</v>
      </c>
      <c r="L4961" s="1" t="s">
        <v>1373</v>
      </c>
      <c r="M4961" s="1" t="s">
        <v>5734</v>
      </c>
      <c r="N4961" s="1" t="s">
        <v>1829</v>
      </c>
      <c r="O4961" s="1" t="s">
        <v>5738</v>
      </c>
      <c r="P4961" s="1" t="s">
        <v>5739</v>
      </c>
      <c r="Q4961" s="3">
        <v>0</v>
      </c>
      <c r="R4961" s="23" t="s">
        <v>11933</v>
      </c>
      <c r="S4961" s="23" t="s">
        <v>5849</v>
      </c>
      <c r="T4961" s="23" t="s">
        <v>4866</v>
      </c>
      <c r="U4961" s="3">
        <v>35</v>
      </c>
      <c r="W4961" s="45" t="str">
        <f>HYPERLINK("http://ictvonline.org/taxonomy/p/taxonomy-history?taxnode_id=201906122","ICTVonline=201906122")</f>
        <v>ICTVonline=201906122</v>
      </c>
      <c r="X4961" s="1" t="s">
        <v>14885</v>
      </c>
      <c r="Y4961" s="1" t="s">
        <v>14886</v>
      </c>
      <c r="AA4961" s="1">
        <v>201900000</v>
      </c>
      <c r="AB4961" s="1">
        <v>35</v>
      </c>
    </row>
    <row r="4962" spans="1:28" x14ac:dyDescent="0.2">
      <c r="A4962" s="1">
        <v>12712</v>
      </c>
      <c r="B4962" s="1" t="s">
        <v>6839</v>
      </c>
      <c r="D4962" s="1" t="s">
        <v>11735</v>
      </c>
      <c r="F4962" s="1" t="s">
        <v>14661</v>
      </c>
      <c r="H4962" s="1" t="s">
        <v>14783</v>
      </c>
      <c r="J4962" s="1" t="s">
        <v>1428</v>
      </c>
      <c r="K4962" s="1" t="s">
        <v>5726</v>
      </c>
      <c r="L4962" s="1" t="s">
        <v>1373</v>
      </c>
      <c r="M4962" s="1" t="s">
        <v>5734</v>
      </c>
      <c r="N4962" s="1" t="s">
        <v>1829</v>
      </c>
      <c r="O4962" s="1" t="s">
        <v>5740</v>
      </c>
      <c r="P4962" s="1" t="s">
        <v>3572</v>
      </c>
      <c r="Q4962" s="3">
        <v>0</v>
      </c>
      <c r="R4962" s="23" t="s">
        <v>11933</v>
      </c>
      <c r="S4962" s="23" t="s">
        <v>5849</v>
      </c>
      <c r="T4962" s="23" t="s">
        <v>4866</v>
      </c>
      <c r="U4962" s="3">
        <v>35</v>
      </c>
      <c r="W4962" s="45" t="str">
        <f>HYPERLINK("http://ictvonline.org/taxonomy/p/taxonomy-history?taxnode_id=201901856","ICTVonline=201901856")</f>
        <v>ICTVonline=201901856</v>
      </c>
      <c r="X4962" s="1" t="s">
        <v>14887</v>
      </c>
      <c r="Y4962" s="1" t="s">
        <v>14888</v>
      </c>
      <c r="Z4962" s="1" t="s">
        <v>14889</v>
      </c>
      <c r="AA4962" s="1">
        <v>201900000</v>
      </c>
      <c r="AB4962" s="1">
        <v>35</v>
      </c>
    </row>
    <row r="4963" spans="1:28" x14ac:dyDescent="0.2">
      <c r="A4963" s="1">
        <v>12716</v>
      </c>
      <c r="B4963" s="1" t="s">
        <v>6839</v>
      </c>
      <c r="D4963" s="1" t="s">
        <v>11735</v>
      </c>
      <c r="F4963" s="1" t="s">
        <v>14661</v>
      </c>
      <c r="H4963" s="1" t="s">
        <v>14783</v>
      </c>
      <c r="J4963" s="1" t="s">
        <v>1428</v>
      </c>
      <c r="K4963" s="1" t="s">
        <v>5726</v>
      </c>
      <c r="L4963" s="1" t="s">
        <v>1373</v>
      </c>
      <c r="M4963" s="1" t="s">
        <v>5734</v>
      </c>
      <c r="N4963" s="1" t="s">
        <v>1829</v>
      </c>
      <c r="O4963" s="1" t="s">
        <v>5752</v>
      </c>
      <c r="P4963" s="1" t="s">
        <v>564</v>
      </c>
      <c r="Q4963" s="3">
        <v>0</v>
      </c>
      <c r="R4963" s="23" t="s">
        <v>11933</v>
      </c>
      <c r="S4963" s="23" t="s">
        <v>5849</v>
      </c>
      <c r="T4963" s="23" t="s">
        <v>4866</v>
      </c>
      <c r="U4963" s="3">
        <v>35</v>
      </c>
      <c r="W4963" s="45" t="str">
        <f>HYPERLINK("http://ictvonline.org/taxonomy/p/taxonomy-history?taxnode_id=201901854","ICTVonline=201901854")</f>
        <v>ICTVonline=201901854</v>
      </c>
      <c r="X4963" s="1" t="s">
        <v>14890</v>
      </c>
      <c r="Y4963" s="1" t="s">
        <v>14891</v>
      </c>
      <c r="AA4963" s="1">
        <v>201900000</v>
      </c>
      <c r="AB4963" s="1">
        <v>35</v>
      </c>
    </row>
    <row r="4964" spans="1:28" x14ac:dyDescent="0.2">
      <c r="A4964" s="1">
        <v>12718</v>
      </c>
      <c r="B4964" s="1" t="s">
        <v>6839</v>
      </c>
      <c r="D4964" s="1" t="s">
        <v>11735</v>
      </c>
      <c r="F4964" s="1" t="s">
        <v>14661</v>
      </c>
      <c r="H4964" s="1" t="s">
        <v>14783</v>
      </c>
      <c r="J4964" s="1" t="s">
        <v>1428</v>
      </c>
      <c r="K4964" s="1" t="s">
        <v>5726</v>
      </c>
      <c r="L4964" s="1" t="s">
        <v>1373</v>
      </c>
      <c r="M4964" s="1" t="s">
        <v>5734</v>
      </c>
      <c r="N4964" s="1" t="s">
        <v>1829</v>
      </c>
      <c r="O4964" s="1" t="s">
        <v>5752</v>
      </c>
      <c r="P4964" s="1" t="s">
        <v>565</v>
      </c>
      <c r="Q4964" s="3">
        <v>0</v>
      </c>
      <c r="R4964" s="23" t="s">
        <v>11933</v>
      </c>
      <c r="S4964" s="23" t="s">
        <v>5849</v>
      </c>
      <c r="T4964" s="23" t="s">
        <v>4866</v>
      </c>
      <c r="U4964" s="3">
        <v>35</v>
      </c>
      <c r="W4964" s="45" t="str">
        <f>HYPERLINK("http://ictvonline.org/taxonomy/p/taxonomy-history?taxnode_id=201901855","ICTVonline=201901855")</f>
        <v>ICTVonline=201901855</v>
      </c>
      <c r="X4964" s="1" t="s">
        <v>14892</v>
      </c>
      <c r="Y4964" s="1" t="s">
        <v>14893</v>
      </c>
      <c r="AA4964" s="1">
        <v>201900000</v>
      </c>
      <c r="AB4964" s="1">
        <v>35</v>
      </c>
    </row>
    <row r="4965" spans="1:28" x14ac:dyDescent="0.2">
      <c r="A4965" s="1">
        <v>12722</v>
      </c>
      <c r="B4965" s="1" t="s">
        <v>6839</v>
      </c>
      <c r="D4965" s="1" t="s">
        <v>11735</v>
      </c>
      <c r="F4965" s="1" t="s">
        <v>14661</v>
      </c>
      <c r="H4965" s="1" t="s">
        <v>14783</v>
      </c>
      <c r="J4965" s="1" t="s">
        <v>1428</v>
      </c>
      <c r="K4965" s="1" t="s">
        <v>5726</v>
      </c>
      <c r="L4965" s="1" t="s">
        <v>1373</v>
      </c>
      <c r="M4965" s="1" t="s">
        <v>5734</v>
      </c>
      <c r="N4965" s="1" t="s">
        <v>1829</v>
      </c>
      <c r="O4965" s="1" t="s">
        <v>5741</v>
      </c>
      <c r="P4965" s="1" t="s">
        <v>5742</v>
      </c>
      <c r="Q4965" s="3">
        <v>0</v>
      </c>
      <c r="R4965" s="23" t="s">
        <v>11933</v>
      </c>
      <c r="S4965" s="23" t="s">
        <v>5849</v>
      </c>
      <c r="T4965" s="23" t="s">
        <v>4866</v>
      </c>
      <c r="U4965" s="3">
        <v>35</v>
      </c>
      <c r="W4965" s="45" t="str">
        <f>HYPERLINK("http://ictvonline.org/taxonomy/p/taxonomy-history?taxnode_id=201906119","ICTVonline=201906119")</f>
        <v>ICTVonline=201906119</v>
      </c>
      <c r="X4965" s="1" t="s">
        <v>14894</v>
      </c>
      <c r="Y4965" s="1" t="s">
        <v>14895</v>
      </c>
      <c r="AA4965" s="1">
        <v>201900000</v>
      </c>
      <c r="AB4965" s="1">
        <v>35</v>
      </c>
    </row>
    <row r="4966" spans="1:28" x14ac:dyDescent="0.2">
      <c r="A4966" s="1">
        <v>12726</v>
      </c>
      <c r="B4966" s="1" t="s">
        <v>6839</v>
      </c>
      <c r="D4966" s="1" t="s">
        <v>11735</v>
      </c>
      <c r="F4966" s="1" t="s">
        <v>14661</v>
      </c>
      <c r="H4966" s="1" t="s">
        <v>14783</v>
      </c>
      <c r="J4966" s="1" t="s">
        <v>1428</v>
      </c>
      <c r="K4966" s="1" t="s">
        <v>5726</v>
      </c>
      <c r="L4966" s="1" t="s">
        <v>1373</v>
      </c>
      <c r="M4966" s="1" t="s">
        <v>5734</v>
      </c>
      <c r="N4966" s="1" t="s">
        <v>1829</v>
      </c>
      <c r="O4966" s="1" t="s">
        <v>5743</v>
      </c>
      <c r="P4966" s="1" t="s">
        <v>5744</v>
      </c>
      <c r="Q4966" s="3">
        <v>0</v>
      </c>
      <c r="R4966" s="23" t="s">
        <v>11933</v>
      </c>
      <c r="S4966" s="23" t="s">
        <v>5849</v>
      </c>
      <c r="T4966" s="23" t="s">
        <v>4866</v>
      </c>
      <c r="U4966" s="3">
        <v>35</v>
      </c>
      <c r="W4966" s="45" t="str">
        <f>HYPERLINK("http://ictvonline.org/taxonomy/p/taxonomy-history?taxnode_id=201906120","ICTVonline=201906120")</f>
        <v>ICTVonline=201906120</v>
      </c>
      <c r="X4966" s="1" t="s">
        <v>14896</v>
      </c>
      <c r="Y4966" s="1" t="s">
        <v>14897</v>
      </c>
      <c r="AA4966" s="1">
        <v>201900000</v>
      </c>
      <c r="AB4966" s="1">
        <v>35</v>
      </c>
    </row>
    <row r="4967" spans="1:28" x14ac:dyDescent="0.2">
      <c r="A4967" s="1">
        <v>12728</v>
      </c>
      <c r="B4967" s="1" t="s">
        <v>6839</v>
      </c>
      <c r="D4967" s="1" t="s">
        <v>11735</v>
      </c>
      <c r="F4967" s="1" t="s">
        <v>14661</v>
      </c>
      <c r="H4967" s="1" t="s">
        <v>14783</v>
      </c>
      <c r="J4967" s="1" t="s">
        <v>1428</v>
      </c>
      <c r="K4967" s="1" t="s">
        <v>5726</v>
      </c>
      <c r="L4967" s="1" t="s">
        <v>1373</v>
      </c>
      <c r="M4967" s="1" t="s">
        <v>5734</v>
      </c>
      <c r="N4967" s="1" t="s">
        <v>1829</v>
      </c>
      <c r="O4967" s="1" t="s">
        <v>5743</v>
      </c>
      <c r="P4967" s="1" t="s">
        <v>14898</v>
      </c>
      <c r="Q4967" s="3">
        <v>0</v>
      </c>
      <c r="R4967" s="23" t="s">
        <v>11933</v>
      </c>
      <c r="S4967" s="23" t="s">
        <v>5849</v>
      </c>
      <c r="T4967" s="23" t="s">
        <v>4864</v>
      </c>
      <c r="U4967" s="3">
        <v>35</v>
      </c>
      <c r="V4967" s="3" t="s">
        <v>14816</v>
      </c>
      <c r="W4967" s="45" t="str">
        <f>HYPERLINK("http://ictvonline.org/taxonomy/p/taxonomy-history?taxnode_id=201907490","ICTVonline=201907490")</f>
        <v>ICTVonline=201907490</v>
      </c>
      <c r="X4967" s="1" t="s">
        <v>14899</v>
      </c>
      <c r="Y4967" s="1" t="s">
        <v>14900</v>
      </c>
      <c r="AA4967" s="1">
        <v>201900000</v>
      </c>
      <c r="AB4967" s="1">
        <v>35</v>
      </c>
    </row>
    <row r="4968" spans="1:28" x14ac:dyDescent="0.2">
      <c r="A4968" s="1">
        <v>12732</v>
      </c>
      <c r="B4968" s="1" t="s">
        <v>6839</v>
      </c>
      <c r="D4968" s="1" t="s">
        <v>11735</v>
      </c>
      <c r="F4968" s="1" t="s">
        <v>14661</v>
      </c>
      <c r="H4968" s="1" t="s">
        <v>14783</v>
      </c>
      <c r="J4968" s="1" t="s">
        <v>1428</v>
      </c>
      <c r="K4968" s="1" t="s">
        <v>5726</v>
      </c>
      <c r="L4968" s="1" t="s">
        <v>1373</v>
      </c>
      <c r="M4968" s="1" t="s">
        <v>5734</v>
      </c>
      <c r="N4968" s="1" t="s">
        <v>1829</v>
      </c>
      <c r="O4968" s="1" t="s">
        <v>5747</v>
      </c>
      <c r="P4968" s="1" t="s">
        <v>1060</v>
      </c>
      <c r="Q4968" s="3">
        <v>0</v>
      </c>
      <c r="R4968" s="23" t="s">
        <v>11933</v>
      </c>
      <c r="S4968" s="23" t="s">
        <v>5849</v>
      </c>
      <c r="T4968" s="23" t="s">
        <v>4866</v>
      </c>
      <c r="U4968" s="3">
        <v>35</v>
      </c>
      <c r="W4968" s="45" t="str">
        <f>HYPERLINK("http://ictvonline.org/taxonomy/p/taxonomy-history?taxnode_id=201901857","ICTVonline=201901857")</f>
        <v>ICTVonline=201901857</v>
      </c>
      <c r="X4968" s="1" t="s">
        <v>14901</v>
      </c>
      <c r="Y4968" s="1" t="s">
        <v>14902</v>
      </c>
      <c r="AA4968" s="1">
        <v>201900000</v>
      </c>
      <c r="AB4968" s="1">
        <v>35</v>
      </c>
    </row>
    <row r="4969" spans="1:28" x14ac:dyDescent="0.2">
      <c r="A4969" s="1">
        <v>12734</v>
      </c>
      <c r="B4969" s="1" t="s">
        <v>6839</v>
      </c>
      <c r="D4969" s="1" t="s">
        <v>11735</v>
      </c>
      <c r="F4969" s="1" t="s">
        <v>14661</v>
      </c>
      <c r="H4969" s="1" t="s">
        <v>14783</v>
      </c>
      <c r="J4969" s="1" t="s">
        <v>1428</v>
      </c>
      <c r="K4969" s="1" t="s">
        <v>5726</v>
      </c>
      <c r="L4969" s="1" t="s">
        <v>1373</v>
      </c>
      <c r="M4969" s="1" t="s">
        <v>5734</v>
      </c>
      <c r="N4969" s="1" t="s">
        <v>1829</v>
      </c>
      <c r="O4969" s="1" t="s">
        <v>5747</v>
      </c>
      <c r="P4969" s="1" t="s">
        <v>567</v>
      </c>
      <c r="Q4969" s="3">
        <v>0</v>
      </c>
      <c r="R4969" s="23" t="s">
        <v>11933</v>
      </c>
      <c r="S4969" s="23" t="s">
        <v>5849</v>
      </c>
      <c r="T4969" s="23" t="s">
        <v>4866</v>
      </c>
      <c r="U4969" s="3">
        <v>35</v>
      </c>
      <c r="W4969" s="45" t="str">
        <f>HYPERLINK("http://ictvonline.org/taxonomy/p/taxonomy-history?taxnode_id=201901859","ICTVonline=201901859")</f>
        <v>ICTVonline=201901859</v>
      </c>
      <c r="X4969" s="1" t="s">
        <v>14903</v>
      </c>
      <c r="Y4969" s="1" t="s">
        <v>14904</v>
      </c>
      <c r="AA4969" s="1">
        <v>201900000</v>
      </c>
      <c r="AB4969" s="1">
        <v>35</v>
      </c>
    </row>
    <row r="4970" spans="1:28" x14ac:dyDescent="0.2">
      <c r="A4970" s="1">
        <v>12738</v>
      </c>
      <c r="B4970" s="1" t="s">
        <v>6839</v>
      </c>
      <c r="D4970" s="1" t="s">
        <v>11735</v>
      </c>
      <c r="F4970" s="1" t="s">
        <v>14661</v>
      </c>
      <c r="H4970" s="1" t="s">
        <v>14783</v>
      </c>
      <c r="J4970" s="1" t="s">
        <v>1428</v>
      </c>
      <c r="K4970" s="1" t="s">
        <v>5726</v>
      </c>
      <c r="L4970" s="1" t="s">
        <v>1373</v>
      </c>
      <c r="M4970" s="1" t="s">
        <v>5734</v>
      </c>
      <c r="N4970" s="1" t="s">
        <v>1829</v>
      </c>
      <c r="O4970" s="1" t="s">
        <v>5749</v>
      </c>
      <c r="P4970" s="1" t="s">
        <v>566</v>
      </c>
      <c r="Q4970" s="3">
        <v>0</v>
      </c>
      <c r="R4970" s="23" t="s">
        <v>11933</v>
      </c>
      <c r="S4970" s="23" t="s">
        <v>5849</v>
      </c>
      <c r="T4970" s="23" t="s">
        <v>4866</v>
      </c>
      <c r="U4970" s="3">
        <v>35</v>
      </c>
      <c r="W4970" s="45" t="str">
        <f>HYPERLINK("http://ictvonline.org/taxonomy/p/taxonomy-history?taxnode_id=201901858","ICTVonline=201901858")</f>
        <v>ICTVonline=201901858</v>
      </c>
      <c r="X4970" s="1" t="s">
        <v>14905</v>
      </c>
      <c r="Y4970" s="1" t="s">
        <v>14906</v>
      </c>
      <c r="AA4970" s="1">
        <v>201900000</v>
      </c>
      <c r="AB4970" s="1">
        <v>35</v>
      </c>
    </row>
    <row r="4971" spans="1:28" x14ac:dyDescent="0.2">
      <c r="A4971" s="1">
        <v>12742</v>
      </c>
      <c r="B4971" s="1" t="s">
        <v>6839</v>
      </c>
      <c r="D4971" s="1" t="s">
        <v>11735</v>
      </c>
      <c r="F4971" s="1" t="s">
        <v>14661</v>
      </c>
      <c r="H4971" s="1" t="s">
        <v>14783</v>
      </c>
      <c r="J4971" s="1" t="s">
        <v>1428</v>
      </c>
      <c r="K4971" s="1" t="s">
        <v>5726</v>
      </c>
      <c r="L4971" s="1" t="s">
        <v>1373</v>
      </c>
      <c r="M4971" s="1" t="s">
        <v>5734</v>
      </c>
      <c r="N4971" s="1" t="s">
        <v>1829</v>
      </c>
      <c r="O4971" s="1" t="s">
        <v>5750</v>
      </c>
      <c r="P4971" s="1" t="s">
        <v>1059</v>
      </c>
      <c r="Q4971" s="3">
        <v>0</v>
      </c>
      <c r="R4971" s="23" t="s">
        <v>11933</v>
      </c>
      <c r="S4971" s="23" t="s">
        <v>5849</v>
      </c>
      <c r="T4971" s="23" t="s">
        <v>4866</v>
      </c>
      <c r="U4971" s="3">
        <v>35</v>
      </c>
      <c r="W4971" s="45" t="str">
        <f>HYPERLINK("http://ictvonline.org/taxonomy/p/taxonomy-history?taxnode_id=201901853","ICTVonline=201901853")</f>
        <v>ICTVonline=201901853</v>
      </c>
      <c r="X4971" s="1" t="s">
        <v>14907</v>
      </c>
      <c r="Y4971" s="1" t="s">
        <v>14908</v>
      </c>
      <c r="AA4971" s="1">
        <v>201900000</v>
      </c>
      <c r="AB4971" s="1">
        <v>35</v>
      </c>
    </row>
    <row r="4972" spans="1:28" x14ac:dyDescent="0.2">
      <c r="A4972" s="1">
        <v>12744</v>
      </c>
      <c r="B4972" s="1" t="s">
        <v>6839</v>
      </c>
      <c r="D4972" s="1" t="s">
        <v>11735</v>
      </c>
      <c r="F4972" s="1" t="s">
        <v>14661</v>
      </c>
      <c r="H4972" s="1" t="s">
        <v>14783</v>
      </c>
      <c r="J4972" s="1" t="s">
        <v>1428</v>
      </c>
      <c r="K4972" s="1" t="s">
        <v>5726</v>
      </c>
      <c r="L4972" s="1" t="s">
        <v>1373</v>
      </c>
      <c r="M4972" s="1" t="s">
        <v>5734</v>
      </c>
      <c r="N4972" s="1" t="s">
        <v>1829</v>
      </c>
      <c r="O4972" s="1" t="s">
        <v>5750</v>
      </c>
      <c r="P4972" s="1" t="s">
        <v>5751</v>
      </c>
      <c r="Q4972" s="3">
        <v>0</v>
      </c>
      <c r="R4972" s="23" t="s">
        <v>11933</v>
      </c>
      <c r="S4972" s="23" t="s">
        <v>5849</v>
      </c>
      <c r="T4972" s="23" t="s">
        <v>4866</v>
      </c>
      <c r="U4972" s="3">
        <v>35</v>
      </c>
      <c r="W4972" s="45" t="str">
        <f>HYPERLINK("http://ictvonline.org/taxonomy/p/taxonomy-history?taxnode_id=201906112","ICTVonline=201906112")</f>
        <v>ICTVonline=201906112</v>
      </c>
      <c r="X4972" s="1" t="s">
        <v>14909</v>
      </c>
      <c r="Y4972" s="1" t="s">
        <v>14910</v>
      </c>
      <c r="AA4972" s="1">
        <v>201900000</v>
      </c>
      <c r="AB4972" s="1">
        <v>35</v>
      </c>
    </row>
    <row r="4973" spans="1:28" x14ac:dyDescent="0.2">
      <c r="A4973" s="1">
        <v>12748</v>
      </c>
      <c r="B4973" s="1" t="s">
        <v>6839</v>
      </c>
      <c r="D4973" s="1" t="s">
        <v>11735</v>
      </c>
      <c r="F4973" s="1" t="s">
        <v>14661</v>
      </c>
      <c r="H4973" s="1" t="s">
        <v>14783</v>
      </c>
      <c r="J4973" s="1" t="s">
        <v>1428</v>
      </c>
      <c r="K4973" s="1" t="s">
        <v>5726</v>
      </c>
      <c r="L4973" s="1" t="s">
        <v>1373</v>
      </c>
      <c r="M4973" s="1" t="s">
        <v>5734</v>
      </c>
      <c r="N4973" s="1" t="s">
        <v>1829</v>
      </c>
      <c r="O4973" s="1" t="s">
        <v>14911</v>
      </c>
      <c r="P4973" s="1" t="s">
        <v>14912</v>
      </c>
      <c r="Q4973" s="3">
        <v>0</v>
      </c>
      <c r="R4973" s="23" t="s">
        <v>11933</v>
      </c>
      <c r="S4973" s="23" t="s">
        <v>5849</v>
      </c>
      <c r="T4973" s="23" t="s">
        <v>4864</v>
      </c>
      <c r="U4973" s="3">
        <v>35</v>
      </c>
      <c r="V4973" s="3" t="s">
        <v>14816</v>
      </c>
      <c r="W4973" s="45" t="str">
        <f>HYPERLINK("http://ictvonline.org/taxonomy/p/taxonomy-history?taxnode_id=201907494","ICTVonline=201907494")</f>
        <v>ICTVonline=201907494</v>
      </c>
      <c r="X4973" s="1" t="s">
        <v>14913</v>
      </c>
      <c r="Y4973" s="1" t="s">
        <v>14914</v>
      </c>
      <c r="AA4973" s="1">
        <v>201900000</v>
      </c>
      <c r="AB4973" s="1">
        <v>35</v>
      </c>
    </row>
    <row r="4974" spans="1:28" x14ac:dyDescent="0.2">
      <c r="A4974" s="1">
        <v>12752</v>
      </c>
      <c r="B4974" s="1" t="s">
        <v>6839</v>
      </c>
      <c r="D4974" s="1" t="s">
        <v>11735</v>
      </c>
      <c r="F4974" s="1" t="s">
        <v>14661</v>
      </c>
      <c r="H4974" s="1" t="s">
        <v>14783</v>
      </c>
      <c r="J4974" s="1" t="s">
        <v>1428</v>
      </c>
      <c r="K4974" s="1" t="s">
        <v>5726</v>
      </c>
      <c r="L4974" s="1" t="s">
        <v>1373</v>
      </c>
      <c r="M4974" s="1" t="s">
        <v>5734</v>
      </c>
      <c r="N4974" s="1" t="s">
        <v>1829</v>
      </c>
      <c r="O4974" s="1" t="s">
        <v>14915</v>
      </c>
      <c r="P4974" s="1" t="s">
        <v>14916</v>
      </c>
      <c r="Q4974" s="3">
        <v>0</v>
      </c>
      <c r="R4974" s="23" t="s">
        <v>11933</v>
      </c>
      <c r="S4974" s="23" t="s">
        <v>5849</v>
      </c>
      <c r="T4974" s="23" t="s">
        <v>4864</v>
      </c>
      <c r="U4974" s="3">
        <v>35</v>
      </c>
      <c r="V4974" s="3" t="s">
        <v>14816</v>
      </c>
      <c r="W4974" s="45" t="str">
        <f>HYPERLINK("http://ictvonline.org/taxonomy/p/taxonomy-history?taxnode_id=201907492","ICTVonline=201907492")</f>
        <v>ICTVonline=201907492</v>
      </c>
      <c r="X4974" s="1" t="s">
        <v>14917</v>
      </c>
      <c r="Y4974" s="1" t="s">
        <v>14918</v>
      </c>
      <c r="AA4974" s="1">
        <v>201900000</v>
      </c>
      <c r="AB4974" s="1">
        <v>35</v>
      </c>
    </row>
    <row r="4975" spans="1:28" x14ac:dyDescent="0.2">
      <c r="A4975" s="1">
        <v>12756</v>
      </c>
      <c r="B4975" s="1" t="s">
        <v>6839</v>
      </c>
      <c r="D4975" s="1" t="s">
        <v>11735</v>
      </c>
      <c r="F4975" s="1" t="s">
        <v>14661</v>
      </c>
      <c r="H4975" s="1" t="s">
        <v>14783</v>
      </c>
      <c r="J4975" s="1" t="s">
        <v>1428</v>
      </c>
      <c r="K4975" s="1" t="s">
        <v>5726</v>
      </c>
      <c r="L4975" s="1" t="s">
        <v>1373</v>
      </c>
      <c r="M4975" s="1" t="s">
        <v>5734</v>
      </c>
      <c r="N4975" s="1" t="s">
        <v>1829</v>
      </c>
      <c r="O4975" s="1" t="s">
        <v>5753</v>
      </c>
      <c r="P4975" s="1" t="s">
        <v>1830</v>
      </c>
      <c r="Q4975" s="3">
        <v>1</v>
      </c>
      <c r="R4975" s="23" t="s">
        <v>11933</v>
      </c>
      <c r="S4975" s="23" t="s">
        <v>5849</v>
      </c>
      <c r="T4975" s="23" t="s">
        <v>4866</v>
      </c>
      <c r="U4975" s="3">
        <v>35</v>
      </c>
      <c r="W4975" s="45" t="str">
        <f>HYPERLINK("http://ictvonline.org/taxonomy/p/taxonomy-history?taxnode_id=201901849","ICTVonline=201901849")</f>
        <v>ICTVonline=201901849</v>
      </c>
      <c r="X4975" s="1" t="s">
        <v>14919</v>
      </c>
      <c r="Y4975" s="1" t="s">
        <v>14920</v>
      </c>
      <c r="AA4975" s="1">
        <v>201900000</v>
      </c>
      <c r="AB4975" s="1">
        <v>35</v>
      </c>
    </row>
    <row r="4976" spans="1:28" x14ac:dyDescent="0.2">
      <c r="A4976" s="1">
        <v>12762</v>
      </c>
      <c r="B4976" s="1" t="s">
        <v>6839</v>
      </c>
      <c r="D4976" s="1" t="s">
        <v>11735</v>
      </c>
      <c r="F4976" s="1" t="s">
        <v>14661</v>
      </c>
      <c r="H4976" s="1" t="s">
        <v>14783</v>
      </c>
      <c r="J4976" s="1" t="s">
        <v>1428</v>
      </c>
      <c r="K4976" s="1" t="s">
        <v>5726</v>
      </c>
      <c r="L4976" s="1" t="s">
        <v>1373</v>
      </c>
      <c r="M4976" s="1" t="s">
        <v>5734</v>
      </c>
      <c r="N4976" s="1" t="s">
        <v>459</v>
      </c>
      <c r="O4976" s="1" t="s">
        <v>5759</v>
      </c>
      <c r="P4976" s="1" t="s">
        <v>461</v>
      </c>
      <c r="Q4976" s="3">
        <v>0</v>
      </c>
      <c r="R4976" s="23" t="s">
        <v>11933</v>
      </c>
      <c r="S4976" s="23" t="s">
        <v>5849</v>
      </c>
      <c r="T4976" s="23" t="s">
        <v>4866</v>
      </c>
      <c r="U4976" s="3">
        <v>35</v>
      </c>
      <c r="W4976" s="45" t="str">
        <f>HYPERLINK("http://ictvonline.org/taxonomy/p/taxonomy-history?taxnode_id=201901861","ICTVonline=201901861")</f>
        <v>ICTVonline=201901861</v>
      </c>
      <c r="X4976" s="1" t="s">
        <v>14921</v>
      </c>
      <c r="Y4976" s="1" t="s">
        <v>14922</v>
      </c>
      <c r="AA4976" s="1">
        <v>201900000</v>
      </c>
      <c r="AB4976" s="1">
        <v>35</v>
      </c>
    </row>
    <row r="4977" spans="1:28" x14ac:dyDescent="0.2">
      <c r="A4977" s="1">
        <v>12764</v>
      </c>
      <c r="B4977" s="1" t="s">
        <v>6839</v>
      </c>
      <c r="D4977" s="1" t="s">
        <v>11735</v>
      </c>
      <c r="F4977" s="1" t="s">
        <v>14661</v>
      </c>
      <c r="H4977" s="1" t="s">
        <v>14783</v>
      </c>
      <c r="J4977" s="1" t="s">
        <v>1428</v>
      </c>
      <c r="K4977" s="1" t="s">
        <v>5726</v>
      </c>
      <c r="L4977" s="1" t="s">
        <v>1373</v>
      </c>
      <c r="M4977" s="1" t="s">
        <v>5734</v>
      </c>
      <c r="N4977" s="1" t="s">
        <v>459</v>
      </c>
      <c r="O4977" s="1" t="s">
        <v>5759</v>
      </c>
      <c r="P4977" s="1" t="s">
        <v>5760</v>
      </c>
      <c r="Q4977" s="3">
        <v>0</v>
      </c>
      <c r="R4977" s="23" t="s">
        <v>11933</v>
      </c>
      <c r="S4977" s="23" t="s">
        <v>5849</v>
      </c>
      <c r="T4977" s="23" t="s">
        <v>4866</v>
      </c>
      <c r="U4977" s="3">
        <v>35</v>
      </c>
      <c r="W4977" s="45" t="str">
        <f>HYPERLINK("http://ictvonline.org/taxonomy/p/taxonomy-history?taxnode_id=201906124","ICTVonline=201906124")</f>
        <v>ICTVonline=201906124</v>
      </c>
      <c r="X4977" s="1" t="s">
        <v>14923</v>
      </c>
      <c r="Y4977" s="1" t="s">
        <v>14924</v>
      </c>
      <c r="AA4977" s="1">
        <v>201900000</v>
      </c>
      <c r="AB4977" s="1">
        <v>35</v>
      </c>
    </row>
    <row r="4978" spans="1:28" x14ac:dyDescent="0.2">
      <c r="A4978" s="1">
        <v>12766</v>
      </c>
      <c r="B4978" s="1" t="s">
        <v>6839</v>
      </c>
      <c r="D4978" s="1" t="s">
        <v>11735</v>
      </c>
      <c r="F4978" s="1" t="s">
        <v>14661</v>
      </c>
      <c r="H4978" s="1" t="s">
        <v>14783</v>
      </c>
      <c r="J4978" s="1" t="s">
        <v>1428</v>
      </c>
      <c r="K4978" s="1" t="s">
        <v>5726</v>
      </c>
      <c r="L4978" s="1" t="s">
        <v>1373</v>
      </c>
      <c r="M4978" s="1" t="s">
        <v>5734</v>
      </c>
      <c r="N4978" s="1" t="s">
        <v>459</v>
      </c>
      <c r="O4978" s="1" t="s">
        <v>5759</v>
      </c>
      <c r="P4978" s="1" t="s">
        <v>1387</v>
      </c>
      <c r="Q4978" s="3">
        <v>0</v>
      </c>
      <c r="R4978" s="23" t="s">
        <v>11933</v>
      </c>
      <c r="S4978" s="23" t="s">
        <v>5849</v>
      </c>
      <c r="T4978" s="23" t="s">
        <v>4866</v>
      </c>
      <c r="U4978" s="3">
        <v>35</v>
      </c>
      <c r="W4978" s="45" t="str">
        <f>HYPERLINK("http://ictvonline.org/taxonomy/p/taxonomy-history?taxnode_id=201901863","ICTVonline=201901863")</f>
        <v>ICTVonline=201901863</v>
      </c>
      <c r="X4978" s="1" t="s">
        <v>14925</v>
      </c>
      <c r="Y4978" s="1" t="s">
        <v>14926</v>
      </c>
      <c r="AA4978" s="1">
        <v>201900000</v>
      </c>
      <c r="AB4978" s="1">
        <v>35</v>
      </c>
    </row>
    <row r="4979" spans="1:28" x14ac:dyDescent="0.2">
      <c r="A4979" s="1">
        <v>12768</v>
      </c>
      <c r="B4979" s="1" t="s">
        <v>6839</v>
      </c>
      <c r="D4979" s="1" t="s">
        <v>11735</v>
      </c>
      <c r="F4979" s="1" t="s">
        <v>14661</v>
      </c>
      <c r="H4979" s="1" t="s">
        <v>14783</v>
      </c>
      <c r="J4979" s="1" t="s">
        <v>1428</v>
      </c>
      <c r="K4979" s="1" t="s">
        <v>5726</v>
      </c>
      <c r="L4979" s="1" t="s">
        <v>1373</v>
      </c>
      <c r="M4979" s="1" t="s">
        <v>5734</v>
      </c>
      <c r="N4979" s="1" t="s">
        <v>459</v>
      </c>
      <c r="O4979" s="1" t="s">
        <v>5759</v>
      </c>
      <c r="P4979" s="1" t="s">
        <v>460</v>
      </c>
      <c r="Q4979" s="3">
        <v>1</v>
      </c>
      <c r="R4979" s="23" t="s">
        <v>11933</v>
      </c>
      <c r="S4979" s="23" t="s">
        <v>5849</v>
      </c>
      <c r="T4979" s="23" t="s">
        <v>4866</v>
      </c>
      <c r="U4979" s="3">
        <v>35</v>
      </c>
      <c r="W4979" s="45" t="str">
        <f>HYPERLINK("http://ictvonline.org/taxonomy/p/taxonomy-history?taxnode_id=201901865","ICTVonline=201901865")</f>
        <v>ICTVonline=201901865</v>
      </c>
      <c r="X4979" s="1" t="s">
        <v>14927</v>
      </c>
      <c r="Y4979" s="1" t="s">
        <v>14928</v>
      </c>
      <c r="AA4979" s="1">
        <v>201900000</v>
      </c>
      <c r="AB4979" s="1">
        <v>35</v>
      </c>
    </row>
    <row r="4980" spans="1:28" x14ac:dyDescent="0.2">
      <c r="A4980" s="1">
        <v>12770</v>
      </c>
      <c r="B4980" s="1" t="s">
        <v>6839</v>
      </c>
      <c r="D4980" s="1" t="s">
        <v>11735</v>
      </c>
      <c r="F4980" s="1" t="s">
        <v>14661</v>
      </c>
      <c r="H4980" s="1" t="s">
        <v>14783</v>
      </c>
      <c r="J4980" s="1" t="s">
        <v>1428</v>
      </c>
      <c r="K4980" s="1" t="s">
        <v>5726</v>
      </c>
      <c r="L4980" s="1" t="s">
        <v>1373</v>
      </c>
      <c r="M4980" s="1" t="s">
        <v>5734</v>
      </c>
      <c r="N4980" s="1" t="s">
        <v>459</v>
      </c>
      <c r="O4980" s="1" t="s">
        <v>5759</v>
      </c>
      <c r="P4980" s="1" t="s">
        <v>14929</v>
      </c>
      <c r="Q4980" s="3">
        <v>0</v>
      </c>
      <c r="R4980" s="23" t="s">
        <v>11933</v>
      </c>
      <c r="S4980" s="23" t="s">
        <v>5849</v>
      </c>
      <c r="T4980" s="23" t="s">
        <v>4864</v>
      </c>
      <c r="U4980" s="3">
        <v>35</v>
      </c>
      <c r="V4980" s="3" t="s">
        <v>14816</v>
      </c>
      <c r="W4980" s="45" t="str">
        <f>HYPERLINK("http://ictvonline.org/taxonomy/p/taxonomy-history?taxnode_id=201907496","ICTVonline=201907496")</f>
        <v>ICTVonline=201907496</v>
      </c>
      <c r="X4980" s="1" t="s">
        <v>14930</v>
      </c>
      <c r="Y4980" s="1" t="s">
        <v>14931</v>
      </c>
      <c r="AA4980" s="1">
        <v>201900000</v>
      </c>
      <c r="AB4980" s="1">
        <v>35</v>
      </c>
    </row>
    <row r="4981" spans="1:28" x14ac:dyDescent="0.2">
      <c r="A4981" s="1">
        <v>12774</v>
      </c>
      <c r="B4981" s="1" t="s">
        <v>6839</v>
      </c>
      <c r="D4981" s="1" t="s">
        <v>11735</v>
      </c>
      <c r="F4981" s="1" t="s">
        <v>14661</v>
      </c>
      <c r="H4981" s="1" t="s">
        <v>14783</v>
      </c>
      <c r="J4981" s="1" t="s">
        <v>1428</v>
      </c>
      <c r="K4981" s="1" t="s">
        <v>5726</v>
      </c>
      <c r="L4981" s="1" t="s">
        <v>1373</v>
      </c>
      <c r="M4981" s="1" t="s">
        <v>5734</v>
      </c>
      <c r="N4981" s="1" t="s">
        <v>459</v>
      </c>
      <c r="O4981" s="1" t="s">
        <v>5754</v>
      </c>
      <c r="P4981" s="1" t="s">
        <v>5755</v>
      </c>
      <c r="Q4981" s="3">
        <v>0</v>
      </c>
      <c r="R4981" s="23" t="s">
        <v>11933</v>
      </c>
      <c r="S4981" s="23" t="s">
        <v>5849</v>
      </c>
      <c r="T4981" s="23" t="s">
        <v>4866</v>
      </c>
      <c r="U4981" s="3">
        <v>35</v>
      </c>
      <c r="W4981" s="45" t="str">
        <f>HYPERLINK("http://ictvonline.org/taxonomy/p/taxonomy-history?taxnode_id=201906131","ICTVonline=201906131")</f>
        <v>ICTVonline=201906131</v>
      </c>
      <c r="X4981" s="1" t="s">
        <v>14932</v>
      </c>
      <c r="Y4981" s="1" t="s">
        <v>14933</v>
      </c>
      <c r="AA4981" s="1">
        <v>201900000</v>
      </c>
      <c r="AB4981" s="1">
        <v>35</v>
      </c>
    </row>
    <row r="4982" spans="1:28" x14ac:dyDescent="0.2">
      <c r="A4982" s="1">
        <v>12778</v>
      </c>
      <c r="B4982" s="1" t="s">
        <v>6839</v>
      </c>
      <c r="D4982" s="1" t="s">
        <v>11735</v>
      </c>
      <c r="F4982" s="1" t="s">
        <v>14661</v>
      </c>
      <c r="H4982" s="1" t="s">
        <v>14783</v>
      </c>
      <c r="J4982" s="1" t="s">
        <v>1428</v>
      </c>
      <c r="K4982" s="1" t="s">
        <v>5726</v>
      </c>
      <c r="L4982" s="1" t="s">
        <v>1373</v>
      </c>
      <c r="M4982" s="1" t="s">
        <v>5734</v>
      </c>
      <c r="N4982" s="1" t="s">
        <v>459</v>
      </c>
      <c r="O4982" s="1" t="s">
        <v>5762</v>
      </c>
      <c r="P4982" s="1" t="s">
        <v>3573</v>
      </c>
      <c r="Q4982" s="3">
        <v>0</v>
      </c>
      <c r="R4982" s="23" t="s">
        <v>11933</v>
      </c>
      <c r="S4982" s="23" t="s">
        <v>5849</v>
      </c>
      <c r="T4982" s="23" t="s">
        <v>4866</v>
      </c>
      <c r="U4982" s="3">
        <v>35</v>
      </c>
      <c r="W4982" s="45" t="str">
        <f>HYPERLINK("http://ictvonline.org/taxonomy/p/taxonomy-history?taxnode_id=201901862","ICTVonline=201901862")</f>
        <v>ICTVonline=201901862</v>
      </c>
      <c r="X4982" s="1" t="s">
        <v>14934</v>
      </c>
      <c r="Y4982" s="1" t="s">
        <v>14935</v>
      </c>
      <c r="Z4982" s="1" t="s">
        <v>14936</v>
      </c>
      <c r="AA4982" s="1">
        <v>201900000</v>
      </c>
      <c r="AB4982" s="1">
        <v>35</v>
      </c>
    </row>
    <row r="4983" spans="1:28" x14ac:dyDescent="0.2">
      <c r="A4983" s="1">
        <v>12780</v>
      </c>
      <c r="B4983" s="1" t="s">
        <v>6839</v>
      </c>
      <c r="D4983" s="1" t="s">
        <v>11735</v>
      </c>
      <c r="F4983" s="1" t="s">
        <v>14661</v>
      </c>
      <c r="H4983" s="1" t="s">
        <v>14783</v>
      </c>
      <c r="J4983" s="1" t="s">
        <v>1428</v>
      </c>
      <c r="K4983" s="1" t="s">
        <v>5726</v>
      </c>
      <c r="L4983" s="1" t="s">
        <v>1373</v>
      </c>
      <c r="M4983" s="1" t="s">
        <v>5734</v>
      </c>
      <c r="N4983" s="1" t="s">
        <v>459</v>
      </c>
      <c r="O4983" s="1" t="s">
        <v>5762</v>
      </c>
      <c r="P4983" s="1" t="s">
        <v>3574</v>
      </c>
      <c r="Q4983" s="3">
        <v>0</v>
      </c>
      <c r="R4983" s="23" t="s">
        <v>11933</v>
      </c>
      <c r="S4983" s="23" t="s">
        <v>5849</v>
      </c>
      <c r="T4983" s="23" t="s">
        <v>4866</v>
      </c>
      <c r="U4983" s="3">
        <v>35</v>
      </c>
      <c r="W4983" s="45" t="str">
        <f>HYPERLINK("http://ictvonline.org/taxonomy/p/taxonomy-history?taxnode_id=201901864","ICTVonline=201901864")</f>
        <v>ICTVonline=201901864</v>
      </c>
      <c r="X4983" s="1" t="s">
        <v>14937</v>
      </c>
      <c r="Y4983" s="1" t="s">
        <v>14938</v>
      </c>
      <c r="Z4983" s="1" t="s">
        <v>14939</v>
      </c>
      <c r="AA4983" s="1">
        <v>201900000</v>
      </c>
      <c r="AB4983" s="1">
        <v>35</v>
      </c>
    </row>
    <row r="4984" spans="1:28" x14ac:dyDescent="0.2">
      <c r="A4984" s="1">
        <v>12782</v>
      </c>
      <c r="B4984" s="1" t="s">
        <v>6839</v>
      </c>
      <c r="D4984" s="1" t="s">
        <v>11735</v>
      </c>
      <c r="F4984" s="1" t="s">
        <v>14661</v>
      </c>
      <c r="H4984" s="1" t="s">
        <v>14783</v>
      </c>
      <c r="J4984" s="1" t="s">
        <v>1428</v>
      </c>
      <c r="K4984" s="1" t="s">
        <v>5726</v>
      </c>
      <c r="L4984" s="1" t="s">
        <v>1373</v>
      </c>
      <c r="M4984" s="1" t="s">
        <v>5734</v>
      </c>
      <c r="N4984" s="1" t="s">
        <v>459</v>
      </c>
      <c r="O4984" s="1" t="s">
        <v>5762</v>
      </c>
      <c r="P4984" s="1" t="s">
        <v>568</v>
      </c>
      <c r="Q4984" s="3">
        <v>0</v>
      </c>
      <c r="R4984" s="23" t="s">
        <v>11933</v>
      </c>
      <c r="S4984" s="23" t="s">
        <v>5849</v>
      </c>
      <c r="T4984" s="23" t="s">
        <v>4866</v>
      </c>
      <c r="U4984" s="3">
        <v>35</v>
      </c>
      <c r="W4984" s="45" t="str">
        <f>HYPERLINK("http://ictvonline.org/taxonomy/p/taxonomy-history?taxnode_id=201901866","ICTVonline=201901866")</f>
        <v>ICTVonline=201901866</v>
      </c>
      <c r="X4984" s="1" t="s">
        <v>14940</v>
      </c>
      <c r="Y4984" s="1" t="s">
        <v>14941</v>
      </c>
      <c r="AA4984" s="1">
        <v>201900000</v>
      </c>
      <c r="AB4984" s="1">
        <v>35</v>
      </c>
    </row>
    <row r="4985" spans="1:28" x14ac:dyDescent="0.2">
      <c r="A4985" s="1">
        <v>12784</v>
      </c>
      <c r="B4985" s="1" t="s">
        <v>6839</v>
      </c>
      <c r="D4985" s="1" t="s">
        <v>11735</v>
      </c>
      <c r="F4985" s="1" t="s">
        <v>14661</v>
      </c>
      <c r="H4985" s="1" t="s">
        <v>14783</v>
      </c>
      <c r="J4985" s="1" t="s">
        <v>1428</v>
      </c>
      <c r="K4985" s="1" t="s">
        <v>5726</v>
      </c>
      <c r="L4985" s="1" t="s">
        <v>1373</v>
      </c>
      <c r="M4985" s="1" t="s">
        <v>5734</v>
      </c>
      <c r="N4985" s="1" t="s">
        <v>459</v>
      </c>
      <c r="O4985" s="1" t="s">
        <v>5762</v>
      </c>
      <c r="P4985" s="1" t="s">
        <v>570</v>
      </c>
      <c r="Q4985" s="3">
        <v>0</v>
      </c>
      <c r="R4985" s="23" t="s">
        <v>11933</v>
      </c>
      <c r="S4985" s="23" t="s">
        <v>5849</v>
      </c>
      <c r="T4985" s="23" t="s">
        <v>4866</v>
      </c>
      <c r="U4985" s="3">
        <v>35</v>
      </c>
      <c r="W4985" s="45" t="str">
        <f>HYPERLINK("http://ictvonline.org/taxonomy/p/taxonomy-history?taxnode_id=201901869","ICTVonline=201901869")</f>
        <v>ICTVonline=201901869</v>
      </c>
      <c r="X4985" s="1" t="s">
        <v>14942</v>
      </c>
      <c r="Y4985" s="1" t="s">
        <v>14943</v>
      </c>
      <c r="AA4985" s="1">
        <v>201900000</v>
      </c>
      <c r="AB4985" s="1">
        <v>35</v>
      </c>
    </row>
    <row r="4986" spans="1:28" x14ac:dyDescent="0.2">
      <c r="A4986" s="1">
        <v>12788</v>
      </c>
      <c r="B4986" s="1" t="s">
        <v>6839</v>
      </c>
      <c r="D4986" s="1" t="s">
        <v>11735</v>
      </c>
      <c r="F4986" s="1" t="s">
        <v>14661</v>
      </c>
      <c r="H4986" s="1" t="s">
        <v>14783</v>
      </c>
      <c r="J4986" s="1" t="s">
        <v>1428</v>
      </c>
      <c r="K4986" s="1" t="s">
        <v>5726</v>
      </c>
      <c r="L4986" s="1" t="s">
        <v>1373</v>
      </c>
      <c r="M4986" s="1" t="s">
        <v>5734</v>
      </c>
      <c r="N4986" s="1" t="s">
        <v>459</v>
      </c>
      <c r="O4986" s="1" t="s">
        <v>5756</v>
      </c>
      <c r="P4986" s="1" t="s">
        <v>14944</v>
      </c>
      <c r="Q4986" s="3">
        <v>0</v>
      </c>
      <c r="R4986" s="23" t="s">
        <v>11933</v>
      </c>
      <c r="S4986" s="23" t="s">
        <v>5849</v>
      </c>
      <c r="T4986" s="23" t="s">
        <v>4864</v>
      </c>
      <c r="U4986" s="3">
        <v>35</v>
      </c>
      <c r="V4986" s="3" t="s">
        <v>14816</v>
      </c>
      <c r="W4986" s="45" t="str">
        <f>HYPERLINK("http://ictvonline.org/taxonomy/p/taxonomy-history?taxnode_id=201907495","ICTVonline=201907495")</f>
        <v>ICTVonline=201907495</v>
      </c>
      <c r="X4986" s="1" t="s">
        <v>14945</v>
      </c>
      <c r="Y4986" s="1" t="s">
        <v>14946</v>
      </c>
      <c r="AA4986" s="1">
        <v>201900000</v>
      </c>
      <c r="AB4986" s="1">
        <v>35</v>
      </c>
    </row>
    <row r="4987" spans="1:28" x14ac:dyDescent="0.2">
      <c r="A4987" s="1">
        <v>12790</v>
      </c>
      <c r="B4987" s="1" t="s">
        <v>6839</v>
      </c>
      <c r="D4987" s="1" t="s">
        <v>11735</v>
      </c>
      <c r="F4987" s="1" t="s">
        <v>14661</v>
      </c>
      <c r="H4987" s="1" t="s">
        <v>14783</v>
      </c>
      <c r="J4987" s="1" t="s">
        <v>1428</v>
      </c>
      <c r="K4987" s="1" t="s">
        <v>5726</v>
      </c>
      <c r="L4987" s="1" t="s">
        <v>1373</v>
      </c>
      <c r="M4987" s="1" t="s">
        <v>5734</v>
      </c>
      <c r="N4987" s="1" t="s">
        <v>459</v>
      </c>
      <c r="O4987" s="1" t="s">
        <v>5756</v>
      </c>
      <c r="P4987" s="1" t="s">
        <v>5757</v>
      </c>
      <c r="Q4987" s="3">
        <v>0</v>
      </c>
      <c r="R4987" s="23" t="s">
        <v>11933</v>
      </c>
      <c r="S4987" s="23" t="s">
        <v>5849</v>
      </c>
      <c r="T4987" s="23" t="s">
        <v>4866</v>
      </c>
      <c r="U4987" s="3">
        <v>35</v>
      </c>
      <c r="W4987" s="45" t="str">
        <f>HYPERLINK("http://ictvonline.org/taxonomy/p/taxonomy-history?taxnode_id=201906128","ICTVonline=201906128")</f>
        <v>ICTVonline=201906128</v>
      </c>
      <c r="X4987" s="1" t="s">
        <v>14947</v>
      </c>
      <c r="Y4987" s="1" t="s">
        <v>14948</v>
      </c>
      <c r="AA4987" s="1">
        <v>201900000</v>
      </c>
      <c r="AB4987" s="1">
        <v>35</v>
      </c>
    </row>
    <row r="4988" spans="1:28" x14ac:dyDescent="0.2">
      <c r="A4988" s="1">
        <v>12792</v>
      </c>
      <c r="B4988" s="1" t="s">
        <v>6839</v>
      </c>
      <c r="D4988" s="1" t="s">
        <v>11735</v>
      </c>
      <c r="F4988" s="1" t="s">
        <v>14661</v>
      </c>
      <c r="H4988" s="1" t="s">
        <v>14783</v>
      </c>
      <c r="J4988" s="1" t="s">
        <v>1428</v>
      </c>
      <c r="K4988" s="1" t="s">
        <v>5726</v>
      </c>
      <c r="L4988" s="1" t="s">
        <v>1373</v>
      </c>
      <c r="M4988" s="1" t="s">
        <v>5734</v>
      </c>
      <c r="N4988" s="1" t="s">
        <v>459</v>
      </c>
      <c r="O4988" s="1" t="s">
        <v>5756</v>
      </c>
      <c r="P4988" s="1" t="s">
        <v>569</v>
      </c>
      <c r="Q4988" s="3">
        <v>0</v>
      </c>
      <c r="R4988" s="23" t="s">
        <v>11933</v>
      </c>
      <c r="S4988" s="23" t="s">
        <v>5849</v>
      </c>
      <c r="T4988" s="23" t="s">
        <v>4866</v>
      </c>
      <c r="U4988" s="3">
        <v>35</v>
      </c>
      <c r="W4988" s="45" t="str">
        <f>HYPERLINK("http://ictvonline.org/taxonomy/p/taxonomy-history?taxnode_id=201901867","ICTVonline=201901867")</f>
        <v>ICTVonline=201901867</v>
      </c>
      <c r="X4988" s="1" t="s">
        <v>14949</v>
      </c>
      <c r="Y4988" s="1" t="s">
        <v>14950</v>
      </c>
      <c r="AA4988" s="1">
        <v>201900000</v>
      </c>
      <c r="AB4988" s="1">
        <v>35</v>
      </c>
    </row>
    <row r="4989" spans="1:28" x14ac:dyDescent="0.2">
      <c r="A4989" s="1">
        <v>12796</v>
      </c>
      <c r="B4989" s="1" t="s">
        <v>6839</v>
      </c>
      <c r="D4989" s="1" t="s">
        <v>11735</v>
      </c>
      <c r="F4989" s="1" t="s">
        <v>14661</v>
      </c>
      <c r="H4989" s="1" t="s">
        <v>14783</v>
      </c>
      <c r="J4989" s="1" t="s">
        <v>1428</v>
      </c>
      <c r="K4989" s="1" t="s">
        <v>5726</v>
      </c>
      <c r="L4989" s="1" t="s">
        <v>1373</v>
      </c>
      <c r="M4989" s="1" t="s">
        <v>5734</v>
      </c>
      <c r="N4989" s="1" t="s">
        <v>459</v>
      </c>
      <c r="O4989" s="1" t="s">
        <v>5758</v>
      </c>
      <c r="P4989" s="1" t="s">
        <v>1358</v>
      </c>
      <c r="Q4989" s="3">
        <v>0</v>
      </c>
      <c r="R4989" s="23" t="s">
        <v>11933</v>
      </c>
      <c r="S4989" s="23" t="s">
        <v>5849</v>
      </c>
      <c r="T4989" s="23" t="s">
        <v>4866</v>
      </c>
      <c r="U4989" s="3">
        <v>35</v>
      </c>
      <c r="W4989" s="45" t="str">
        <f>HYPERLINK("http://ictvonline.org/taxonomy/p/taxonomy-history?taxnode_id=201901868","ICTVonline=201901868")</f>
        <v>ICTVonline=201901868</v>
      </c>
      <c r="X4989" s="1" t="s">
        <v>14951</v>
      </c>
      <c r="Y4989" s="1" t="s">
        <v>14952</v>
      </c>
      <c r="AA4989" s="1">
        <v>201900000</v>
      </c>
      <c r="AB4989" s="1">
        <v>35</v>
      </c>
    </row>
    <row r="4990" spans="1:28" x14ac:dyDescent="0.2">
      <c r="A4990" s="1">
        <v>12802</v>
      </c>
      <c r="B4990" s="1" t="s">
        <v>6839</v>
      </c>
      <c r="D4990" s="1" t="s">
        <v>11735</v>
      </c>
      <c r="F4990" s="1" t="s">
        <v>14661</v>
      </c>
      <c r="H4990" s="1" t="s">
        <v>14783</v>
      </c>
      <c r="J4990" s="1" t="s">
        <v>1428</v>
      </c>
      <c r="K4990" s="1" t="s">
        <v>5726</v>
      </c>
      <c r="L4990" s="1" t="s">
        <v>1373</v>
      </c>
      <c r="M4990" s="1" t="s">
        <v>5734</v>
      </c>
      <c r="N4990" s="1" t="s">
        <v>0</v>
      </c>
      <c r="O4990" s="1" t="s">
        <v>5765</v>
      </c>
      <c r="P4990" s="1" t="s">
        <v>3579</v>
      </c>
      <c r="Q4990" s="3">
        <v>0</v>
      </c>
      <c r="R4990" s="23" t="s">
        <v>11933</v>
      </c>
      <c r="S4990" s="23" t="s">
        <v>5849</v>
      </c>
      <c r="T4990" s="23" t="s">
        <v>4866</v>
      </c>
      <c r="U4990" s="3">
        <v>35</v>
      </c>
      <c r="W4990" s="45" t="str">
        <f>HYPERLINK("http://ictvonline.org/taxonomy/p/taxonomy-history?taxnode_id=201901878","ICTVonline=201901878")</f>
        <v>ICTVonline=201901878</v>
      </c>
      <c r="X4990" s="1" t="s">
        <v>14953</v>
      </c>
      <c r="Y4990" s="1" t="s">
        <v>14954</v>
      </c>
      <c r="Z4990" s="1" t="s">
        <v>3579</v>
      </c>
      <c r="AA4990" s="1">
        <v>201900000</v>
      </c>
      <c r="AB4990" s="1">
        <v>35</v>
      </c>
    </row>
    <row r="4991" spans="1:28" x14ac:dyDescent="0.2">
      <c r="A4991" s="1">
        <v>12806</v>
      </c>
      <c r="B4991" s="1" t="s">
        <v>6839</v>
      </c>
      <c r="D4991" s="1" t="s">
        <v>11735</v>
      </c>
      <c r="F4991" s="1" t="s">
        <v>14661</v>
      </c>
      <c r="H4991" s="1" t="s">
        <v>14783</v>
      </c>
      <c r="J4991" s="1" t="s">
        <v>1428</v>
      </c>
      <c r="K4991" s="1" t="s">
        <v>5726</v>
      </c>
      <c r="L4991" s="1" t="s">
        <v>1373</v>
      </c>
      <c r="M4991" s="1" t="s">
        <v>5734</v>
      </c>
      <c r="N4991" s="1" t="s">
        <v>0</v>
      </c>
      <c r="O4991" s="1" t="s">
        <v>5761</v>
      </c>
      <c r="P4991" s="1" t="s">
        <v>1</v>
      </c>
      <c r="Q4991" s="3">
        <v>1</v>
      </c>
      <c r="R4991" s="23" t="s">
        <v>11933</v>
      </c>
      <c r="S4991" s="23" t="s">
        <v>5849</v>
      </c>
      <c r="T4991" s="23" t="s">
        <v>4866</v>
      </c>
      <c r="U4991" s="3">
        <v>35</v>
      </c>
      <c r="W4991" s="45" t="str">
        <f>HYPERLINK("http://ictvonline.org/taxonomy/p/taxonomy-history?taxnode_id=201901871","ICTVonline=201901871")</f>
        <v>ICTVonline=201901871</v>
      </c>
      <c r="X4991" s="1" t="s">
        <v>14955</v>
      </c>
      <c r="Y4991" s="1" t="s">
        <v>14956</v>
      </c>
      <c r="AA4991" s="1">
        <v>201900000</v>
      </c>
      <c r="AB4991" s="1">
        <v>35</v>
      </c>
    </row>
    <row r="4992" spans="1:28" x14ac:dyDescent="0.2">
      <c r="A4992" s="1">
        <v>12808</v>
      </c>
      <c r="B4992" s="1" t="s">
        <v>6839</v>
      </c>
      <c r="D4992" s="1" t="s">
        <v>11735</v>
      </c>
      <c r="F4992" s="1" t="s">
        <v>14661</v>
      </c>
      <c r="H4992" s="1" t="s">
        <v>14783</v>
      </c>
      <c r="J4992" s="1" t="s">
        <v>1428</v>
      </c>
      <c r="K4992" s="1" t="s">
        <v>5726</v>
      </c>
      <c r="L4992" s="1" t="s">
        <v>1373</v>
      </c>
      <c r="M4992" s="1" t="s">
        <v>5734</v>
      </c>
      <c r="N4992" s="1" t="s">
        <v>0</v>
      </c>
      <c r="O4992" s="1" t="s">
        <v>5761</v>
      </c>
      <c r="P4992" s="1" t="s">
        <v>3575</v>
      </c>
      <c r="Q4992" s="3">
        <v>0</v>
      </c>
      <c r="R4992" s="23" t="s">
        <v>11933</v>
      </c>
      <c r="S4992" s="23" t="s">
        <v>5849</v>
      </c>
      <c r="T4992" s="23" t="s">
        <v>4866</v>
      </c>
      <c r="U4992" s="3">
        <v>35</v>
      </c>
      <c r="V4992" s="3" t="s">
        <v>14816</v>
      </c>
      <c r="W4992" s="45" t="str">
        <f>HYPERLINK("http://ictvonline.org/taxonomy/p/taxonomy-history?taxnode_id=201901872","ICTVonline=201901872")</f>
        <v>ICTVonline=201901872</v>
      </c>
      <c r="X4992" s="1" t="s">
        <v>14957</v>
      </c>
      <c r="Y4992" s="1" t="s">
        <v>14958</v>
      </c>
      <c r="AA4992" s="1">
        <v>201900000</v>
      </c>
      <c r="AB4992" s="1">
        <v>35</v>
      </c>
    </row>
    <row r="4993" spans="1:28" x14ac:dyDescent="0.2">
      <c r="A4993" s="1">
        <v>12810</v>
      </c>
      <c r="B4993" s="1" t="s">
        <v>6839</v>
      </c>
      <c r="D4993" s="1" t="s">
        <v>11735</v>
      </c>
      <c r="F4993" s="1" t="s">
        <v>14661</v>
      </c>
      <c r="H4993" s="1" t="s">
        <v>14783</v>
      </c>
      <c r="J4993" s="1" t="s">
        <v>1428</v>
      </c>
      <c r="K4993" s="1" t="s">
        <v>5726</v>
      </c>
      <c r="L4993" s="1" t="s">
        <v>1373</v>
      </c>
      <c r="M4993" s="1" t="s">
        <v>5734</v>
      </c>
      <c r="N4993" s="1" t="s">
        <v>0</v>
      </c>
      <c r="O4993" s="1" t="s">
        <v>5761</v>
      </c>
      <c r="P4993" s="1" t="s">
        <v>3576</v>
      </c>
      <c r="Q4993" s="3">
        <v>0</v>
      </c>
      <c r="R4993" s="23" t="s">
        <v>11933</v>
      </c>
      <c r="S4993" s="23" t="s">
        <v>5849</v>
      </c>
      <c r="T4993" s="23" t="s">
        <v>4866</v>
      </c>
      <c r="U4993" s="3">
        <v>35</v>
      </c>
      <c r="W4993" s="45" t="str">
        <f>HYPERLINK("http://ictvonline.org/taxonomy/p/taxonomy-history?taxnode_id=201901873","ICTVonline=201901873")</f>
        <v>ICTVonline=201901873</v>
      </c>
      <c r="X4993" s="1" t="s">
        <v>14959</v>
      </c>
      <c r="Y4993" s="1" t="s">
        <v>14960</v>
      </c>
      <c r="Z4993" s="1" t="s">
        <v>14961</v>
      </c>
      <c r="AA4993" s="1">
        <v>201900000</v>
      </c>
      <c r="AB4993" s="1">
        <v>35</v>
      </c>
    </row>
    <row r="4994" spans="1:28" x14ac:dyDescent="0.2">
      <c r="A4994" s="1">
        <v>12812</v>
      </c>
      <c r="B4994" s="1" t="s">
        <v>6839</v>
      </c>
      <c r="D4994" s="1" t="s">
        <v>11735</v>
      </c>
      <c r="F4994" s="1" t="s">
        <v>14661</v>
      </c>
      <c r="H4994" s="1" t="s">
        <v>14783</v>
      </c>
      <c r="J4994" s="1" t="s">
        <v>1428</v>
      </c>
      <c r="K4994" s="1" t="s">
        <v>5726</v>
      </c>
      <c r="L4994" s="1" t="s">
        <v>1373</v>
      </c>
      <c r="M4994" s="1" t="s">
        <v>5734</v>
      </c>
      <c r="N4994" s="1" t="s">
        <v>0</v>
      </c>
      <c r="O4994" s="1" t="s">
        <v>5761</v>
      </c>
      <c r="P4994" s="1" t="s">
        <v>559</v>
      </c>
      <c r="Q4994" s="3">
        <v>0</v>
      </c>
      <c r="R4994" s="23" t="s">
        <v>11933</v>
      </c>
      <c r="S4994" s="23" t="s">
        <v>5849</v>
      </c>
      <c r="T4994" s="23" t="s">
        <v>4866</v>
      </c>
      <c r="U4994" s="3">
        <v>35</v>
      </c>
      <c r="W4994" s="45" t="str">
        <f>HYPERLINK("http://ictvonline.org/taxonomy/p/taxonomy-history?taxnode_id=201901874","ICTVonline=201901874")</f>
        <v>ICTVonline=201901874</v>
      </c>
      <c r="X4994" s="1" t="s">
        <v>14962</v>
      </c>
      <c r="Y4994" s="1" t="s">
        <v>14963</v>
      </c>
      <c r="AA4994" s="1">
        <v>201900000</v>
      </c>
      <c r="AB4994" s="1">
        <v>35</v>
      </c>
    </row>
    <row r="4995" spans="1:28" x14ac:dyDescent="0.2">
      <c r="A4995" s="1">
        <v>12814</v>
      </c>
      <c r="B4995" s="1" t="s">
        <v>6839</v>
      </c>
      <c r="D4995" s="1" t="s">
        <v>11735</v>
      </c>
      <c r="F4995" s="1" t="s">
        <v>14661</v>
      </c>
      <c r="H4995" s="1" t="s">
        <v>14783</v>
      </c>
      <c r="J4995" s="1" t="s">
        <v>1428</v>
      </c>
      <c r="K4995" s="1" t="s">
        <v>5726</v>
      </c>
      <c r="L4995" s="1" t="s">
        <v>1373</v>
      </c>
      <c r="M4995" s="1" t="s">
        <v>5734</v>
      </c>
      <c r="N4995" s="1" t="s">
        <v>0</v>
      </c>
      <c r="O4995" s="1" t="s">
        <v>5761</v>
      </c>
      <c r="P4995" s="1" t="s">
        <v>3578</v>
      </c>
      <c r="Q4995" s="3">
        <v>0</v>
      </c>
      <c r="R4995" s="23" t="s">
        <v>11933</v>
      </c>
      <c r="S4995" s="23" t="s">
        <v>5849</v>
      </c>
      <c r="T4995" s="23" t="s">
        <v>4866</v>
      </c>
      <c r="U4995" s="3">
        <v>35</v>
      </c>
      <c r="W4995" s="45" t="str">
        <f>HYPERLINK("http://ictvonline.org/taxonomy/p/taxonomy-history?taxnode_id=201901877","ICTVonline=201901877")</f>
        <v>ICTVonline=201901877</v>
      </c>
      <c r="X4995" s="1" t="s">
        <v>14964</v>
      </c>
      <c r="Y4995" s="1" t="s">
        <v>14965</v>
      </c>
      <c r="Z4995" s="1" t="s">
        <v>3578</v>
      </c>
      <c r="AA4995" s="1">
        <v>201900000</v>
      </c>
      <c r="AB4995" s="1">
        <v>35</v>
      </c>
    </row>
    <row r="4996" spans="1:28" x14ac:dyDescent="0.2">
      <c r="A4996" s="1">
        <v>12818</v>
      </c>
      <c r="B4996" s="1" t="s">
        <v>6839</v>
      </c>
      <c r="D4996" s="1" t="s">
        <v>11735</v>
      </c>
      <c r="F4996" s="1" t="s">
        <v>14661</v>
      </c>
      <c r="H4996" s="1" t="s">
        <v>14783</v>
      </c>
      <c r="J4996" s="1" t="s">
        <v>1428</v>
      </c>
      <c r="K4996" s="1" t="s">
        <v>5726</v>
      </c>
      <c r="L4996" s="1" t="s">
        <v>1373</v>
      </c>
      <c r="M4996" s="1" t="s">
        <v>5734</v>
      </c>
      <c r="N4996" s="1" t="s">
        <v>0</v>
      </c>
      <c r="O4996" s="1" t="s">
        <v>5763</v>
      </c>
      <c r="P4996" s="1" t="s">
        <v>3577</v>
      </c>
      <c r="Q4996" s="3">
        <v>0</v>
      </c>
      <c r="R4996" s="23" t="s">
        <v>11933</v>
      </c>
      <c r="S4996" s="23" t="s">
        <v>5849</v>
      </c>
      <c r="T4996" s="23" t="s">
        <v>4866</v>
      </c>
      <c r="U4996" s="3">
        <v>35</v>
      </c>
      <c r="W4996" s="45" t="str">
        <f>HYPERLINK("http://ictvonline.org/taxonomy/p/taxonomy-history?taxnode_id=201901875","ICTVonline=201901875")</f>
        <v>ICTVonline=201901875</v>
      </c>
      <c r="X4996" s="1" t="s">
        <v>14966</v>
      </c>
      <c r="Y4996" s="1" t="s">
        <v>14967</v>
      </c>
      <c r="Z4996" s="1" t="s">
        <v>3577</v>
      </c>
      <c r="AA4996" s="1">
        <v>201900000</v>
      </c>
      <c r="AB4996" s="1">
        <v>35</v>
      </c>
    </row>
    <row r="4997" spans="1:28" x14ac:dyDescent="0.2">
      <c r="A4997" s="1">
        <v>12824</v>
      </c>
      <c r="B4997" s="1" t="s">
        <v>6839</v>
      </c>
      <c r="D4997" s="1" t="s">
        <v>11735</v>
      </c>
      <c r="F4997" s="1" t="s">
        <v>14661</v>
      </c>
      <c r="H4997" s="1" t="s">
        <v>14783</v>
      </c>
      <c r="J4997" s="1" t="s">
        <v>1428</v>
      </c>
      <c r="K4997" s="1" t="s">
        <v>5726</v>
      </c>
      <c r="L4997" s="1" t="s">
        <v>1373</v>
      </c>
      <c r="M4997" s="1" t="s">
        <v>5734</v>
      </c>
      <c r="N4997" s="1" t="s">
        <v>428</v>
      </c>
      <c r="O4997" s="1" t="s">
        <v>14968</v>
      </c>
      <c r="P4997" s="1" t="s">
        <v>14969</v>
      </c>
      <c r="Q4997" s="3">
        <v>0</v>
      </c>
      <c r="R4997" s="23" t="s">
        <v>11933</v>
      </c>
      <c r="S4997" s="23" t="s">
        <v>5849</v>
      </c>
      <c r="T4997" s="23" t="s">
        <v>4864</v>
      </c>
      <c r="U4997" s="3">
        <v>35</v>
      </c>
      <c r="V4997" s="3" t="s">
        <v>14816</v>
      </c>
      <c r="W4997" s="45" t="str">
        <f>HYPERLINK("http://ictvonline.org/taxonomy/p/taxonomy-history?taxnode_id=201907498","ICTVonline=201907498")</f>
        <v>ICTVonline=201907498</v>
      </c>
      <c r="X4997" s="1" t="s">
        <v>14970</v>
      </c>
      <c r="Y4997" s="1" t="s">
        <v>14971</v>
      </c>
      <c r="AA4997" s="1">
        <v>201900000</v>
      </c>
      <c r="AB4997" s="1">
        <v>35</v>
      </c>
    </row>
    <row r="4998" spans="1:28" x14ac:dyDescent="0.2">
      <c r="A4998" s="1">
        <v>12828</v>
      </c>
      <c r="B4998" s="1" t="s">
        <v>6839</v>
      </c>
      <c r="D4998" s="1" t="s">
        <v>11735</v>
      </c>
      <c r="F4998" s="1" t="s">
        <v>14661</v>
      </c>
      <c r="H4998" s="1" t="s">
        <v>14783</v>
      </c>
      <c r="J4998" s="1" t="s">
        <v>1428</v>
      </c>
      <c r="K4998" s="1" t="s">
        <v>5726</v>
      </c>
      <c r="L4998" s="1" t="s">
        <v>1373</v>
      </c>
      <c r="M4998" s="1" t="s">
        <v>5734</v>
      </c>
      <c r="N4998" s="1" t="s">
        <v>428</v>
      </c>
      <c r="O4998" s="1" t="s">
        <v>5776</v>
      </c>
      <c r="P4998" s="1" t="s">
        <v>430</v>
      </c>
      <c r="Q4998" s="3">
        <v>0</v>
      </c>
      <c r="R4998" s="23" t="s">
        <v>11933</v>
      </c>
      <c r="S4998" s="23" t="s">
        <v>5849</v>
      </c>
      <c r="T4998" s="23" t="s">
        <v>4866</v>
      </c>
      <c r="U4998" s="3">
        <v>35</v>
      </c>
      <c r="W4998" s="45" t="str">
        <f>HYPERLINK("http://ictvonline.org/taxonomy/p/taxonomy-history?taxnode_id=201901881","ICTVonline=201901881")</f>
        <v>ICTVonline=201901881</v>
      </c>
      <c r="X4998" s="1" t="s">
        <v>14972</v>
      </c>
      <c r="Y4998" s="1" t="s">
        <v>14973</v>
      </c>
      <c r="AA4998" s="1">
        <v>201900000</v>
      </c>
      <c r="AB4998" s="1">
        <v>35</v>
      </c>
    </row>
    <row r="4999" spans="1:28" x14ac:dyDescent="0.2">
      <c r="A4999" s="1">
        <v>12832</v>
      </c>
      <c r="B4999" s="1" t="s">
        <v>6839</v>
      </c>
      <c r="D4999" s="1" t="s">
        <v>11735</v>
      </c>
      <c r="F4999" s="1" t="s">
        <v>14661</v>
      </c>
      <c r="H4999" s="1" t="s">
        <v>14783</v>
      </c>
      <c r="J4999" s="1" t="s">
        <v>1428</v>
      </c>
      <c r="K4999" s="1" t="s">
        <v>5726</v>
      </c>
      <c r="L4999" s="1" t="s">
        <v>1373</v>
      </c>
      <c r="M4999" s="1" t="s">
        <v>5734</v>
      </c>
      <c r="N4999" s="1" t="s">
        <v>428</v>
      </c>
      <c r="O4999" s="1" t="s">
        <v>5764</v>
      </c>
      <c r="P4999" s="1" t="s">
        <v>429</v>
      </c>
      <c r="Q4999" s="3">
        <v>1</v>
      </c>
      <c r="R4999" s="23" t="s">
        <v>11933</v>
      </c>
      <c r="S4999" s="23" t="s">
        <v>5849</v>
      </c>
      <c r="T4999" s="23" t="s">
        <v>4866</v>
      </c>
      <c r="U4999" s="3">
        <v>35</v>
      </c>
      <c r="W4999" s="45" t="str">
        <f>HYPERLINK("http://ictvonline.org/taxonomy/p/taxonomy-history?taxnode_id=201901880","ICTVonline=201901880")</f>
        <v>ICTVonline=201901880</v>
      </c>
      <c r="X4999" s="1" t="s">
        <v>14974</v>
      </c>
      <c r="Y4999" s="1" t="s">
        <v>14975</v>
      </c>
      <c r="AA4999" s="1">
        <v>201900000</v>
      </c>
      <c r="AB4999" s="1">
        <v>35</v>
      </c>
    </row>
    <row r="5000" spans="1:28" x14ac:dyDescent="0.2">
      <c r="A5000" s="1">
        <v>12834</v>
      </c>
      <c r="B5000" s="1" t="s">
        <v>6839</v>
      </c>
      <c r="D5000" s="1" t="s">
        <v>11735</v>
      </c>
      <c r="F5000" s="1" t="s">
        <v>14661</v>
      </c>
      <c r="H5000" s="1" t="s">
        <v>14783</v>
      </c>
      <c r="J5000" s="1" t="s">
        <v>1428</v>
      </c>
      <c r="K5000" s="1" t="s">
        <v>5726</v>
      </c>
      <c r="L5000" s="1" t="s">
        <v>1373</v>
      </c>
      <c r="M5000" s="1" t="s">
        <v>5734</v>
      </c>
      <c r="N5000" s="1" t="s">
        <v>428</v>
      </c>
      <c r="O5000" s="1" t="s">
        <v>5764</v>
      </c>
      <c r="P5000" s="1" t="s">
        <v>14976</v>
      </c>
      <c r="Q5000" s="3">
        <v>0</v>
      </c>
      <c r="R5000" s="23" t="s">
        <v>11933</v>
      </c>
      <c r="S5000" s="23" t="s">
        <v>5849</v>
      </c>
      <c r="T5000" s="23" t="s">
        <v>4864</v>
      </c>
      <c r="U5000" s="3">
        <v>35</v>
      </c>
      <c r="V5000" s="3" t="s">
        <v>14816</v>
      </c>
      <c r="W5000" s="45" t="str">
        <f>HYPERLINK("http://ictvonline.org/taxonomy/p/taxonomy-history?taxnode_id=201907500","ICTVonline=201907500")</f>
        <v>ICTVonline=201907500</v>
      </c>
      <c r="X5000" s="1" t="s">
        <v>14977</v>
      </c>
      <c r="Y5000" s="1" t="s">
        <v>14978</v>
      </c>
      <c r="AA5000" s="1">
        <v>201900000</v>
      </c>
      <c r="AB5000" s="1">
        <v>35</v>
      </c>
    </row>
    <row r="5001" spans="1:28" x14ac:dyDescent="0.2">
      <c r="A5001" s="1">
        <v>12836</v>
      </c>
      <c r="B5001" s="1" t="s">
        <v>6839</v>
      </c>
      <c r="D5001" s="1" t="s">
        <v>11735</v>
      </c>
      <c r="F5001" s="1" t="s">
        <v>14661</v>
      </c>
      <c r="H5001" s="1" t="s">
        <v>14783</v>
      </c>
      <c r="J5001" s="1" t="s">
        <v>1428</v>
      </c>
      <c r="K5001" s="1" t="s">
        <v>5726</v>
      </c>
      <c r="L5001" s="1" t="s">
        <v>1373</v>
      </c>
      <c r="M5001" s="1" t="s">
        <v>5734</v>
      </c>
      <c r="N5001" s="1" t="s">
        <v>428</v>
      </c>
      <c r="O5001" s="1" t="s">
        <v>5764</v>
      </c>
      <c r="P5001" s="1" t="s">
        <v>14979</v>
      </c>
      <c r="Q5001" s="3">
        <v>0</v>
      </c>
      <c r="R5001" s="23" t="s">
        <v>11933</v>
      </c>
      <c r="S5001" s="23" t="s">
        <v>5849</v>
      </c>
      <c r="T5001" s="23" t="s">
        <v>4864</v>
      </c>
      <c r="U5001" s="3">
        <v>35</v>
      </c>
      <c r="V5001" s="3" t="s">
        <v>14816</v>
      </c>
      <c r="W5001" s="45" t="str">
        <f>HYPERLINK("http://ictvonline.org/taxonomy/p/taxonomy-history?taxnode_id=201907499","ICTVonline=201907499")</f>
        <v>ICTVonline=201907499</v>
      </c>
      <c r="X5001" s="1" t="s">
        <v>14980</v>
      </c>
      <c r="Y5001" s="1" t="s">
        <v>14981</v>
      </c>
      <c r="AA5001" s="1">
        <v>201900000</v>
      </c>
      <c r="AB5001" s="1">
        <v>35</v>
      </c>
    </row>
    <row r="5002" spans="1:28" x14ac:dyDescent="0.2">
      <c r="A5002" s="1">
        <v>12848</v>
      </c>
      <c r="B5002" s="1" t="s">
        <v>6839</v>
      </c>
      <c r="D5002" s="1" t="s">
        <v>11735</v>
      </c>
      <c r="F5002" s="1" t="s">
        <v>14661</v>
      </c>
      <c r="H5002" s="1" t="s">
        <v>14783</v>
      </c>
      <c r="J5002" s="1" t="s">
        <v>1428</v>
      </c>
      <c r="K5002" s="1" t="s">
        <v>5766</v>
      </c>
      <c r="L5002" s="1" t="s">
        <v>5767</v>
      </c>
      <c r="M5002" s="1" t="s">
        <v>5768</v>
      </c>
      <c r="N5002" s="1" t="s">
        <v>5769</v>
      </c>
      <c r="O5002" s="1" t="s">
        <v>5770</v>
      </c>
      <c r="P5002" s="1" t="s">
        <v>5771</v>
      </c>
      <c r="Q5002" s="3">
        <v>1</v>
      </c>
      <c r="R5002" s="23" t="s">
        <v>11933</v>
      </c>
      <c r="S5002" s="23" t="s">
        <v>5849</v>
      </c>
      <c r="T5002" s="23" t="s">
        <v>4866</v>
      </c>
      <c r="U5002" s="3">
        <v>35</v>
      </c>
      <c r="W5002" s="45" t="str">
        <f>HYPERLINK("http://ictvonline.org/taxonomy/p/taxonomy-history?taxnode_id=201906175","ICTVonline=201906175")</f>
        <v>ICTVonline=201906175</v>
      </c>
      <c r="X5002" s="1" t="s">
        <v>14982</v>
      </c>
      <c r="Y5002" s="1" t="s">
        <v>14983</v>
      </c>
      <c r="Z5002" s="1" t="s">
        <v>14984</v>
      </c>
      <c r="AA5002" s="1">
        <v>201900000</v>
      </c>
      <c r="AB5002" s="1">
        <v>35</v>
      </c>
    </row>
    <row r="5003" spans="1:28" x14ac:dyDescent="0.2">
      <c r="A5003" s="1">
        <v>12856</v>
      </c>
      <c r="B5003" s="1" t="s">
        <v>6839</v>
      </c>
      <c r="D5003" s="1" t="s">
        <v>11735</v>
      </c>
      <c r="F5003" s="1" t="s">
        <v>14661</v>
      </c>
      <c r="H5003" s="1" t="s">
        <v>14783</v>
      </c>
      <c r="J5003" s="1" t="s">
        <v>1428</v>
      </c>
      <c r="K5003" s="1" t="s">
        <v>5766</v>
      </c>
      <c r="L5003" s="1" t="s">
        <v>5767</v>
      </c>
      <c r="M5003" s="1" t="s">
        <v>5772</v>
      </c>
      <c r="N5003" s="1" t="s">
        <v>5773</v>
      </c>
      <c r="O5003" s="1" t="s">
        <v>5774</v>
      </c>
      <c r="P5003" s="1" t="s">
        <v>5775</v>
      </c>
      <c r="Q5003" s="3">
        <v>1</v>
      </c>
      <c r="R5003" s="23" t="s">
        <v>11933</v>
      </c>
      <c r="S5003" s="23" t="s">
        <v>5849</v>
      </c>
      <c r="T5003" s="23" t="s">
        <v>4866</v>
      </c>
      <c r="U5003" s="3">
        <v>35</v>
      </c>
      <c r="W5003" s="45" t="str">
        <f>HYPERLINK("http://ictvonline.org/taxonomy/p/taxonomy-history?taxnode_id=201906179","ICTVonline=201906179")</f>
        <v>ICTVonline=201906179</v>
      </c>
      <c r="X5003" s="1" t="s">
        <v>14985</v>
      </c>
      <c r="Y5003" s="1" t="s">
        <v>14986</v>
      </c>
      <c r="AA5003" s="1">
        <v>201900000</v>
      </c>
      <c r="AB5003" s="1">
        <v>35</v>
      </c>
    </row>
    <row r="5004" spans="1:28" x14ac:dyDescent="0.2">
      <c r="A5004" s="1">
        <v>12866</v>
      </c>
      <c r="B5004" s="1" t="s">
        <v>6839</v>
      </c>
      <c r="D5004" s="1" t="s">
        <v>11735</v>
      </c>
      <c r="F5004" s="1" t="s">
        <v>14661</v>
      </c>
      <c r="H5004" s="1" t="s">
        <v>14783</v>
      </c>
      <c r="J5004" s="1" t="s">
        <v>1428</v>
      </c>
      <c r="K5004" s="1" t="s">
        <v>5766</v>
      </c>
      <c r="L5004" s="1" t="s">
        <v>2154</v>
      </c>
      <c r="M5004" s="1" t="s">
        <v>5777</v>
      </c>
      <c r="N5004" s="1" t="s">
        <v>2155</v>
      </c>
      <c r="O5004" s="1" t="s">
        <v>5778</v>
      </c>
      <c r="P5004" s="1" t="s">
        <v>3584</v>
      </c>
      <c r="Q5004" s="3">
        <v>0</v>
      </c>
      <c r="R5004" s="23" t="s">
        <v>11933</v>
      </c>
      <c r="S5004" s="23" t="s">
        <v>5849</v>
      </c>
      <c r="T5004" s="23" t="s">
        <v>4866</v>
      </c>
      <c r="U5004" s="3">
        <v>35</v>
      </c>
      <c r="W5004" s="45" t="str">
        <f>HYPERLINK("http://ictvonline.org/taxonomy/p/taxonomy-history?taxnode_id=201901901","ICTVonline=201901901")</f>
        <v>ICTVonline=201901901</v>
      </c>
      <c r="X5004" s="1" t="s">
        <v>14987</v>
      </c>
      <c r="Y5004" s="1" t="s">
        <v>14988</v>
      </c>
      <c r="Z5004" s="1" t="s">
        <v>14989</v>
      </c>
      <c r="AA5004" s="1">
        <v>201900000</v>
      </c>
      <c r="AB5004" s="1">
        <v>35</v>
      </c>
    </row>
    <row r="5005" spans="1:28" x14ac:dyDescent="0.2">
      <c r="A5005" s="1">
        <v>12870</v>
      </c>
      <c r="B5005" s="1" t="s">
        <v>6839</v>
      </c>
      <c r="D5005" s="1" t="s">
        <v>11735</v>
      </c>
      <c r="F5005" s="1" t="s">
        <v>14661</v>
      </c>
      <c r="H5005" s="1" t="s">
        <v>14783</v>
      </c>
      <c r="J5005" s="1" t="s">
        <v>1428</v>
      </c>
      <c r="K5005" s="1" t="s">
        <v>5766</v>
      </c>
      <c r="L5005" s="1" t="s">
        <v>2154</v>
      </c>
      <c r="M5005" s="1" t="s">
        <v>5777</v>
      </c>
      <c r="N5005" s="1" t="s">
        <v>2155</v>
      </c>
      <c r="O5005" s="1" t="s">
        <v>5784</v>
      </c>
      <c r="P5005" s="1" t="s">
        <v>5785</v>
      </c>
      <c r="Q5005" s="3">
        <v>0</v>
      </c>
      <c r="R5005" s="23" t="s">
        <v>11933</v>
      </c>
      <c r="S5005" s="23" t="s">
        <v>5849</v>
      </c>
      <c r="T5005" s="23" t="s">
        <v>4866</v>
      </c>
      <c r="U5005" s="3">
        <v>35</v>
      </c>
      <c r="W5005" s="45" t="str">
        <f>HYPERLINK("http://ictvonline.org/taxonomy/p/taxonomy-history?taxnode_id=201901904","ICTVonline=201901904")</f>
        <v>ICTVonline=201901904</v>
      </c>
      <c r="X5005" s="1" t="s">
        <v>14990</v>
      </c>
      <c r="Y5005" s="1" t="s">
        <v>14991</v>
      </c>
      <c r="Z5005" s="1" t="s">
        <v>14992</v>
      </c>
      <c r="AA5005" s="1">
        <v>201900000</v>
      </c>
      <c r="AB5005" s="1">
        <v>35</v>
      </c>
    </row>
    <row r="5006" spans="1:28" x14ac:dyDescent="0.2">
      <c r="A5006" s="1">
        <v>12874</v>
      </c>
      <c r="B5006" s="1" t="s">
        <v>6839</v>
      </c>
      <c r="D5006" s="1" t="s">
        <v>11735</v>
      </c>
      <c r="F5006" s="1" t="s">
        <v>14661</v>
      </c>
      <c r="H5006" s="1" t="s">
        <v>14783</v>
      </c>
      <c r="J5006" s="1" t="s">
        <v>1428</v>
      </c>
      <c r="K5006" s="1" t="s">
        <v>5766</v>
      </c>
      <c r="L5006" s="1" t="s">
        <v>2154</v>
      </c>
      <c r="M5006" s="1" t="s">
        <v>5777</v>
      </c>
      <c r="N5006" s="1" t="s">
        <v>2155</v>
      </c>
      <c r="O5006" s="1" t="s">
        <v>5786</v>
      </c>
      <c r="P5006" s="1" t="s">
        <v>3585</v>
      </c>
      <c r="Q5006" s="3">
        <v>0</v>
      </c>
      <c r="R5006" s="23" t="s">
        <v>11933</v>
      </c>
      <c r="S5006" s="23" t="s">
        <v>5849</v>
      </c>
      <c r="T5006" s="23" t="s">
        <v>4866</v>
      </c>
      <c r="U5006" s="3">
        <v>35</v>
      </c>
      <c r="W5006" s="45" t="str">
        <f>HYPERLINK("http://ictvonline.org/taxonomy/p/taxonomy-history?taxnode_id=201901902","ICTVonline=201901902")</f>
        <v>ICTVonline=201901902</v>
      </c>
      <c r="X5006" s="1" t="s">
        <v>14993</v>
      </c>
      <c r="Y5006" s="1" t="s">
        <v>14994</v>
      </c>
      <c r="Z5006" s="1" t="s">
        <v>14995</v>
      </c>
      <c r="AA5006" s="1">
        <v>201900000</v>
      </c>
      <c r="AB5006" s="1">
        <v>35</v>
      </c>
    </row>
    <row r="5007" spans="1:28" x14ac:dyDescent="0.2">
      <c r="A5007" s="1">
        <v>12878</v>
      </c>
      <c r="B5007" s="1" t="s">
        <v>6839</v>
      </c>
      <c r="D5007" s="1" t="s">
        <v>11735</v>
      </c>
      <c r="F5007" s="1" t="s">
        <v>14661</v>
      </c>
      <c r="H5007" s="1" t="s">
        <v>14783</v>
      </c>
      <c r="J5007" s="1" t="s">
        <v>1428</v>
      </c>
      <c r="K5007" s="1" t="s">
        <v>5766</v>
      </c>
      <c r="L5007" s="1" t="s">
        <v>2154</v>
      </c>
      <c r="M5007" s="1" t="s">
        <v>5777</v>
      </c>
      <c r="N5007" s="1" t="s">
        <v>2155</v>
      </c>
      <c r="O5007" s="1" t="s">
        <v>5779</v>
      </c>
      <c r="P5007" s="1" t="s">
        <v>5780</v>
      </c>
      <c r="Q5007" s="3">
        <v>0</v>
      </c>
      <c r="R5007" s="23" t="s">
        <v>11933</v>
      </c>
      <c r="S5007" s="23" t="s">
        <v>5849</v>
      </c>
      <c r="T5007" s="23" t="s">
        <v>4866</v>
      </c>
      <c r="U5007" s="3">
        <v>35</v>
      </c>
      <c r="W5007" s="45" t="str">
        <f>HYPERLINK("http://ictvonline.org/taxonomy/p/taxonomy-history?taxnode_id=201906168","ICTVonline=201906168")</f>
        <v>ICTVonline=201906168</v>
      </c>
      <c r="X5007" s="1" t="s">
        <v>14996</v>
      </c>
      <c r="Y5007" s="1" t="s">
        <v>14997</v>
      </c>
      <c r="AA5007" s="1">
        <v>201900000</v>
      </c>
      <c r="AB5007" s="1">
        <v>35</v>
      </c>
    </row>
    <row r="5008" spans="1:28" x14ac:dyDescent="0.2">
      <c r="A5008" s="1">
        <v>12882</v>
      </c>
      <c r="B5008" s="1" t="s">
        <v>6839</v>
      </c>
      <c r="D5008" s="1" t="s">
        <v>11735</v>
      </c>
      <c r="F5008" s="1" t="s">
        <v>14661</v>
      </c>
      <c r="H5008" s="1" t="s">
        <v>14783</v>
      </c>
      <c r="J5008" s="1" t="s">
        <v>1428</v>
      </c>
      <c r="K5008" s="1" t="s">
        <v>5766</v>
      </c>
      <c r="L5008" s="1" t="s">
        <v>2154</v>
      </c>
      <c r="M5008" s="1" t="s">
        <v>5777</v>
      </c>
      <c r="N5008" s="1" t="s">
        <v>2155</v>
      </c>
      <c r="O5008" s="1" t="s">
        <v>5781</v>
      </c>
      <c r="P5008" s="1" t="s">
        <v>3582</v>
      </c>
      <c r="Q5008" s="3">
        <v>0</v>
      </c>
      <c r="R5008" s="23" t="s">
        <v>11933</v>
      </c>
      <c r="S5008" s="23" t="s">
        <v>5849</v>
      </c>
      <c r="T5008" s="23" t="s">
        <v>4866</v>
      </c>
      <c r="U5008" s="3">
        <v>35</v>
      </c>
      <c r="W5008" s="45" t="str">
        <f>HYPERLINK("http://ictvonline.org/taxonomy/p/taxonomy-history?taxnode_id=201901899","ICTVonline=201901899")</f>
        <v>ICTVonline=201901899</v>
      </c>
      <c r="X5008" s="1" t="s">
        <v>14998</v>
      </c>
      <c r="Y5008" s="1" t="s">
        <v>14999</v>
      </c>
      <c r="Z5008" s="1" t="s">
        <v>15000</v>
      </c>
      <c r="AA5008" s="1">
        <v>201900000</v>
      </c>
      <c r="AB5008" s="1">
        <v>35</v>
      </c>
    </row>
    <row r="5009" spans="1:28" x14ac:dyDescent="0.2">
      <c r="A5009" s="1">
        <v>12884</v>
      </c>
      <c r="B5009" s="1" t="s">
        <v>6839</v>
      </c>
      <c r="D5009" s="1" t="s">
        <v>11735</v>
      </c>
      <c r="F5009" s="1" t="s">
        <v>14661</v>
      </c>
      <c r="H5009" s="1" t="s">
        <v>14783</v>
      </c>
      <c r="J5009" s="1" t="s">
        <v>1428</v>
      </c>
      <c r="K5009" s="1" t="s">
        <v>5766</v>
      </c>
      <c r="L5009" s="1" t="s">
        <v>2154</v>
      </c>
      <c r="M5009" s="1" t="s">
        <v>5777</v>
      </c>
      <c r="N5009" s="1" t="s">
        <v>2155</v>
      </c>
      <c r="O5009" s="1" t="s">
        <v>5781</v>
      </c>
      <c r="P5009" s="1" t="s">
        <v>3583</v>
      </c>
      <c r="Q5009" s="3">
        <v>0</v>
      </c>
      <c r="R5009" s="23" t="s">
        <v>11933</v>
      </c>
      <c r="S5009" s="23" t="s">
        <v>5849</v>
      </c>
      <c r="T5009" s="23" t="s">
        <v>4866</v>
      </c>
      <c r="U5009" s="3">
        <v>35</v>
      </c>
      <c r="W5009" s="45" t="str">
        <f>HYPERLINK("http://ictvonline.org/taxonomy/p/taxonomy-history?taxnode_id=201901900","ICTVonline=201901900")</f>
        <v>ICTVonline=201901900</v>
      </c>
      <c r="X5009" s="1" t="s">
        <v>15001</v>
      </c>
      <c r="Y5009" s="1" t="s">
        <v>15002</v>
      </c>
      <c r="Z5009" s="1" t="s">
        <v>15003</v>
      </c>
      <c r="AA5009" s="1">
        <v>201900000</v>
      </c>
      <c r="AB5009" s="1">
        <v>35</v>
      </c>
    </row>
    <row r="5010" spans="1:28" x14ac:dyDescent="0.2">
      <c r="A5010" s="1">
        <v>12888</v>
      </c>
      <c r="B5010" s="1" t="s">
        <v>6839</v>
      </c>
      <c r="D5010" s="1" t="s">
        <v>11735</v>
      </c>
      <c r="F5010" s="1" t="s">
        <v>14661</v>
      </c>
      <c r="H5010" s="1" t="s">
        <v>14783</v>
      </c>
      <c r="J5010" s="1" t="s">
        <v>1428</v>
      </c>
      <c r="K5010" s="1" t="s">
        <v>5766</v>
      </c>
      <c r="L5010" s="1" t="s">
        <v>2154</v>
      </c>
      <c r="M5010" s="1" t="s">
        <v>5777</v>
      </c>
      <c r="N5010" s="1" t="s">
        <v>2155</v>
      </c>
      <c r="O5010" s="1" t="s">
        <v>5793</v>
      </c>
      <c r="P5010" s="1" t="s">
        <v>5794</v>
      </c>
      <c r="Q5010" s="3">
        <v>0</v>
      </c>
      <c r="R5010" s="23" t="s">
        <v>11933</v>
      </c>
      <c r="S5010" s="23" t="s">
        <v>5849</v>
      </c>
      <c r="T5010" s="23" t="s">
        <v>4866</v>
      </c>
      <c r="U5010" s="3">
        <v>35</v>
      </c>
      <c r="W5010" s="45" t="str">
        <f>HYPERLINK("http://ictvonline.org/taxonomy/p/taxonomy-history?taxnode_id=201901905","ICTVonline=201901905")</f>
        <v>ICTVonline=201901905</v>
      </c>
      <c r="X5010" s="1" t="s">
        <v>15004</v>
      </c>
      <c r="Y5010" s="1" t="s">
        <v>15005</v>
      </c>
      <c r="Z5010" s="1" t="s">
        <v>15006</v>
      </c>
      <c r="AA5010" s="1">
        <v>201900000</v>
      </c>
      <c r="AB5010" s="1">
        <v>35</v>
      </c>
    </row>
    <row r="5011" spans="1:28" x14ac:dyDescent="0.2">
      <c r="A5011" s="1">
        <v>12892</v>
      </c>
      <c r="B5011" s="1" t="s">
        <v>6839</v>
      </c>
      <c r="D5011" s="1" t="s">
        <v>11735</v>
      </c>
      <c r="F5011" s="1" t="s">
        <v>14661</v>
      </c>
      <c r="H5011" s="1" t="s">
        <v>14783</v>
      </c>
      <c r="J5011" s="1" t="s">
        <v>1428</v>
      </c>
      <c r="K5011" s="1" t="s">
        <v>5766</v>
      </c>
      <c r="L5011" s="1" t="s">
        <v>2154</v>
      </c>
      <c r="M5011" s="1" t="s">
        <v>5777</v>
      </c>
      <c r="N5011" s="1" t="s">
        <v>2155</v>
      </c>
      <c r="O5011" s="1" t="s">
        <v>5801</v>
      </c>
      <c r="P5011" s="1" t="s">
        <v>2156</v>
      </c>
      <c r="Q5011" s="3">
        <v>1</v>
      </c>
      <c r="R5011" s="23" t="s">
        <v>11933</v>
      </c>
      <c r="S5011" s="23" t="s">
        <v>5849</v>
      </c>
      <c r="T5011" s="23" t="s">
        <v>4866</v>
      </c>
      <c r="U5011" s="3">
        <v>35</v>
      </c>
      <c r="W5011" s="45" t="str">
        <f>HYPERLINK("http://ictvonline.org/taxonomy/p/taxonomy-history?taxnode_id=201901898","ICTVonline=201901898")</f>
        <v>ICTVonline=201901898</v>
      </c>
      <c r="X5011" s="1" t="s">
        <v>15007</v>
      </c>
      <c r="Y5011" s="1" t="s">
        <v>15008</v>
      </c>
      <c r="AA5011" s="1">
        <v>201900000</v>
      </c>
      <c r="AB5011" s="1">
        <v>35</v>
      </c>
    </row>
    <row r="5012" spans="1:28" x14ac:dyDescent="0.2">
      <c r="A5012" s="1">
        <v>12894</v>
      </c>
      <c r="B5012" s="1" t="s">
        <v>6839</v>
      </c>
      <c r="D5012" s="1" t="s">
        <v>11735</v>
      </c>
      <c r="F5012" s="1" t="s">
        <v>14661</v>
      </c>
      <c r="H5012" s="1" t="s">
        <v>14783</v>
      </c>
      <c r="J5012" s="1" t="s">
        <v>1428</v>
      </c>
      <c r="K5012" s="1" t="s">
        <v>5766</v>
      </c>
      <c r="L5012" s="1" t="s">
        <v>2154</v>
      </c>
      <c r="M5012" s="1" t="s">
        <v>5777</v>
      </c>
      <c r="N5012" s="1" t="s">
        <v>2155</v>
      </c>
      <c r="O5012" s="1" t="s">
        <v>5801</v>
      </c>
      <c r="P5012" s="1" t="s">
        <v>15009</v>
      </c>
      <c r="Q5012" s="3">
        <v>0</v>
      </c>
      <c r="R5012" s="23" t="s">
        <v>11933</v>
      </c>
      <c r="S5012" s="23" t="s">
        <v>5849</v>
      </c>
      <c r="T5012" s="23" t="s">
        <v>4864</v>
      </c>
      <c r="U5012" s="3">
        <v>35</v>
      </c>
      <c r="V5012" s="3" t="s">
        <v>14816</v>
      </c>
      <c r="W5012" s="45" t="str">
        <f>HYPERLINK("http://ictvonline.org/taxonomy/p/taxonomy-history?taxnode_id=201907509","ICTVonline=201907509")</f>
        <v>ICTVonline=201907509</v>
      </c>
      <c r="X5012" s="1" t="s">
        <v>15010</v>
      </c>
      <c r="Y5012" s="1" t="s">
        <v>15011</v>
      </c>
      <c r="AA5012" s="1">
        <v>201900000</v>
      </c>
      <c r="AB5012" s="1">
        <v>35</v>
      </c>
    </row>
    <row r="5013" spans="1:28" x14ac:dyDescent="0.2">
      <c r="A5013" s="1">
        <v>12898</v>
      </c>
      <c r="B5013" s="1" t="s">
        <v>6839</v>
      </c>
      <c r="D5013" s="1" t="s">
        <v>11735</v>
      </c>
      <c r="F5013" s="1" t="s">
        <v>14661</v>
      </c>
      <c r="H5013" s="1" t="s">
        <v>14783</v>
      </c>
      <c r="J5013" s="1" t="s">
        <v>1428</v>
      </c>
      <c r="K5013" s="1" t="s">
        <v>5766</v>
      </c>
      <c r="L5013" s="1" t="s">
        <v>2154</v>
      </c>
      <c r="M5013" s="1" t="s">
        <v>5777</v>
      </c>
      <c r="N5013" s="1" t="s">
        <v>2155</v>
      </c>
      <c r="O5013" s="1" t="s">
        <v>5782</v>
      </c>
      <c r="P5013" s="1" t="s">
        <v>5783</v>
      </c>
      <c r="Q5013" s="3">
        <v>0</v>
      </c>
      <c r="R5013" s="23" t="s">
        <v>11933</v>
      </c>
      <c r="S5013" s="23" t="s">
        <v>5849</v>
      </c>
      <c r="T5013" s="23" t="s">
        <v>4866</v>
      </c>
      <c r="U5013" s="3">
        <v>35</v>
      </c>
      <c r="W5013" s="45" t="str">
        <f>HYPERLINK("http://ictvonline.org/taxonomy/p/taxonomy-history?taxnode_id=201906127","ICTVonline=201906127")</f>
        <v>ICTVonline=201906127</v>
      </c>
      <c r="X5013" s="1" t="s">
        <v>15012</v>
      </c>
      <c r="Y5013" s="1" t="s">
        <v>15013</v>
      </c>
      <c r="AA5013" s="1">
        <v>201900000</v>
      </c>
      <c r="AB5013" s="1">
        <v>35</v>
      </c>
    </row>
    <row r="5014" spans="1:28" x14ac:dyDescent="0.2">
      <c r="A5014" s="1">
        <v>12910</v>
      </c>
      <c r="B5014" s="1" t="s">
        <v>6839</v>
      </c>
      <c r="D5014" s="1" t="s">
        <v>11735</v>
      </c>
      <c r="F5014" s="1" t="s">
        <v>14661</v>
      </c>
      <c r="H5014" s="1" t="s">
        <v>14783</v>
      </c>
      <c r="J5014" s="1" t="s">
        <v>1428</v>
      </c>
      <c r="K5014" s="1" t="s">
        <v>5787</v>
      </c>
      <c r="L5014" s="1" t="s">
        <v>5788</v>
      </c>
      <c r="M5014" s="1" t="s">
        <v>5789</v>
      </c>
      <c r="N5014" s="1" t="s">
        <v>5790</v>
      </c>
      <c r="O5014" s="1" t="s">
        <v>5791</v>
      </c>
      <c r="P5014" s="1" t="s">
        <v>5792</v>
      </c>
      <c r="Q5014" s="3">
        <v>1</v>
      </c>
      <c r="R5014" s="23" t="s">
        <v>11933</v>
      </c>
      <c r="S5014" s="23" t="s">
        <v>5849</v>
      </c>
      <c r="T5014" s="23" t="s">
        <v>4866</v>
      </c>
      <c r="U5014" s="3">
        <v>35</v>
      </c>
      <c r="W5014" s="45" t="str">
        <f>HYPERLINK("http://ictvonline.org/taxonomy/p/taxonomy-history?taxnode_id=201906206","ICTVonline=201906206")</f>
        <v>ICTVonline=201906206</v>
      </c>
      <c r="X5014" s="1" t="s">
        <v>15014</v>
      </c>
      <c r="Y5014" s="1" t="s">
        <v>15015</v>
      </c>
      <c r="Z5014" s="1" t="s">
        <v>15016</v>
      </c>
      <c r="AA5014" s="1">
        <v>201900000</v>
      </c>
      <c r="AB5014" s="1">
        <v>35</v>
      </c>
    </row>
    <row r="5015" spans="1:28" x14ac:dyDescent="0.2">
      <c r="A5015" s="1">
        <v>12921</v>
      </c>
      <c r="B5015" s="1" t="s">
        <v>6839</v>
      </c>
      <c r="D5015" s="1" t="s">
        <v>11735</v>
      </c>
      <c r="F5015" s="1" t="s">
        <v>14661</v>
      </c>
      <c r="H5015" s="1" t="s">
        <v>14783</v>
      </c>
      <c r="J5015" s="1" t="s">
        <v>1428</v>
      </c>
      <c r="K5015" s="1" t="s">
        <v>15017</v>
      </c>
      <c r="L5015" s="1" t="s">
        <v>15018</v>
      </c>
      <c r="M5015" s="1" t="s">
        <v>15019</v>
      </c>
      <c r="N5015" s="1" t="s">
        <v>15020</v>
      </c>
      <c r="P5015" s="1" t="s">
        <v>15021</v>
      </c>
      <c r="Q5015" s="3">
        <v>1</v>
      </c>
      <c r="R5015" s="23" t="s">
        <v>11933</v>
      </c>
      <c r="S5015" s="23" t="s">
        <v>5849</v>
      </c>
      <c r="T5015" s="23" t="s">
        <v>4864</v>
      </c>
      <c r="U5015" s="3">
        <v>35</v>
      </c>
      <c r="V5015" s="3" t="s">
        <v>14816</v>
      </c>
      <c r="W5015" s="45" t="str">
        <f>HYPERLINK("http://ictvonline.org/taxonomy/p/taxonomy-history?taxnode_id=201907489","ICTVonline=201907489")</f>
        <v>ICTVonline=201907489</v>
      </c>
      <c r="X5015" s="1" t="s">
        <v>15022</v>
      </c>
      <c r="Y5015" s="1" t="s">
        <v>15023</v>
      </c>
      <c r="AA5015" s="1">
        <v>201900000</v>
      </c>
      <c r="AB5015" s="1">
        <v>35</v>
      </c>
    </row>
    <row r="5016" spans="1:28" x14ac:dyDescent="0.2">
      <c r="A5016" s="1">
        <v>12929</v>
      </c>
      <c r="B5016" s="1" t="s">
        <v>6839</v>
      </c>
      <c r="D5016" s="1" t="s">
        <v>11735</v>
      </c>
      <c r="F5016" s="1" t="s">
        <v>14661</v>
      </c>
      <c r="H5016" s="1" t="s">
        <v>14783</v>
      </c>
      <c r="J5016" s="1" t="s">
        <v>1428</v>
      </c>
      <c r="K5016" s="1" t="s">
        <v>15017</v>
      </c>
      <c r="L5016" s="1" t="s">
        <v>15024</v>
      </c>
      <c r="M5016" s="1" t="s">
        <v>15025</v>
      </c>
      <c r="N5016" s="1" t="s">
        <v>15026</v>
      </c>
      <c r="P5016" s="1" t="s">
        <v>15027</v>
      </c>
      <c r="Q5016" s="3">
        <v>1</v>
      </c>
      <c r="R5016" s="23" t="s">
        <v>11933</v>
      </c>
      <c r="S5016" s="23" t="s">
        <v>5849</v>
      </c>
      <c r="T5016" s="23" t="s">
        <v>4864</v>
      </c>
      <c r="U5016" s="3">
        <v>35</v>
      </c>
      <c r="V5016" s="3" t="s">
        <v>14816</v>
      </c>
      <c r="W5016" s="45" t="str">
        <f>HYPERLINK("http://ictvonline.org/taxonomy/p/taxonomy-history?taxnode_id=201907485","ICTVonline=201907485")</f>
        <v>ICTVonline=201907485</v>
      </c>
      <c r="X5016" s="1" t="s">
        <v>15028</v>
      </c>
      <c r="Y5016" s="1" t="s">
        <v>15029</v>
      </c>
      <c r="AA5016" s="1">
        <v>201900000</v>
      </c>
      <c r="AB5016" s="1">
        <v>35</v>
      </c>
    </row>
    <row r="5017" spans="1:28" x14ac:dyDescent="0.2">
      <c r="A5017" s="1">
        <v>12940</v>
      </c>
      <c r="B5017" s="1" t="s">
        <v>6839</v>
      </c>
      <c r="D5017" s="1" t="s">
        <v>11735</v>
      </c>
      <c r="F5017" s="1" t="s">
        <v>14661</v>
      </c>
      <c r="H5017" s="1" t="s">
        <v>14783</v>
      </c>
      <c r="J5017" s="1" t="s">
        <v>1428</v>
      </c>
      <c r="K5017" s="1" t="s">
        <v>5795</v>
      </c>
      <c r="L5017" s="1" t="s">
        <v>5796</v>
      </c>
      <c r="M5017" s="1" t="s">
        <v>5797</v>
      </c>
      <c r="N5017" s="1" t="s">
        <v>5798</v>
      </c>
      <c r="O5017" s="1" t="s">
        <v>5799</v>
      </c>
      <c r="P5017" s="1" t="s">
        <v>5800</v>
      </c>
      <c r="Q5017" s="3">
        <v>1</v>
      </c>
      <c r="R5017" s="23" t="s">
        <v>11933</v>
      </c>
      <c r="S5017" s="23" t="s">
        <v>5849</v>
      </c>
      <c r="T5017" s="23" t="s">
        <v>4866</v>
      </c>
      <c r="U5017" s="3">
        <v>35</v>
      </c>
      <c r="W5017" s="45" t="str">
        <f>HYPERLINK("http://ictvonline.org/taxonomy/p/taxonomy-history?taxnode_id=201906188","ICTVonline=201906188")</f>
        <v>ICTVonline=201906188</v>
      </c>
      <c r="X5017" s="1" t="s">
        <v>15030</v>
      </c>
      <c r="Y5017" s="1" t="s">
        <v>15031</v>
      </c>
      <c r="Z5017" s="1" t="s">
        <v>15032</v>
      </c>
      <c r="AA5017" s="1">
        <v>201900000</v>
      </c>
      <c r="AB5017" s="1">
        <v>35</v>
      </c>
    </row>
    <row r="5018" spans="1:28" x14ac:dyDescent="0.2">
      <c r="A5018" s="1">
        <v>12944</v>
      </c>
      <c r="B5018" s="1" t="s">
        <v>6839</v>
      </c>
      <c r="D5018" s="1" t="s">
        <v>11735</v>
      </c>
      <c r="F5018" s="1" t="s">
        <v>14661</v>
      </c>
      <c r="H5018" s="1" t="s">
        <v>14783</v>
      </c>
      <c r="J5018" s="1" t="s">
        <v>1428</v>
      </c>
      <c r="K5018" s="1" t="s">
        <v>5795</v>
      </c>
      <c r="L5018" s="1" t="s">
        <v>5796</v>
      </c>
      <c r="M5018" s="1" t="s">
        <v>5797</v>
      </c>
      <c r="N5018" s="1" t="s">
        <v>5798</v>
      </c>
      <c r="O5018" s="1" t="s">
        <v>5802</v>
      </c>
      <c r="P5018" s="1" t="s">
        <v>5803</v>
      </c>
      <c r="Q5018" s="3">
        <v>0</v>
      </c>
      <c r="R5018" s="23" t="s">
        <v>11933</v>
      </c>
      <c r="S5018" s="23" t="s">
        <v>5849</v>
      </c>
      <c r="T5018" s="23" t="s">
        <v>4866</v>
      </c>
      <c r="U5018" s="3">
        <v>35</v>
      </c>
      <c r="W5018" s="45" t="str">
        <f>HYPERLINK("http://ictvonline.org/taxonomy/p/taxonomy-history?taxnode_id=201906190","ICTVonline=201906190")</f>
        <v>ICTVonline=201906190</v>
      </c>
      <c r="X5018" s="1" t="s">
        <v>15033</v>
      </c>
      <c r="Y5018" s="1" t="s">
        <v>15034</v>
      </c>
      <c r="Z5018" s="1" t="s">
        <v>15035</v>
      </c>
      <c r="AA5018" s="1">
        <v>201900000</v>
      </c>
      <c r="AB5018" s="1">
        <v>35</v>
      </c>
    </row>
    <row r="5019" spans="1:28" x14ac:dyDescent="0.2">
      <c r="A5019" s="1">
        <v>12952</v>
      </c>
      <c r="B5019" s="1" t="s">
        <v>6839</v>
      </c>
      <c r="D5019" s="1" t="s">
        <v>11735</v>
      </c>
      <c r="F5019" s="1" t="s">
        <v>14661</v>
      </c>
      <c r="H5019" s="1" t="s">
        <v>14783</v>
      </c>
      <c r="J5019" s="1" t="s">
        <v>1428</v>
      </c>
      <c r="K5019" s="1" t="s">
        <v>5795</v>
      </c>
      <c r="L5019" s="1" t="s">
        <v>5796</v>
      </c>
      <c r="M5019" s="1" t="s">
        <v>5804</v>
      </c>
      <c r="N5019" s="1" t="s">
        <v>5805</v>
      </c>
      <c r="O5019" s="1" t="s">
        <v>5806</v>
      </c>
      <c r="P5019" s="1" t="s">
        <v>5807</v>
      </c>
      <c r="Q5019" s="3">
        <v>1</v>
      </c>
      <c r="R5019" s="23" t="s">
        <v>11933</v>
      </c>
      <c r="S5019" s="23" t="s">
        <v>5849</v>
      </c>
      <c r="T5019" s="23" t="s">
        <v>4866</v>
      </c>
      <c r="U5019" s="3">
        <v>35</v>
      </c>
      <c r="W5019" s="45" t="str">
        <f>HYPERLINK("http://ictvonline.org/taxonomy/p/taxonomy-history?taxnode_id=201906194","ICTVonline=201906194")</f>
        <v>ICTVonline=201906194</v>
      </c>
      <c r="X5019" s="1" t="s">
        <v>15036</v>
      </c>
      <c r="Y5019" s="1" t="s">
        <v>15037</v>
      </c>
      <c r="Z5019" s="1" t="s">
        <v>15038</v>
      </c>
      <c r="AA5019" s="1">
        <v>201900000</v>
      </c>
      <c r="AB5019" s="1">
        <v>35</v>
      </c>
    </row>
    <row r="5020" spans="1:28" x14ac:dyDescent="0.2">
      <c r="A5020" s="1">
        <v>12962</v>
      </c>
      <c r="B5020" s="1" t="s">
        <v>6839</v>
      </c>
      <c r="D5020" s="1" t="s">
        <v>11735</v>
      </c>
      <c r="F5020" s="1" t="s">
        <v>14661</v>
      </c>
      <c r="H5020" s="1" t="s">
        <v>14783</v>
      </c>
      <c r="J5020" s="1" t="s">
        <v>1428</v>
      </c>
      <c r="K5020" s="1" t="s">
        <v>5795</v>
      </c>
      <c r="L5020" s="1" t="s">
        <v>1064</v>
      </c>
      <c r="M5020" s="1" t="s">
        <v>5808</v>
      </c>
      <c r="N5020" s="1" t="s">
        <v>1065</v>
      </c>
      <c r="O5020" s="1" t="s">
        <v>5809</v>
      </c>
      <c r="P5020" s="1" t="s">
        <v>1066</v>
      </c>
      <c r="Q5020" s="3">
        <v>1</v>
      </c>
      <c r="R5020" s="23" t="s">
        <v>11933</v>
      </c>
      <c r="S5020" s="23" t="s">
        <v>5849</v>
      </c>
      <c r="T5020" s="23" t="s">
        <v>4866</v>
      </c>
      <c r="U5020" s="3">
        <v>35</v>
      </c>
      <c r="W5020" s="45" t="str">
        <f>HYPERLINK("http://ictvonline.org/taxonomy/p/taxonomy-history?taxnode_id=201901909","ICTVonline=201901909")</f>
        <v>ICTVonline=201901909</v>
      </c>
      <c r="X5020" s="1" t="s">
        <v>14540</v>
      </c>
      <c r="Y5020" s="1" t="s">
        <v>15039</v>
      </c>
      <c r="AA5020" s="1">
        <v>201900000</v>
      </c>
      <c r="AB5020" s="1">
        <v>35</v>
      </c>
    </row>
    <row r="5021" spans="1:28" x14ac:dyDescent="0.2">
      <c r="A5021" s="1">
        <v>12964</v>
      </c>
      <c r="B5021" s="1" t="s">
        <v>6839</v>
      </c>
      <c r="D5021" s="1" t="s">
        <v>11735</v>
      </c>
      <c r="F5021" s="1" t="s">
        <v>14661</v>
      </c>
      <c r="H5021" s="1" t="s">
        <v>14783</v>
      </c>
      <c r="J5021" s="1" t="s">
        <v>1428</v>
      </c>
      <c r="K5021" s="1" t="s">
        <v>5795</v>
      </c>
      <c r="L5021" s="1" t="s">
        <v>1064</v>
      </c>
      <c r="M5021" s="1" t="s">
        <v>5808</v>
      </c>
      <c r="N5021" s="1" t="s">
        <v>1065</v>
      </c>
      <c r="O5021" s="1" t="s">
        <v>5809</v>
      </c>
      <c r="P5021" s="1" t="s">
        <v>15040</v>
      </c>
      <c r="Q5021" s="3">
        <v>0</v>
      </c>
      <c r="R5021" s="23" t="s">
        <v>11933</v>
      </c>
      <c r="S5021" s="23" t="s">
        <v>5849</v>
      </c>
      <c r="T5021" s="23" t="s">
        <v>4864</v>
      </c>
      <c r="U5021" s="3">
        <v>35</v>
      </c>
      <c r="V5021" s="3" t="s">
        <v>14816</v>
      </c>
      <c r="W5021" s="45" t="str">
        <f>HYPERLINK("http://ictvonline.org/taxonomy/p/taxonomy-history?taxnode_id=201907510","ICTVonline=201907510")</f>
        <v>ICTVonline=201907510</v>
      </c>
      <c r="X5021" s="1" t="s">
        <v>15041</v>
      </c>
      <c r="Y5021" s="1" t="s">
        <v>15042</v>
      </c>
      <c r="AA5021" s="1">
        <v>201900000</v>
      </c>
      <c r="AB5021" s="1">
        <v>35</v>
      </c>
    </row>
    <row r="5022" spans="1:28" x14ac:dyDescent="0.2">
      <c r="A5022" s="1">
        <v>12966</v>
      </c>
      <c r="B5022" s="1" t="s">
        <v>6839</v>
      </c>
      <c r="D5022" s="1" t="s">
        <v>11735</v>
      </c>
      <c r="F5022" s="1" t="s">
        <v>14661</v>
      </c>
      <c r="H5022" s="1" t="s">
        <v>14783</v>
      </c>
      <c r="J5022" s="1" t="s">
        <v>1428</v>
      </c>
      <c r="K5022" s="1" t="s">
        <v>5795</v>
      </c>
      <c r="L5022" s="1" t="s">
        <v>1064</v>
      </c>
      <c r="M5022" s="1" t="s">
        <v>5808</v>
      </c>
      <c r="N5022" s="1" t="s">
        <v>1065</v>
      </c>
      <c r="O5022" s="1" t="s">
        <v>5809</v>
      </c>
      <c r="P5022" s="1" t="s">
        <v>5810</v>
      </c>
      <c r="Q5022" s="3">
        <v>0</v>
      </c>
      <c r="R5022" s="23" t="s">
        <v>11933</v>
      </c>
      <c r="S5022" s="23" t="s">
        <v>5849</v>
      </c>
      <c r="T5022" s="23" t="s">
        <v>4866</v>
      </c>
      <c r="U5022" s="3">
        <v>35</v>
      </c>
      <c r="W5022" s="45" t="str">
        <f>HYPERLINK("http://ictvonline.org/taxonomy/p/taxonomy-history?taxnode_id=201906183","ICTVonline=201906183")</f>
        <v>ICTVonline=201906183</v>
      </c>
      <c r="X5022" s="1" t="s">
        <v>15043</v>
      </c>
      <c r="Y5022" s="1" t="s">
        <v>15044</v>
      </c>
      <c r="AA5022" s="1">
        <v>201900000</v>
      </c>
      <c r="AB5022" s="1">
        <v>35</v>
      </c>
    </row>
    <row r="5023" spans="1:28" x14ac:dyDescent="0.2">
      <c r="A5023" s="1">
        <v>12978</v>
      </c>
      <c r="B5023" s="1" t="s">
        <v>6839</v>
      </c>
      <c r="D5023" s="1" t="s">
        <v>11735</v>
      </c>
      <c r="F5023" s="1" t="s">
        <v>14661</v>
      </c>
      <c r="H5023" s="1" t="s">
        <v>14783</v>
      </c>
      <c r="J5023" s="1" t="s">
        <v>1428</v>
      </c>
      <c r="K5023" s="1" t="s">
        <v>5811</v>
      </c>
      <c r="L5023" s="1" t="s">
        <v>5812</v>
      </c>
      <c r="M5023" s="1" t="s">
        <v>5813</v>
      </c>
      <c r="N5023" s="1" t="s">
        <v>305</v>
      </c>
      <c r="O5023" s="1" t="s">
        <v>5826</v>
      </c>
      <c r="P5023" s="1" t="s">
        <v>306</v>
      </c>
      <c r="Q5023" s="3">
        <v>1</v>
      </c>
      <c r="R5023" s="23" t="s">
        <v>11933</v>
      </c>
      <c r="S5023" s="23" t="s">
        <v>5849</v>
      </c>
      <c r="T5023" s="23" t="s">
        <v>4866</v>
      </c>
      <c r="U5023" s="3">
        <v>35</v>
      </c>
      <c r="W5023" s="45" t="str">
        <f>HYPERLINK("http://ictvonline.org/taxonomy/p/taxonomy-history?taxnode_id=201901885","ICTVonline=201901885")</f>
        <v>ICTVonline=201901885</v>
      </c>
      <c r="X5023" s="1" t="s">
        <v>15045</v>
      </c>
      <c r="Y5023" s="1" t="s">
        <v>15046</v>
      </c>
      <c r="AA5023" s="1">
        <v>201900000</v>
      </c>
      <c r="AB5023" s="1">
        <v>35</v>
      </c>
    </row>
    <row r="5024" spans="1:28" x14ac:dyDescent="0.2">
      <c r="A5024" s="1">
        <v>12982</v>
      </c>
      <c r="B5024" s="1" t="s">
        <v>6839</v>
      </c>
      <c r="D5024" s="1" t="s">
        <v>11735</v>
      </c>
      <c r="F5024" s="1" t="s">
        <v>14661</v>
      </c>
      <c r="H5024" s="1" t="s">
        <v>14783</v>
      </c>
      <c r="J5024" s="1" t="s">
        <v>1428</v>
      </c>
      <c r="K5024" s="1" t="s">
        <v>5811</v>
      </c>
      <c r="L5024" s="1" t="s">
        <v>5812</v>
      </c>
      <c r="M5024" s="1" t="s">
        <v>5813</v>
      </c>
      <c r="N5024" s="1" t="s">
        <v>305</v>
      </c>
      <c r="O5024" s="1" t="s">
        <v>5814</v>
      </c>
      <c r="P5024" s="1" t="s">
        <v>3580</v>
      </c>
      <c r="Q5024" s="3">
        <v>0</v>
      </c>
      <c r="R5024" s="23" t="s">
        <v>11933</v>
      </c>
      <c r="S5024" s="23" t="s">
        <v>5849</v>
      </c>
      <c r="T5024" s="23" t="s">
        <v>4866</v>
      </c>
      <c r="U5024" s="3">
        <v>35</v>
      </c>
      <c r="W5024" s="45" t="str">
        <f>HYPERLINK("http://ictvonline.org/taxonomy/p/taxonomy-history?taxnode_id=201901884","ICTVonline=201901884")</f>
        <v>ICTVonline=201901884</v>
      </c>
      <c r="X5024" s="1" t="s">
        <v>15047</v>
      </c>
      <c r="Y5024" s="1" t="s">
        <v>15048</v>
      </c>
      <c r="Z5024" s="1" t="s">
        <v>15049</v>
      </c>
      <c r="AA5024" s="1">
        <v>201900000</v>
      </c>
      <c r="AB5024" s="1">
        <v>35</v>
      </c>
    </row>
    <row r="5025" spans="1:28" x14ac:dyDescent="0.2">
      <c r="A5025" s="1">
        <v>12988</v>
      </c>
      <c r="B5025" s="1" t="s">
        <v>6839</v>
      </c>
      <c r="D5025" s="1" t="s">
        <v>11735</v>
      </c>
      <c r="F5025" s="1" t="s">
        <v>14661</v>
      </c>
      <c r="H5025" s="1" t="s">
        <v>14783</v>
      </c>
      <c r="J5025" s="1" t="s">
        <v>1428</v>
      </c>
      <c r="K5025" s="1" t="s">
        <v>5811</v>
      </c>
      <c r="L5025" s="1" t="s">
        <v>5812</v>
      </c>
      <c r="M5025" s="1" t="s">
        <v>5813</v>
      </c>
      <c r="N5025" s="1" t="s">
        <v>5815</v>
      </c>
      <c r="O5025" s="1" t="s">
        <v>5816</v>
      </c>
      <c r="P5025" s="1" t="s">
        <v>4520</v>
      </c>
      <c r="Q5025" s="3">
        <v>1</v>
      </c>
      <c r="R5025" s="23" t="s">
        <v>11933</v>
      </c>
      <c r="S5025" s="23" t="s">
        <v>5849</v>
      </c>
      <c r="T5025" s="23" t="s">
        <v>4866</v>
      </c>
      <c r="U5025" s="3">
        <v>35</v>
      </c>
      <c r="W5025" s="45" t="str">
        <f>HYPERLINK("http://ictvonline.org/taxonomy/p/taxonomy-history?taxnode_id=201901894","ICTVonline=201901894")</f>
        <v>ICTVonline=201901894</v>
      </c>
      <c r="X5025" s="1" t="s">
        <v>15050</v>
      </c>
      <c r="Y5025" s="1" t="s">
        <v>15051</v>
      </c>
      <c r="Z5025" s="1" t="s">
        <v>15052</v>
      </c>
      <c r="AA5025" s="1">
        <v>201900000</v>
      </c>
      <c r="AB5025" s="1">
        <v>35</v>
      </c>
    </row>
    <row r="5026" spans="1:28" x14ac:dyDescent="0.2">
      <c r="A5026" s="1">
        <v>12996</v>
      </c>
      <c r="B5026" s="1" t="s">
        <v>6839</v>
      </c>
      <c r="D5026" s="1" t="s">
        <v>11735</v>
      </c>
      <c r="F5026" s="1" t="s">
        <v>14661</v>
      </c>
      <c r="H5026" s="1" t="s">
        <v>14783</v>
      </c>
      <c r="J5026" s="1" t="s">
        <v>1428</v>
      </c>
      <c r="K5026" s="1" t="s">
        <v>5811</v>
      </c>
      <c r="L5026" s="1" t="s">
        <v>5812</v>
      </c>
      <c r="M5026" s="1" t="s">
        <v>5817</v>
      </c>
      <c r="N5026" s="1" t="s">
        <v>5818</v>
      </c>
      <c r="O5026" s="1" t="s">
        <v>5819</v>
      </c>
      <c r="P5026" s="1" t="s">
        <v>4519</v>
      </c>
      <c r="Q5026" s="3">
        <v>1</v>
      </c>
      <c r="R5026" s="23" t="s">
        <v>11933</v>
      </c>
      <c r="S5026" s="23" t="s">
        <v>5849</v>
      </c>
      <c r="T5026" s="23" t="s">
        <v>4866</v>
      </c>
      <c r="U5026" s="3">
        <v>35</v>
      </c>
      <c r="W5026" s="45" t="str">
        <f>HYPERLINK("http://ictvonline.org/taxonomy/p/taxonomy-history?taxnode_id=201901893","ICTVonline=201901893")</f>
        <v>ICTVonline=201901893</v>
      </c>
      <c r="X5026" s="1" t="s">
        <v>15053</v>
      </c>
      <c r="Y5026" s="1" t="s">
        <v>15054</v>
      </c>
      <c r="Z5026" s="1" t="s">
        <v>15055</v>
      </c>
      <c r="AA5026" s="1">
        <v>201900000</v>
      </c>
      <c r="AB5026" s="1">
        <v>35</v>
      </c>
    </row>
    <row r="5027" spans="1:28" x14ac:dyDescent="0.2">
      <c r="A5027" s="1">
        <v>13004</v>
      </c>
      <c r="B5027" s="1" t="s">
        <v>6839</v>
      </c>
      <c r="D5027" s="1" t="s">
        <v>11735</v>
      </c>
      <c r="F5027" s="1" t="s">
        <v>14661</v>
      </c>
      <c r="H5027" s="1" t="s">
        <v>14783</v>
      </c>
      <c r="J5027" s="1" t="s">
        <v>1428</v>
      </c>
      <c r="K5027" s="1" t="s">
        <v>5811</v>
      </c>
      <c r="L5027" s="1" t="s">
        <v>5812</v>
      </c>
      <c r="M5027" s="1" t="s">
        <v>5820</v>
      </c>
      <c r="N5027" s="1" t="s">
        <v>5821</v>
      </c>
      <c r="O5027" s="1" t="s">
        <v>15056</v>
      </c>
      <c r="P5027" s="1" t="s">
        <v>15057</v>
      </c>
      <c r="Q5027" s="3">
        <v>0</v>
      </c>
      <c r="R5027" s="23" t="s">
        <v>11933</v>
      </c>
      <c r="S5027" s="23" t="s">
        <v>5849</v>
      </c>
      <c r="T5027" s="23" t="s">
        <v>4864</v>
      </c>
      <c r="U5027" s="3">
        <v>35</v>
      </c>
      <c r="V5027" s="3" t="s">
        <v>14816</v>
      </c>
      <c r="W5027" s="45" t="str">
        <f>HYPERLINK("http://ictvonline.org/taxonomy/p/taxonomy-history?taxnode_id=201907502","ICTVonline=201907502")</f>
        <v>ICTVonline=201907502</v>
      </c>
      <c r="X5027" s="1" t="s">
        <v>15058</v>
      </c>
      <c r="Y5027" s="1" t="s">
        <v>15059</v>
      </c>
      <c r="AA5027" s="1">
        <v>201900000</v>
      </c>
      <c r="AB5027" s="1">
        <v>35</v>
      </c>
    </row>
    <row r="5028" spans="1:28" x14ac:dyDescent="0.2">
      <c r="A5028" s="1">
        <v>13008</v>
      </c>
      <c r="B5028" s="1" t="s">
        <v>6839</v>
      </c>
      <c r="D5028" s="1" t="s">
        <v>11735</v>
      </c>
      <c r="F5028" s="1" t="s">
        <v>14661</v>
      </c>
      <c r="H5028" s="1" t="s">
        <v>14783</v>
      </c>
      <c r="J5028" s="1" t="s">
        <v>1428</v>
      </c>
      <c r="K5028" s="1" t="s">
        <v>5811</v>
      </c>
      <c r="L5028" s="1" t="s">
        <v>5812</v>
      </c>
      <c r="M5028" s="1" t="s">
        <v>5820</v>
      </c>
      <c r="N5028" s="1" t="s">
        <v>5821</v>
      </c>
      <c r="O5028" s="1" t="s">
        <v>5822</v>
      </c>
      <c r="P5028" s="1" t="s">
        <v>5823</v>
      </c>
      <c r="Q5028" s="3">
        <v>1</v>
      </c>
      <c r="R5028" s="23" t="s">
        <v>11933</v>
      </c>
      <c r="S5028" s="23" t="s">
        <v>5849</v>
      </c>
      <c r="T5028" s="23" t="s">
        <v>4866</v>
      </c>
      <c r="U5028" s="3">
        <v>35</v>
      </c>
      <c r="W5028" s="45" t="str">
        <f>HYPERLINK("http://ictvonline.org/taxonomy/p/taxonomy-history?taxnode_id=201906154","ICTVonline=201906154")</f>
        <v>ICTVonline=201906154</v>
      </c>
      <c r="X5028" s="1" t="s">
        <v>15060</v>
      </c>
      <c r="Y5028" s="1" t="s">
        <v>15061</v>
      </c>
      <c r="Z5028" s="1" t="s">
        <v>15062</v>
      </c>
      <c r="AA5028" s="1">
        <v>201900000</v>
      </c>
      <c r="AB5028" s="1">
        <v>35</v>
      </c>
    </row>
    <row r="5029" spans="1:28" x14ac:dyDescent="0.2">
      <c r="A5029" s="1">
        <v>13014</v>
      </c>
      <c r="B5029" s="1" t="s">
        <v>6839</v>
      </c>
      <c r="D5029" s="1" t="s">
        <v>11735</v>
      </c>
      <c r="F5029" s="1" t="s">
        <v>14661</v>
      </c>
      <c r="H5029" s="1" t="s">
        <v>14783</v>
      </c>
      <c r="J5029" s="1" t="s">
        <v>1428</v>
      </c>
      <c r="K5029" s="1" t="s">
        <v>5811</v>
      </c>
      <c r="L5029" s="1" t="s">
        <v>5812</v>
      </c>
      <c r="M5029" s="1" t="s">
        <v>5820</v>
      </c>
      <c r="N5029" s="1" t="s">
        <v>15063</v>
      </c>
      <c r="O5029" s="1" t="s">
        <v>15064</v>
      </c>
      <c r="P5029" s="1" t="s">
        <v>15065</v>
      </c>
      <c r="Q5029" s="3">
        <v>1</v>
      </c>
      <c r="R5029" s="23" t="s">
        <v>11933</v>
      </c>
      <c r="S5029" s="23" t="s">
        <v>5849</v>
      </c>
      <c r="T5029" s="23" t="s">
        <v>4864</v>
      </c>
      <c r="U5029" s="3">
        <v>35</v>
      </c>
      <c r="V5029" s="3" t="s">
        <v>14816</v>
      </c>
      <c r="W5029" s="45" t="str">
        <f>HYPERLINK("http://ictvonline.org/taxonomy/p/taxonomy-history?taxnode_id=201907505","ICTVonline=201907505")</f>
        <v>ICTVonline=201907505</v>
      </c>
      <c r="X5029" s="1" t="s">
        <v>15066</v>
      </c>
      <c r="Y5029" s="1" t="s">
        <v>15067</v>
      </c>
      <c r="AA5029" s="1">
        <v>201900000</v>
      </c>
      <c r="AB5029" s="1">
        <v>35</v>
      </c>
    </row>
    <row r="5030" spans="1:28" x14ac:dyDescent="0.2">
      <c r="A5030" s="1">
        <v>13020</v>
      </c>
      <c r="B5030" s="1" t="s">
        <v>6839</v>
      </c>
      <c r="D5030" s="1" t="s">
        <v>11735</v>
      </c>
      <c r="F5030" s="1" t="s">
        <v>14661</v>
      </c>
      <c r="H5030" s="1" t="s">
        <v>14783</v>
      </c>
      <c r="J5030" s="1" t="s">
        <v>1428</v>
      </c>
      <c r="K5030" s="1" t="s">
        <v>5811</v>
      </c>
      <c r="L5030" s="1" t="s">
        <v>5812</v>
      </c>
      <c r="M5030" s="1" t="s">
        <v>5820</v>
      </c>
      <c r="N5030" s="1" t="s">
        <v>5824</v>
      </c>
      <c r="O5030" s="1" t="s">
        <v>5825</v>
      </c>
      <c r="P5030" s="1" t="s">
        <v>3581</v>
      </c>
      <c r="Q5030" s="3">
        <v>1</v>
      </c>
      <c r="R5030" s="23" t="s">
        <v>11933</v>
      </c>
      <c r="S5030" s="23" t="s">
        <v>5849</v>
      </c>
      <c r="T5030" s="23" t="s">
        <v>4866</v>
      </c>
      <c r="U5030" s="3">
        <v>35</v>
      </c>
      <c r="W5030" s="45" t="str">
        <f>HYPERLINK("http://ictvonline.org/taxonomy/p/taxonomy-history?taxnode_id=201901892","ICTVonline=201901892")</f>
        <v>ICTVonline=201901892</v>
      </c>
      <c r="X5030" s="1" t="s">
        <v>15068</v>
      </c>
      <c r="Y5030" s="1" t="s">
        <v>15069</v>
      </c>
      <c r="Z5030" s="1" t="s">
        <v>15070</v>
      </c>
      <c r="AA5030" s="1">
        <v>201900000</v>
      </c>
      <c r="AB5030" s="1">
        <v>35</v>
      </c>
    </row>
    <row r="5031" spans="1:28" x14ac:dyDescent="0.2">
      <c r="A5031" s="1">
        <v>13022</v>
      </c>
      <c r="B5031" s="1" t="s">
        <v>6839</v>
      </c>
      <c r="D5031" s="1" t="s">
        <v>11735</v>
      </c>
      <c r="F5031" s="1" t="s">
        <v>14661</v>
      </c>
      <c r="H5031" s="1" t="s">
        <v>14783</v>
      </c>
      <c r="J5031" s="1" t="s">
        <v>1428</v>
      </c>
      <c r="K5031" s="1" t="s">
        <v>5811</v>
      </c>
      <c r="L5031" s="1" t="s">
        <v>5812</v>
      </c>
      <c r="M5031" s="1" t="s">
        <v>5820</v>
      </c>
      <c r="N5031" s="1" t="s">
        <v>5824</v>
      </c>
      <c r="O5031" s="1" t="s">
        <v>5825</v>
      </c>
      <c r="P5031" s="1" t="s">
        <v>15071</v>
      </c>
      <c r="Q5031" s="3">
        <v>0</v>
      </c>
      <c r="R5031" s="23" t="s">
        <v>11933</v>
      </c>
      <c r="S5031" s="23" t="s">
        <v>5849</v>
      </c>
      <c r="T5031" s="23" t="s">
        <v>4864</v>
      </c>
      <c r="U5031" s="3">
        <v>35</v>
      </c>
      <c r="V5031" s="3" t="s">
        <v>14816</v>
      </c>
      <c r="W5031" s="45" t="str">
        <f>HYPERLINK("http://ictvonline.org/taxonomy/p/taxonomy-history?taxnode_id=201907508","ICTVonline=201907508")</f>
        <v>ICTVonline=201907508</v>
      </c>
      <c r="X5031" s="1" t="s">
        <v>15072</v>
      </c>
      <c r="Y5031" s="1" t="s">
        <v>15073</v>
      </c>
      <c r="AA5031" s="1">
        <v>201900000</v>
      </c>
      <c r="AB5031" s="1">
        <v>35</v>
      </c>
    </row>
    <row r="5032" spans="1:28" x14ac:dyDescent="0.2">
      <c r="A5032" s="1">
        <v>13026</v>
      </c>
      <c r="B5032" s="1" t="s">
        <v>6839</v>
      </c>
      <c r="D5032" s="1" t="s">
        <v>11735</v>
      </c>
      <c r="F5032" s="1" t="s">
        <v>14661</v>
      </c>
      <c r="H5032" s="1" t="s">
        <v>14783</v>
      </c>
      <c r="J5032" s="1" t="s">
        <v>1428</v>
      </c>
      <c r="K5032" s="1" t="s">
        <v>5811</v>
      </c>
      <c r="L5032" s="1" t="s">
        <v>5812</v>
      </c>
      <c r="M5032" s="1" t="s">
        <v>5820</v>
      </c>
      <c r="N5032" s="1" t="s">
        <v>5824</v>
      </c>
      <c r="O5032" s="1" t="s">
        <v>15074</v>
      </c>
      <c r="P5032" s="1" t="s">
        <v>15075</v>
      </c>
      <c r="Q5032" s="3">
        <v>0</v>
      </c>
      <c r="R5032" s="23" t="s">
        <v>11933</v>
      </c>
      <c r="S5032" s="23" t="s">
        <v>5849</v>
      </c>
      <c r="T5032" s="23" t="s">
        <v>4864</v>
      </c>
      <c r="U5032" s="3">
        <v>35</v>
      </c>
      <c r="V5032" s="3" t="s">
        <v>14816</v>
      </c>
      <c r="W5032" s="45" t="str">
        <f>HYPERLINK("http://ictvonline.org/taxonomy/p/taxonomy-history?taxnode_id=201907507","ICTVonline=201907507")</f>
        <v>ICTVonline=201907507</v>
      </c>
      <c r="X5032" s="1" t="s">
        <v>15076</v>
      </c>
      <c r="Y5032" s="1" t="s">
        <v>15077</v>
      </c>
      <c r="AA5032" s="1">
        <v>201900000</v>
      </c>
      <c r="AB5032" s="1">
        <v>35</v>
      </c>
    </row>
    <row r="5033" spans="1:28" x14ac:dyDescent="0.2">
      <c r="A5033" s="1">
        <v>13030</v>
      </c>
      <c r="B5033" s="1" t="s">
        <v>6839</v>
      </c>
      <c r="D5033" s="1" t="s">
        <v>11735</v>
      </c>
      <c r="F5033" s="1" t="s">
        <v>14661</v>
      </c>
      <c r="H5033" s="1" t="s">
        <v>14783</v>
      </c>
      <c r="J5033" s="1" t="s">
        <v>1428</v>
      </c>
      <c r="K5033" s="1" t="s">
        <v>5811</v>
      </c>
      <c r="L5033" s="1" t="s">
        <v>5812</v>
      </c>
      <c r="M5033" s="1" t="s">
        <v>5820</v>
      </c>
      <c r="N5033" s="1" t="s">
        <v>5824</v>
      </c>
      <c r="O5033" s="1" t="s">
        <v>5830</v>
      </c>
      <c r="P5033" s="1" t="s">
        <v>5831</v>
      </c>
      <c r="Q5033" s="3">
        <v>1</v>
      </c>
      <c r="R5033" s="23" t="s">
        <v>11933</v>
      </c>
      <c r="S5033" s="23" t="s">
        <v>5849</v>
      </c>
      <c r="T5033" s="23" t="s">
        <v>4866</v>
      </c>
      <c r="U5033" s="3">
        <v>35</v>
      </c>
      <c r="W5033" s="45" t="str">
        <f>HYPERLINK("http://ictvonline.org/taxonomy/p/taxonomy-history?taxnode_id=201906156","ICTVonline=201906156")</f>
        <v>ICTVonline=201906156</v>
      </c>
      <c r="X5033" s="1" t="s">
        <v>15078</v>
      </c>
      <c r="Y5033" s="1" t="s">
        <v>15079</v>
      </c>
      <c r="Z5033" s="1" t="s">
        <v>15080</v>
      </c>
      <c r="AA5033" s="1">
        <v>201900000</v>
      </c>
      <c r="AB5033" s="1">
        <v>35</v>
      </c>
    </row>
    <row r="5034" spans="1:28" x14ac:dyDescent="0.2">
      <c r="A5034" s="1">
        <v>13036</v>
      </c>
      <c r="B5034" s="1" t="s">
        <v>6839</v>
      </c>
      <c r="D5034" s="1" t="s">
        <v>11735</v>
      </c>
      <c r="F5034" s="1" t="s">
        <v>14661</v>
      </c>
      <c r="H5034" s="1" t="s">
        <v>14783</v>
      </c>
      <c r="J5034" s="1" t="s">
        <v>1428</v>
      </c>
      <c r="K5034" s="1" t="s">
        <v>5811</v>
      </c>
      <c r="L5034" s="1" t="s">
        <v>5812</v>
      </c>
      <c r="M5034" s="1" t="s">
        <v>5820</v>
      </c>
      <c r="N5034" s="1" t="s">
        <v>5827</v>
      </c>
      <c r="O5034" s="1" t="s">
        <v>5828</v>
      </c>
      <c r="P5034" s="1" t="s">
        <v>5829</v>
      </c>
      <c r="Q5034" s="3">
        <v>1</v>
      </c>
      <c r="R5034" s="23" t="s">
        <v>11933</v>
      </c>
      <c r="S5034" s="23" t="s">
        <v>5849</v>
      </c>
      <c r="T5034" s="23" t="s">
        <v>4866</v>
      </c>
      <c r="U5034" s="3">
        <v>35</v>
      </c>
      <c r="W5034" s="45" t="str">
        <f>HYPERLINK("http://ictvonline.org/taxonomy/p/taxonomy-history?taxnode_id=201906155","ICTVonline=201906155")</f>
        <v>ICTVonline=201906155</v>
      </c>
      <c r="X5034" s="1" t="s">
        <v>15081</v>
      </c>
      <c r="Y5034" s="1" t="s">
        <v>15082</v>
      </c>
      <c r="Z5034" s="1" t="s">
        <v>15083</v>
      </c>
      <c r="AA5034" s="1">
        <v>201900000</v>
      </c>
      <c r="AB5034" s="1">
        <v>35</v>
      </c>
    </row>
    <row r="5035" spans="1:28" x14ac:dyDescent="0.2">
      <c r="A5035" s="1">
        <v>13044</v>
      </c>
      <c r="B5035" s="1" t="s">
        <v>6839</v>
      </c>
      <c r="D5035" s="1" t="s">
        <v>11735</v>
      </c>
      <c r="F5035" s="1" t="s">
        <v>14661</v>
      </c>
      <c r="H5035" s="1" t="s">
        <v>14783</v>
      </c>
      <c r="J5035" s="1" t="s">
        <v>1428</v>
      </c>
      <c r="K5035" s="1" t="s">
        <v>5811</v>
      </c>
      <c r="L5035" s="1" t="s">
        <v>5812</v>
      </c>
      <c r="M5035" s="1" t="s">
        <v>431</v>
      </c>
      <c r="N5035" s="1" t="s">
        <v>1061</v>
      </c>
      <c r="O5035" s="1" t="s">
        <v>5832</v>
      </c>
      <c r="P5035" s="1" t="s">
        <v>1062</v>
      </c>
      <c r="Q5035" s="3">
        <v>0</v>
      </c>
      <c r="R5035" s="23" t="s">
        <v>11933</v>
      </c>
      <c r="S5035" s="23" t="s">
        <v>5849</v>
      </c>
      <c r="T5035" s="23" t="s">
        <v>4866</v>
      </c>
      <c r="U5035" s="3">
        <v>35</v>
      </c>
      <c r="W5035" s="45" t="str">
        <f>HYPERLINK("http://ictvonline.org/taxonomy/p/taxonomy-history?taxnode_id=201901887","ICTVonline=201901887")</f>
        <v>ICTVonline=201901887</v>
      </c>
      <c r="X5035" s="1" t="s">
        <v>15084</v>
      </c>
      <c r="Y5035" s="1" t="s">
        <v>15085</v>
      </c>
      <c r="AA5035" s="1">
        <v>201900000</v>
      </c>
      <c r="AB5035" s="1">
        <v>35</v>
      </c>
    </row>
    <row r="5036" spans="1:28" x14ac:dyDescent="0.2">
      <c r="A5036" s="1">
        <v>13046</v>
      </c>
      <c r="B5036" s="1" t="s">
        <v>6839</v>
      </c>
      <c r="D5036" s="1" t="s">
        <v>11735</v>
      </c>
      <c r="F5036" s="1" t="s">
        <v>14661</v>
      </c>
      <c r="H5036" s="1" t="s">
        <v>14783</v>
      </c>
      <c r="J5036" s="1" t="s">
        <v>1428</v>
      </c>
      <c r="K5036" s="1" t="s">
        <v>5811</v>
      </c>
      <c r="L5036" s="1" t="s">
        <v>5812</v>
      </c>
      <c r="M5036" s="1" t="s">
        <v>431</v>
      </c>
      <c r="N5036" s="1" t="s">
        <v>1061</v>
      </c>
      <c r="O5036" s="1" t="s">
        <v>5832</v>
      </c>
      <c r="P5036" s="1" t="s">
        <v>682</v>
      </c>
      <c r="Q5036" s="3">
        <v>1</v>
      </c>
      <c r="R5036" s="23" t="s">
        <v>11933</v>
      </c>
      <c r="S5036" s="23" t="s">
        <v>5849</v>
      </c>
      <c r="T5036" s="23" t="s">
        <v>4866</v>
      </c>
      <c r="U5036" s="3">
        <v>35</v>
      </c>
      <c r="W5036" s="45" t="str">
        <f>HYPERLINK("http://ictvonline.org/taxonomy/p/taxonomy-history?taxnode_id=201901888","ICTVonline=201901888")</f>
        <v>ICTVonline=201901888</v>
      </c>
      <c r="X5036" s="1" t="s">
        <v>15086</v>
      </c>
      <c r="Y5036" s="1" t="s">
        <v>15087</v>
      </c>
      <c r="AA5036" s="1">
        <v>201900000</v>
      </c>
      <c r="AB5036" s="1">
        <v>35</v>
      </c>
    </row>
    <row r="5037" spans="1:28" x14ac:dyDescent="0.2">
      <c r="A5037" s="1">
        <v>13048</v>
      </c>
      <c r="B5037" s="1" t="s">
        <v>6839</v>
      </c>
      <c r="D5037" s="1" t="s">
        <v>11735</v>
      </c>
      <c r="F5037" s="1" t="s">
        <v>14661</v>
      </c>
      <c r="H5037" s="1" t="s">
        <v>14783</v>
      </c>
      <c r="J5037" s="1" t="s">
        <v>1428</v>
      </c>
      <c r="K5037" s="1" t="s">
        <v>5811</v>
      </c>
      <c r="L5037" s="1" t="s">
        <v>5812</v>
      </c>
      <c r="M5037" s="1" t="s">
        <v>431</v>
      </c>
      <c r="N5037" s="1" t="s">
        <v>1061</v>
      </c>
      <c r="O5037" s="1" t="s">
        <v>5832</v>
      </c>
      <c r="P5037" s="1" t="s">
        <v>1063</v>
      </c>
      <c r="Q5037" s="3">
        <v>0</v>
      </c>
      <c r="R5037" s="23" t="s">
        <v>11933</v>
      </c>
      <c r="S5037" s="23" t="s">
        <v>5849</v>
      </c>
      <c r="T5037" s="23" t="s">
        <v>4866</v>
      </c>
      <c r="U5037" s="3">
        <v>35</v>
      </c>
      <c r="W5037" s="45" t="str">
        <f>HYPERLINK("http://ictvonline.org/taxonomy/p/taxonomy-history?taxnode_id=201901890","ICTVonline=201901890")</f>
        <v>ICTVonline=201901890</v>
      </c>
      <c r="X5037" s="1" t="s">
        <v>15088</v>
      </c>
      <c r="Y5037" s="1" t="s">
        <v>15089</v>
      </c>
      <c r="AA5037" s="1">
        <v>201900000</v>
      </c>
      <c r="AB5037" s="1">
        <v>35</v>
      </c>
    </row>
    <row r="5038" spans="1:28" x14ac:dyDescent="0.2">
      <c r="A5038" s="1">
        <v>13059</v>
      </c>
      <c r="B5038" s="1" t="s">
        <v>6839</v>
      </c>
      <c r="D5038" s="1" t="s">
        <v>11735</v>
      </c>
      <c r="F5038" s="1" t="s">
        <v>14661</v>
      </c>
      <c r="H5038" s="1" t="s">
        <v>14783</v>
      </c>
      <c r="J5038" s="1" t="s">
        <v>1067</v>
      </c>
      <c r="L5038" s="1" t="s">
        <v>1989</v>
      </c>
      <c r="N5038" s="1" t="s">
        <v>6699</v>
      </c>
      <c r="P5038" s="1" t="s">
        <v>6700</v>
      </c>
      <c r="Q5038" s="3">
        <v>1</v>
      </c>
      <c r="R5038" s="23" t="s">
        <v>11933</v>
      </c>
      <c r="S5038" s="23" t="s">
        <v>5849</v>
      </c>
      <c r="T5038" s="23" t="s">
        <v>4866</v>
      </c>
      <c r="U5038" s="3">
        <v>35</v>
      </c>
      <c r="W5038" s="45" t="str">
        <f>HYPERLINK("http://ictvonline.org/taxonomy/p/taxonomy-history?taxnode_id=201906495","ICTVonline=201906495")</f>
        <v>ICTVonline=201906495</v>
      </c>
      <c r="Y5038" s="1" t="s">
        <v>15090</v>
      </c>
      <c r="Z5038" s="1" t="s">
        <v>15091</v>
      </c>
      <c r="AA5038" s="1">
        <v>201900000</v>
      </c>
      <c r="AB5038" s="1">
        <v>35</v>
      </c>
    </row>
    <row r="5039" spans="1:28" x14ac:dyDescent="0.2">
      <c r="A5039" s="1">
        <v>13063</v>
      </c>
      <c r="B5039" s="1" t="s">
        <v>6839</v>
      </c>
      <c r="D5039" s="1" t="s">
        <v>11735</v>
      </c>
      <c r="F5039" s="1" t="s">
        <v>14661</v>
      </c>
      <c r="H5039" s="1" t="s">
        <v>14783</v>
      </c>
      <c r="J5039" s="1" t="s">
        <v>1067</v>
      </c>
      <c r="L5039" s="1" t="s">
        <v>1989</v>
      </c>
      <c r="N5039" s="1" t="s">
        <v>1990</v>
      </c>
      <c r="P5039" s="1" t="s">
        <v>1991</v>
      </c>
      <c r="Q5039" s="3">
        <v>0</v>
      </c>
      <c r="R5039" s="23" t="s">
        <v>11933</v>
      </c>
      <c r="S5039" s="23" t="s">
        <v>5849</v>
      </c>
      <c r="T5039" s="23" t="s">
        <v>4866</v>
      </c>
      <c r="U5039" s="3">
        <v>35</v>
      </c>
      <c r="W5039" s="45" t="str">
        <f>HYPERLINK("http://ictvonline.org/taxonomy/p/taxonomy-history?taxnode_id=201902801","ICTVonline=201902801")</f>
        <v>ICTVonline=201902801</v>
      </c>
      <c r="AA5039" s="1">
        <v>201900000</v>
      </c>
      <c r="AB5039" s="1">
        <v>35</v>
      </c>
    </row>
    <row r="5040" spans="1:28" x14ac:dyDescent="0.2">
      <c r="A5040" s="1">
        <v>13065</v>
      </c>
      <c r="B5040" s="1" t="s">
        <v>6839</v>
      </c>
      <c r="D5040" s="1" t="s">
        <v>11735</v>
      </c>
      <c r="F5040" s="1" t="s">
        <v>14661</v>
      </c>
      <c r="H5040" s="1" t="s">
        <v>14783</v>
      </c>
      <c r="J5040" s="1" t="s">
        <v>1067</v>
      </c>
      <c r="L5040" s="1" t="s">
        <v>1989</v>
      </c>
      <c r="N5040" s="1" t="s">
        <v>1990</v>
      </c>
      <c r="P5040" s="1" t="s">
        <v>1992</v>
      </c>
      <c r="Q5040" s="3">
        <v>1</v>
      </c>
      <c r="R5040" s="23" t="s">
        <v>11933</v>
      </c>
      <c r="S5040" s="23" t="s">
        <v>5849</v>
      </c>
      <c r="T5040" s="23" t="s">
        <v>4866</v>
      </c>
      <c r="U5040" s="3">
        <v>35</v>
      </c>
      <c r="W5040" s="45" t="str">
        <f>HYPERLINK("http://ictvonline.org/taxonomy/p/taxonomy-history?taxnode_id=201902802","ICTVonline=201902802")</f>
        <v>ICTVonline=201902802</v>
      </c>
      <c r="AA5040" s="1">
        <v>201900000</v>
      </c>
      <c r="AB5040" s="1">
        <v>35</v>
      </c>
    </row>
    <row r="5041" spans="1:28" x14ac:dyDescent="0.2">
      <c r="A5041" s="1">
        <v>13069</v>
      </c>
      <c r="B5041" s="1" t="s">
        <v>6839</v>
      </c>
      <c r="D5041" s="1" t="s">
        <v>11735</v>
      </c>
      <c r="F5041" s="1" t="s">
        <v>14661</v>
      </c>
      <c r="H5041" s="1" t="s">
        <v>14783</v>
      </c>
      <c r="J5041" s="1" t="s">
        <v>1067</v>
      </c>
      <c r="L5041" s="1" t="s">
        <v>1989</v>
      </c>
      <c r="N5041" s="1" t="s">
        <v>6701</v>
      </c>
      <c r="P5041" s="1" t="s">
        <v>6702</v>
      </c>
      <c r="Q5041" s="3">
        <v>1</v>
      </c>
      <c r="R5041" s="23" t="s">
        <v>11933</v>
      </c>
      <c r="S5041" s="23" t="s">
        <v>5849</v>
      </c>
      <c r="T5041" s="23" t="s">
        <v>4866</v>
      </c>
      <c r="U5041" s="3">
        <v>35</v>
      </c>
      <c r="W5041" s="45" t="str">
        <f>HYPERLINK("http://ictvonline.org/taxonomy/p/taxonomy-history?taxnode_id=201906497","ICTVonline=201906497")</f>
        <v>ICTVonline=201906497</v>
      </c>
      <c r="Y5041" s="1" t="s">
        <v>15092</v>
      </c>
      <c r="Z5041" s="1" t="s">
        <v>15093</v>
      </c>
      <c r="AA5041" s="1">
        <v>201900000</v>
      </c>
      <c r="AB5041" s="1">
        <v>35</v>
      </c>
    </row>
    <row r="5042" spans="1:28" x14ac:dyDescent="0.2">
      <c r="A5042" s="1">
        <v>13073</v>
      </c>
      <c r="B5042" s="1" t="s">
        <v>6839</v>
      </c>
      <c r="D5042" s="1" t="s">
        <v>11735</v>
      </c>
      <c r="F5042" s="1" t="s">
        <v>14661</v>
      </c>
      <c r="H5042" s="1" t="s">
        <v>14783</v>
      </c>
      <c r="J5042" s="1" t="s">
        <v>1067</v>
      </c>
      <c r="L5042" s="1" t="s">
        <v>1989</v>
      </c>
      <c r="N5042" s="1" t="s">
        <v>6703</v>
      </c>
      <c r="P5042" s="1" t="s">
        <v>6704</v>
      </c>
      <c r="Q5042" s="3">
        <v>1</v>
      </c>
      <c r="R5042" s="23" t="s">
        <v>11933</v>
      </c>
      <c r="S5042" s="23" t="s">
        <v>5849</v>
      </c>
      <c r="T5042" s="23" t="s">
        <v>4866</v>
      </c>
      <c r="U5042" s="3">
        <v>35</v>
      </c>
      <c r="W5042" s="45" t="str">
        <f>HYPERLINK("http://ictvonline.org/taxonomy/p/taxonomy-history?taxnode_id=201906499","ICTVonline=201906499")</f>
        <v>ICTVonline=201906499</v>
      </c>
      <c r="Y5042" s="1" t="s">
        <v>15094</v>
      </c>
      <c r="Z5042" s="1" t="s">
        <v>15095</v>
      </c>
      <c r="AA5042" s="1">
        <v>201900000</v>
      </c>
      <c r="AB5042" s="1">
        <v>35</v>
      </c>
    </row>
    <row r="5043" spans="1:28" x14ac:dyDescent="0.2">
      <c r="A5043" s="1">
        <v>13077</v>
      </c>
      <c r="B5043" s="1" t="s">
        <v>6839</v>
      </c>
      <c r="D5043" s="1" t="s">
        <v>11735</v>
      </c>
      <c r="F5043" s="1" t="s">
        <v>14661</v>
      </c>
      <c r="H5043" s="1" t="s">
        <v>14783</v>
      </c>
      <c r="J5043" s="1" t="s">
        <v>1067</v>
      </c>
      <c r="L5043" s="1" t="s">
        <v>1989</v>
      </c>
      <c r="N5043" s="1" t="s">
        <v>1828</v>
      </c>
      <c r="P5043" s="1" t="s">
        <v>5271</v>
      </c>
      <c r="Q5043" s="3">
        <v>1</v>
      </c>
      <c r="R5043" s="23" t="s">
        <v>11933</v>
      </c>
      <c r="S5043" s="23" t="s">
        <v>5849</v>
      </c>
      <c r="T5043" s="23" t="s">
        <v>4866</v>
      </c>
      <c r="U5043" s="3">
        <v>35</v>
      </c>
      <c r="W5043" s="45" t="str">
        <f>HYPERLINK("http://ictvonline.org/taxonomy/p/taxonomy-history?taxnode_id=201902804","ICTVonline=201902804")</f>
        <v>ICTVonline=201902804</v>
      </c>
      <c r="AA5043" s="1">
        <v>201900000</v>
      </c>
      <c r="AB5043" s="1">
        <v>35</v>
      </c>
    </row>
    <row r="5044" spans="1:28" x14ac:dyDescent="0.2">
      <c r="A5044" s="1">
        <v>13081</v>
      </c>
      <c r="B5044" s="1" t="s">
        <v>6839</v>
      </c>
      <c r="D5044" s="1" t="s">
        <v>11735</v>
      </c>
      <c r="F5044" s="1" t="s">
        <v>14661</v>
      </c>
      <c r="H5044" s="1" t="s">
        <v>14783</v>
      </c>
      <c r="J5044" s="1" t="s">
        <v>1067</v>
      </c>
      <c r="L5044" s="1" t="s">
        <v>1989</v>
      </c>
      <c r="N5044" s="1" t="s">
        <v>1993</v>
      </c>
      <c r="P5044" s="1" t="s">
        <v>1994</v>
      </c>
      <c r="Q5044" s="3">
        <v>1</v>
      </c>
      <c r="R5044" s="23" t="s">
        <v>11933</v>
      </c>
      <c r="S5044" s="23" t="s">
        <v>5849</v>
      </c>
      <c r="T5044" s="23" t="s">
        <v>4866</v>
      </c>
      <c r="U5044" s="3">
        <v>35</v>
      </c>
      <c r="W5044" s="45" t="str">
        <f>HYPERLINK("http://ictvonline.org/taxonomy/p/taxonomy-history?taxnode_id=201902806","ICTVonline=201902806")</f>
        <v>ICTVonline=201902806</v>
      </c>
      <c r="AA5044" s="1">
        <v>201900000</v>
      </c>
      <c r="AB5044" s="1">
        <v>35</v>
      </c>
    </row>
    <row r="5045" spans="1:28" x14ac:dyDescent="0.2">
      <c r="A5045" s="1">
        <v>13085</v>
      </c>
      <c r="B5045" s="1" t="s">
        <v>6839</v>
      </c>
      <c r="D5045" s="1" t="s">
        <v>11735</v>
      </c>
      <c r="F5045" s="1" t="s">
        <v>14661</v>
      </c>
      <c r="H5045" s="1" t="s">
        <v>14783</v>
      </c>
      <c r="J5045" s="1" t="s">
        <v>1067</v>
      </c>
      <c r="L5045" s="1" t="s">
        <v>1989</v>
      </c>
      <c r="N5045" s="1" t="s">
        <v>6705</v>
      </c>
      <c r="P5045" s="1" t="s">
        <v>6706</v>
      </c>
      <c r="Q5045" s="3">
        <v>1</v>
      </c>
      <c r="R5045" s="23" t="s">
        <v>11933</v>
      </c>
      <c r="S5045" s="23" t="s">
        <v>5849</v>
      </c>
      <c r="T5045" s="23" t="s">
        <v>4866</v>
      </c>
      <c r="U5045" s="3">
        <v>35</v>
      </c>
      <c r="W5045" s="45" t="str">
        <f>HYPERLINK("http://ictvonline.org/taxonomy/p/taxonomy-history?taxnode_id=201906501","ICTVonline=201906501")</f>
        <v>ICTVonline=201906501</v>
      </c>
      <c r="Y5045" s="1" t="s">
        <v>15096</v>
      </c>
      <c r="Z5045" s="1" t="s">
        <v>15097</v>
      </c>
      <c r="AA5045" s="1">
        <v>201900000</v>
      </c>
      <c r="AB5045" s="1">
        <v>35</v>
      </c>
    </row>
    <row r="5046" spans="1:28" x14ac:dyDescent="0.2">
      <c r="A5046" s="1">
        <v>13089</v>
      </c>
      <c r="B5046" s="1" t="s">
        <v>6839</v>
      </c>
      <c r="D5046" s="1" t="s">
        <v>11735</v>
      </c>
      <c r="F5046" s="1" t="s">
        <v>14661</v>
      </c>
      <c r="H5046" s="1" t="s">
        <v>14783</v>
      </c>
      <c r="J5046" s="1" t="s">
        <v>1067</v>
      </c>
      <c r="L5046" s="1" t="s">
        <v>1989</v>
      </c>
      <c r="N5046" s="1" t="s">
        <v>6707</v>
      </c>
      <c r="P5046" s="1" t="s">
        <v>6708</v>
      </c>
      <c r="Q5046" s="3">
        <v>1</v>
      </c>
      <c r="R5046" s="23" t="s">
        <v>11933</v>
      </c>
      <c r="S5046" s="23" t="s">
        <v>5849</v>
      </c>
      <c r="T5046" s="23" t="s">
        <v>4866</v>
      </c>
      <c r="U5046" s="3">
        <v>35</v>
      </c>
      <c r="W5046" s="45" t="str">
        <f>HYPERLINK("http://ictvonline.org/taxonomy/p/taxonomy-history?taxnode_id=201906503","ICTVonline=201906503")</f>
        <v>ICTVonline=201906503</v>
      </c>
      <c r="Y5046" s="1" t="s">
        <v>15098</v>
      </c>
      <c r="Z5046" s="1" t="s">
        <v>15099</v>
      </c>
      <c r="AA5046" s="1">
        <v>201900000</v>
      </c>
      <c r="AB5046" s="1">
        <v>35</v>
      </c>
    </row>
    <row r="5047" spans="1:28" x14ac:dyDescent="0.2">
      <c r="A5047" s="1">
        <v>13093</v>
      </c>
      <c r="B5047" s="1" t="s">
        <v>6839</v>
      </c>
      <c r="D5047" s="1" t="s">
        <v>11735</v>
      </c>
      <c r="F5047" s="1" t="s">
        <v>14661</v>
      </c>
      <c r="H5047" s="1" t="s">
        <v>14783</v>
      </c>
      <c r="J5047" s="1" t="s">
        <v>1067</v>
      </c>
      <c r="L5047" s="1" t="s">
        <v>1989</v>
      </c>
      <c r="N5047" s="1" t="s">
        <v>1995</v>
      </c>
      <c r="P5047" s="1" t="s">
        <v>1996</v>
      </c>
      <c r="Q5047" s="3">
        <v>1</v>
      </c>
      <c r="R5047" s="23" t="s">
        <v>11933</v>
      </c>
      <c r="S5047" s="23" t="s">
        <v>5849</v>
      </c>
      <c r="T5047" s="23" t="s">
        <v>4866</v>
      </c>
      <c r="U5047" s="3">
        <v>35</v>
      </c>
      <c r="W5047" s="45" t="str">
        <f>HYPERLINK("http://ictvonline.org/taxonomy/p/taxonomy-history?taxnode_id=201902808","ICTVonline=201902808")</f>
        <v>ICTVonline=201902808</v>
      </c>
      <c r="AA5047" s="1">
        <v>201900000</v>
      </c>
      <c r="AB5047" s="1">
        <v>35</v>
      </c>
    </row>
    <row r="5048" spans="1:28" x14ac:dyDescent="0.2">
      <c r="A5048" s="1">
        <v>13097</v>
      </c>
      <c r="B5048" s="1" t="s">
        <v>6839</v>
      </c>
      <c r="D5048" s="1" t="s">
        <v>11735</v>
      </c>
      <c r="F5048" s="1" t="s">
        <v>14661</v>
      </c>
      <c r="H5048" s="1" t="s">
        <v>14783</v>
      </c>
      <c r="J5048" s="1" t="s">
        <v>1067</v>
      </c>
      <c r="L5048" s="1" t="s">
        <v>1989</v>
      </c>
      <c r="N5048" s="1" t="s">
        <v>6709</v>
      </c>
      <c r="P5048" s="1" t="s">
        <v>6710</v>
      </c>
      <c r="Q5048" s="3">
        <v>1</v>
      </c>
      <c r="R5048" s="23" t="s">
        <v>11933</v>
      </c>
      <c r="S5048" s="23" t="s">
        <v>5849</v>
      </c>
      <c r="T5048" s="23" t="s">
        <v>4866</v>
      </c>
      <c r="U5048" s="3">
        <v>35</v>
      </c>
      <c r="W5048" s="45" t="str">
        <f>HYPERLINK("http://ictvonline.org/taxonomy/p/taxonomy-history?taxnode_id=201906505","ICTVonline=201906505")</f>
        <v>ICTVonline=201906505</v>
      </c>
      <c r="Y5048" s="1" t="s">
        <v>15100</v>
      </c>
      <c r="Z5048" s="1" t="s">
        <v>15101</v>
      </c>
      <c r="AA5048" s="1">
        <v>201900000</v>
      </c>
      <c r="AB5048" s="1">
        <v>35</v>
      </c>
    </row>
    <row r="5049" spans="1:28" x14ac:dyDescent="0.2">
      <c r="A5049" s="1">
        <v>13101</v>
      </c>
      <c r="B5049" s="1" t="s">
        <v>6839</v>
      </c>
      <c r="D5049" s="1" t="s">
        <v>11735</v>
      </c>
      <c r="F5049" s="1" t="s">
        <v>14661</v>
      </c>
      <c r="H5049" s="1" t="s">
        <v>14783</v>
      </c>
      <c r="J5049" s="1" t="s">
        <v>1067</v>
      </c>
      <c r="L5049" s="1" t="s">
        <v>1989</v>
      </c>
      <c r="N5049" s="1" t="s">
        <v>1997</v>
      </c>
      <c r="P5049" s="1" t="s">
        <v>1998</v>
      </c>
      <c r="Q5049" s="3">
        <v>0</v>
      </c>
      <c r="R5049" s="23" t="s">
        <v>11933</v>
      </c>
      <c r="S5049" s="23" t="s">
        <v>5849</v>
      </c>
      <c r="T5049" s="23" t="s">
        <v>4866</v>
      </c>
      <c r="U5049" s="3">
        <v>35</v>
      </c>
      <c r="W5049" s="45" t="str">
        <f>HYPERLINK("http://ictvonline.org/taxonomy/p/taxonomy-history?taxnode_id=201902810","ICTVonline=201902810")</f>
        <v>ICTVonline=201902810</v>
      </c>
      <c r="AA5049" s="1">
        <v>201900000</v>
      </c>
      <c r="AB5049" s="1">
        <v>35</v>
      </c>
    </row>
    <row r="5050" spans="1:28" x14ac:dyDescent="0.2">
      <c r="A5050" s="1">
        <v>13103</v>
      </c>
      <c r="B5050" s="1" t="s">
        <v>6839</v>
      </c>
      <c r="D5050" s="1" t="s">
        <v>11735</v>
      </c>
      <c r="F5050" s="1" t="s">
        <v>14661</v>
      </c>
      <c r="H5050" s="1" t="s">
        <v>14783</v>
      </c>
      <c r="J5050" s="1" t="s">
        <v>1067</v>
      </c>
      <c r="L5050" s="1" t="s">
        <v>1989</v>
      </c>
      <c r="N5050" s="1" t="s">
        <v>1997</v>
      </c>
      <c r="P5050" s="1" t="s">
        <v>1999</v>
      </c>
      <c r="Q5050" s="3">
        <v>1</v>
      </c>
      <c r="R5050" s="23" t="s">
        <v>11933</v>
      </c>
      <c r="S5050" s="23" t="s">
        <v>5849</v>
      </c>
      <c r="T5050" s="23" t="s">
        <v>4866</v>
      </c>
      <c r="U5050" s="3">
        <v>35</v>
      </c>
      <c r="W5050" s="45" t="str">
        <f>HYPERLINK("http://ictvonline.org/taxonomy/p/taxonomy-history?taxnode_id=201902811","ICTVonline=201902811")</f>
        <v>ICTVonline=201902811</v>
      </c>
      <c r="AA5050" s="1">
        <v>201900000</v>
      </c>
      <c r="AB5050" s="1">
        <v>35</v>
      </c>
    </row>
    <row r="5051" spans="1:28" x14ac:dyDescent="0.2">
      <c r="A5051" s="1">
        <v>13109</v>
      </c>
      <c r="B5051" s="1" t="s">
        <v>6839</v>
      </c>
      <c r="D5051" s="1" t="s">
        <v>11735</v>
      </c>
      <c r="F5051" s="1" t="s">
        <v>14661</v>
      </c>
      <c r="H5051" s="1" t="s">
        <v>14783</v>
      </c>
      <c r="J5051" s="1" t="s">
        <v>1067</v>
      </c>
      <c r="L5051" s="1" t="s">
        <v>1028</v>
      </c>
      <c r="N5051" s="1" t="s">
        <v>1351</v>
      </c>
      <c r="P5051" s="1" t="s">
        <v>1025</v>
      </c>
      <c r="Q5051" s="3">
        <v>1</v>
      </c>
      <c r="R5051" s="23" t="s">
        <v>11933</v>
      </c>
      <c r="S5051" s="23" t="s">
        <v>5849</v>
      </c>
      <c r="T5051" s="23" t="s">
        <v>4866</v>
      </c>
      <c r="U5051" s="3">
        <v>35</v>
      </c>
      <c r="W5051" s="45" t="str">
        <f>HYPERLINK("http://ictvonline.org/taxonomy/p/taxonomy-history?taxnode_id=201901914","ICTVonline=201901914")</f>
        <v>ICTVonline=201901914</v>
      </c>
      <c r="AA5051" s="1">
        <v>201900000</v>
      </c>
      <c r="AB5051" s="1">
        <v>35</v>
      </c>
    </row>
    <row r="5052" spans="1:28" x14ac:dyDescent="0.2">
      <c r="A5052" s="1">
        <v>13111</v>
      </c>
      <c r="B5052" s="1" t="s">
        <v>6839</v>
      </c>
      <c r="D5052" s="1" t="s">
        <v>11735</v>
      </c>
      <c r="F5052" s="1" t="s">
        <v>14661</v>
      </c>
      <c r="H5052" s="1" t="s">
        <v>14783</v>
      </c>
      <c r="J5052" s="1" t="s">
        <v>1067</v>
      </c>
      <c r="L5052" s="1" t="s">
        <v>1028</v>
      </c>
      <c r="N5052" s="1" t="s">
        <v>1351</v>
      </c>
      <c r="P5052" s="1" t="s">
        <v>1352</v>
      </c>
      <c r="Q5052" s="3">
        <v>0</v>
      </c>
      <c r="R5052" s="23" t="s">
        <v>11933</v>
      </c>
      <c r="S5052" s="23" t="s">
        <v>5849</v>
      </c>
      <c r="T5052" s="23" t="s">
        <v>4866</v>
      </c>
      <c r="U5052" s="3">
        <v>35</v>
      </c>
      <c r="W5052" s="45" t="str">
        <f>HYPERLINK("http://ictvonline.org/taxonomy/p/taxonomy-history?taxnode_id=201901915","ICTVonline=201901915")</f>
        <v>ICTVonline=201901915</v>
      </c>
      <c r="AA5052" s="1">
        <v>201900000</v>
      </c>
      <c r="AB5052" s="1">
        <v>35</v>
      </c>
    </row>
    <row r="5053" spans="1:28" x14ac:dyDescent="0.2">
      <c r="A5053" s="1">
        <v>13113</v>
      </c>
      <c r="B5053" s="1" t="s">
        <v>6839</v>
      </c>
      <c r="D5053" s="1" t="s">
        <v>11735</v>
      </c>
      <c r="F5053" s="1" t="s">
        <v>14661</v>
      </c>
      <c r="H5053" s="1" t="s">
        <v>14783</v>
      </c>
      <c r="J5053" s="1" t="s">
        <v>1067</v>
      </c>
      <c r="L5053" s="1" t="s">
        <v>1028</v>
      </c>
      <c r="N5053" s="1" t="s">
        <v>1351</v>
      </c>
      <c r="P5053" s="1" t="s">
        <v>1026</v>
      </c>
      <c r="Q5053" s="3">
        <v>0</v>
      </c>
      <c r="R5053" s="23" t="s">
        <v>11933</v>
      </c>
      <c r="S5053" s="23" t="s">
        <v>5849</v>
      </c>
      <c r="T5053" s="23" t="s">
        <v>4866</v>
      </c>
      <c r="U5053" s="3">
        <v>35</v>
      </c>
      <c r="W5053" s="45" t="str">
        <f>HYPERLINK("http://ictvonline.org/taxonomy/p/taxonomy-history?taxnode_id=201901916","ICTVonline=201901916")</f>
        <v>ICTVonline=201901916</v>
      </c>
      <c r="AA5053" s="1">
        <v>201900000</v>
      </c>
      <c r="AB5053" s="1">
        <v>35</v>
      </c>
    </row>
    <row r="5054" spans="1:28" x14ac:dyDescent="0.2">
      <c r="A5054" s="1">
        <v>13115</v>
      </c>
      <c r="B5054" s="1" t="s">
        <v>6839</v>
      </c>
      <c r="D5054" s="1" t="s">
        <v>11735</v>
      </c>
      <c r="F5054" s="1" t="s">
        <v>14661</v>
      </c>
      <c r="H5054" s="1" t="s">
        <v>14783</v>
      </c>
      <c r="J5054" s="1" t="s">
        <v>1067</v>
      </c>
      <c r="L5054" s="1" t="s">
        <v>1028</v>
      </c>
      <c r="N5054" s="1" t="s">
        <v>1351</v>
      </c>
      <c r="P5054" s="1" t="s">
        <v>2</v>
      </c>
      <c r="Q5054" s="3">
        <v>0</v>
      </c>
      <c r="R5054" s="23" t="s">
        <v>11933</v>
      </c>
      <c r="S5054" s="23" t="s">
        <v>5849</v>
      </c>
      <c r="T5054" s="23" t="s">
        <v>4866</v>
      </c>
      <c r="U5054" s="3">
        <v>35</v>
      </c>
      <c r="W5054" s="45" t="str">
        <f>HYPERLINK("http://ictvonline.org/taxonomy/p/taxonomy-history?taxnode_id=201901917","ICTVonline=201901917")</f>
        <v>ICTVonline=201901917</v>
      </c>
      <c r="AA5054" s="1">
        <v>201900000</v>
      </c>
      <c r="AB5054" s="1">
        <v>35</v>
      </c>
    </row>
    <row r="5055" spans="1:28" x14ac:dyDescent="0.2">
      <c r="A5055" s="1">
        <v>13117</v>
      </c>
      <c r="B5055" s="1" t="s">
        <v>6839</v>
      </c>
      <c r="D5055" s="1" t="s">
        <v>11735</v>
      </c>
      <c r="F5055" s="1" t="s">
        <v>14661</v>
      </c>
      <c r="H5055" s="1" t="s">
        <v>14783</v>
      </c>
      <c r="J5055" s="1" t="s">
        <v>1067</v>
      </c>
      <c r="L5055" s="1" t="s">
        <v>1028</v>
      </c>
      <c r="N5055" s="1" t="s">
        <v>1351</v>
      </c>
      <c r="P5055" s="1" t="s">
        <v>5081</v>
      </c>
      <c r="Q5055" s="3">
        <v>0</v>
      </c>
      <c r="R5055" s="23" t="s">
        <v>11933</v>
      </c>
      <c r="S5055" s="23" t="s">
        <v>5849</v>
      </c>
      <c r="T5055" s="23" t="s">
        <v>4866</v>
      </c>
      <c r="U5055" s="3">
        <v>35</v>
      </c>
      <c r="W5055" s="45" t="str">
        <f>HYPERLINK("http://ictvonline.org/taxonomy/p/taxonomy-history?taxnode_id=201901918","ICTVonline=201901918")</f>
        <v>ICTVonline=201901918</v>
      </c>
      <c r="AA5055" s="1">
        <v>201900000</v>
      </c>
      <c r="AB5055" s="1">
        <v>35</v>
      </c>
    </row>
    <row r="5056" spans="1:28" x14ac:dyDescent="0.2">
      <c r="A5056" s="1">
        <v>13119</v>
      </c>
      <c r="B5056" s="1" t="s">
        <v>6839</v>
      </c>
      <c r="D5056" s="1" t="s">
        <v>11735</v>
      </c>
      <c r="F5056" s="1" t="s">
        <v>14661</v>
      </c>
      <c r="H5056" s="1" t="s">
        <v>14783</v>
      </c>
      <c r="J5056" s="1" t="s">
        <v>1067</v>
      </c>
      <c r="L5056" s="1" t="s">
        <v>1028</v>
      </c>
      <c r="N5056" s="1" t="s">
        <v>1351</v>
      </c>
      <c r="P5056" s="1" t="s">
        <v>1027</v>
      </c>
      <c r="Q5056" s="3">
        <v>0</v>
      </c>
      <c r="R5056" s="23" t="s">
        <v>11933</v>
      </c>
      <c r="S5056" s="23" t="s">
        <v>5849</v>
      </c>
      <c r="T5056" s="23" t="s">
        <v>4866</v>
      </c>
      <c r="U5056" s="3">
        <v>35</v>
      </c>
      <c r="W5056" s="45" t="str">
        <f>HYPERLINK("http://ictvonline.org/taxonomy/p/taxonomy-history?taxnode_id=201901919","ICTVonline=201901919")</f>
        <v>ICTVonline=201901919</v>
      </c>
      <c r="AA5056" s="1">
        <v>201900000</v>
      </c>
      <c r="AB5056" s="1">
        <v>35</v>
      </c>
    </row>
    <row r="5057" spans="1:28" x14ac:dyDescent="0.2">
      <c r="A5057" s="1">
        <v>13123</v>
      </c>
      <c r="B5057" s="1" t="s">
        <v>6839</v>
      </c>
      <c r="D5057" s="1" t="s">
        <v>11735</v>
      </c>
      <c r="F5057" s="1" t="s">
        <v>14661</v>
      </c>
      <c r="H5057" s="1" t="s">
        <v>14783</v>
      </c>
      <c r="J5057" s="1" t="s">
        <v>1067</v>
      </c>
      <c r="L5057" s="1" t="s">
        <v>1028</v>
      </c>
      <c r="N5057" s="1" t="s">
        <v>1029</v>
      </c>
      <c r="P5057" s="1" t="s">
        <v>1030</v>
      </c>
      <c r="Q5057" s="3">
        <v>0</v>
      </c>
      <c r="R5057" s="23" t="s">
        <v>11933</v>
      </c>
      <c r="S5057" s="23" t="s">
        <v>5849</v>
      </c>
      <c r="T5057" s="23" t="s">
        <v>4866</v>
      </c>
      <c r="U5057" s="3">
        <v>35</v>
      </c>
      <c r="W5057" s="45" t="str">
        <f>HYPERLINK("http://ictvonline.org/taxonomy/p/taxonomy-history?taxnode_id=201901921","ICTVonline=201901921")</f>
        <v>ICTVonline=201901921</v>
      </c>
      <c r="AA5057" s="1">
        <v>201900000</v>
      </c>
      <c r="AB5057" s="1">
        <v>35</v>
      </c>
    </row>
    <row r="5058" spans="1:28" x14ac:dyDescent="0.2">
      <c r="A5058" s="1">
        <v>13125</v>
      </c>
      <c r="B5058" s="1" t="s">
        <v>6839</v>
      </c>
      <c r="D5058" s="1" t="s">
        <v>11735</v>
      </c>
      <c r="F5058" s="1" t="s">
        <v>14661</v>
      </c>
      <c r="H5058" s="1" t="s">
        <v>14783</v>
      </c>
      <c r="J5058" s="1" t="s">
        <v>1067</v>
      </c>
      <c r="L5058" s="1" t="s">
        <v>1028</v>
      </c>
      <c r="N5058" s="1" t="s">
        <v>1029</v>
      </c>
      <c r="P5058" s="1" t="s">
        <v>1032</v>
      </c>
      <c r="Q5058" s="3">
        <v>1</v>
      </c>
      <c r="R5058" s="23" t="s">
        <v>11933</v>
      </c>
      <c r="S5058" s="23" t="s">
        <v>5849</v>
      </c>
      <c r="T5058" s="23" t="s">
        <v>4866</v>
      </c>
      <c r="U5058" s="3">
        <v>35</v>
      </c>
      <c r="W5058" s="45" t="str">
        <f>HYPERLINK("http://ictvonline.org/taxonomy/p/taxonomy-history?taxnode_id=201901922","ICTVonline=201901922")</f>
        <v>ICTVonline=201901922</v>
      </c>
      <c r="AA5058" s="1">
        <v>201900000</v>
      </c>
      <c r="AB5058" s="1">
        <v>35</v>
      </c>
    </row>
    <row r="5059" spans="1:28" x14ac:dyDescent="0.2">
      <c r="A5059" s="1">
        <v>13127</v>
      </c>
      <c r="B5059" s="1" t="s">
        <v>6839</v>
      </c>
      <c r="D5059" s="1" t="s">
        <v>11735</v>
      </c>
      <c r="F5059" s="1" t="s">
        <v>14661</v>
      </c>
      <c r="H5059" s="1" t="s">
        <v>14783</v>
      </c>
      <c r="J5059" s="1" t="s">
        <v>1067</v>
      </c>
      <c r="L5059" s="1" t="s">
        <v>1028</v>
      </c>
      <c r="N5059" s="1" t="s">
        <v>1029</v>
      </c>
      <c r="P5059" s="1" t="s">
        <v>1033</v>
      </c>
      <c r="Q5059" s="3">
        <v>0</v>
      </c>
      <c r="R5059" s="23" t="s">
        <v>11933</v>
      </c>
      <c r="S5059" s="23" t="s">
        <v>5849</v>
      </c>
      <c r="T5059" s="23" t="s">
        <v>4866</v>
      </c>
      <c r="U5059" s="3">
        <v>35</v>
      </c>
      <c r="W5059" s="45" t="str">
        <f>HYPERLINK("http://ictvonline.org/taxonomy/p/taxonomy-history?taxnode_id=201901923","ICTVonline=201901923")</f>
        <v>ICTVonline=201901923</v>
      </c>
      <c r="AA5059" s="1">
        <v>201900000</v>
      </c>
      <c r="AB5059" s="1">
        <v>35</v>
      </c>
    </row>
    <row r="5060" spans="1:28" x14ac:dyDescent="0.2">
      <c r="A5060" s="1">
        <v>13129</v>
      </c>
      <c r="B5060" s="1" t="s">
        <v>6839</v>
      </c>
      <c r="D5060" s="1" t="s">
        <v>11735</v>
      </c>
      <c r="F5060" s="1" t="s">
        <v>14661</v>
      </c>
      <c r="H5060" s="1" t="s">
        <v>14783</v>
      </c>
      <c r="J5060" s="1" t="s">
        <v>1067</v>
      </c>
      <c r="L5060" s="1" t="s">
        <v>1028</v>
      </c>
      <c r="N5060" s="1" t="s">
        <v>1029</v>
      </c>
      <c r="P5060" s="1" t="s">
        <v>1035</v>
      </c>
      <c r="Q5060" s="3">
        <v>0</v>
      </c>
      <c r="R5060" s="23" t="s">
        <v>11933</v>
      </c>
      <c r="S5060" s="23" t="s">
        <v>5849</v>
      </c>
      <c r="T5060" s="23" t="s">
        <v>4866</v>
      </c>
      <c r="U5060" s="3">
        <v>35</v>
      </c>
      <c r="W5060" s="45" t="str">
        <f>HYPERLINK("http://ictvonline.org/taxonomy/p/taxonomy-history?taxnode_id=201901924","ICTVonline=201901924")</f>
        <v>ICTVonline=201901924</v>
      </c>
      <c r="AA5060" s="1">
        <v>201900000</v>
      </c>
      <c r="AB5060" s="1">
        <v>35</v>
      </c>
    </row>
    <row r="5061" spans="1:28" x14ac:dyDescent="0.2">
      <c r="A5061" s="1">
        <v>13133</v>
      </c>
      <c r="B5061" s="1" t="s">
        <v>6839</v>
      </c>
      <c r="D5061" s="1" t="s">
        <v>11735</v>
      </c>
      <c r="F5061" s="1" t="s">
        <v>14661</v>
      </c>
      <c r="H5061" s="1" t="s">
        <v>14783</v>
      </c>
      <c r="J5061" s="1" t="s">
        <v>1067</v>
      </c>
      <c r="L5061" s="1" t="s">
        <v>1028</v>
      </c>
      <c r="N5061" s="1" t="s">
        <v>3586</v>
      </c>
      <c r="P5061" s="1" t="s">
        <v>1031</v>
      </c>
      <c r="Q5061" s="3">
        <v>0</v>
      </c>
      <c r="R5061" s="23" t="s">
        <v>11933</v>
      </c>
      <c r="S5061" s="23" t="s">
        <v>5849</v>
      </c>
      <c r="T5061" s="23" t="s">
        <v>4866</v>
      </c>
      <c r="U5061" s="3">
        <v>35</v>
      </c>
      <c r="W5061" s="45" t="str">
        <f>HYPERLINK("http://ictvonline.org/taxonomy/p/taxonomy-history?taxnode_id=201901926","ICTVonline=201901926")</f>
        <v>ICTVonline=201901926</v>
      </c>
      <c r="AA5061" s="1">
        <v>201900000</v>
      </c>
      <c r="AB5061" s="1">
        <v>35</v>
      </c>
    </row>
    <row r="5062" spans="1:28" x14ac:dyDescent="0.2">
      <c r="A5062" s="1">
        <v>13135</v>
      </c>
      <c r="B5062" s="1" t="s">
        <v>6839</v>
      </c>
      <c r="D5062" s="1" t="s">
        <v>11735</v>
      </c>
      <c r="F5062" s="1" t="s">
        <v>14661</v>
      </c>
      <c r="H5062" s="1" t="s">
        <v>14783</v>
      </c>
      <c r="J5062" s="1" t="s">
        <v>1067</v>
      </c>
      <c r="L5062" s="1" t="s">
        <v>1028</v>
      </c>
      <c r="N5062" s="1" t="s">
        <v>3586</v>
      </c>
      <c r="P5062" s="1" t="s">
        <v>1422</v>
      </c>
      <c r="Q5062" s="3">
        <v>0</v>
      </c>
      <c r="R5062" s="23" t="s">
        <v>11933</v>
      </c>
      <c r="S5062" s="23" t="s">
        <v>5849</v>
      </c>
      <c r="T5062" s="23" t="s">
        <v>4866</v>
      </c>
      <c r="U5062" s="3">
        <v>35</v>
      </c>
      <c r="W5062" s="45" t="str">
        <f>HYPERLINK("http://ictvonline.org/taxonomy/p/taxonomy-history?taxnode_id=201901927","ICTVonline=201901927")</f>
        <v>ICTVonline=201901927</v>
      </c>
      <c r="AA5062" s="1">
        <v>201900000</v>
      </c>
      <c r="AB5062" s="1">
        <v>35</v>
      </c>
    </row>
    <row r="5063" spans="1:28" x14ac:dyDescent="0.2">
      <c r="A5063" s="1">
        <v>13137</v>
      </c>
      <c r="B5063" s="1" t="s">
        <v>6839</v>
      </c>
      <c r="D5063" s="1" t="s">
        <v>11735</v>
      </c>
      <c r="F5063" s="1" t="s">
        <v>14661</v>
      </c>
      <c r="H5063" s="1" t="s">
        <v>14783</v>
      </c>
      <c r="J5063" s="1" t="s">
        <v>1067</v>
      </c>
      <c r="L5063" s="1" t="s">
        <v>1028</v>
      </c>
      <c r="N5063" s="1" t="s">
        <v>3586</v>
      </c>
      <c r="P5063" s="1" t="s">
        <v>5082</v>
      </c>
      <c r="Q5063" s="3">
        <v>0</v>
      </c>
      <c r="R5063" s="23" t="s">
        <v>11933</v>
      </c>
      <c r="S5063" s="23" t="s">
        <v>5849</v>
      </c>
      <c r="T5063" s="23" t="s">
        <v>4866</v>
      </c>
      <c r="U5063" s="3">
        <v>35</v>
      </c>
      <c r="W5063" s="45" t="str">
        <f>HYPERLINK("http://ictvonline.org/taxonomy/p/taxonomy-history?taxnode_id=201901928","ICTVonline=201901928")</f>
        <v>ICTVonline=201901928</v>
      </c>
      <c r="AA5063" s="1">
        <v>201900000</v>
      </c>
      <c r="AB5063" s="1">
        <v>35</v>
      </c>
    </row>
    <row r="5064" spans="1:28" x14ac:dyDescent="0.2">
      <c r="A5064" s="1">
        <v>13139</v>
      </c>
      <c r="B5064" s="1" t="s">
        <v>6839</v>
      </c>
      <c r="D5064" s="1" t="s">
        <v>11735</v>
      </c>
      <c r="F5064" s="1" t="s">
        <v>14661</v>
      </c>
      <c r="H5064" s="1" t="s">
        <v>14783</v>
      </c>
      <c r="J5064" s="1" t="s">
        <v>1067</v>
      </c>
      <c r="L5064" s="1" t="s">
        <v>1028</v>
      </c>
      <c r="N5064" s="1" t="s">
        <v>3586</v>
      </c>
      <c r="P5064" s="1" t="s">
        <v>1034</v>
      </c>
      <c r="Q5064" s="3">
        <v>0</v>
      </c>
      <c r="R5064" s="23" t="s">
        <v>11933</v>
      </c>
      <c r="S5064" s="23" t="s">
        <v>5849</v>
      </c>
      <c r="T5064" s="23" t="s">
        <v>4866</v>
      </c>
      <c r="U5064" s="3">
        <v>35</v>
      </c>
      <c r="W5064" s="45" t="str">
        <f>HYPERLINK("http://ictvonline.org/taxonomy/p/taxonomy-history?taxnode_id=201901929","ICTVonline=201901929")</f>
        <v>ICTVonline=201901929</v>
      </c>
      <c r="AA5064" s="1">
        <v>201900000</v>
      </c>
      <c r="AB5064" s="1">
        <v>35</v>
      </c>
    </row>
    <row r="5065" spans="1:28" x14ac:dyDescent="0.2">
      <c r="A5065" s="1">
        <v>13141</v>
      </c>
      <c r="B5065" s="1" t="s">
        <v>6839</v>
      </c>
      <c r="D5065" s="1" t="s">
        <v>11735</v>
      </c>
      <c r="F5065" s="1" t="s">
        <v>14661</v>
      </c>
      <c r="H5065" s="1" t="s">
        <v>14783</v>
      </c>
      <c r="J5065" s="1" t="s">
        <v>1067</v>
      </c>
      <c r="L5065" s="1" t="s">
        <v>1028</v>
      </c>
      <c r="N5065" s="1" t="s">
        <v>3586</v>
      </c>
      <c r="P5065" s="1" t="s">
        <v>1024</v>
      </c>
      <c r="Q5065" s="3">
        <v>1</v>
      </c>
      <c r="R5065" s="23" t="s">
        <v>11933</v>
      </c>
      <c r="S5065" s="23" t="s">
        <v>5849</v>
      </c>
      <c r="T5065" s="23" t="s">
        <v>4866</v>
      </c>
      <c r="U5065" s="3">
        <v>35</v>
      </c>
      <c r="W5065" s="45" t="str">
        <f>HYPERLINK("http://ictvonline.org/taxonomy/p/taxonomy-history?taxnode_id=201901930","ICTVonline=201901930")</f>
        <v>ICTVonline=201901930</v>
      </c>
      <c r="AA5065" s="1">
        <v>201900000</v>
      </c>
      <c r="AB5065" s="1">
        <v>35</v>
      </c>
    </row>
    <row r="5066" spans="1:28" x14ac:dyDescent="0.2">
      <c r="A5066" s="1">
        <v>13147</v>
      </c>
      <c r="B5066" s="1" t="s">
        <v>6839</v>
      </c>
      <c r="D5066" s="1" t="s">
        <v>11735</v>
      </c>
      <c r="F5066" s="1" t="s">
        <v>14661</v>
      </c>
      <c r="H5066" s="1" t="s">
        <v>14783</v>
      </c>
      <c r="J5066" s="1" t="s">
        <v>1067</v>
      </c>
      <c r="L5066" s="1" t="s">
        <v>1102</v>
      </c>
      <c r="N5066" s="1" t="s">
        <v>1103</v>
      </c>
      <c r="P5066" s="1" t="s">
        <v>3587</v>
      </c>
      <c r="Q5066" s="3">
        <v>0</v>
      </c>
      <c r="R5066" s="23" t="s">
        <v>11933</v>
      </c>
      <c r="S5066" s="23" t="s">
        <v>5849</v>
      </c>
      <c r="T5066" s="23" t="s">
        <v>4866</v>
      </c>
      <c r="U5066" s="3">
        <v>35</v>
      </c>
      <c r="W5066" s="45" t="str">
        <f>HYPERLINK("http://ictvonline.org/taxonomy/p/taxonomy-history?taxnode_id=201901934","ICTVonline=201901934")</f>
        <v>ICTVonline=201901934</v>
      </c>
      <c r="Y5066" s="1" t="s">
        <v>15102</v>
      </c>
      <c r="Z5066" s="1" t="s">
        <v>15103</v>
      </c>
      <c r="AA5066" s="1">
        <v>201900000</v>
      </c>
      <c r="AB5066" s="1">
        <v>35</v>
      </c>
    </row>
    <row r="5067" spans="1:28" x14ac:dyDescent="0.2">
      <c r="A5067" s="1">
        <v>13149</v>
      </c>
      <c r="B5067" s="1" t="s">
        <v>6839</v>
      </c>
      <c r="D5067" s="1" t="s">
        <v>11735</v>
      </c>
      <c r="F5067" s="1" t="s">
        <v>14661</v>
      </c>
      <c r="H5067" s="1" t="s">
        <v>14783</v>
      </c>
      <c r="J5067" s="1" t="s">
        <v>1067</v>
      </c>
      <c r="L5067" s="1" t="s">
        <v>1102</v>
      </c>
      <c r="N5067" s="1" t="s">
        <v>1103</v>
      </c>
      <c r="P5067" s="1" t="s">
        <v>4521</v>
      </c>
      <c r="Q5067" s="3">
        <v>0</v>
      </c>
      <c r="R5067" s="23" t="s">
        <v>11933</v>
      </c>
      <c r="S5067" s="23" t="s">
        <v>5849</v>
      </c>
      <c r="T5067" s="23" t="s">
        <v>4866</v>
      </c>
      <c r="U5067" s="3">
        <v>35</v>
      </c>
      <c r="W5067" s="45" t="str">
        <f>HYPERLINK("http://ictvonline.org/taxonomy/p/taxonomy-history?taxnode_id=201901935","ICTVonline=201901935")</f>
        <v>ICTVonline=201901935</v>
      </c>
      <c r="Y5067" s="1" t="s">
        <v>15104</v>
      </c>
      <c r="Z5067" s="1" t="s">
        <v>15105</v>
      </c>
      <c r="AA5067" s="1">
        <v>201900000</v>
      </c>
      <c r="AB5067" s="1">
        <v>35</v>
      </c>
    </row>
    <row r="5068" spans="1:28" x14ac:dyDescent="0.2">
      <c r="A5068" s="1">
        <v>13151</v>
      </c>
      <c r="B5068" s="1" t="s">
        <v>6839</v>
      </c>
      <c r="D5068" s="1" t="s">
        <v>11735</v>
      </c>
      <c r="F5068" s="1" t="s">
        <v>14661</v>
      </c>
      <c r="H5068" s="1" t="s">
        <v>14783</v>
      </c>
      <c r="J5068" s="1" t="s">
        <v>1067</v>
      </c>
      <c r="L5068" s="1" t="s">
        <v>1102</v>
      </c>
      <c r="N5068" s="1" t="s">
        <v>1103</v>
      </c>
      <c r="P5068" s="1" t="s">
        <v>1104</v>
      </c>
      <c r="Q5068" s="3">
        <v>0</v>
      </c>
      <c r="R5068" s="23" t="s">
        <v>11933</v>
      </c>
      <c r="S5068" s="23" t="s">
        <v>5849</v>
      </c>
      <c r="T5068" s="23" t="s">
        <v>4866</v>
      </c>
      <c r="U5068" s="3">
        <v>35</v>
      </c>
      <c r="W5068" s="45" t="str">
        <f>HYPERLINK("http://ictvonline.org/taxonomy/p/taxonomy-history?taxnode_id=201901936","ICTVonline=201901936")</f>
        <v>ICTVonline=201901936</v>
      </c>
      <c r="AA5068" s="1">
        <v>201900000</v>
      </c>
      <c r="AB5068" s="1">
        <v>35</v>
      </c>
    </row>
    <row r="5069" spans="1:28" x14ac:dyDescent="0.2">
      <c r="A5069" s="1">
        <v>13153</v>
      </c>
      <c r="B5069" s="1" t="s">
        <v>6839</v>
      </c>
      <c r="D5069" s="1" t="s">
        <v>11735</v>
      </c>
      <c r="F5069" s="1" t="s">
        <v>14661</v>
      </c>
      <c r="H5069" s="1" t="s">
        <v>14783</v>
      </c>
      <c r="J5069" s="1" t="s">
        <v>1067</v>
      </c>
      <c r="L5069" s="1" t="s">
        <v>1102</v>
      </c>
      <c r="N5069" s="1" t="s">
        <v>1103</v>
      </c>
      <c r="P5069" s="1" t="s">
        <v>3588</v>
      </c>
      <c r="Q5069" s="3">
        <v>0</v>
      </c>
      <c r="R5069" s="23" t="s">
        <v>11933</v>
      </c>
      <c r="S5069" s="23" t="s">
        <v>5849</v>
      </c>
      <c r="T5069" s="23" t="s">
        <v>4866</v>
      </c>
      <c r="U5069" s="3">
        <v>35</v>
      </c>
      <c r="W5069" s="45" t="str">
        <f>HYPERLINK("http://ictvonline.org/taxonomy/p/taxonomy-history?taxnode_id=201901937","ICTVonline=201901937")</f>
        <v>ICTVonline=201901937</v>
      </c>
      <c r="Y5069" s="1" t="s">
        <v>15106</v>
      </c>
      <c r="Z5069" s="1" t="s">
        <v>15107</v>
      </c>
      <c r="AA5069" s="1">
        <v>201900000</v>
      </c>
      <c r="AB5069" s="1">
        <v>35</v>
      </c>
    </row>
    <row r="5070" spans="1:28" x14ac:dyDescent="0.2">
      <c r="A5070" s="1">
        <v>13155</v>
      </c>
      <c r="B5070" s="1" t="s">
        <v>6839</v>
      </c>
      <c r="D5070" s="1" t="s">
        <v>11735</v>
      </c>
      <c r="F5070" s="1" t="s">
        <v>14661</v>
      </c>
      <c r="H5070" s="1" t="s">
        <v>14783</v>
      </c>
      <c r="J5070" s="1" t="s">
        <v>1067</v>
      </c>
      <c r="L5070" s="1" t="s">
        <v>1102</v>
      </c>
      <c r="N5070" s="1" t="s">
        <v>1103</v>
      </c>
      <c r="P5070" s="1" t="s">
        <v>1105</v>
      </c>
      <c r="Q5070" s="3">
        <v>0</v>
      </c>
      <c r="R5070" s="23" t="s">
        <v>11933</v>
      </c>
      <c r="S5070" s="23" t="s">
        <v>5849</v>
      </c>
      <c r="T5070" s="23" t="s">
        <v>4866</v>
      </c>
      <c r="U5070" s="3">
        <v>35</v>
      </c>
      <c r="W5070" s="45" t="str">
        <f>HYPERLINK("http://ictvonline.org/taxonomy/p/taxonomy-history?taxnode_id=201901938","ICTVonline=201901938")</f>
        <v>ICTVonline=201901938</v>
      </c>
      <c r="AA5070" s="1">
        <v>201900000</v>
      </c>
      <c r="AB5070" s="1">
        <v>35</v>
      </c>
    </row>
    <row r="5071" spans="1:28" x14ac:dyDescent="0.2">
      <c r="A5071" s="1">
        <v>13157</v>
      </c>
      <c r="B5071" s="1" t="s">
        <v>6839</v>
      </c>
      <c r="D5071" s="1" t="s">
        <v>11735</v>
      </c>
      <c r="F5071" s="1" t="s">
        <v>14661</v>
      </c>
      <c r="H5071" s="1" t="s">
        <v>14783</v>
      </c>
      <c r="J5071" s="1" t="s">
        <v>1067</v>
      </c>
      <c r="L5071" s="1" t="s">
        <v>1102</v>
      </c>
      <c r="N5071" s="1" t="s">
        <v>1103</v>
      </c>
      <c r="P5071" s="1" t="s">
        <v>1106</v>
      </c>
      <c r="Q5071" s="3">
        <v>1</v>
      </c>
      <c r="R5071" s="23" t="s">
        <v>11933</v>
      </c>
      <c r="S5071" s="23" t="s">
        <v>5849</v>
      </c>
      <c r="T5071" s="23" t="s">
        <v>4866</v>
      </c>
      <c r="U5071" s="3">
        <v>35</v>
      </c>
      <c r="W5071" s="45" t="str">
        <f>HYPERLINK("http://ictvonline.org/taxonomy/p/taxonomy-history?taxnode_id=201901939","ICTVonline=201901939")</f>
        <v>ICTVonline=201901939</v>
      </c>
      <c r="AA5071" s="1">
        <v>201900000</v>
      </c>
      <c r="AB5071" s="1">
        <v>35</v>
      </c>
    </row>
    <row r="5072" spans="1:28" x14ac:dyDescent="0.2">
      <c r="A5072" s="1">
        <v>13159</v>
      </c>
      <c r="B5072" s="1" t="s">
        <v>6839</v>
      </c>
      <c r="D5072" s="1" t="s">
        <v>11735</v>
      </c>
      <c r="F5072" s="1" t="s">
        <v>14661</v>
      </c>
      <c r="H5072" s="1" t="s">
        <v>14783</v>
      </c>
      <c r="J5072" s="1" t="s">
        <v>1067</v>
      </c>
      <c r="L5072" s="1" t="s">
        <v>1102</v>
      </c>
      <c r="N5072" s="1" t="s">
        <v>1103</v>
      </c>
      <c r="P5072" s="1" t="s">
        <v>2288</v>
      </c>
      <c r="Q5072" s="3">
        <v>0</v>
      </c>
      <c r="R5072" s="23" t="s">
        <v>11933</v>
      </c>
      <c r="S5072" s="23" t="s">
        <v>5849</v>
      </c>
      <c r="T5072" s="23" t="s">
        <v>4866</v>
      </c>
      <c r="U5072" s="3">
        <v>35</v>
      </c>
      <c r="W5072" s="45" t="str">
        <f>HYPERLINK("http://ictvonline.org/taxonomy/p/taxonomy-history?taxnode_id=201901940","ICTVonline=201901940")</f>
        <v>ICTVonline=201901940</v>
      </c>
      <c r="AA5072" s="1">
        <v>201900000</v>
      </c>
      <c r="AB5072" s="1">
        <v>35</v>
      </c>
    </row>
    <row r="5073" spans="1:28" x14ac:dyDescent="0.2">
      <c r="A5073" s="1">
        <v>13161</v>
      </c>
      <c r="B5073" s="1" t="s">
        <v>6839</v>
      </c>
      <c r="D5073" s="1" t="s">
        <v>11735</v>
      </c>
      <c r="F5073" s="1" t="s">
        <v>14661</v>
      </c>
      <c r="H5073" s="1" t="s">
        <v>14783</v>
      </c>
      <c r="J5073" s="1" t="s">
        <v>1067</v>
      </c>
      <c r="L5073" s="1" t="s">
        <v>1102</v>
      </c>
      <c r="N5073" s="1" t="s">
        <v>1103</v>
      </c>
      <c r="P5073" s="1" t="s">
        <v>3589</v>
      </c>
      <c r="Q5073" s="3">
        <v>0</v>
      </c>
      <c r="R5073" s="23" t="s">
        <v>11933</v>
      </c>
      <c r="S5073" s="23" t="s">
        <v>5849</v>
      </c>
      <c r="T5073" s="23" t="s">
        <v>4866</v>
      </c>
      <c r="U5073" s="3">
        <v>35</v>
      </c>
      <c r="W5073" s="45" t="str">
        <f>HYPERLINK("http://ictvonline.org/taxonomy/p/taxonomy-history?taxnode_id=201901941","ICTVonline=201901941")</f>
        <v>ICTVonline=201901941</v>
      </c>
      <c r="Y5073" s="1" t="s">
        <v>15108</v>
      </c>
      <c r="Z5073" s="1" t="s">
        <v>15109</v>
      </c>
      <c r="AA5073" s="1">
        <v>201900000</v>
      </c>
      <c r="AB5073" s="1">
        <v>35</v>
      </c>
    </row>
    <row r="5074" spans="1:28" x14ac:dyDescent="0.2">
      <c r="A5074" s="1">
        <v>13163</v>
      </c>
      <c r="B5074" s="1" t="s">
        <v>6839</v>
      </c>
      <c r="D5074" s="1" t="s">
        <v>11735</v>
      </c>
      <c r="F5074" s="1" t="s">
        <v>14661</v>
      </c>
      <c r="H5074" s="1" t="s">
        <v>14783</v>
      </c>
      <c r="J5074" s="1" t="s">
        <v>1067</v>
      </c>
      <c r="L5074" s="1" t="s">
        <v>1102</v>
      </c>
      <c r="N5074" s="1" t="s">
        <v>1103</v>
      </c>
      <c r="P5074" s="1" t="s">
        <v>2289</v>
      </c>
      <c r="Q5074" s="3">
        <v>0</v>
      </c>
      <c r="R5074" s="23" t="s">
        <v>11933</v>
      </c>
      <c r="S5074" s="23" t="s">
        <v>5849</v>
      </c>
      <c r="T5074" s="23" t="s">
        <v>4866</v>
      </c>
      <c r="U5074" s="3">
        <v>35</v>
      </c>
      <c r="W5074" s="45" t="str">
        <f>HYPERLINK("http://ictvonline.org/taxonomy/p/taxonomy-history?taxnode_id=201901942","ICTVonline=201901942")</f>
        <v>ICTVonline=201901942</v>
      </c>
      <c r="AA5074" s="1">
        <v>201900000</v>
      </c>
      <c r="AB5074" s="1">
        <v>35</v>
      </c>
    </row>
    <row r="5075" spans="1:28" x14ac:dyDescent="0.2">
      <c r="A5075" s="1">
        <v>13165</v>
      </c>
      <c r="B5075" s="1" t="s">
        <v>6839</v>
      </c>
      <c r="D5075" s="1" t="s">
        <v>11735</v>
      </c>
      <c r="F5075" s="1" t="s">
        <v>14661</v>
      </c>
      <c r="H5075" s="1" t="s">
        <v>14783</v>
      </c>
      <c r="J5075" s="1" t="s">
        <v>1067</v>
      </c>
      <c r="L5075" s="1" t="s">
        <v>1102</v>
      </c>
      <c r="N5075" s="1" t="s">
        <v>1103</v>
      </c>
      <c r="P5075" s="1" t="s">
        <v>1107</v>
      </c>
      <c r="Q5075" s="3">
        <v>0</v>
      </c>
      <c r="R5075" s="23" t="s">
        <v>11933</v>
      </c>
      <c r="S5075" s="23" t="s">
        <v>5849</v>
      </c>
      <c r="T5075" s="23" t="s">
        <v>4866</v>
      </c>
      <c r="U5075" s="3">
        <v>35</v>
      </c>
      <c r="W5075" s="45" t="str">
        <f>HYPERLINK("http://ictvonline.org/taxonomy/p/taxonomy-history?taxnode_id=201901943","ICTVonline=201901943")</f>
        <v>ICTVonline=201901943</v>
      </c>
      <c r="AA5075" s="1">
        <v>201900000</v>
      </c>
      <c r="AB5075" s="1">
        <v>35</v>
      </c>
    </row>
    <row r="5076" spans="1:28" x14ac:dyDescent="0.2">
      <c r="A5076" s="1">
        <v>13167</v>
      </c>
      <c r="B5076" s="1" t="s">
        <v>6839</v>
      </c>
      <c r="D5076" s="1" t="s">
        <v>11735</v>
      </c>
      <c r="F5076" s="1" t="s">
        <v>14661</v>
      </c>
      <c r="H5076" s="1" t="s">
        <v>14783</v>
      </c>
      <c r="J5076" s="1" t="s">
        <v>1067</v>
      </c>
      <c r="L5076" s="1" t="s">
        <v>1102</v>
      </c>
      <c r="N5076" s="1" t="s">
        <v>1103</v>
      </c>
      <c r="P5076" s="1" t="s">
        <v>1108</v>
      </c>
      <c r="Q5076" s="3">
        <v>0</v>
      </c>
      <c r="R5076" s="23" t="s">
        <v>11933</v>
      </c>
      <c r="S5076" s="23" t="s">
        <v>5849</v>
      </c>
      <c r="T5076" s="23" t="s">
        <v>4866</v>
      </c>
      <c r="U5076" s="3">
        <v>35</v>
      </c>
      <c r="W5076" s="45" t="str">
        <f>HYPERLINK("http://ictvonline.org/taxonomy/p/taxonomy-history?taxnode_id=201901944","ICTVonline=201901944")</f>
        <v>ICTVonline=201901944</v>
      </c>
      <c r="AA5076" s="1">
        <v>201900000</v>
      </c>
      <c r="AB5076" s="1">
        <v>35</v>
      </c>
    </row>
    <row r="5077" spans="1:28" x14ac:dyDescent="0.2">
      <c r="A5077" s="1">
        <v>13169</v>
      </c>
      <c r="B5077" s="1" t="s">
        <v>6839</v>
      </c>
      <c r="D5077" s="1" t="s">
        <v>11735</v>
      </c>
      <c r="F5077" s="1" t="s">
        <v>14661</v>
      </c>
      <c r="H5077" s="1" t="s">
        <v>14783</v>
      </c>
      <c r="J5077" s="1" t="s">
        <v>1067</v>
      </c>
      <c r="L5077" s="1" t="s">
        <v>1102</v>
      </c>
      <c r="N5077" s="1" t="s">
        <v>1103</v>
      </c>
      <c r="P5077" s="1" t="s">
        <v>3</v>
      </c>
      <c r="Q5077" s="3">
        <v>0</v>
      </c>
      <c r="R5077" s="23" t="s">
        <v>11933</v>
      </c>
      <c r="S5077" s="23" t="s">
        <v>5849</v>
      </c>
      <c r="T5077" s="23" t="s">
        <v>4866</v>
      </c>
      <c r="U5077" s="3">
        <v>35</v>
      </c>
      <c r="W5077" s="45" t="str">
        <f>HYPERLINK("http://ictvonline.org/taxonomy/p/taxonomy-history?taxnode_id=201901945","ICTVonline=201901945")</f>
        <v>ICTVonline=201901945</v>
      </c>
      <c r="AA5077" s="1">
        <v>201900000</v>
      </c>
      <c r="AB5077" s="1">
        <v>35</v>
      </c>
    </row>
    <row r="5078" spans="1:28" x14ac:dyDescent="0.2">
      <c r="A5078" s="1">
        <v>13171</v>
      </c>
      <c r="B5078" s="1" t="s">
        <v>6839</v>
      </c>
      <c r="D5078" s="1" t="s">
        <v>11735</v>
      </c>
      <c r="F5078" s="1" t="s">
        <v>14661</v>
      </c>
      <c r="H5078" s="1" t="s">
        <v>14783</v>
      </c>
      <c r="J5078" s="1" t="s">
        <v>1067</v>
      </c>
      <c r="L5078" s="1" t="s">
        <v>1102</v>
      </c>
      <c r="N5078" s="1" t="s">
        <v>1103</v>
      </c>
      <c r="P5078" s="1" t="s">
        <v>3590</v>
      </c>
      <c r="Q5078" s="3">
        <v>0</v>
      </c>
      <c r="R5078" s="23" t="s">
        <v>11933</v>
      </c>
      <c r="S5078" s="23" t="s">
        <v>5849</v>
      </c>
      <c r="T5078" s="23" t="s">
        <v>4866</v>
      </c>
      <c r="U5078" s="3">
        <v>35</v>
      </c>
      <c r="W5078" s="45" t="str">
        <f>HYPERLINK("http://ictvonline.org/taxonomy/p/taxonomy-history?taxnode_id=201901946","ICTVonline=201901946")</f>
        <v>ICTVonline=201901946</v>
      </c>
      <c r="Y5078" s="1" t="s">
        <v>15110</v>
      </c>
      <c r="Z5078" s="1" t="s">
        <v>15111</v>
      </c>
      <c r="AA5078" s="1">
        <v>201900000</v>
      </c>
      <c r="AB5078" s="1">
        <v>35</v>
      </c>
    </row>
    <row r="5079" spans="1:28" x14ac:dyDescent="0.2">
      <c r="A5079" s="1">
        <v>13173</v>
      </c>
      <c r="B5079" s="1" t="s">
        <v>6839</v>
      </c>
      <c r="D5079" s="1" t="s">
        <v>11735</v>
      </c>
      <c r="F5079" s="1" t="s">
        <v>14661</v>
      </c>
      <c r="H5079" s="1" t="s">
        <v>14783</v>
      </c>
      <c r="J5079" s="1" t="s">
        <v>1067</v>
      </c>
      <c r="L5079" s="1" t="s">
        <v>1102</v>
      </c>
      <c r="N5079" s="1" t="s">
        <v>1103</v>
      </c>
      <c r="P5079" s="1" t="s">
        <v>3591</v>
      </c>
      <c r="Q5079" s="3">
        <v>0</v>
      </c>
      <c r="R5079" s="23" t="s">
        <v>11933</v>
      </c>
      <c r="S5079" s="23" t="s">
        <v>5849</v>
      </c>
      <c r="T5079" s="23" t="s">
        <v>4866</v>
      </c>
      <c r="U5079" s="3">
        <v>35</v>
      </c>
      <c r="W5079" s="45" t="str">
        <f>HYPERLINK("http://ictvonline.org/taxonomy/p/taxonomy-history?taxnode_id=201901947","ICTVonline=201901947")</f>
        <v>ICTVonline=201901947</v>
      </c>
      <c r="Y5079" s="1" t="s">
        <v>15112</v>
      </c>
      <c r="Z5079" s="1" t="s">
        <v>15113</v>
      </c>
      <c r="AA5079" s="1">
        <v>201900000</v>
      </c>
      <c r="AB5079" s="1">
        <v>35</v>
      </c>
    </row>
    <row r="5080" spans="1:28" x14ac:dyDescent="0.2">
      <c r="A5080" s="1">
        <v>13175</v>
      </c>
      <c r="B5080" s="1" t="s">
        <v>6839</v>
      </c>
      <c r="D5080" s="1" t="s">
        <v>11735</v>
      </c>
      <c r="F5080" s="1" t="s">
        <v>14661</v>
      </c>
      <c r="H5080" s="1" t="s">
        <v>14783</v>
      </c>
      <c r="J5080" s="1" t="s">
        <v>1067</v>
      </c>
      <c r="L5080" s="1" t="s">
        <v>1102</v>
      </c>
      <c r="N5080" s="1" t="s">
        <v>1103</v>
      </c>
      <c r="P5080" s="1" t="s">
        <v>5083</v>
      </c>
      <c r="Q5080" s="3">
        <v>0</v>
      </c>
      <c r="R5080" s="23" t="s">
        <v>11933</v>
      </c>
      <c r="S5080" s="23" t="s">
        <v>5849</v>
      </c>
      <c r="T5080" s="23" t="s">
        <v>4866</v>
      </c>
      <c r="U5080" s="3">
        <v>35</v>
      </c>
      <c r="W5080" s="45" t="str">
        <f>HYPERLINK("http://ictvonline.org/taxonomy/p/taxonomy-history?taxnode_id=201901948","ICTVonline=201901948")</f>
        <v>ICTVonline=201901948</v>
      </c>
      <c r="AA5080" s="1">
        <v>201900000</v>
      </c>
      <c r="AB5080" s="1">
        <v>35</v>
      </c>
    </row>
    <row r="5081" spans="1:28" x14ac:dyDescent="0.2">
      <c r="A5081" s="1">
        <v>13181</v>
      </c>
      <c r="B5081" s="1" t="s">
        <v>6839</v>
      </c>
      <c r="D5081" s="1" t="s">
        <v>11735</v>
      </c>
      <c r="F5081" s="1" t="s">
        <v>14661</v>
      </c>
      <c r="H5081" s="1" t="s">
        <v>14783</v>
      </c>
      <c r="J5081" s="1" t="s">
        <v>1067</v>
      </c>
      <c r="L5081" s="1" t="s">
        <v>1109</v>
      </c>
      <c r="N5081" s="1" t="s">
        <v>6</v>
      </c>
      <c r="P5081" s="1" t="s">
        <v>5127</v>
      </c>
      <c r="Q5081" s="3">
        <v>0</v>
      </c>
      <c r="R5081" s="23" t="s">
        <v>11933</v>
      </c>
      <c r="S5081" s="23" t="s">
        <v>5849</v>
      </c>
      <c r="T5081" s="23" t="s">
        <v>4866</v>
      </c>
      <c r="U5081" s="3">
        <v>35</v>
      </c>
      <c r="W5081" s="45" t="str">
        <f>HYPERLINK("http://ictvonline.org/taxonomy/p/taxonomy-history?taxnode_id=201902166","ICTVonline=201902166")</f>
        <v>ICTVonline=201902166</v>
      </c>
      <c r="Y5081" s="1" t="s">
        <v>15114</v>
      </c>
      <c r="Z5081" s="1" t="s">
        <v>15115</v>
      </c>
      <c r="AA5081" s="1">
        <v>201900000</v>
      </c>
      <c r="AB5081" s="1">
        <v>35</v>
      </c>
    </row>
    <row r="5082" spans="1:28" x14ac:dyDescent="0.2">
      <c r="A5082" s="1">
        <v>13183</v>
      </c>
      <c r="B5082" s="1" t="s">
        <v>6839</v>
      </c>
      <c r="D5082" s="1" t="s">
        <v>11735</v>
      </c>
      <c r="F5082" s="1" t="s">
        <v>14661</v>
      </c>
      <c r="H5082" s="1" t="s">
        <v>14783</v>
      </c>
      <c r="J5082" s="1" t="s">
        <v>1067</v>
      </c>
      <c r="L5082" s="1" t="s">
        <v>1109</v>
      </c>
      <c r="N5082" s="1" t="s">
        <v>6</v>
      </c>
      <c r="P5082" s="1" t="s">
        <v>7</v>
      </c>
      <c r="Q5082" s="3">
        <v>0</v>
      </c>
      <c r="R5082" s="23" t="s">
        <v>11933</v>
      </c>
      <c r="S5082" s="23" t="s">
        <v>5849</v>
      </c>
      <c r="T5082" s="23" t="s">
        <v>4866</v>
      </c>
      <c r="U5082" s="3">
        <v>35</v>
      </c>
      <c r="W5082" s="45" t="str">
        <f>HYPERLINK("http://ictvonline.org/taxonomy/p/taxonomy-history?taxnode_id=201902167","ICTVonline=201902167")</f>
        <v>ICTVonline=201902167</v>
      </c>
      <c r="Y5082" s="1" t="s">
        <v>15116</v>
      </c>
      <c r="Z5082" s="1" t="s">
        <v>15117</v>
      </c>
      <c r="AA5082" s="1">
        <v>201900000</v>
      </c>
      <c r="AB5082" s="1">
        <v>35</v>
      </c>
    </row>
    <row r="5083" spans="1:28" x14ac:dyDescent="0.2">
      <c r="A5083" s="1">
        <v>13185</v>
      </c>
      <c r="B5083" s="1" t="s">
        <v>6839</v>
      </c>
      <c r="D5083" s="1" t="s">
        <v>11735</v>
      </c>
      <c r="F5083" s="1" t="s">
        <v>14661</v>
      </c>
      <c r="H5083" s="1" t="s">
        <v>14783</v>
      </c>
      <c r="J5083" s="1" t="s">
        <v>1067</v>
      </c>
      <c r="L5083" s="1" t="s">
        <v>1109</v>
      </c>
      <c r="N5083" s="1" t="s">
        <v>6</v>
      </c>
      <c r="P5083" s="1" t="s">
        <v>8</v>
      </c>
      <c r="Q5083" s="3">
        <v>1</v>
      </c>
      <c r="R5083" s="23" t="s">
        <v>11933</v>
      </c>
      <c r="S5083" s="23" t="s">
        <v>5849</v>
      </c>
      <c r="T5083" s="23" t="s">
        <v>4866</v>
      </c>
      <c r="U5083" s="3">
        <v>35</v>
      </c>
      <c r="W5083" s="45" t="str">
        <f>HYPERLINK("http://ictvonline.org/taxonomy/p/taxonomy-history?taxnode_id=201902168","ICTVonline=201902168")</f>
        <v>ICTVonline=201902168</v>
      </c>
      <c r="Y5083" s="1" t="s">
        <v>15118</v>
      </c>
      <c r="Z5083" s="1" t="s">
        <v>15119</v>
      </c>
      <c r="AA5083" s="1">
        <v>201900000</v>
      </c>
      <c r="AB5083" s="1">
        <v>35</v>
      </c>
    </row>
    <row r="5084" spans="1:28" x14ac:dyDescent="0.2">
      <c r="A5084" s="1">
        <v>13189</v>
      </c>
      <c r="B5084" s="1" t="s">
        <v>6839</v>
      </c>
      <c r="D5084" s="1" t="s">
        <v>11735</v>
      </c>
      <c r="F5084" s="1" t="s">
        <v>14661</v>
      </c>
      <c r="H5084" s="1" t="s">
        <v>14783</v>
      </c>
      <c r="J5084" s="1" t="s">
        <v>1067</v>
      </c>
      <c r="L5084" s="1" t="s">
        <v>1109</v>
      </c>
      <c r="N5084" s="1" t="s">
        <v>6608</v>
      </c>
      <c r="P5084" s="1" t="s">
        <v>6609</v>
      </c>
      <c r="Q5084" s="3">
        <v>1</v>
      </c>
      <c r="R5084" s="23" t="s">
        <v>11933</v>
      </c>
      <c r="S5084" s="23" t="s">
        <v>5849</v>
      </c>
      <c r="T5084" s="23" t="s">
        <v>4866</v>
      </c>
      <c r="U5084" s="3">
        <v>35</v>
      </c>
      <c r="W5084" s="45" t="str">
        <f>HYPERLINK("http://ictvonline.org/taxonomy/p/taxonomy-history?taxnode_id=201906540","ICTVonline=201906540")</f>
        <v>ICTVonline=201906540</v>
      </c>
      <c r="X5084" s="1" t="s">
        <v>15120</v>
      </c>
      <c r="Y5084" s="1" t="s">
        <v>15121</v>
      </c>
      <c r="Z5084" s="1" t="s">
        <v>15122</v>
      </c>
      <c r="AA5084" s="1">
        <v>201900000</v>
      </c>
      <c r="AB5084" s="1">
        <v>35</v>
      </c>
    </row>
    <row r="5085" spans="1:28" x14ac:dyDescent="0.2">
      <c r="A5085" s="1">
        <v>13193</v>
      </c>
      <c r="B5085" s="1" t="s">
        <v>6839</v>
      </c>
      <c r="D5085" s="1" t="s">
        <v>11735</v>
      </c>
      <c r="F5085" s="1" t="s">
        <v>14661</v>
      </c>
      <c r="H5085" s="1" t="s">
        <v>14783</v>
      </c>
      <c r="J5085" s="1" t="s">
        <v>1067</v>
      </c>
      <c r="L5085" s="1" t="s">
        <v>1109</v>
      </c>
      <c r="N5085" s="1" t="s">
        <v>9</v>
      </c>
      <c r="P5085" s="1" t="s">
        <v>10</v>
      </c>
      <c r="Q5085" s="3">
        <v>1</v>
      </c>
      <c r="R5085" s="23" t="s">
        <v>11933</v>
      </c>
      <c r="S5085" s="23" t="s">
        <v>5849</v>
      </c>
      <c r="T5085" s="23" t="s">
        <v>4866</v>
      </c>
      <c r="U5085" s="3">
        <v>35</v>
      </c>
      <c r="W5085" s="45" t="str">
        <f>HYPERLINK("http://ictvonline.org/taxonomy/p/taxonomy-history?taxnode_id=201902170","ICTVonline=201902170")</f>
        <v>ICTVonline=201902170</v>
      </c>
      <c r="Y5085" s="1" t="s">
        <v>15123</v>
      </c>
      <c r="Z5085" s="1" t="s">
        <v>15124</v>
      </c>
      <c r="AA5085" s="1">
        <v>201900000</v>
      </c>
      <c r="AB5085" s="1">
        <v>35</v>
      </c>
    </row>
    <row r="5086" spans="1:28" x14ac:dyDescent="0.2">
      <c r="A5086" s="1">
        <v>13197</v>
      </c>
      <c r="B5086" s="1" t="s">
        <v>6839</v>
      </c>
      <c r="D5086" s="1" t="s">
        <v>11735</v>
      </c>
      <c r="F5086" s="1" t="s">
        <v>14661</v>
      </c>
      <c r="H5086" s="1" t="s">
        <v>14783</v>
      </c>
      <c r="J5086" s="1" t="s">
        <v>1067</v>
      </c>
      <c r="L5086" s="1" t="s">
        <v>1109</v>
      </c>
      <c r="N5086" s="1" t="s">
        <v>6610</v>
      </c>
      <c r="P5086" s="1" t="s">
        <v>6611</v>
      </c>
      <c r="Q5086" s="3">
        <v>1</v>
      </c>
      <c r="R5086" s="23" t="s">
        <v>11933</v>
      </c>
      <c r="S5086" s="23" t="s">
        <v>5849</v>
      </c>
      <c r="T5086" s="23" t="s">
        <v>4866</v>
      </c>
      <c r="U5086" s="3">
        <v>35</v>
      </c>
      <c r="W5086" s="45" t="str">
        <f>HYPERLINK("http://ictvonline.org/taxonomy/p/taxonomy-history?taxnode_id=201906538","ICTVonline=201906538")</f>
        <v>ICTVonline=201906538</v>
      </c>
      <c r="X5086" s="1" t="s">
        <v>15125</v>
      </c>
      <c r="Y5086" s="1" t="s">
        <v>15126</v>
      </c>
      <c r="Z5086" s="1" t="s">
        <v>15127</v>
      </c>
      <c r="AA5086" s="1">
        <v>201900000</v>
      </c>
      <c r="AB5086" s="1">
        <v>35</v>
      </c>
    </row>
    <row r="5087" spans="1:28" x14ac:dyDescent="0.2">
      <c r="A5087" s="1">
        <v>13199</v>
      </c>
      <c r="B5087" s="1" t="s">
        <v>6839</v>
      </c>
      <c r="D5087" s="1" t="s">
        <v>11735</v>
      </c>
      <c r="F5087" s="1" t="s">
        <v>14661</v>
      </c>
      <c r="H5087" s="1" t="s">
        <v>14783</v>
      </c>
      <c r="J5087" s="1" t="s">
        <v>1067</v>
      </c>
      <c r="L5087" s="1" t="s">
        <v>1109</v>
      </c>
      <c r="N5087" s="1" t="s">
        <v>6610</v>
      </c>
      <c r="P5087" s="1" t="s">
        <v>6612</v>
      </c>
      <c r="Q5087" s="3">
        <v>0</v>
      </c>
      <c r="R5087" s="23" t="s">
        <v>11933</v>
      </c>
      <c r="S5087" s="23" t="s">
        <v>5849</v>
      </c>
      <c r="T5087" s="23" t="s">
        <v>4866</v>
      </c>
      <c r="U5087" s="3">
        <v>35</v>
      </c>
      <c r="W5087" s="45" t="str">
        <f>HYPERLINK("http://ictvonline.org/taxonomy/p/taxonomy-history?taxnode_id=201906536","ICTVonline=201906536")</f>
        <v>ICTVonline=201906536</v>
      </c>
      <c r="X5087" s="1" t="s">
        <v>15128</v>
      </c>
      <c r="Y5087" s="1" t="s">
        <v>15129</v>
      </c>
      <c r="Z5087" s="1" t="s">
        <v>15130</v>
      </c>
      <c r="AA5087" s="1">
        <v>201900000</v>
      </c>
      <c r="AB5087" s="1">
        <v>35</v>
      </c>
    </row>
    <row r="5088" spans="1:28" x14ac:dyDescent="0.2">
      <c r="A5088" s="1">
        <v>13201</v>
      </c>
      <c r="B5088" s="1" t="s">
        <v>6839</v>
      </c>
      <c r="D5088" s="1" t="s">
        <v>11735</v>
      </c>
      <c r="F5088" s="1" t="s">
        <v>14661</v>
      </c>
      <c r="H5088" s="1" t="s">
        <v>14783</v>
      </c>
      <c r="J5088" s="1" t="s">
        <v>1067</v>
      </c>
      <c r="L5088" s="1" t="s">
        <v>1109</v>
      </c>
      <c r="N5088" s="1" t="s">
        <v>6610</v>
      </c>
      <c r="P5088" s="1" t="s">
        <v>6613</v>
      </c>
      <c r="Q5088" s="3">
        <v>0</v>
      </c>
      <c r="R5088" s="23" t="s">
        <v>11933</v>
      </c>
      <c r="S5088" s="23" t="s">
        <v>5849</v>
      </c>
      <c r="T5088" s="23" t="s">
        <v>4866</v>
      </c>
      <c r="U5088" s="3">
        <v>35</v>
      </c>
      <c r="W5088" s="45" t="str">
        <f>HYPERLINK("http://ictvonline.org/taxonomy/p/taxonomy-history?taxnode_id=201906535","ICTVonline=201906535")</f>
        <v>ICTVonline=201906535</v>
      </c>
      <c r="X5088" s="1" t="s">
        <v>15131</v>
      </c>
      <c r="Y5088" s="1" t="s">
        <v>15132</v>
      </c>
      <c r="Z5088" s="1" t="s">
        <v>15133</v>
      </c>
      <c r="AA5088" s="1">
        <v>201900000</v>
      </c>
      <c r="AB5088" s="1">
        <v>35</v>
      </c>
    </row>
    <row r="5089" spans="1:28" x14ac:dyDescent="0.2">
      <c r="A5089" s="1">
        <v>13203</v>
      </c>
      <c r="B5089" s="1" t="s">
        <v>6839</v>
      </c>
      <c r="D5089" s="1" t="s">
        <v>11735</v>
      </c>
      <c r="F5089" s="1" t="s">
        <v>14661</v>
      </c>
      <c r="H5089" s="1" t="s">
        <v>14783</v>
      </c>
      <c r="J5089" s="1" t="s">
        <v>1067</v>
      </c>
      <c r="L5089" s="1" t="s">
        <v>1109</v>
      </c>
      <c r="N5089" s="1" t="s">
        <v>6610</v>
      </c>
      <c r="P5089" s="1" t="s">
        <v>6614</v>
      </c>
      <c r="Q5089" s="3">
        <v>0</v>
      </c>
      <c r="R5089" s="23" t="s">
        <v>11933</v>
      </c>
      <c r="S5089" s="23" t="s">
        <v>5849</v>
      </c>
      <c r="T5089" s="23" t="s">
        <v>4866</v>
      </c>
      <c r="U5089" s="3">
        <v>35</v>
      </c>
      <c r="W5089" s="45" t="str">
        <f>HYPERLINK("http://ictvonline.org/taxonomy/p/taxonomy-history?taxnode_id=201906537","ICTVonline=201906537")</f>
        <v>ICTVonline=201906537</v>
      </c>
      <c r="X5089" s="1" t="s">
        <v>15134</v>
      </c>
      <c r="Y5089" s="1" t="s">
        <v>15135</v>
      </c>
      <c r="Z5089" s="1" t="s">
        <v>15136</v>
      </c>
      <c r="AA5089" s="1">
        <v>201900000</v>
      </c>
      <c r="AB5089" s="1">
        <v>35</v>
      </c>
    </row>
    <row r="5090" spans="1:28" x14ac:dyDescent="0.2">
      <c r="A5090" s="1">
        <v>13207</v>
      </c>
      <c r="B5090" s="1" t="s">
        <v>6839</v>
      </c>
      <c r="D5090" s="1" t="s">
        <v>11735</v>
      </c>
      <c r="F5090" s="1" t="s">
        <v>14661</v>
      </c>
      <c r="H5090" s="1" t="s">
        <v>14783</v>
      </c>
      <c r="J5090" s="1" t="s">
        <v>1067</v>
      </c>
      <c r="L5090" s="1" t="s">
        <v>1109</v>
      </c>
      <c r="N5090" s="1" t="s">
        <v>1110</v>
      </c>
      <c r="P5090" s="1" t="s">
        <v>1111</v>
      </c>
      <c r="Q5090" s="3">
        <v>1</v>
      </c>
      <c r="R5090" s="23" t="s">
        <v>11933</v>
      </c>
      <c r="S5090" s="23" t="s">
        <v>5849</v>
      </c>
      <c r="T5090" s="23" t="s">
        <v>4866</v>
      </c>
      <c r="U5090" s="3">
        <v>35</v>
      </c>
      <c r="W5090" s="45" t="str">
        <f>HYPERLINK("http://ictvonline.org/taxonomy/p/taxonomy-history?taxnode_id=201901952","ICTVonline=201901952")</f>
        <v>ICTVonline=201901952</v>
      </c>
      <c r="Y5090" s="1" t="s">
        <v>15137</v>
      </c>
      <c r="Z5090" s="1" t="s">
        <v>15138</v>
      </c>
      <c r="AA5090" s="1">
        <v>201900000</v>
      </c>
      <c r="AB5090" s="1">
        <v>35</v>
      </c>
    </row>
    <row r="5091" spans="1:28" x14ac:dyDescent="0.2">
      <c r="A5091" s="1">
        <v>13211</v>
      </c>
      <c r="B5091" s="1" t="s">
        <v>6839</v>
      </c>
      <c r="D5091" s="1" t="s">
        <v>11735</v>
      </c>
      <c r="F5091" s="1" t="s">
        <v>14661</v>
      </c>
      <c r="H5091" s="1" t="s">
        <v>14783</v>
      </c>
      <c r="J5091" s="1" t="s">
        <v>1067</v>
      </c>
      <c r="L5091" s="1" t="s">
        <v>1109</v>
      </c>
      <c r="N5091" s="1" t="s">
        <v>6615</v>
      </c>
      <c r="P5091" s="1" t="s">
        <v>6616</v>
      </c>
      <c r="Q5091" s="3">
        <v>0</v>
      </c>
      <c r="R5091" s="23" t="s">
        <v>11933</v>
      </c>
      <c r="S5091" s="23" t="s">
        <v>5849</v>
      </c>
      <c r="T5091" s="23" t="s">
        <v>4866</v>
      </c>
      <c r="U5091" s="3">
        <v>35</v>
      </c>
      <c r="W5091" s="45" t="str">
        <f>HYPERLINK("http://ictvonline.org/taxonomy/p/taxonomy-history?taxnode_id=201906551","ICTVonline=201906551")</f>
        <v>ICTVonline=201906551</v>
      </c>
      <c r="X5091" s="1" t="s">
        <v>15139</v>
      </c>
      <c r="Y5091" s="1" t="s">
        <v>15140</v>
      </c>
      <c r="Z5091" s="1" t="s">
        <v>15141</v>
      </c>
      <c r="AA5091" s="1">
        <v>201900000</v>
      </c>
      <c r="AB5091" s="1">
        <v>35</v>
      </c>
    </row>
    <row r="5092" spans="1:28" x14ac:dyDescent="0.2">
      <c r="A5092" s="1">
        <v>13213</v>
      </c>
      <c r="B5092" s="1" t="s">
        <v>6839</v>
      </c>
      <c r="D5092" s="1" t="s">
        <v>11735</v>
      </c>
      <c r="F5092" s="1" t="s">
        <v>14661</v>
      </c>
      <c r="H5092" s="1" t="s">
        <v>14783</v>
      </c>
      <c r="J5092" s="1" t="s">
        <v>1067</v>
      </c>
      <c r="L5092" s="1" t="s">
        <v>1109</v>
      </c>
      <c r="N5092" s="1" t="s">
        <v>6615</v>
      </c>
      <c r="P5092" s="1" t="s">
        <v>6617</v>
      </c>
      <c r="Q5092" s="3">
        <v>1</v>
      </c>
      <c r="R5092" s="23" t="s">
        <v>11933</v>
      </c>
      <c r="S5092" s="23" t="s">
        <v>5849</v>
      </c>
      <c r="T5092" s="23" t="s">
        <v>4866</v>
      </c>
      <c r="U5092" s="3">
        <v>35</v>
      </c>
      <c r="W5092" s="45" t="str">
        <f>HYPERLINK("http://ictvonline.org/taxonomy/p/taxonomy-history?taxnode_id=201906549","ICTVonline=201906549")</f>
        <v>ICTVonline=201906549</v>
      </c>
      <c r="X5092" s="1" t="s">
        <v>15142</v>
      </c>
      <c r="Y5092" s="1" t="s">
        <v>15143</v>
      </c>
      <c r="Z5092" s="1" t="s">
        <v>15144</v>
      </c>
      <c r="AA5092" s="1">
        <v>201900000</v>
      </c>
      <c r="AB5092" s="1">
        <v>35</v>
      </c>
    </row>
    <row r="5093" spans="1:28" x14ac:dyDescent="0.2">
      <c r="A5093" s="1">
        <v>13215</v>
      </c>
      <c r="B5093" s="1" t="s">
        <v>6839</v>
      </c>
      <c r="D5093" s="1" t="s">
        <v>11735</v>
      </c>
      <c r="F5093" s="1" t="s">
        <v>14661</v>
      </c>
      <c r="H5093" s="1" t="s">
        <v>14783</v>
      </c>
      <c r="J5093" s="1" t="s">
        <v>1067</v>
      </c>
      <c r="L5093" s="1" t="s">
        <v>1109</v>
      </c>
      <c r="N5093" s="1" t="s">
        <v>6615</v>
      </c>
      <c r="P5093" s="1" t="s">
        <v>6618</v>
      </c>
      <c r="Q5093" s="3">
        <v>0</v>
      </c>
      <c r="R5093" s="23" t="s">
        <v>11933</v>
      </c>
      <c r="S5093" s="23" t="s">
        <v>5849</v>
      </c>
      <c r="T5093" s="23" t="s">
        <v>4866</v>
      </c>
      <c r="U5093" s="3">
        <v>35</v>
      </c>
      <c r="W5093" s="45" t="str">
        <f>HYPERLINK("http://ictvonline.org/taxonomy/p/taxonomy-history?taxnode_id=201906552","ICTVonline=201906552")</f>
        <v>ICTVonline=201906552</v>
      </c>
      <c r="X5093" s="1" t="s">
        <v>15145</v>
      </c>
      <c r="Y5093" s="1" t="s">
        <v>15146</v>
      </c>
      <c r="Z5093" s="1" t="s">
        <v>15147</v>
      </c>
      <c r="AA5093" s="1">
        <v>201900000</v>
      </c>
      <c r="AB5093" s="1">
        <v>35</v>
      </c>
    </row>
    <row r="5094" spans="1:28" x14ac:dyDescent="0.2">
      <c r="A5094" s="1">
        <v>13217</v>
      </c>
      <c r="B5094" s="1" t="s">
        <v>6839</v>
      </c>
      <c r="D5094" s="1" t="s">
        <v>11735</v>
      </c>
      <c r="F5094" s="1" t="s">
        <v>14661</v>
      </c>
      <c r="H5094" s="1" t="s">
        <v>14783</v>
      </c>
      <c r="J5094" s="1" t="s">
        <v>1067</v>
      </c>
      <c r="L5094" s="1" t="s">
        <v>1109</v>
      </c>
      <c r="N5094" s="1" t="s">
        <v>6615</v>
      </c>
      <c r="P5094" s="1" t="s">
        <v>6619</v>
      </c>
      <c r="Q5094" s="3">
        <v>0</v>
      </c>
      <c r="R5094" s="23" t="s">
        <v>11933</v>
      </c>
      <c r="S5094" s="23" t="s">
        <v>5849</v>
      </c>
      <c r="T5094" s="23" t="s">
        <v>4866</v>
      </c>
      <c r="U5094" s="3">
        <v>35</v>
      </c>
      <c r="W5094" s="45" t="str">
        <f>HYPERLINK("http://ictvonline.org/taxonomy/p/taxonomy-history?taxnode_id=201906550","ICTVonline=201906550")</f>
        <v>ICTVonline=201906550</v>
      </c>
      <c r="X5094" s="1" t="s">
        <v>15148</v>
      </c>
      <c r="Y5094" s="1" t="s">
        <v>15149</v>
      </c>
      <c r="Z5094" s="1" t="s">
        <v>15150</v>
      </c>
      <c r="AA5094" s="1">
        <v>201900000</v>
      </c>
      <c r="AB5094" s="1">
        <v>35</v>
      </c>
    </row>
    <row r="5095" spans="1:28" x14ac:dyDescent="0.2">
      <c r="A5095" s="1">
        <v>13221</v>
      </c>
      <c r="B5095" s="1" t="s">
        <v>6839</v>
      </c>
      <c r="D5095" s="1" t="s">
        <v>11735</v>
      </c>
      <c r="F5095" s="1" t="s">
        <v>14661</v>
      </c>
      <c r="H5095" s="1" t="s">
        <v>14783</v>
      </c>
      <c r="J5095" s="1" t="s">
        <v>1067</v>
      </c>
      <c r="L5095" s="1" t="s">
        <v>1109</v>
      </c>
      <c r="N5095" s="1" t="s">
        <v>6620</v>
      </c>
      <c r="P5095" s="1" t="s">
        <v>6621</v>
      </c>
      <c r="Q5095" s="3">
        <v>0</v>
      </c>
      <c r="R5095" s="23" t="s">
        <v>11933</v>
      </c>
      <c r="S5095" s="23" t="s">
        <v>5849</v>
      </c>
      <c r="T5095" s="23" t="s">
        <v>4866</v>
      </c>
      <c r="U5095" s="3">
        <v>35</v>
      </c>
      <c r="W5095" s="45" t="str">
        <f>HYPERLINK("http://ictvonline.org/taxonomy/p/taxonomy-history?taxnode_id=201906542","ICTVonline=201906542")</f>
        <v>ICTVonline=201906542</v>
      </c>
      <c r="X5095" s="1" t="s">
        <v>15151</v>
      </c>
      <c r="Y5095" s="1" t="s">
        <v>15152</v>
      </c>
      <c r="Z5095" s="1" t="s">
        <v>15153</v>
      </c>
      <c r="AA5095" s="1">
        <v>201900000</v>
      </c>
      <c r="AB5095" s="1">
        <v>35</v>
      </c>
    </row>
    <row r="5096" spans="1:28" x14ac:dyDescent="0.2">
      <c r="A5096" s="1">
        <v>13223</v>
      </c>
      <c r="B5096" s="1" t="s">
        <v>6839</v>
      </c>
      <c r="D5096" s="1" t="s">
        <v>11735</v>
      </c>
      <c r="F5096" s="1" t="s">
        <v>14661</v>
      </c>
      <c r="H5096" s="1" t="s">
        <v>14783</v>
      </c>
      <c r="J5096" s="1" t="s">
        <v>1067</v>
      </c>
      <c r="L5096" s="1" t="s">
        <v>1109</v>
      </c>
      <c r="N5096" s="1" t="s">
        <v>6620</v>
      </c>
      <c r="P5096" s="1" t="s">
        <v>6622</v>
      </c>
      <c r="Q5096" s="3">
        <v>0</v>
      </c>
      <c r="R5096" s="23" t="s">
        <v>11933</v>
      </c>
      <c r="S5096" s="23" t="s">
        <v>5849</v>
      </c>
      <c r="T5096" s="23" t="s">
        <v>4866</v>
      </c>
      <c r="U5096" s="3">
        <v>35</v>
      </c>
      <c r="W5096" s="45" t="str">
        <f>HYPERLINK("http://ictvonline.org/taxonomy/p/taxonomy-history?taxnode_id=201906544","ICTVonline=201906544")</f>
        <v>ICTVonline=201906544</v>
      </c>
      <c r="X5096" s="1" t="s">
        <v>15154</v>
      </c>
      <c r="Y5096" s="1" t="s">
        <v>15155</v>
      </c>
      <c r="Z5096" s="1" t="s">
        <v>15156</v>
      </c>
      <c r="AA5096" s="1">
        <v>201900000</v>
      </c>
      <c r="AB5096" s="1">
        <v>35</v>
      </c>
    </row>
    <row r="5097" spans="1:28" x14ac:dyDescent="0.2">
      <c r="A5097" s="1">
        <v>13225</v>
      </c>
      <c r="B5097" s="1" t="s">
        <v>6839</v>
      </c>
      <c r="D5097" s="1" t="s">
        <v>11735</v>
      </c>
      <c r="F5097" s="1" t="s">
        <v>14661</v>
      </c>
      <c r="H5097" s="1" t="s">
        <v>14783</v>
      </c>
      <c r="J5097" s="1" t="s">
        <v>1067</v>
      </c>
      <c r="L5097" s="1" t="s">
        <v>1109</v>
      </c>
      <c r="N5097" s="1" t="s">
        <v>6620</v>
      </c>
      <c r="P5097" s="1" t="s">
        <v>6623</v>
      </c>
      <c r="Q5097" s="3">
        <v>0</v>
      </c>
      <c r="R5097" s="23" t="s">
        <v>11933</v>
      </c>
      <c r="S5097" s="23" t="s">
        <v>5849</v>
      </c>
      <c r="T5097" s="23" t="s">
        <v>4866</v>
      </c>
      <c r="U5097" s="3">
        <v>35</v>
      </c>
      <c r="W5097" s="45" t="str">
        <f>HYPERLINK("http://ictvonline.org/taxonomy/p/taxonomy-history?taxnode_id=201906547","ICTVonline=201906547")</f>
        <v>ICTVonline=201906547</v>
      </c>
      <c r="X5097" s="1" t="s">
        <v>15157</v>
      </c>
      <c r="Y5097" s="1" t="s">
        <v>15158</v>
      </c>
      <c r="Z5097" s="1" t="s">
        <v>15159</v>
      </c>
      <c r="AA5097" s="1">
        <v>201900000</v>
      </c>
      <c r="AB5097" s="1">
        <v>35</v>
      </c>
    </row>
    <row r="5098" spans="1:28" x14ac:dyDescent="0.2">
      <c r="A5098" s="1">
        <v>13227</v>
      </c>
      <c r="B5098" s="1" t="s">
        <v>6839</v>
      </c>
      <c r="D5098" s="1" t="s">
        <v>11735</v>
      </c>
      <c r="F5098" s="1" t="s">
        <v>14661</v>
      </c>
      <c r="H5098" s="1" t="s">
        <v>14783</v>
      </c>
      <c r="J5098" s="1" t="s">
        <v>1067</v>
      </c>
      <c r="L5098" s="1" t="s">
        <v>1109</v>
      </c>
      <c r="N5098" s="1" t="s">
        <v>6620</v>
      </c>
      <c r="P5098" s="1" t="s">
        <v>6624</v>
      </c>
      <c r="Q5098" s="3">
        <v>1</v>
      </c>
      <c r="R5098" s="23" t="s">
        <v>11933</v>
      </c>
      <c r="S5098" s="23" t="s">
        <v>5849</v>
      </c>
      <c r="T5098" s="23" t="s">
        <v>4866</v>
      </c>
      <c r="U5098" s="3">
        <v>35</v>
      </c>
      <c r="W5098" s="45" t="str">
        <f>HYPERLINK("http://ictvonline.org/taxonomy/p/taxonomy-history?taxnode_id=201906546","ICTVonline=201906546")</f>
        <v>ICTVonline=201906546</v>
      </c>
      <c r="X5098" s="1" t="s">
        <v>15160</v>
      </c>
      <c r="Y5098" s="1" t="s">
        <v>15161</v>
      </c>
      <c r="Z5098" s="1" t="s">
        <v>15162</v>
      </c>
      <c r="AA5098" s="1">
        <v>201900000</v>
      </c>
      <c r="AB5098" s="1">
        <v>35</v>
      </c>
    </row>
    <row r="5099" spans="1:28" x14ac:dyDescent="0.2">
      <c r="A5099" s="1">
        <v>13229</v>
      </c>
      <c r="B5099" s="1" t="s">
        <v>6839</v>
      </c>
      <c r="D5099" s="1" t="s">
        <v>11735</v>
      </c>
      <c r="F5099" s="1" t="s">
        <v>14661</v>
      </c>
      <c r="H5099" s="1" t="s">
        <v>14783</v>
      </c>
      <c r="J5099" s="1" t="s">
        <v>1067</v>
      </c>
      <c r="L5099" s="1" t="s">
        <v>1109</v>
      </c>
      <c r="N5099" s="1" t="s">
        <v>6620</v>
      </c>
      <c r="P5099" s="1" t="s">
        <v>6625</v>
      </c>
      <c r="Q5099" s="3">
        <v>0</v>
      </c>
      <c r="R5099" s="23" t="s">
        <v>11933</v>
      </c>
      <c r="S5099" s="23" t="s">
        <v>5849</v>
      </c>
      <c r="T5099" s="23" t="s">
        <v>4866</v>
      </c>
      <c r="U5099" s="3">
        <v>35</v>
      </c>
      <c r="W5099" s="45" t="str">
        <f>HYPERLINK("http://ictvonline.org/taxonomy/p/taxonomy-history?taxnode_id=201906545","ICTVonline=201906545")</f>
        <v>ICTVonline=201906545</v>
      </c>
      <c r="X5099" s="1" t="s">
        <v>15163</v>
      </c>
      <c r="Y5099" s="1" t="s">
        <v>15164</v>
      </c>
      <c r="Z5099" s="1" t="s">
        <v>15165</v>
      </c>
      <c r="AA5099" s="1">
        <v>201900000</v>
      </c>
      <c r="AB5099" s="1">
        <v>35</v>
      </c>
    </row>
    <row r="5100" spans="1:28" x14ac:dyDescent="0.2">
      <c r="A5100" s="1">
        <v>13231</v>
      </c>
      <c r="B5100" s="1" t="s">
        <v>6839</v>
      </c>
      <c r="D5100" s="1" t="s">
        <v>11735</v>
      </c>
      <c r="F5100" s="1" t="s">
        <v>14661</v>
      </c>
      <c r="H5100" s="1" t="s">
        <v>14783</v>
      </c>
      <c r="J5100" s="1" t="s">
        <v>1067</v>
      </c>
      <c r="L5100" s="1" t="s">
        <v>1109</v>
      </c>
      <c r="N5100" s="1" t="s">
        <v>6620</v>
      </c>
      <c r="P5100" s="1" t="s">
        <v>6626</v>
      </c>
      <c r="Q5100" s="3">
        <v>0</v>
      </c>
      <c r="R5100" s="23" t="s">
        <v>11933</v>
      </c>
      <c r="S5100" s="23" t="s">
        <v>5849</v>
      </c>
      <c r="T5100" s="23" t="s">
        <v>4866</v>
      </c>
      <c r="U5100" s="3">
        <v>35</v>
      </c>
      <c r="W5100" s="45" t="str">
        <f>HYPERLINK("http://ictvonline.org/taxonomy/p/taxonomy-history?taxnode_id=201906543","ICTVonline=201906543")</f>
        <v>ICTVonline=201906543</v>
      </c>
      <c r="X5100" s="1" t="s">
        <v>15166</v>
      </c>
      <c r="Y5100" s="1" t="s">
        <v>15167</v>
      </c>
      <c r="Z5100" s="1" t="s">
        <v>15168</v>
      </c>
      <c r="AA5100" s="1">
        <v>201900000</v>
      </c>
      <c r="AB5100" s="1">
        <v>35</v>
      </c>
    </row>
    <row r="5101" spans="1:28" x14ac:dyDescent="0.2">
      <c r="A5101" s="1">
        <v>13237</v>
      </c>
      <c r="B5101" s="1" t="s">
        <v>6839</v>
      </c>
      <c r="D5101" s="1" t="s">
        <v>11735</v>
      </c>
      <c r="F5101" s="1" t="s">
        <v>14661</v>
      </c>
      <c r="H5101" s="1" t="s">
        <v>14783</v>
      </c>
      <c r="J5101" s="1" t="s">
        <v>1067</v>
      </c>
      <c r="L5101" s="1" t="s">
        <v>1112</v>
      </c>
      <c r="N5101" s="1" t="s">
        <v>5084</v>
      </c>
      <c r="P5101" s="1" t="s">
        <v>5085</v>
      </c>
      <c r="Q5101" s="3">
        <v>1</v>
      </c>
      <c r="R5101" s="23" t="s">
        <v>11933</v>
      </c>
      <c r="S5101" s="23" t="s">
        <v>5849</v>
      </c>
      <c r="T5101" s="23" t="s">
        <v>4866</v>
      </c>
      <c r="U5101" s="3">
        <v>35</v>
      </c>
      <c r="W5101" s="45" t="str">
        <f>HYPERLINK("http://ictvonline.org/taxonomy/p/taxonomy-history?taxnode_id=201905589","ICTVonline=201905589")</f>
        <v>ICTVonline=201905589</v>
      </c>
      <c r="AA5101" s="1">
        <v>201900000</v>
      </c>
      <c r="AB5101" s="1">
        <v>35</v>
      </c>
    </row>
    <row r="5102" spans="1:28" x14ac:dyDescent="0.2">
      <c r="A5102" s="1">
        <v>13241</v>
      </c>
      <c r="B5102" s="1" t="s">
        <v>6839</v>
      </c>
      <c r="D5102" s="1" t="s">
        <v>11735</v>
      </c>
      <c r="F5102" s="1" t="s">
        <v>14661</v>
      </c>
      <c r="H5102" s="1" t="s">
        <v>14783</v>
      </c>
      <c r="J5102" s="1" t="s">
        <v>1067</v>
      </c>
      <c r="L5102" s="1" t="s">
        <v>1112</v>
      </c>
      <c r="N5102" s="1" t="s">
        <v>6627</v>
      </c>
      <c r="P5102" s="1" t="s">
        <v>6628</v>
      </c>
      <c r="Q5102" s="3">
        <v>1</v>
      </c>
      <c r="R5102" s="23" t="s">
        <v>11933</v>
      </c>
      <c r="S5102" s="23" t="s">
        <v>5849</v>
      </c>
      <c r="T5102" s="23" t="s">
        <v>4866</v>
      </c>
      <c r="U5102" s="3">
        <v>35</v>
      </c>
      <c r="W5102" s="45" t="str">
        <f>HYPERLINK("http://ictvonline.org/taxonomy/p/taxonomy-history?taxnode_id=201906525","ICTVonline=201906525")</f>
        <v>ICTVonline=201906525</v>
      </c>
      <c r="X5102" s="1" t="s">
        <v>15169</v>
      </c>
      <c r="Y5102" s="1" t="s">
        <v>15170</v>
      </c>
      <c r="Z5102" s="1" t="s">
        <v>15171</v>
      </c>
      <c r="AA5102" s="1">
        <v>201900000</v>
      </c>
      <c r="AB5102" s="1">
        <v>35</v>
      </c>
    </row>
    <row r="5103" spans="1:28" x14ac:dyDescent="0.2">
      <c r="A5103" s="1">
        <v>13245</v>
      </c>
      <c r="B5103" s="1" t="s">
        <v>6839</v>
      </c>
      <c r="D5103" s="1" t="s">
        <v>11735</v>
      </c>
      <c r="F5103" s="1" t="s">
        <v>14661</v>
      </c>
      <c r="H5103" s="1" t="s">
        <v>14783</v>
      </c>
      <c r="J5103" s="1" t="s">
        <v>1067</v>
      </c>
      <c r="L5103" s="1" t="s">
        <v>1112</v>
      </c>
      <c r="N5103" s="1" t="s">
        <v>4522</v>
      </c>
      <c r="P5103" s="1" t="s">
        <v>4523</v>
      </c>
      <c r="Q5103" s="3">
        <v>1</v>
      </c>
      <c r="R5103" s="23" t="s">
        <v>11933</v>
      </c>
      <c r="S5103" s="23" t="s">
        <v>5849</v>
      </c>
      <c r="T5103" s="23" t="s">
        <v>4866</v>
      </c>
      <c r="U5103" s="3">
        <v>35</v>
      </c>
      <c r="W5103" s="45" t="str">
        <f>HYPERLINK("http://ictvonline.org/taxonomy/p/taxonomy-history?taxnode_id=201901956","ICTVonline=201901956")</f>
        <v>ICTVonline=201901956</v>
      </c>
      <c r="Y5103" s="1" t="s">
        <v>15172</v>
      </c>
      <c r="Z5103" s="1" t="s">
        <v>15173</v>
      </c>
      <c r="AA5103" s="1">
        <v>201900000</v>
      </c>
      <c r="AB5103" s="1">
        <v>35</v>
      </c>
    </row>
    <row r="5104" spans="1:28" x14ac:dyDescent="0.2">
      <c r="A5104" s="1">
        <v>13249</v>
      </c>
      <c r="B5104" s="1" t="s">
        <v>6839</v>
      </c>
      <c r="D5104" s="1" t="s">
        <v>11735</v>
      </c>
      <c r="F5104" s="1" t="s">
        <v>14661</v>
      </c>
      <c r="H5104" s="1" t="s">
        <v>14783</v>
      </c>
      <c r="J5104" s="1" t="s">
        <v>1067</v>
      </c>
      <c r="L5104" s="1" t="s">
        <v>1112</v>
      </c>
      <c r="N5104" s="1" t="s">
        <v>6629</v>
      </c>
      <c r="P5104" s="1" t="s">
        <v>6630</v>
      </c>
      <c r="Q5104" s="3">
        <v>1</v>
      </c>
      <c r="R5104" s="23" t="s">
        <v>11933</v>
      </c>
      <c r="S5104" s="23" t="s">
        <v>5849</v>
      </c>
      <c r="T5104" s="23" t="s">
        <v>4866</v>
      </c>
      <c r="U5104" s="3">
        <v>35</v>
      </c>
      <c r="W5104" s="45" t="str">
        <f>HYPERLINK("http://ictvonline.org/taxonomy/p/taxonomy-history?taxnode_id=201902057","ICTVonline=201902057")</f>
        <v>ICTVonline=201902057</v>
      </c>
      <c r="X5104" s="1" t="s">
        <v>15174</v>
      </c>
      <c r="Y5104" s="1" t="s">
        <v>15175</v>
      </c>
      <c r="Z5104" s="1" t="s">
        <v>15176</v>
      </c>
      <c r="AA5104" s="1">
        <v>201900000</v>
      </c>
      <c r="AB5104" s="1">
        <v>35</v>
      </c>
    </row>
    <row r="5105" spans="1:28" x14ac:dyDescent="0.2">
      <c r="A5105" s="1">
        <v>13251</v>
      </c>
      <c r="B5105" s="1" t="s">
        <v>6839</v>
      </c>
      <c r="D5105" s="1" t="s">
        <v>11735</v>
      </c>
      <c r="F5105" s="1" t="s">
        <v>14661</v>
      </c>
      <c r="H5105" s="1" t="s">
        <v>14783</v>
      </c>
      <c r="J5105" s="1" t="s">
        <v>1067</v>
      </c>
      <c r="L5105" s="1" t="s">
        <v>1112</v>
      </c>
      <c r="N5105" s="1" t="s">
        <v>6629</v>
      </c>
      <c r="P5105" s="1" t="s">
        <v>15177</v>
      </c>
      <c r="Q5105" s="3">
        <v>0</v>
      </c>
      <c r="R5105" s="23" t="s">
        <v>11933</v>
      </c>
      <c r="S5105" s="23" t="s">
        <v>5849</v>
      </c>
      <c r="T5105" s="23" t="s">
        <v>4864</v>
      </c>
      <c r="U5105" s="3">
        <v>35</v>
      </c>
      <c r="V5105" s="3" t="s">
        <v>15178</v>
      </c>
      <c r="W5105" s="45" t="str">
        <f>HYPERLINK("http://ictvonline.org/taxonomy/p/taxonomy-history?taxnode_id=201908674","ICTVonline=201908674")</f>
        <v>ICTVonline=201908674</v>
      </c>
      <c r="Y5105" s="1" t="s">
        <v>15179</v>
      </c>
      <c r="Z5105" s="1" t="s">
        <v>15180</v>
      </c>
      <c r="AA5105" s="1">
        <v>201900000</v>
      </c>
      <c r="AB5105" s="1">
        <v>35</v>
      </c>
    </row>
    <row r="5106" spans="1:28" x14ac:dyDescent="0.2">
      <c r="A5106" s="1">
        <v>13255</v>
      </c>
      <c r="B5106" s="1" t="s">
        <v>6839</v>
      </c>
      <c r="D5106" s="1" t="s">
        <v>11735</v>
      </c>
      <c r="F5106" s="1" t="s">
        <v>14661</v>
      </c>
      <c r="H5106" s="1" t="s">
        <v>14783</v>
      </c>
      <c r="J5106" s="1" t="s">
        <v>1067</v>
      </c>
      <c r="L5106" s="1" t="s">
        <v>1112</v>
      </c>
      <c r="N5106" s="1" t="s">
        <v>1036</v>
      </c>
      <c r="P5106" s="1" t="s">
        <v>4</v>
      </c>
      <c r="Q5106" s="3">
        <v>0</v>
      </c>
      <c r="R5106" s="23" t="s">
        <v>11933</v>
      </c>
      <c r="S5106" s="23" t="s">
        <v>5849</v>
      </c>
      <c r="T5106" s="23" t="s">
        <v>4866</v>
      </c>
      <c r="U5106" s="3">
        <v>35</v>
      </c>
      <c r="W5106" s="45" t="str">
        <f>HYPERLINK("http://ictvonline.org/taxonomy/p/taxonomy-history?taxnode_id=201901958","ICTVonline=201901958")</f>
        <v>ICTVonline=201901958</v>
      </c>
      <c r="AA5106" s="1">
        <v>201900000</v>
      </c>
      <c r="AB5106" s="1">
        <v>35</v>
      </c>
    </row>
    <row r="5107" spans="1:28" x14ac:dyDescent="0.2">
      <c r="A5107" s="1">
        <v>13257</v>
      </c>
      <c r="B5107" s="1" t="s">
        <v>6839</v>
      </c>
      <c r="D5107" s="1" t="s">
        <v>11735</v>
      </c>
      <c r="F5107" s="1" t="s">
        <v>14661</v>
      </c>
      <c r="H5107" s="1" t="s">
        <v>14783</v>
      </c>
      <c r="J5107" s="1" t="s">
        <v>1067</v>
      </c>
      <c r="L5107" s="1" t="s">
        <v>1112</v>
      </c>
      <c r="N5107" s="1" t="s">
        <v>1036</v>
      </c>
      <c r="P5107" s="1" t="s">
        <v>2116</v>
      </c>
      <c r="Q5107" s="3">
        <v>0</v>
      </c>
      <c r="R5107" s="23" t="s">
        <v>11933</v>
      </c>
      <c r="S5107" s="23" t="s">
        <v>5849</v>
      </c>
      <c r="T5107" s="23" t="s">
        <v>4866</v>
      </c>
      <c r="U5107" s="3">
        <v>35</v>
      </c>
      <c r="W5107" s="45" t="str">
        <f>HYPERLINK("http://ictvonline.org/taxonomy/p/taxonomy-history?taxnode_id=201901959","ICTVonline=201901959")</f>
        <v>ICTVonline=201901959</v>
      </c>
      <c r="AA5107" s="1">
        <v>201900000</v>
      </c>
      <c r="AB5107" s="1">
        <v>35</v>
      </c>
    </row>
    <row r="5108" spans="1:28" x14ac:dyDescent="0.2">
      <c r="A5108" s="1">
        <v>13259</v>
      </c>
      <c r="B5108" s="1" t="s">
        <v>6839</v>
      </c>
      <c r="D5108" s="1" t="s">
        <v>11735</v>
      </c>
      <c r="F5108" s="1" t="s">
        <v>14661</v>
      </c>
      <c r="H5108" s="1" t="s">
        <v>14783</v>
      </c>
      <c r="J5108" s="1" t="s">
        <v>1067</v>
      </c>
      <c r="L5108" s="1" t="s">
        <v>1112</v>
      </c>
      <c r="N5108" s="1" t="s">
        <v>1036</v>
      </c>
      <c r="P5108" s="1" t="s">
        <v>705</v>
      </c>
      <c r="Q5108" s="3">
        <v>0</v>
      </c>
      <c r="R5108" s="23" t="s">
        <v>11933</v>
      </c>
      <c r="S5108" s="23" t="s">
        <v>5849</v>
      </c>
      <c r="T5108" s="23" t="s">
        <v>4866</v>
      </c>
      <c r="U5108" s="3">
        <v>35</v>
      </c>
      <c r="W5108" s="45" t="str">
        <f>HYPERLINK("http://ictvonline.org/taxonomy/p/taxonomy-history?taxnode_id=201901960","ICTVonline=201901960")</f>
        <v>ICTVonline=201901960</v>
      </c>
      <c r="AA5108" s="1">
        <v>201900000</v>
      </c>
      <c r="AB5108" s="1">
        <v>35</v>
      </c>
    </row>
    <row r="5109" spans="1:28" x14ac:dyDescent="0.2">
      <c r="A5109" s="1">
        <v>13261</v>
      </c>
      <c r="B5109" s="1" t="s">
        <v>6839</v>
      </c>
      <c r="D5109" s="1" t="s">
        <v>11735</v>
      </c>
      <c r="F5109" s="1" t="s">
        <v>14661</v>
      </c>
      <c r="H5109" s="1" t="s">
        <v>14783</v>
      </c>
      <c r="J5109" s="1" t="s">
        <v>1067</v>
      </c>
      <c r="L5109" s="1" t="s">
        <v>1112</v>
      </c>
      <c r="N5109" s="1" t="s">
        <v>1036</v>
      </c>
      <c r="P5109" s="1" t="s">
        <v>1741</v>
      </c>
      <c r="Q5109" s="3">
        <v>1</v>
      </c>
      <c r="R5109" s="23" t="s">
        <v>11933</v>
      </c>
      <c r="S5109" s="23" t="s">
        <v>5849</v>
      </c>
      <c r="T5109" s="23" t="s">
        <v>4866</v>
      </c>
      <c r="U5109" s="3">
        <v>35</v>
      </c>
      <c r="W5109" s="45" t="str">
        <f>HYPERLINK("http://ictvonline.org/taxonomy/p/taxonomy-history?taxnode_id=201901961","ICTVonline=201901961")</f>
        <v>ICTVonline=201901961</v>
      </c>
      <c r="AA5109" s="1">
        <v>201900000</v>
      </c>
      <c r="AB5109" s="1">
        <v>35</v>
      </c>
    </row>
    <row r="5110" spans="1:28" x14ac:dyDescent="0.2">
      <c r="A5110" s="1">
        <v>13265</v>
      </c>
      <c r="B5110" s="1" t="s">
        <v>6839</v>
      </c>
      <c r="D5110" s="1" t="s">
        <v>11735</v>
      </c>
      <c r="F5110" s="1" t="s">
        <v>14661</v>
      </c>
      <c r="H5110" s="1" t="s">
        <v>14783</v>
      </c>
      <c r="J5110" s="1" t="s">
        <v>1067</v>
      </c>
      <c r="L5110" s="1" t="s">
        <v>1112</v>
      </c>
      <c r="N5110" s="1" t="s">
        <v>2157</v>
      </c>
      <c r="P5110" s="1" t="s">
        <v>2158</v>
      </c>
      <c r="Q5110" s="3">
        <v>1</v>
      </c>
      <c r="R5110" s="23" t="s">
        <v>11933</v>
      </c>
      <c r="S5110" s="23" t="s">
        <v>5849</v>
      </c>
      <c r="T5110" s="23" t="s">
        <v>4866</v>
      </c>
      <c r="U5110" s="3">
        <v>35</v>
      </c>
      <c r="W5110" s="45" t="str">
        <f>HYPERLINK("http://ictvonline.org/taxonomy/p/taxonomy-history?taxnode_id=201901963","ICTVonline=201901963")</f>
        <v>ICTVonline=201901963</v>
      </c>
      <c r="AA5110" s="1">
        <v>201900000</v>
      </c>
      <c r="AB5110" s="1">
        <v>35</v>
      </c>
    </row>
    <row r="5111" spans="1:28" x14ac:dyDescent="0.2">
      <c r="A5111" s="1">
        <v>13269</v>
      </c>
      <c r="B5111" s="1" t="s">
        <v>6839</v>
      </c>
      <c r="D5111" s="1" t="s">
        <v>11735</v>
      </c>
      <c r="F5111" s="1" t="s">
        <v>14661</v>
      </c>
      <c r="H5111" s="1" t="s">
        <v>14783</v>
      </c>
      <c r="J5111" s="1" t="s">
        <v>1067</v>
      </c>
      <c r="L5111" s="1" t="s">
        <v>1112</v>
      </c>
      <c r="N5111" s="1" t="s">
        <v>1072</v>
      </c>
      <c r="P5111" s="1" t="s">
        <v>2602</v>
      </c>
      <c r="Q5111" s="3">
        <v>1</v>
      </c>
      <c r="R5111" s="23" t="s">
        <v>11933</v>
      </c>
      <c r="S5111" s="23" t="s">
        <v>5849</v>
      </c>
      <c r="T5111" s="23" t="s">
        <v>4866</v>
      </c>
      <c r="U5111" s="3">
        <v>35</v>
      </c>
      <c r="W5111" s="45" t="str">
        <f>HYPERLINK("http://ictvonline.org/taxonomy/p/taxonomy-history?taxnode_id=201901965","ICTVonline=201901965")</f>
        <v>ICTVonline=201901965</v>
      </c>
      <c r="AA5111" s="1">
        <v>201900000</v>
      </c>
      <c r="AB5111" s="1">
        <v>35</v>
      </c>
    </row>
    <row r="5112" spans="1:28" x14ac:dyDescent="0.2">
      <c r="A5112" s="1">
        <v>13273</v>
      </c>
      <c r="B5112" s="1" t="s">
        <v>6839</v>
      </c>
      <c r="D5112" s="1" t="s">
        <v>11735</v>
      </c>
      <c r="F5112" s="1" t="s">
        <v>14661</v>
      </c>
      <c r="H5112" s="1" t="s">
        <v>14783</v>
      </c>
      <c r="J5112" s="1" t="s">
        <v>1067</v>
      </c>
      <c r="L5112" s="1" t="s">
        <v>1112</v>
      </c>
      <c r="N5112" s="1" t="s">
        <v>2290</v>
      </c>
      <c r="P5112" s="1" t="s">
        <v>2291</v>
      </c>
      <c r="Q5112" s="3">
        <v>1</v>
      </c>
      <c r="R5112" s="23" t="s">
        <v>11933</v>
      </c>
      <c r="S5112" s="23" t="s">
        <v>5849</v>
      </c>
      <c r="T5112" s="23" t="s">
        <v>4866</v>
      </c>
      <c r="U5112" s="3">
        <v>35</v>
      </c>
      <c r="W5112" s="45" t="str">
        <f>HYPERLINK("http://ictvonline.org/taxonomy/p/taxonomy-history?taxnode_id=201901967","ICTVonline=201901967")</f>
        <v>ICTVonline=201901967</v>
      </c>
      <c r="AA5112" s="1">
        <v>201900000</v>
      </c>
      <c r="AB5112" s="1">
        <v>35</v>
      </c>
    </row>
    <row r="5113" spans="1:28" x14ac:dyDescent="0.2">
      <c r="A5113" s="1">
        <v>13275</v>
      </c>
      <c r="B5113" s="1" t="s">
        <v>6839</v>
      </c>
      <c r="D5113" s="1" t="s">
        <v>11735</v>
      </c>
      <c r="F5113" s="1" t="s">
        <v>14661</v>
      </c>
      <c r="H5113" s="1" t="s">
        <v>14783</v>
      </c>
      <c r="J5113" s="1" t="s">
        <v>1067</v>
      </c>
      <c r="L5113" s="1" t="s">
        <v>1112</v>
      </c>
      <c r="N5113" s="1" t="s">
        <v>2290</v>
      </c>
      <c r="P5113" s="1" t="s">
        <v>4524</v>
      </c>
      <c r="Q5113" s="3">
        <v>0</v>
      </c>
      <c r="R5113" s="23" t="s">
        <v>11933</v>
      </c>
      <c r="S5113" s="23" t="s">
        <v>5849</v>
      </c>
      <c r="T5113" s="23" t="s">
        <v>4866</v>
      </c>
      <c r="U5113" s="3">
        <v>35</v>
      </c>
      <c r="W5113" s="45" t="str">
        <f>HYPERLINK("http://ictvonline.org/taxonomy/p/taxonomy-history?taxnode_id=201901968","ICTVonline=201901968")</f>
        <v>ICTVonline=201901968</v>
      </c>
      <c r="Y5113" s="1" t="s">
        <v>15181</v>
      </c>
      <c r="Z5113" s="1" t="s">
        <v>15182</v>
      </c>
      <c r="AA5113" s="1">
        <v>201900000</v>
      </c>
      <c r="AB5113" s="1">
        <v>35</v>
      </c>
    </row>
    <row r="5114" spans="1:28" x14ac:dyDescent="0.2">
      <c r="A5114" s="1">
        <v>13277</v>
      </c>
      <c r="B5114" s="1" t="s">
        <v>6839</v>
      </c>
      <c r="D5114" s="1" t="s">
        <v>11735</v>
      </c>
      <c r="F5114" s="1" t="s">
        <v>14661</v>
      </c>
      <c r="H5114" s="1" t="s">
        <v>14783</v>
      </c>
      <c r="J5114" s="1" t="s">
        <v>1067</v>
      </c>
      <c r="L5114" s="1" t="s">
        <v>1112</v>
      </c>
      <c r="N5114" s="1" t="s">
        <v>2290</v>
      </c>
      <c r="P5114" s="1" t="s">
        <v>4525</v>
      </c>
      <c r="Q5114" s="3">
        <v>0</v>
      </c>
      <c r="R5114" s="23" t="s">
        <v>11933</v>
      </c>
      <c r="S5114" s="23" t="s">
        <v>5849</v>
      </c>
      <c r="T5114" s="23" t="s">
        <v>4866</v>
      </c>
      <c r="U5114" s="3">
        <v>35</v>
      </c>
      <c r="W5114" s="45" t="str">
        <f>HYPERLINK("http://ictvonline.org/taxonomy/p/taxonomy-history?taxnode_id=201901969","ICTVonline=201901969")</f>
        <v>ICTVonline=201901969</v>
      </c>
      <c r="Y5114" s="1" t="s">
        <v>15183</v>
      </c>
      <c r="Z5114" s="1" t="s">
        <v>15184</v>
      </c>
      <c r="AA5114" s="1">
        <v>201900000</v>
      </c>
      <c r="AB5114" s="1">
        <v>35</v>
      </c>
    </row>
    <row r="5115" spans="1:28" x14ac:dyDescent="0.2">
      <c r="A5115" s="1">
        <v>13281</v>
      </c>
      <c r="B5115" s="1" t="s">
        <v>6839</v>
      </c>
      <c r="D5115" s="1" t="s">
        <v>11735</v>
      </c>
      <c r="F5115" s="1" t="s">
        <v>14661</v>
      </c>
      <c r="H5115" s="1" t="s">
        <v>14783</v>
      </c>
      <c r="J5115" s="1" t="s">
        <v>1067</v>
      </c>
      <c r="L5115" s="1" t="s">
        <v>1112</v>
      </c>
      <c r="N5115" s="1" t="s">
        <v>15185</v>
      </c>
      <c r="P5115" s="1" t="s">
        <v>15186</v>
      </c>
      <c r="Q5115" s="3">
        <v>1</v>
      </c>
      <c r="R5115" s="23" t="s">
        <v>11933</v>
      </c>
      <c r="S5115" s="23" t="s">
        <v>5849</v>
      </c>
      <c r="T5115" s="23" t="s">
        <v>4864</v>
      </c>
      <c r="U5115" s="3">
        <v>35</v>
      </c>
      <c r="V5115" s="3" t="s">
        <v>15187</v>
      </c>
      <c r="W5115" s="45" t="str">
        <f>HYPERLINK("http://ictvonline.org/taxonomy/p/taxonomy-history?taxnode_id=201908697","ICTVonline=201908697")</f>
        <v>ICTVonline=201908697</v>
      </c>
      <c r="Y5115" s="1" t="s">
        <v>15188</v>
      </c>
      <c r="Z5115" s="1" t="s">
        <v>15189</v>
      </c>
      <c r="AA5115" s="1">
        <v>201900000</v>
      </c>
      <c r="AB5115" s="1">
        <v>35</v>
      </c>
    </row>
    <row r="5116" spans="1:28" x14ac:dyDescent="0.2">
      <c r="A5116" s="1">
        <v>13283</v>
      </c>
      <c r="B5116" s="1" t="s">
        <v>6839</v>
      </c>
      <c r="D5116" s="1" t="s">
        <v>11735</v>
      </c>
      <c r="F5116" s="1" t="s">
        <v>14661</v>
      </c>
      <c r="H5116" s="1" t="s">
        <v>14783</v>
      </c>
      <c r="J5116" s="1" t="s">
        <v>1067</v>
      </c>
      <c r="L5116" s="1" t="s">
        <v>1112</v>
      </c>
      <c r="N5116" s="1" t="s">
        <v>15185</v>
      </c>
      <c r="P5116" s="1" t="s">
        <v>15190</v>
      </c>
      <c r="Q5116" s="3">
        <v>0</v>
      </c>
      <c r="R5116" s="23" t="s">
        <v>11933</v>
      </c>
      <c r="S5116" s="23" t="s">
        <v>5849</v>
      </c>
      <c r="T5116" s="23" t="s">
        <v>4864</v>
      </c>
      <c r="U5116" s="3">
        <v>35</v>
      </c>
      <c r="V5116" s="3" t="s">
        <v>15187</v>
      </c>
      <c r="W5116" s="45" t="str">
        <f>HYPERLINK("http://ictvonline.org/taxonomy/p/taxonomy-history?taxnode_id=201908698","ICTVonline=201908698")</f>
        <v>ICTVonline=201908698</v>
      </c>
      <c r="Y5116" s="1" t="s">
        <v>15191</v>
      </c>
      <c r="Z5116" s="1" t="s">
        <v>15192</v>
      </c>
      <c r="AA5116" s="1">
        <v>201900000</v>
      </c>
      <c r="AB5116" s="1">
        <v>35</v>
      </c>
    </row>
    <row r="5117" spans="1:28" x14ac:dyDescent="0.2">
      <c r="A5117" s="1">
        <v>13285</v>
      </c>
      <c r="B5117" s="1" t="s">
        <v>6839</v>
      </c>
      <c r="D5117" s="1" t="s">
        <v>11735</v>
      </c>
      <c r="F5117" s="1" t="s">
        <v>14661</v>
      </c>
      <c r="H5117" s="1" t="s">
        <v>14783</v>
      </c>
      <c r="J5117" s="1" t="s">
        <v>1067</v>
      </c>
      <c r="L5117" s="1" t="s">
        <v>1112</v>
      </c>
      <c r="N5117" s="1" t="s">
        <v>15185</v>
      </c>
      <c r="P5117" s="1" t="s">
        <v>15193</v>
      </c>
      <c r="Q5117" s="3">
        <v>0</v>
      </c>
      <c r="R5117" s="23" t="s">
        <v>11933</v>
      </c>
      <c r="S5117" s="23" t="s">
        <v>5849</v>
      </c>
      <c r="T5117" s="23" t="s">
        <v>4864</v>
      </c>
      <c r="U5117" s="3">
        <v>35</v>
      </c>
      <c r="V5117" s="3" t="s">
        <v>15187</v>
      </c>
      <c r="W5117" s="45" t="str">
        <f>HYPERLINK("http://ictvonline.org/taxonomy/p/taxonomy-history?taxnode_id=201908699","ICTVonline=201908699")</f>
        <v>ICTVonline=201908699</v>
      </c>
      <c r="Y5117" s="1" t="s">
        <v>15194</v>
      </c>
      <c r="Z5117" s="1" t="s">
        <v>15195</v>
      </c>
      <c r="AA5117" s="1">
        <v>201900000</v>
      </c>
      <c r="AB5117" s="1">
        <v>35</v>
      </c>
    </row>
    <row r="5118" spans="1:28" x14ac:dyDescent="0.2">
      <c r="A5118" s="1">
        <v>13289</v>
      </c>
      <c r="B5118" s="1" t="s">
        <v>6839</v>
      </c>
      <c r="D5118" s="1" t="s">
        <v>11735</v>
      </c>
      <c r="F5118" s="1" t="s">
        <v>14661</v>
      </c>
      <c r="H5118" s="1" t="s">
        <v>14783</v>
      </c>
      <c r="J5118" s="1" t="s">
        <v>1067</v>
      </c>
      <c r="L5118" s="1" t="s">
        <v>1112</v>
      </c>
      <c r="N5118" s="1" t="s">
        <v>5086</v>
      </c>
      <c r="P5118" s="1" t="s">
        <v>5087</v>
      </c>
      <c r="Q5118" s="3">
        <v>1</v>
      </c>
      <c r="R5118" s="23" t="s">
        <v>11933</v>
      </c>
      <c r="S5118" s="23" t="s">
        <v>5849</v>
      </c>
      <c r="T5118" s="23" t="s">
        <v>4866</v>
      </c>
      <c r="U5118" s="3">
        <v>35</v>
      </c>
      <c r="W5118" s="45" t="str">
        <f>HYPERLINK("http://ictvonline.org/taxonomy/p/taxonomy-history?taxnode_id=201905591","ICTVonline=201905591")</f>
        <v>ICTVonline=201905591</v>
      </c>
      <c r="AA5118" s="1">
        <v>201900000</v>
      </c>
      <c r="AB5118" s="1">
        <v>35</v>
      </c>
    </row>
    <row r="5119" spans="1:28" x14ac:dyDescent="0.2">
      <c r="A5119" s="1">
        <v>13293</v>
      </c>
      <c r="B5119" s="1" t="s">
        <v>6839</v>
      </c>
      <c r="D5119" s="1" t="s">
        <v>11735</v>
      </c>
      <c r="F5119" s="1" t="s">
        <v>14661</v>
      </c>
      <c r="H5119" s="1" t="s">
        <v>14783</v>
      </c>
      <c r="J5119" s="1" t="s">
        <v>1067</v>
      </c>
      <c r="L5119" s="1" t="s">
        <v>1112</v>
      </c>
      <c r="N5119" s="1" t="s">
        <v>1742</v>
      </c>
      <c r="P5119" s="1" t="s">
        <v>2603</v>
      </c>
      <c r="Q5119" s="3">
        <v>1</v>
      </c>
      <c r="R5119" s="23" t="s">
        <v>11933</v>
      </c>
      <c r="S5119" s="23" t="s">
        <v>5849</v>
      </c>
      <c r="T5119" s="23" t="s">
        <v>4866</v>
      </c>
      <c r="U5119" s="3">
        <v>35</v>
      </c>
      <c r="W5119" s="45" t="str">
        <f>HYPERLINK("http://ictvonline.org/taxonomy/p/taxonomy-history?taxnode_id=201901971","ICTVonline=201901971")</f>
        <v>ICTVonline=201901971</v>
      </c>
      <c r="AA5119" s="1">
        <v>201900000</v>
      </c>
      <c r="AB5119" s="1">
        <v>35</v>
      </c>
    </row>
    <row r="5120" spans="1:28" x14ac:dyDescent="0.2">
      <c r="A5120" s="1">
        <v>13295</v>
      </c>
      <c r="B5120" s="1" t="s">
        <v>6839</v>
      </c>
      <c r="D5120" s="1" t="s">
        <v>11735</v>
      </c>
      <c r="F5120" s="1" t="s">
        <v>14661</v>
      </c>
      <c r="H5120" s="1" t="s">
        <v>14783</v>
      </c>
      <c r="J5120" s="1" t="s">
        <v>1067</v>
      </c>
      <c r="L5120" s="1" t="s">
        <v>1112</v>
      </c>
      <c r="N5120" s="1" t="s">
        <v>1742</v>
      </c>
      <c r="P5120" s="1" t="s">
        <v>2604</v>
      </c>
      <c r="Q5120" s="3">
        <v>0</v>
      </c>
      <c r="R5120" s="23" t="s">
        <v>11933</v>
      </c>
      <c r="S5120" s="23" t="s">
        <v>5849</v>
      </c>
      <c r="T5120" s="23" t="s">
        <v>4866</v>
      </c>
      <c r="U5120" s="3">
        <v>35</v>
      </c>
      <c r="W5120" s="45" t="str">
        <f>HYPERLINK("http://ictvonline.org/taxonomy/p/taxonomy-history?taxnode_id=201901972","ICTVonline=201901972")</f>
        <v>ICTVonline=201901972</v>
      </c>
      <c r="AA5120" s="1">
        <v>201900000</v>
      </c>
      <c r="AB5120" s="1">
        <v>35</v>
      </c>
    </row>
    <row r="5121" spans="1:28" x14ac:dyDescent="0.2">
      <c r="A5121" s="1">
        <v>13297</v>
      </c>
      <c r="B5121" s="1" t="s">
        <v>6839</v>
      </c>
      <c r="D5121" s="1" t="s">
        <v>11735</v>
      </c>
      <c r="F5121" s="1" t="s">
        <v>14661</v>
      </c>
      <c r="H5121" s="1" t="s">
        <v>14783</v>
      </c>
      <c r="J5121" s="1" t="s">
        <v>1067</v>
      </c>
      <c r="L5121" s="1" t="s">
        <v>1112</v>
      </c>
      <c r="N5121" s="1" t="s">
        <v>1742</v>
      </c>
      <c r="P5121" s="1" t="s">
        <v>2605</v>
      </c>
      <c r="Q5121" s="3">
        <v>0</v>
      </c>
      <c r="R5121" s="23" t="s">
        <v>11933</v>
      </c>
      <c r="S5121" s="23" t="s">
        <v>5849</v>
      </c>
      <c r="T5121" s="23" t="s">
        <v>4866</v>
      </c>
      <c r="U5121" s="3">
        <v>35</v>
      </c>
      <c r="W5121" s="45" t="str">
        <f>HYPERLINK("http://ictvonline.org/taxonomy/p/taxonomy-history?taxnode_id=201901973","ICTVonline=201901973")</f>
        <v>ICTVonline=201901973</v>
      </c>
      <c r="X5121" s="1" t="s">
        <v>15196</v>
      </c>
      <c r="Y5121" s="1" t="s">
        <v>15197</v>
      </c>
      <c r="Z5121" s="1" t="s">
        <v>15198</v>
      </c>
      <c r="AA5121" s="1">
        <v>201900000</v>
      </c>
      <c r="AB5121" s="1">
        <v>35</v>
      </c>
    </row>
    <row r="5122" spans="1:28" x14ac:dyDescent="0.2">
      <c r="A5122" s="1">
        <v>13299</v>
      </c>
      <c r="B5122" s="1" t="s">
        <v>6839</v>
      </c>
      <c r="D5122" s="1" t="s">
        <v>11735</v>
      </c>
      <c r="F5122" s="1" t="s">
        <v>14661</v>
      </c>
      <c r="H5122" s="1" t="s">
        <v>14783</v>
      </c>
      <c r="J5122" s="1" t="s">
        <v>1067</v>
      </c>
      <c r="L5122" s="1" t="s">
        <v>1112</v>
      </c>
      <c r="N5122" s="1" t="s">
        <v>1742</v>
      </c>
      <c r="P5122" s="1" t="s">
        <v>15199</v>
      </c>
      <c r="Q5122" s="3">
        <v>0</v>
      </c>
      <c r="R5122" s="23" t="s">
        <v>11933</v>
      </c>
      <c r="S5122" s="23" t="s">
        <v>5849</v>
      </c>
      <c r="T5122" s="23" t="s">
        <v>4864</v>
      </c>
      <c r="U5122" s="3">
        <v>35</v>
      </c>
      <c r="V5122" s="3" t="s">
        <v>15200</v>
      </c>
      <c r="W5122" s="45" t="str">
        <f>HYPERLINK("http://ictvonline.org/taxonomy/p/taxonomy-history?taxnode_id=201907104","ICTVonline=201907104")</f>
        <v>ICTVonline=201907104</v>
      </c>
      <c r="Y5122" s="1" t="s">
        <v>15201</v>
      </c>
      <c r="Z5122" s="1" t="s">
        <v>15202</v>
      </c>
      <c r="AA5122" s="1">
        <v>201900000</v>
      </c>
      <c r="AB5122" s="1">
        <v>35</v>
      </c>
    </row>
    <row r="5123" spans="1:28" x14ac:dyDescent="0.2">
      <c r="A5123" s="1">
        <v>13301</v>
      </c>
      <c r="B5123" s="1" t="s">
        <v>6839</v>
      </c>
      <c r="D5123" s="1" t="s">
        <v>11735</v>
      </c>
      <c r="F5123" s="1" t="s">
        <v>14661</v>
      </c>
      <c r="H5123" s="1" t="s">
        <v>14783</v>
      </c>
      <c r="J5123" s="1" t="s">
        <v>1067</v>
      </c>
      <c r="L5123" s="1" t="s">
        <v>1112</v>
      </c>
      <c r="N5123" s="1" t="s">
        <v>1742</v>
      </c>
      <c r="P5123" s="1" t="s">
        <v>15203</v>
      </c>
      <c r="Q5123" s="3">
        <v>0</v>
      </c>
      <c r="R5123" s="23" t="s">
        <v>11933</v>
      </c>
      <c r="S5123" s="23" t="s">
        <v>5849</v>
      </c>
      <c r="T5123" s="23" t="s">
        <v>4864</v>
      </c>
      <c r="U5123" s="3">
        <v>35</v>
      </c>
      <c r="V5123" s="3" t="s">
        <v>15200</v>
      </c>
      <c r="W5123" s="45" t="str">
        <f>HYPERLINK("http://ictvonline.org/taxonomy/p/taxonomy-history?taxnode_id=201907105","ICTVonline=201907105")</f>
        <v>ICTVonline=201907105</v>
      </c>
      <c r="Y5123" s="1" t="s">
        <v>15204</v>
      </c>
      <c r="Z5123" s="1" t="s">
        <v>15205</v>
      </c>
      <c r="AA5123" s="1">
        <v>201900000</v>
      </c>
      <c r="AB5123" s="1">
        <v>35</v>
      </c>
    </row>
    <row r="5124" spans="1:28" x14ac:dyDescent="0.2">
      <c r="A5124" s="1">
        <v>13303</v>
      </c>
      <c r="B5124" s="1" t="s">
        <v>6839</v>
      </c>
      <c r="D5124" s="1" t="s">
        <v>11735</v>
      </c>
      <c r="F5124" s="1" t="s">
        <v>14661</v>
      </c>
      <c r="H5124" s="1" t="s">
        <v>14783</v>
      </c>
      <c r="J5124" s="1" t="s">
        <v>1067</v>
      </c>
      <c r="L5124" s="1" t="s">
        <v>1112</v>
      </c>
      <c r="N5124" s="1" t="s">
        <v>1742</v>
      </c>
      <c r="P5124" s="1" t="s">
        <v>15206</v>
      </c>
      <c r="Q5124" s="3">
        <v>0</v>
      </c>
      <c r="R5124" s="23" t="s">
        <v>11933</v>
      </c>
      <c r="S5124" s="23" t="s">
        <v>5849</v>
      </c>
      <c r="T5124" s="23" t="s">
        <v>4864</v>
      </c>
      <c r="U5124" s="3">
        <v>35</v>
      </c>
      <c r="V5124" s="3" t="s">
        <v>15200</v>
      </c>
      <c r="W5124" s="45" t="str">
        <f>HYPERLINK("http://ictvonline.org/taxonomy/p/taxonomy-history?taxnode_id=201907106","ICTVonline=201907106")</f>
        <v>ICTVonline=201907106</v>
      </c>
      <c r="Y5124" s="1" t="s">
        <v>15207</v>
      </c>
      <c r="Z5124" s="1" t="s">
        <v>15208</v>
      </c>
      <c r="AA5124" s="1">
        <v>201900000</v>
      </c>
      <c r="AB5124" s="1">
        <v>35</v>
      </c>
    </row>
    <row r="5125" spans="1:28" x14ac:dyDescent="0.2">
      <c r="A5125" s="1">
        <v>13307</v>
      </c>
      <c r="B5125" s="1" t="s">
        <v>6839</v>
      </c>
      <c r="D5125" s="1" t="s">
        <v>11735</v>
      </c>
      <c r="F5125" s="1" t="s">
        <v>14661</v>
      </c>
      <c r="H5125" s="1" t="s">
        <v>14783</v>
      </c>
      <c r="J5125" s="1" t="s">
        <v>1067</v>
      </c>
      <c r="L5125" s="1" t="s">
        <v>1112</v>
      </c>
      <c r="N5125" s="1" t="s">
        <v>2159</v>
      </c>
      <c r="P5125" s="1" t="s">
        <v>2160</v>
      </c>
      <c r="Q5125" s="3">
        <v>1</v>
      </c>
      <c r="R5125" s="23" t="s">
        <v>11933</v>
      </c>
      <c r="S5125" s="23" t="s">
        <v>5849</v>
      </c>
      <c r="T5125" s="23" t="s">
        <v>4866</v>
      </c>
      <c r="U5125" s="3">
        <v>35</v>
      </c>
      <c r="W5125" s="45" t="str">
        <f>HYPERLINK("http://ictvonline.org/taxonomy/p/taxonomy-history?taxnode_id=201901975","ICTVonline=201901975")</f>
        <v>ICTVonline=201901975</v>
      </c>
      <c r="AA5125" s="1">
        <v>201900000</v>
      </c>
      <c r="AB5125" s="1">
        <v>35</v>
      </c>
    </row>
    <row r="5126" spans="1:28" x14ac:dyDescent="0.2">
      <c r="A5126" s="1">
        <v>13309</v>
      </c>
      <c r="B5126" s="1" t="s">
        <v>6839</v>
      </c>
      <c r="D5126" s="1" t="s">
        <v>11735</v>
      </c>
      <c r="F5126" s="1" t="s">
        <v>14661</v>
      </c>
      <c r="H5126" s="1" t="s">
        <v>14783</v>
      </c>
      <c r="J5126" s="1" t="s">
        <v>1067</v>
      </c>
      <c r="L5126" s="1" t="s">
        <v>1112</v>
      </c>
      <c r="N5126" s="1" t="s">
        <v>2159</v>
      </c>
      <c r="P5126" s="1" t="s">
        <v>4526</v>
      </c>
      <c r="Q5126" s="3">
        <v>0</v>
      </c>
      <c r="R5126" s="23" t="s">
        <v>11933</v>
      </c>
      <c r="S5126" s="23" t="s">
        <v>5849</v>
      </c>
      <c r="T5126" s="23" t="s">
        <v>4866</v>
      </c>
      <c r="U5126" s="3">
        <v>35</v>
      </c>
      <c r="W5126" s="45" t="str">
        <f>HYPERLINK("http://ictvonline.org/taxonomy/p/taxonomy-history?taxnode_id=201901976","ICTVonline=201901976")</f>
        <v>ICTVonline=201901976</v>
      </c>
      <c r="Y5126" s="1" t="s">
        <v>15209</v>
      </c>
      <c r="Z5126" s="1" t="s">
        <v>15210</v>
      </c>
      <c r="AA5126" s="1">
        <v>201900000</v>
      </c>
      <c r="AB5126" s="1">
        <v>35</v>
      </c>
    </row>
    <row r="5127" spans="1:28" x14ac:dyDescent="0.2">
      <c r="A5127" s="1">
        <v>13311</v>
      </c>
      <c r="B5127" s="1" t="s">
        <v>6839</v>
      </c>
      <c r="D5127" s="1" t="s">
        <v>11735</v>
      </c>
      <c r="F5127" s="1" t="s">
        <v>14661</v>
      </c>
      <c r="H5127" s="1" t="s">
        <v>14783</v>
      </c>
      <c r="J5127" s="1" t="s">
        <v>1067</v>
      </c>
      <c r="L5127" s="1" t="s">
        <v>1112</v>
      </c>
      <c r="N5127" s="1" t="s">
        <v>2159</v>
      </c>
      <c r="P5127" s="1" t="s">
        <v>4527</v>
      </c>
      <c r="Q5127" s="3">
        <v>0</v>
      </c>
      <c r="R5127" s="23" t="s">
        <v>11933</v>
      </c>
      <c r="S5127" s="23" t="s">
        <v>5849</v>
      </c>
      <c r="T5127" s="23" t="s">
        <v>4866</v>
      </c>
      <c r="U5127" s="3">
        <v>35</v>
      </c>
      <c r="W5127" s="45" t="str">
        <f>HYPERLINK("http://ictvonline.org/taxonomy/p/taxonomy-history?taxnode_id=201901977","ICTVonline=201901977")</f>
        <v>ICTVonline=201901977</v>
      </c>
      <c r="Y5127" s="1" t="s">
        <v>15211</v>
      </c>
      <c r="Z5127" s="1" t="s">
        <v>15212</v>
      </c>
      <c r="AA5127" s="1">
        <v>201900000</v>
      </c>
      <c r="AB5127" s="1">
        <v>35</v>
      </c>
    </row>
    <row r="5128" spans="1:28" x14ac:dyDescent="0.2">
      <c r="A5128" s="1">
        <v>13313</v>
      </c>
      <c r="B5128" s="1" t="s">
        <v>6839</v>
      </c>
      <c r="D5128" s="1" t="s">
        <v>11735</v>
      </c>
      <c r="F5128" s="1" t="s">
        <v>14661</v>
      </c>
      <c r="H5128" s="1" t="s">
        <v>14783</v>
      </c>
      <c r="J5128" s="1" t="s">
        <v>1067</v>
      </c>
      <c r="L5128" s="1" t="s">
        <v>1112</v>
      </c>
      <c r="N5128" s="1" t="s">
        <v>2159</v>
      </c>
      <c r="P5128" s="1" t="s">
        <v>4528</v>
      </c>
      <c r="Q5128" s="3">
        <v>0</v>
      </c>
      <c r="R5128" s="23" t="s">
        <v>11933</v>
      </c>
      <c r="S5128" s="23" t="s">
        <v>5849</v>
      </c>
      <c r="T5128" s="23" t="s">
        <v>4866</v>
      </c>
      <c r="U5128" s="3">
        <v>35</v>
      </c>
      <c r="W5128" s="45" t="str">
        <f>HYPERLINK("http://ictvonline.org/taxonomy/p/taxonomy-history?taxnode_id=201901978","ICTVonline=201901978")</f>
        <v>ICTVonline=201901978</v>
      </c>
      <c r="Y5128" s="1" t="s">
        <v>15213</v>
      </c>
      <c r="Z5128" s="1" t="s">
        <v>15214</v>
      </c>
      <c r="AA5128" s="1">
        <v>201900000</v>
      </c>
      <c r="AB5128" s="1">
        <v>35</v>
      </c>
    </row>
    <row r="5129" spans="1:28" x14ac:dyDescent="0.2">
      <c r="A5129" s="1">
        <v>13315</v>
      </c>
      <c r="B5129" s="1" t="s">
        <v>6839</v>
      </c>
      <c r="D5129" s="1" t="s">
        <v>11735</v>
      </c>
      <c r="F5129" s="1" t="s">
        <v>14661</v>
      </c>
      <c r="H5129" s="1" t="s">
        <v>14783</v>
      </c>
      <c r="J5129" s="1" t="s">
        <v>1067</v>
      </c>
      <c r="L5129" s="1" t="s">
        <v>1112</v>
      </c>
      <c r="N5129" s="1" t="s">
        <v>2159</v>
      </c>
      <c r="P5129" s="1" t="s">
        <v>4529</v>
      </c>
      <c r="Q5129" s="3">
        <v>0</v>
      </c>
      <c r="R5129" s="23" t="s">
        <v>11933</v>
      </c>
      <c r="S5129" s="23" t="s">
        <v>5849</v>
      </c>
      <c r="T5129" s="23" t="s">
        <v>4866</v>
      </c>
      <c r="U5129" s="3">
        <v>35</v>
      </c>
      <c r="W5129" s="45" t="str">
        <f>HYPERLINK("http://ictvonline.org/taxonomy/p/taxonomy-history?taxnode_id=201901979","ICTVonline=201901979")</f>
        <v>ICTVonline=201901979</v>
      </c>
      <c r="Y5129" s="1" t="s">
        <v>15215</v>
      </c>
      <c r="Z5129" s="1" t="s">
        <v>15216</v>
      </c>
      <c r="AA5129" s="1">
        <v>201900000</v>
      </c>
      <c r="AB5129" s="1">
        <v>35</v>
      </c>
    </row>
    <row r="5130" spans="1:28" x14ac:dyDescent="0.2">
      <c r="A5130" s="1">
        <v>13319</v>
      </c>
      <c r="B5130" s="1" t="s">
        <v>6839</v>
      </c>
      <c r="D5130" s="1" t="s">
        <v>11735</v>
      </c>
      <c r="F5130" s="1" t="s">
        <v>14661</v>
      </c>
      <c r="H5130" s="1" t="s">
        <v>14783</v>
      </c>
      <c r="J5130" s="1" t="s">
        <v>1067</v>
      </c>
      <c r="L5130" s="1" t="s">
        <v>1112</v>
      </c>
      <c r="N5130" s="1" t="s">
        <v>15217</v>
      </c>
      <c r="P5130" s="1" t="s">
        <v>15218</v>
      </c>
      <c r="Q5130" s="3">
        <v>1</v>
      </c>
      <c r="R5130" s="23" t="s">
        <v>11933</v>
      </c>
      <c r="S5130" s="23" t="s">
        <v>5849</v>
      </c>
      <c r="T5130" s="23" t="s">
        <v>4864</v>
      </c>
      <c r="U5130" s="3">
        <v>35</v>
      </c>
      <c r="V5130" s="3" t="s">
        <v>15219</v>
      </c>
      <c r="W5130" s="45" t="str">
        <f>HYPERLINK("http://ictvonline.org/taxonomy/p/taxonomy-history?taxnode_id=201907132","ICTVonline=201907132")</f>
        <v>ICTVonline=201907132</v>
      </c>
      <c r="Y5130" s="1" t="s">
        <v>15220</v>
      </c>
      <c r="Z5130" s="1" t="s">
        <v>15221</v>
      </c>
      <c r="AA5130" s="1">
        <v>201900000</v>
      </c>
      <c r="AB5130" s="1">
        <v>35</v>
      </c>
    </row>
    <row r="5131" spans="1:28" x14ac:dyDescent="0.2">
      <c r="A5131" s="1">
        <v>13323</v>
      </c>
      <c r="B5131" s="1" t="s">
        <v>6839</v>
      </c>
      <c r="D5131" s="1" t="s">
        <v>11735</v>
      </c>
      <c r="F5131" s="1" t="s">
        <v>14661</v>
      </c>
      <c r="H5131" s="1" t="s">
        <v>14783</v>
      </c>
      <c r="J5131" s="1" t="s">
        <v>1067</v>
      </c>
      <c r="L5131" s="1" t="s">
        <v>1112</v>
      </c>
      <c r="N5131" s="1" t="s">
        <v>5088</v>
      </c>
      <c r="P5131" s="1" t="s">
        <v>5089</v>
      </c>
      <c r="Q5131" s="3">
        <v>0</v>
      </c>
      <c r="R5131" s="23" t="s">
        <v>11933</v>
      </c>
      <c r="S5131" s="23" t="s">
        <v>5849</v>
      </c>
      <c r="T5131" s="23" t="s">
        <v>4866</v>
      </c>
      <c r="U5131" s="3">
        <v>35</v>
      </c>
      <c r="W5131" s="45" t="str">
        <f>HYPERLINK("http://ictvonline.org/taxonomy/p/taxonomy-history?taxnode_id=201905593","ICTVonline=201905593")</f>
        <v>ICTVonline=201905593</v>
      </c>
      <c r="AA5131" s="1">
        <v>201900000</v>
      </c>
      <c r="AB5131" s="1">
        <v>35</v>
      </c>
    </row>
    <row r="5132" spans="1:28" x14ac:dyDescent="0.2">
      <c r="A5132" s="1">
        <v>13325</v>
      </c>
      <c r="B5132" s="1" t="s">
        <v>6839</v>
      </c>
      <c r="D5132" s="1" t="s">
        <v>11735</v>
      </c>
      <c r="F5132" s="1" t="s">
        <v>14661</v>
      </c>
      <c r="H5132" s="1" t="s">
        <v>14783</v>
      </c>
      <c r="J5132" s="1" t="s">
        <v>1067</v>
      </c>
      <c r="L5132" s="1" t="s">
        <v>1112</v>
      </c>
      <c r="N5132" s="1" t="s">
        <v>5088</v>
      </c>
      <c r="P5132" s="1" t="s">
        <v>5090</v>
      </c>
      <c r="Q5132" s="3">
        <v>1</v>
      </c>
      <c r="R5132" s="23" t="s">
        <v>11933</v>
      </c>
      <c r="S5132" s="23" t="s">
        <v>5849</v>
      </c>
      <c r="T5132" s="23" t="s">
        <v>4866</v>
      </c>
      <c r="U5132" s="3">
        <v>35</v>
      </c>
      <c r="W5132" s="45" t="str">
        <f>HYPERLINK("http://ictvonline.org/taxonomy/p/taxonomy-history?taxnode_id=201905594","ICTVonline=201905594")</f>
        <v>ICTVonline=201905594</v>
      </c>
      <c r="AA5132" s="1">
        <v>201900000</v>
      </c>
      <c r="AB5132" s="1">
        <v>35</v>
      </c>
    </row>
    <row r="5133" spans="1:28" x14ac:dyDescent="0.2">
      <c r="A5133" s="1">
        <v>13329</v>
      </c>
      <c r="B5133" s="1" t="s">
        <v>6839</v>
      </c>
      <c r="D5133" s="1" t="s">
        <v>11735</v>
      </c>
      <c r="F5133" s="1" t="s">
        <v>14661</v>
      </c>
      <c r="H5133" s="1" t="s">
        <v>14783</v>
      </c>
      <c r="J5133" s="1" t="s">
        <v>1067</v>
      </c>
      <c r="L5133" s="1" t="s">
        <v>1112</v>
      </c>
      <c r="N5133" s="1" t="s">
        <v>2161</v>
      </c>
      <c r="P5133" s="1" t="s">
        <v>2162</v>
      </c>
      <c r="Q5133" s="3">
        <v>1</v>
      </c>
      <c r="R5133" s="23" t="s">
        <v>11933</v>
      </c>
      <c r="S5133" s="23" t="s">
        <v>5849</v>
      </c>
      <c r="T5133" s="23" t="s">
        <v>4866</v>
      </c>
      <c r="U5133" s="3">
        <v>35</v>
      </c>
      <c r="W5133" s="45" t="str">
        <f>HYPERLINK("http://ictvonline.org/taxonomy/p/taxonomy-history?taxnode_id=201901981","ICTVonline=201901981")</f>
        <v>ICTVonline=201901981</v>
      </c>
      <c r="AA5133" s="1">
        <v>201900000</v>
      </c>
      <c r="AB5133" s="1">
        <v>35</v>
      </c>
    </row>
    <row r="5134" spans="1:28" x14ac:dyDescent="0.2">
      <c r="A5134" s="1">
        <v>13331</v>
      </c>
      <c r="B5134" s="1" t="s">
        <v>6839</v>
      </c>
      <c r="D5134" s="1" t="s">
        <v>11735</v>
      </c>
      <c r="F5134" s="1" t="s">
        <v>14661</v>
      </c>
      <c r="H5134" s="1" t="s">
        <v>14783</v>
      </c>
      <c r="J5134" s="1" t="s">
        <v>1067</v>
      </c>
      <c r="L5134" s="1" t="s">
        <v>1112</v>
      </c>
      <c r="N5134" s="1" t="s">
        <v>2161</v>
      </c>
      <c r="P5134" s="1" t="s">
        <v>6631</v>
      </c>
      <c r="Q5134" s="3">
        <v>0</v>
      </c>
      <c r="R5134" s="23" t="s">
        <v>11933</v>
      </c>
      <c r="S5134" s="23" t="s">
        <v>5849</v>
      </c>
      <c r="T5134" s="23" t="s">
        <v>4866</v>
      </c>
      <c r="U5134" s="3">
        <v>35</v>
      </c>
      <c r="W5134" s="45" t="str">
        <f>HYPERLINK("http://ictvonline.org/taxonomy/p/taxonomy-history?taxnode_id=201906291","ICTVonline=201906291")</f>
        <v>ICTVonline=201906291</v>
      </c>
      <c r="Y5134" s="1" t="s">
        <v>15222</v>
      </c>
      <c r="Z5134" s="1" t="s">
        <v>15223</v>
      </c>
      <c r="AA5134" s="1">
        <v>201900000</v>
      </c>
      <c r="AB5134" s="1">
        <v>35</v>
      </c>
    </row>
    <row r="5135" spans="1:28" x14ac:dyDescent="0.2">
      <c r="A5135" s="1">
        <v>13335</v>
      </c>
      <c r="B5135" s="1" t="s">
        <v>6839</v>
      </c>
      <c r="D5135" s="1" t="s">
        <v>11735</v>
      </c>
      <c r="F5135" s="1" t="s">
        <v>14661</v>
      </c>
      <c r="H5135" s="1" t="s">
        <v>14783</v>
      </c>
      <c r="J5135" s="1" t="s">
        <v>1067</v>
      </c>
      <c r="L5135" s="1" t="s">
        <v>1112</v>
      </c>
      <c r="N5135" s="1" t="s">
        <v>15224</v>
      </c>
      <c r="P5135" s="1" t="s">
        <v>15225</v>
      </c>
      <c r="Q5135" s="3">
        <v>1</v>
      </c>
      <c r="R5135" s="23" t="s">
        <v>11933</v>
      </c>
      <c r="S5135" s="23" t="s">
        <v>5849</v>
      </c>
      <c r="T5135" s="23" t="s">
        <v>4864</v>
      </c>
      <c r="U5135" s="3">
        <v>35</v>
      </c>
      <c r="V5135" s="3" t="s">
        <v>15226</v>
      </c>
      <c r="W5135" s="45" t="str">
        <f>HYPERLINK("http://ictvonline.org/taxonomy/p/taxonomy-history?taxnode_id=201907188","ICTVonline=201907188")</f>
        <v>ICTVonline=201907188</v>
      </c>
      <c r="Y5135" s="1" t="s">
        <v>15227</v>
      </c>
      <c r="Z5135" s="1" t="s">
        <v>15228</v>
      </c>
      <c r="AA5135" s="1">
        <v>201900000</v>
      </c>
      <c r="AB5135" s="1">
        <v>35</v>
      </c>
    </row>
    <row r="5136" spans="1:28" x14ac:dyDescent="0.2">
      <c r="A5136" s="1">
        <v>13337</v>
      </c>
      <c r="B5136" s="1" t="s">
        <v>6839</v>
      </c>
      <c r="D5136" s="1" t="s">
        <v>11735</v>
      </c>
      <c r="F5136" s="1" t="s">
        <v>14661</v>
      </c>
      <c r="H5136" s="1" t="s">
        <v>14783</v>
      </c>
      <c r="J5136" s="1" t="s">
        <v>1067</v>
      </c>
      <c r="L5136" s="1" t="s">
        <v>1112</v>
      </c>
      <c r="N5136" s="1" t="s">
        <v>15224</v>
      </c>
      <c r="P5136" s="1" t="s">
        <v>15229</v>
      </c>
      <c r="Q5136" s="3">
        <v>0</v>
      </c>
      <c r="R5136" s="23" t="s">
        <v>11933</v>
      </c>
      <c r="S5136" s="23" t="s">
        <v>5849</v>
      </c>
      <c r="T5136" s="23" t="s">
        <v>4864</v>
      </c>
      <c r="U5136" s="3">
        <v>35</v>
      </c>
      <c r="V5136" s="3" t="s">
        <v>15226</v>
      </c>
      <c r="W5136" s="45" t="str">
        <f>HYPERLINK("http://ictvonline.org/taxonomy/p/taxonomy-history?taxnode_id=201907189","ICTVonline=201907189")</f>
        <v>ICTVonline=201907189</v>
      </c>
      <c r="Y5136" s="1" t="s">
        <v>15230</v>
      </c>
      <c r="Z5136" s="1" t="s">
        <v>15231</v>
      </c>
      <c r="AA5136" s="1">
        <v>201900000</v>
      </c>
      <c r="AB5136" s="1">
        <v>35</v>
      </c>
    </row>
    <row r="5137" spans="1:28" x14ac:dyDescent="0.2">
      <c r="A5137" s="1">
        <v>13341</v>
      </c>
      <c r="B5137" s="1" t="s">
        <v>6839</v>
      </c>
      <c r="D5137" s="1" t="s">
        <v>11735</v>
      </c>
      <c r="F5137" s="1" t="s">
        <v>14661</v>
      </c>
      <c r="H5137" s="1" t="s">
        <v>14783</v>
      </c>
      <c r="J5137" s="1" t="s">
        <v>1067</v>
      </c>
      <c r="L5137" s="1" t="s">
        <v>1112</v>
      </c>
      <c r="N5137" s="1" t="s">
        <v>622</v>
      </c>
      <c r="P5137" s="1" t="s">
        <v>2163</v>
      </c>
      <c r="Q5137" s="3">
        <v>0</v>
      </c>
      <c r="R5137" s="23" t="s">
        <v>11933</v>
      </c>
      <c r="S5137" s="23" t="s">
        <v>5849</v>
      </c>
      <c r="T5137" s="23" t="s">
        <v>4866</v>
      </c>
      <c r="U5137" s="3">
        <v>35</v>
      </c>
      <c r="W5137" s="45" t="str">
        <f>HYPERLINK("http://ictvonline.org/taxonomy/p/taxonomy-history?taxnode_id=201901983","ICTVonline=201901983")</f>
        <v>ICTVonline=201901983</v>
      </c>
      <c r="AA5137" s="1">
        <v>201900000</v>
      </c>
      <c r="AB5137" s="1">
        <v>35</v>
      </c>
    </row>
    <row r="5138" spans="1:28" x14ac:dyDescent="0.2">
      <c r="A5138" s="1">
        <v>13343</v>
      </c>
      <c r="B5138" s="1" t="s">
        <v>6839</v>
      </c>
      <c r="D5138" s="1" t="s">
        <v>11735</v>
      </c>
      <c r="F5138" s="1" t="s">
        <v>14661</v>
      </c>
      <c r="H5138" s="1" t="s">
        <v>14783</v>
      </c>
      <c r="J5138" s="1" t="s">
        <v>1067</v>
      </c>
      <c r="L5138" s="1" t="s">
        <v>1112</v>
      </c>
      <c r="N5138" s="1" t="s">
        <v>622</v>
      </c>
      <c r="P5138" s="1" t="s">
        <v>2164</v>
      </c>
      <c r="Q5138" s="3">
        <v>0</v>
      </c>
      <c r="R5138" s="23" t="s">
        <v>11933</v>
      </c>
      <c r="S5138" s="23" t="s">
        <v>5849</v>
      </c>
      <c r="T5138" s="23" t="s">
        <v>4866</v>
      </c>
      <c r="U5138" s="3">
        <v>35</v>
      </c>
      <c r="W5138" s="45" t="str">
        <f>HYPERLINK("http://ictvonline.org/taxonomy/p/taxonomy-history?taxnode_id=201901984","ICTVonline=201901984")</f>
        <v>ICTVonline=201901984</v>
      </c>
      <c r="AA5138" s="1">
        <v>201900000</v>
      </c>
      <c r="AB5138" s="1">
        <v>35</v>
      </c>
    </row>
    <row r="5139" spans="1:28" x14ac:dyDescent="0.2">
      <c r="A5139" s="1">
        <v>13345</v>
      </c>
      <c r="B5139" s="1" t="s">
        <v>6839</v>
      </c>
      <c r="D5139" s="1" t="s">
        <v>11735</v>
      </c>
      <c r="F5139" s="1" t="s">
        <v>14661</v>
      </c>
      <c r="H5139" s="1" t="s">
        <v>14783</v>
      </c>
      <c r="J5139" s="1" t="s">
        <v>1067</v>
      </c>
      <c r="L5139" s="1" t="s">
        <v>1112</v>
      </c>
      <c r="N5139" s="1" t="s">
        <v>622</v>
      </c>
      <c r="P5139" s="1" t="s">
        <v>2165</v>
      </c>
      <c r="Q5139" s="3">
        <v>1</v>
      </c>
      <c r="R5139" s="23" t="s">
        <v>11933</v>
      </c>
      <c r="S5139" s="23" t="s">
        <v>5849</v>
      </c>
      <c r="T5139" s="23" t="s">
        <v>4866</v>
      </c>
      <c r="U5139" s="3">
        <v>35</v>
      </c>
      <c r="W5139" s="45" t="str">
        <f>HYPERLINK("http://ictvonline.org/taxonomy/p/taxonomy-history?taxnode_id=201901985","ICTVonline=201901985")</f>
        <v>ICTVonline=201901985</v>
      </c>
      <c r="AA5139" s="1">
        <v>201900000</v>
      </c>
      <c r="AB5139" s="1">
        <v>35</v>
      </c>
    </row>
    <row r="5140" spans="1:28" x14ac:dyDescent="0.2">
      <c r="A5140" s="1">
        <v>13347</v>
      </c>
      <c r="B5140" s="1" t="s">
        <v>6839</v>
      </c>
      <c r="D5140" s="1" t="s">
        <v>11735</v>
      </c>
      <c r="F5140" s="1" t="s">
        <v>14661</v>
      </c>
      <c r="H5140" s="1" t="s">
        <v>14783</v>
      </c>
      <c r="J5140" s="1" t="s">
        <v>1067</v>
      </c>
      <c r="L5140" s="1" t="s">
        <v>1112</v>
      </c>
      <c r="N5140" s="1" t="s">
        <v>622</v>
      </c>
      <c r="P5140" s="1" t="s">
        <v>2166</v>
      </c>
      <c r="Q5140" s="3">
        <v>0</v>
      </c>
      <c r="R5140" s="23" t="s">
        <v>11933</v>
      </c>
      <c r="S5140" s="23" t="s">
        <v>5849</v>
      </c>
      <c r="T5140" s="23" t="s">
        <v>4866</v>
      </c>
      <c r="U5140" s="3">
        <v>35</v>
      </c>
      <c r="W5140" s="45" t="str">
        <f>HYPERLINK("http://ictvonline.org/taxonomy/p/taxonomy-history?taxnode_id=201901986","ICTVonline=201901986")</f>
        <v>ICTVonline=201901986</v>
      </c>
      <c r="AA5140" s="1">
        <v>201900000</v>
      </c>
      <c r="AB5140" s="1">
        <v>35</v>
      </c>
    </row>
    <row r="5141" spans="1:28" x14ac:dyDescent="0.2">
      <c r="A5141" s="1">
        <v>13349</v>
      </c>
      <c r="B5141" s="1" t="s">
        <v>6839</v>
      </c>
      <c r="D5141" s="1" t="s">
        <v>11735</v>
      </c>
      <c r="F5141" s="1" t="s">
        <v>14661</v>
      </c>
      <c r="H5141" s="1" t="s">
        <v>14783</v>
      </c>
      <c r="J5141" s="1" t="s">
        <v>1067</v>
      </c>
      <c r="L5141" s="1" t="s">
        <v>1112</v>
      </c>
      <c r="N5141" s="1" t="s">
        <v>622</v>
      </c>
      <c r="P5141" s="1" t="s">
        <v>2167</v>
      </c>
      <c r="Q5141" s="3">
        <v>0</v>
      </c>
      <c r="R5141" s="23" t="s">
        <v>11933</v>
      </c>
      <c r="S5141" s="23" t="s">
        <v>5849</v>
      </c>
      <c r="T5141" s="23" t="s">
        <v>4866</v>
      </c>
      <c r="U5141" s="3">
        <v>35</v>
      </c>
      <c r="W5141" s="45" t="str">
        <f>HYPERLINK("http://ictvonline.org/taxonomy/p/taxonomy-history?taxnode_id=201901987","ICTVonline=201901987")</f>
        <v>ICTVonline=201901987</v>
      </c>
      <c r="AA5141" s="1">
        <v>201900000</v>
      </c>
      <c r="AB5141" s="1">
        <v>35</v>
      </c>
    </row>
    <row r="5142" spans="1:28" x14ac:dyDescent="0.2">
      <c r="A5142" s="1">
        <v>13351</v>
      </c>
      <c r="B5142" s="1" t="s">
        <v>6839</v>
      </c>
      <c r="D5142" s="1" t="s">
        <v>11735</v>
      </c>
      <c r="F5142" s="1" t="s">
        <v>14661</v>
      </c>
      <c r="H5142" s="1" t="s">
        <v>14783</v>
      </c>
      <c r="J5142" s="1" t="s">
        <v>1067</v>
      </c>
      <c r="L5142" s="1" t="s">
        <v>1112</v>
      </c>
      <c r="N5142" s="1" t="s">
        <v>622</v>
      </c>
      <c r="P5142" s="1" t="s">
        <v>2168</v>
      </c>
      <c r="Q5142" s="3">
        <v>0</v>
      </c>
      <c r="R5142" s="23" t="s">
        <v>11933</v>
      </c>
      <c r="S5142" s="23" t="s">
        <v>5849</v>
      </c>
      <c r="T5142" s="23" t="s">
        <v>4866</v>
      </c>
      <c r="U5142" s="3">
        <v>35</v>
      </c>
      <c r="W5142" s="45" t="str">
        <f>HYPERLINK("http://ictvonline.org/taxonomy/p/taxonomy-history?taxnode_id=201901988","ICTVonline=201901988")</f>
        <v>ICTVonline=201901988</v>
      </c>
      <c r="AA5142" s="1">
        <v>201900000</v>
      </c>
      <c r="AB5142" s="1">
        <v>35</v>
      </c>
    </row>
    <row r="5143" spans="1:28" x14ac:dyDescent="0.2">
      <c r="A5143" s="1">
        <v>13353</v>
      </c>
      <c r="B5143" s="1" t="s">
        <v>6839</v>
      </c>
      <c r="D5143" s="1" t="s">
        <v>11735</v>
      </c>
      <c r="F5143" s="1" t="s">
        <v>14661</v>
      </c>
      <c r="H5143" s="1" t="s">
        <v>14783</v>
      </c>
      <c r="J5143" s="1" t="s">
        <v>1067</v>
      </c>
      <c r="L5143" s="1" t="s">
        <v>1112</v>
      </c>
      <c r="N5143" s="1" t="s">
        <v>622</v>
      </c>
      <c r="P5143" s="1" t="s">
        <v>2169</v>
      </c>
      <c r="Q5143" s="3">
        <v>0</v>
      </c>
      <c r="R5143" s="23" t="s">
        <v>11933</v>
      </c>
      <c r="S5143" s="23" t="s">
        <v>5849</v>
      </c>
      <c r="T5143" s="23" t="s">
        <v>4866</v>
      </c>
      <c r="U5143" s="3">
        <v>35</v>
      </c>
      <c r="W5143" s="45" t="str">
        <f>HYPERLINK("http://ictvonline.org/taxonomy/p/taxonomy-history?taxnode_id=201901989","ICTVonline=201901989")</f>
        <v>ICTVonline=201901989</v>
      </c>
      <c r="AA5143" s="1">
        <v>201900000</v>
      </c>
      <c r="AB5143" s="1">
        <v>35</v>
      </c>
    </row>
    <row r="5144" spans="1:28" x14ac:dyDescent="0.2">
      <c r="A5144" s="1">
        <v>13355</v>
      </c>
      <c r="B5144" s="1" t="s">
        <v>6839</v>
      </c>
      <c r="D5144" s="1" t="s">
        <v>11735</v>
      </c>
      <c r="F5144" s="1" t="s">
        <v>14661</v>
      </c>
      <c r="H5144" s="1" t="s">
        <v>14783</v>
      </c>
      <c r="J5144" s="1" t="s">
        <v>1067</v>
      </c>
      <c r="L5144" s="1" t="s">
        <v>1112</v>
      </c>
      <c r="N5144" s="1" t="s">
        <v>622</v>
      </c>
      <c r="P5144" s="1" t="s">
        <v>2170</v>
      </c>
      <c r="Q5144" s="3">
        <v>0</v>
      </c>
      <c r="R5144" s="23" t="s">
        <v>11933</v>
      </c>
      <c r="S5144" s="23" t="s">
        <v>5849</v>
      </c>
      <c r="T5144" s="23" t="s">
        <v>4866</v>
      </c>
      <c r="U5144" s="3">
        <v>35</v>
      </c>
      <c r="W5144" s="45" t="str">
        <f>HYPERLINK("http://ictvonline.org/taxonomy/p/taxonomy-history?taxnode_id=201901990","ICTVonline=201901990")</f>
        <v>ICTVonline=201901990</v>
      </c>
      <c r="AA5144" s="1">
        <v>201900000</v>
      </c>
      <c r="AB5144" s="1">
        <v>35</v>
      </c>
    </row>
    <row r="5145" spans="1:28" x14ac:dyDescent="0.2">
      <c r="A5145" s="1">
        <v>13357</v>
      </c>
      <c r="B5145" s="1" t="s">
        <v>6839</v>
      </c>
      <c r="D5145" s="1" t="s">
        <v>11735</v>
      </c>
      <c r="F5145" s="1" t="s">
        <v>14661</v>
      </c>
      <c r="H5145" s="1" t="s">
        <v>14783</v>
      </c>
      <c r="J5145" s="1" t="s">
        <v>1067</v>
      </c>
      <c r="L5145" s="1" t="s">
        <v>1112</v>
      </c>
      <c r="N5145" s="1" t="s">
        <v>622</v>
      </c>
      <c r="P5145" s="1" t="s">
        <v>4530</v>
      </c>
      <c r="Q5145" s="3">
        <v>0</v>
      </c>
      <c r="R5145" s="23" t="s">
        <v>11933</v>
      </c>
      <c r="S5145" s="23" t="s">
        <v>5849</v>
      </c>
      <c r="T5145" s="23" t="s">
        <v>4866</v>
      </c>
      <c r="U5145" s="3">
        <v>35</v>
      </c>
      <c r="W5145" s="45" t="str">
        <f>HYPERLINK("http://ictvonline.org/taxonomy/p/taxonomy-history?taxnode_id=201901991","ICTVonline=201901991")</f>
        <v>ICTVonline=201901991</v>
      </c>
      <c r="Y5145" s="1" t="s">
        <v>15232</v>
      </c>
      <c r="Z5145" s="1" t="s">
        <v>15233</v>
      </c>
      <c r="AA5145" s="1">
        <v>201900000</v>
      </c>
      <c r="AB5145" s="1">
        <v>35</v>
      </c>
    </row>
    <row r="5146" spans="1:28" x14ac:dyDescent="0.2">
      <c r="A5146" s="1">
        <v>13359</v>
      </c>
      <c r="B5146" s="1" t="s">
        <v>6839</v>
      </c>
      <c r="D5146" s="1" t="s">
        <v>11735</v>
      </c>
      <c r="F5146" s="1" t="s">
        <v>14661</v>
      </c>
      <c r="H5146" s="1" t="s">
        <v>14783</v>
      </c>
      <c r="J5146" s="1" t="s">
        <v>1067</v>
      </c>
      <c r="L5146" s="1" t="s">
        <v>1112</v>
      </c>
      <c r="N5146" s="1" t="s">
        <v>622</v>
      </c>
      <c r="P5146" s="1" t="s">
        <v>2171</v>
      </c>
      <c r="Q5146" s="3">
        <v>0</v>
      </c>
      <c r="R5146" s="23" t="s">
        <v>11933</v>
      </c>
      <c r="S5146" s="23" t="s">
        <v>5849</v>
      </c>
      <c r="T5146" s="23" t="s">
        <v>4866</v>
      </c>
      <c r="U5146" s="3">
        <v>35</v>
      </c>
      <c r="W5146" s="45" t="str">
        <f>HYPERLINK("http://ictvonline.org/taxonomy/p/taxonomy-history?taxnode_id=201901992","ICTVonline=201901992")</f>
        <v>ICTVonline=201901992</v>
      </c>
      <c r="AA5146" s="1">
        <v>201900000</v>
      </c>
      <c r="AB5146" s="1">
        <v>35</v>
      </c>
    </row>
    <row r="5147" spans="1:28" x14ac:dyDescent="0.2">
      <c r="A5147" s="1">
        <v>13361</v>
      </c>
      <c r="B5147" s="1" t="s">
        <v>6839</v>
      </c>
      <c r="D5147" s="1" t="s">
        <v>11735</v>
      </c>
      <c r="F5147" s="1" t="s">
        <v>14661</v>
      </c>
      <c r="H5147" s="1" t="s">
        <v>14783</v>
      </c>
      <c r="J5147" s="1" t="s">
        <v>1067</v>
      </c>
      <c r="L5147" s="1" t="s">
        <v>1112</v>
      </c>
      <c r="N5147" s="1" t="s">
        <v>622</v>
      </c>
      <c r="P5147" s="1" t="s">
        <v>5091</v>
      </c>
      <c r="Q5147" s="3">
        <v>0</v>
      </c>
      <c r="R5147" s="23" t="s">
        <v>11933</v>
      </c>
      <c r="S5147" s="23" t="s">
        <v>5849</v>
      </c>
      <c r="T5147" s="23" t="s">
        <v>4866</v>
      </c>
      <c r="U5147" s="3">
        <v>35</v>
      </c>
      <c r="W5147" s="45" t="str">
        <f>HYPERLINK("http://ictvonline.org/taxonomy/p/taxonomy-history?taxnode_id=201905596","ICTVonline=201905596")</f>
        <v>ICTVonline=201905596</v>
      </c>
      <c r="AA5147" s="1">
        <v>201900000</v>
      </c>
      <c r="AB5147" s="1">
        <v>35</v>
      </c>
    </row>
    <row r="5148" spans="1:28" x14ac:dyDescent="0.2">
      <c r="A5148" s="1">
        <v>13363</v>
      </c>
      <c r="B5148" s="1" t="s">
        <v>6839</v>
      </c>
      <c r="D5148" s="1" t="s">
        <v>11735</v>
      </c>
      <c r="F5148" s="1" t="s">
        <v>14661</v>
      </c>
      <c r="H5148" s="1" t="s">
        <v>14783</v>
      </c>
      <c r="J5148" s="1" t="s">
        <v>1067</v>
      </c>
      <c r="L5148" s="1" t="s">
        <v>1112</v>
      </c>
      <c r="N5148" s="1" t="s">
        <v>622</v>
      </c>
      <c r="P5148" s="1" t="s">
        <v>5092</v>
      </c>
      <c r="Q5148" s="3">
        <v>0</v>
      </c>
      <c r="R5148" s="23" t="s">
        <v>11933</v>
      </c>
      <c r="S5148" s="23" t="s">
        <v>5849</v>
      </c>
      <c r="T5148" s="23" t="s">
        <v>4866</v>
      </c>
      <c r="U5148" s="3">
        <v>35</v>
      </c>
      <c r="W5148" s="45" t="str">
        <f>HYPERLINK("http://ictvonline.org/taxonomy/p/taxonomy-history?taxnode_id=201905597","ICTVonline=201905597")</f>
        <v>ICTVonline=201905597</v>
      </c>
      <c r="AA5148" s="1">
        <v>201900000</v>
      </c>
      <c r="AB5148" s="1">
        <v>35</v>
      </c>
    </row>
    <row r="5149" spans="1:28" x14ac:dyDescent="0.2">
      <c r="A5149" s="1">
        <v>13365</v>
      </c>
      <c r="B5149" s="1" t="s">
        <v>6839</v>
      </c>
      <c r="D5149" s="1" t="s">
        <v>11735</v>
      </c>
      <c r="F5149" s="1" t="s">
        <v>14661</v>
      </c>
      <c r="H5149" s="1" t="s">
        <v>14783</v>
      </c>
      <c r="J5149" s="1" t="s">
        <v>1067</v>
      </c>
      <c r="L5149" s="1" t="s">
        <v>1112</v>
      </c>
      <c r="N5149" s="1" t="s">
        <v>622</v>
      </c>
      <c r="P5149" s="1" t="s">
        <v>2172</v>
      </c>
      <c r="Q5149" s="3">
        <v>0</v>
      </c>
      <c r="R5149" s="23" t="s">
        <v>11933</v>
      </c>
      <c r="S5149" s="23" t="s">
        <v>5849</v>
      </c>
      <c r="T5149" s="23" t="s">
        <v>4866</v>
      </c>
      <c r="U5149" s="3">
        <v>35</v>
      </c>
      <c r="W5149" s="45" t="str">
        <f>HYPERLINK("http://ictvonline.org/taxonomy/p/taxonomy-history?taxnode_id=201901993","ICTVonline=201901993")</f>
        <v>ICTVonline=201901993</v>
      </c>
      <c r="AA5149" s="1">
        <v>201900000</v>
      </c>
      <c r="AB5149" s="1">
        <v>35</v>
      </c>
    </row>
    <row r="5150" spans="1:28" x14ac:dyDescent="0.2">
      <c r="A5150" s="1">
        <v>13367</v>
      </c>
      <c r="B5150" s="1" t="s">
        <v>6839</v>
      </c>
      <c r="D5150" s="1" t="s">
        <v>11735</v>
      </c>
      <c r="F5150" s="1" t="s">
        <v>14661</v>
      </c>
      <c r="H5150" s="1" t="s">
        <v>14783</v>
      </c>
      <c r="J5150" s="1" t="s">
        <v>1067</v>
      </c>
      <c r="L5150" s="1" t="s">
        <v>1112</v>
      </c>
      <c r="N5150" s="1" t="s">
        <v>622</v>
      </c>
      <c r="P5150" s="1" t="s">
        <v>2173</v>
      </c>
      <c r="Q5150" s="3">
        <v>0</v>
      </c>
      <c r="R5150" s="23" t="s">
        <v>11933</v>
      </c>
      <c r="S5150" s="23" t="s">
        <v>5849</v>
      </c>
      <c r="T5150" s="23" t="s">
        <v>4866</v>
      </c>
      <c r="U5150" s="3">
        <v>35</v>
      </c>
      <c r="W5150" s="45" t="str">
        <f>HYPERLINK("http://ictvonline.org/taxonomy/p/taxonomy-history?taxnode_id=201901994","ICTVonline=201901994")</f>
        <v>ICTVonline=201901994</v>
      </c>
      <c r="AA5150" s="1">
        <v>201900000</v>
      </c>
      <c r="AB5150" s="1">
        <v>35</v>
      </c>
    </row>
    <row r="5151" spans="1:28" x14ac:dyDescent="0.2">
      <c r="A5151" s="1">
        <v>13369</v>
      </c>
      <c r="B5151" s="1" t="s">
        <v>6839</v>
      </c>
      <c r="D5151" s="1" t="s">
        <v>11735</v>
      </c>
      <c r="F5151" s="1" t="s">
        <v>14661</v>
      </c>
      <c r="H5151" s="1" t="s">
        <v>14783</v>
      </c>
      <c r="J5151" s="1" t="s">
        <v>1067</v>
      </c>
      <c r="L5151" s="1" t="s">
        <v>1112</v>
      </c>
      <c r="N5151" s="1" t="s">
        <v>622</v>
      </c>
      <c r="P5151" s="1" t="s">
        <v>2174</v>
      </c>
      <c r="Q5151" s="3">
        <v>0</v>
      </c>
      <c r="R5151" s="23" t="s">
        <v>11933</v>
      </c>
      <c r="S5151" s="23" t="s">
        <v>5849</v>
      </c>
      <c r="T5151" s="23" t="s">
        <v>4866</v>
      </c>
      <c r="U5151" s="3">
        <v>35</v>
      </c>
      <c r="W5151" s="45" t="str">
        <f>HYPERLINK("http://ictvonline.org/taxonomy/p/taxonomy-history?taxnode_id=201901995","ICTVonline=201901995")</f>
        <v>ICTVonline=201901995</v>
      </c>
      <c r="AA5151" s="1">
        <v>201900000</v>
      </c>
      <c r="AB5151" s="1">
        <v>35</v>
      </c>
    </row>
    <row r="5152" spans="1:28" x14ac:dyDescent="0.2">
      <c r="A5152" s="1">
        <v>13373</v>
      </c>
      <c r="B5152" s="1" t="s">
        <v>6839</v>
      </c>
      <c r="D5152" s="1" t="s">
        <v>11735</v>
      </c>
      <c r="F5152" s="1" t="s">
        <v>14661</v>
      </c>
      <c r="H5152" s="1" t="s">
        <v>14783</v>
      </c>
      <c r="J5152" s="1" t="s">
        <v>1067</v>
      </c>
      <c r="L5152" s="1" t="s">
        <v>1112</v>
      </c>
      <c r="N5152" s="1" t="s">
        <v>625</v>
      </c>
      <c r="P5152" s="1" t="s">
        <v>2606</v>
      </c>
      <c r="Q5152" s="3">
        <v>1</v>
      </c>
      <c r="R5152" s="23" t="s">
        <v>11933</v>
      </c>
      <c r="S5152" s="23" t="s">
        <v>5849</v>
      </c>
      <c r="T5152" s="23" t="s">
        <v>4866</v>
      </c>
      <c r="U5152" s="3">
        <v>35</v>
      </c>
      <c r="W5152" s="45" t="str">
        <f>HYPERLINK("http://ictvonline.org/taxonomy/p/taxonomy-history?taxnode_id=201901997","ICTVonline=201901997")</f>
        <v>ICTVonline=201901997</v>
      </c>
      <c r="AA5152" s="1">
        <v>201900000</v>
      </c>
      <c r="AB5152" s="1">
        <v>35</v>
      </c>
    </row>
    <row r="5153" spans="1:28" x14ac:dyDescent="0.2">
      <c r="A5153" s="1">
        <v>13377</v>
      </c>
      <c r="B5153" s="1" t="s">
        <v>6839</v>
      </c>
      <c r="D5153" s="1" t="s">
        <v>11735</v>
      </c>
      <c r="F5153" s="1" t="s">
        <v>14661</v>
      </c>
      <c r="H5153" s="1" t="s">
        <v>14783</v>
      </c>
      <c r="J5153" s="1" t="s">
        <v>1067</v>
      </c>
      <c r="L5153" s="1" t="s">
        <v>1112</v>
      </c>
      <c r="N5153" s="1" t="s">
        <v>15234</v>
      </c>
      <c r="P5153" s="1" t="s">
        <v>15235</v>
      </c>
      <c r="Q5153" s="3">
        <v>1</v>
      </c>
      <c r="R5153" s="23" t="s">
        <v>11933</v>
      </c>
      <c r="S5153" s="23" t="s">
        <v>5849</v>
      </c>
      <c r="T5153" s="23" t="s">
        <v>4864</v>
      </c>
      <c r="U5153" s="3">
        <v>35</v>
      </c>
      <c r="V5153" s="3" t="s">
        <v>15236</v>
      </c>
      <c r="W5153" s="45" t="str">
        <f>HYPERLINK("http://ictvonline.org/taxonomy/p/taxonomy-history?taxnode_id=201907254","ICTVonline=201907254")</f>
        <v>ICTVonline=201907254</v>
      </c>
      <c r="Y5153" s="1" t="s">
        <v>15237</v>
      </c>
      <c r="Z5153" s="1" t="s">
        <v>15238</v>
      </c>
      <c r="AA5153" s="1">
        <v>201900000</v>
      </c>
      <c r="AB5153" s="1">
        <v>35</v>
      </c>
    </row>
    <row r="5154" spans="1:28" x14ac:dyDescent="0.2">
      <c r="A5154" s="1">
        <v>13381</v>
      </c>
      <c r="B5154" s="1" t="s">
        <v>6839</v>
      </c>
      <c r="D5154" s="1" t="s">
        <v>11735</v>
      </c>
      <c r="F5154" s="1" t="s">
        <v>14661</v>
      </c>
      <c r="H5154" s="1" t="s">
        <v>14783</v>
      </c>
      <c r="J5154" s="1" t="s">
        <v>1067</v>
      </c>
      <c r="L5154" s="1" t="s">
        <v>1112</v>
      </c>
      <c r="N5154" s="1" t="s">
        <v>15239</v>
      </c>
      <c r="P5154" s="1" t="s">
        <v>15240</v>
      </c>
      <c r="Q5154" s="3">
        <v>1</v>
      </c>
      <c r="R5154" s="23" t="s">
        <v>11933</v>
      </c>
      <c r="S5154" s="23" t="s">
        <v>5849</v>
      </c>
      <c r="T5154" s="23" t="s">
        <v>4864</v>
      </c>
      <c r="U5154" s="3">
        <v>35</v>
      </c>
      <c r="V5154" s="3" t="s">
        <v>15241</v>
      </c>
      <c r="W5154" s="45" t="str">
        <f>HYPERLINK("http://ictvonline.org/taxonomy/p/taxonomy-history?taxnode_id=201907267","ICTVonline=201907267")</f>
        <v>ICTVonline=201907267</v>
      </c>
      <c r="Y5154" s="1" t="s">
        <v>15242</v>
      </c>
      <c r="Z5154" s="1" t="s">
        <v>15243</v>
      </c>
      <c r="AA5154" s="1">
        <v>201900000</v>
      </c>
      <c r="AB5154" s="1">
        <v>35</v>
      </c>
    </row>
    <row r="5155" spans="1:28" x14ac:dyDescent="0.2">
      <c r="A5155" s="1">
        <v>13383</v>
      </c>
      <c r="B5155" s="1" t="s">
        <v>6839</v>
      </c>
      <c r="D5155" s="1" t="s">
        <v>11735</v>
      </c>
      <c r="F5155" s="1" t="s">
        <v>14661</v>
      </c>
      <c r="H5155" s="1" t="s">
        <v>14783</v>
      </c>
      <c r="J5155" s="1" t="s">
        <v>1067</v>
      </c>
      <c r="L5155" s="1" t="s">
        <v>1112</v>
      </c>
      <c r="N5155" s="1" t="s">
        <v>15239</v>
      </c>
      <c r="P5155" s="1" t="s">
        <v>15244</v>
      </c>
      <c r="Q5155" s="3">
        <v>0</v>
      </c>
      <c r="R5155" s="23" t="s">
        <v>11933</v>
      </c>
      <c r="S5155" s="23" t="s">
        <v>5849</v>
      </c>
      <c r="T5155" s="23" t="s">
        <v>4864</v>
      </c>
      <c r="U5155" s="3">
        <v>35</v>
      </c>
      <c r="V5155" s="3" t="s">
        <v>15241</v>
      </c>
      <c r="W5155" s="45" t="str">
        <f>HYPERLINK("http://ictvonline.org/taxonomy/p/taxonomy-history?taxnode_id=201907268","ICTVonline=201907268")</f>
        <v>ICTVonline=201907268</v>
      </c>
      <c r="Y5155" s="1" t="s">
        <v>15245</v>
      </c>
      <c r="Z5155" s="1" t="s">
        <v>15246</v>
      </c>
      <c r="AA5155" s="1">
        <v>201900000</v>
      </c>
      <c r="AB5155" s="1">
        <v>35</v>
      </c>
    </row>
    <row r="5156" spans="1:28" x14ac:dyDescent="0.2">
      <c r="A5156" s="1">
        <v>13385</v>
      </c>
      <c r="B5156" s="1" t="s">
        <v>6839</v>
      </c>
      <c r="D5156" s="1" t="s">
        <v>11735</v>
      </c>
      <c r="F5156" s="1" t="s">
        <v>14661</v>
      </c>
      <c r="H5156" s="1" t="s">
        <v>14783</v>
      </c>
      <c r="J5156" s="1" t="s">
        <v>1067</v>
      </c>
      <c r="L5156" s="1" t="s">
        <v>1112</v>
      </c>
      <c r="N5156" s="1" t="s">
        <v>15239</v>
      </c>
      <c r="P5156" s="1" t="s">
        <v>15247</v>
      </c>
      <c r="Q5156" s="3">
        <v>0</v>
      </c>
      <c r="R5156" s="23" t="s">
        <v>11933</v>
      </c>
      <c r="S5156" s="23" t="s">
        <v>5849</v>
      </c>
      <c r="T5156" s="23" t="s">
        <v>4864</v>
      </c>
      <c r="U5156" s="3">
        <v>35</v>
      </c>
      <c r="V5156" s="3" t="s">
        <v>15241</v>
      </c>
      <c r="W5156" s="45" t="str">
        <f>HYPERLINK("http://ictvonline.org/taxonomy/p/taxonomy-history?taxnode_id=201907269","ICTVonline=201907269")</f>
        <v>ICTVonline=201907269</v>
      </c>
      <c r="Y5156" s="1" t="s">
        <v>15248</v>
      </c>
      <c r="Z5156" s="1" t="s">
        <v>15249</v>
      </c>
      <c r="AA5156" s="1">
        <v>201900000</v>
      </c>
      <c r="AB5156" s="1">
        <v>35</v>
      </c>
    </row>
    <row r="5157" spans="1:28" x14ac:dyDescent="0.2">
      <c r="A5157" s="1">
        <v>13387</v>
      </c>
      <c r="B5157" s="1" t="s">
        <v>6839</v>
      </c>
      <c r="D5157" s="1" t="s">
        <v>11735</v>
      </c>
      <c r="F5157" s="1" t="s">
        <v>14661</v>
      </c>
      <c r="H5157" s="1" t="s">
        <v>14783</v>
      </c>
      <c r="J5157" s="1" t="s">
        <v>1067</v>
      </c>
      <c r="L5157" s="1" t="s">
        <v>1112</v>
      </c>
      <c r="N5157" s="1" t="s">
        <v>15239</v>
      </c>
      <c r="P5157" s="1" t="s">
        <v>15250</v>
      </c>
      <c r="Q5157" s="3">
        <v>0</v>
      </c>
      <c r="R5157" s="23" t="s">
        <v>11933</v>
      </c>
      <c r="S5157" s="23" t="s">
        <v>5849</v>
      </c>
      <c r="T5157" s="23" t="s">
        <v>4864</v>
      </c>
      <c r="U5157" s="3">
        <v>35</v>
      </c>
      <c r="V5157" s="3" t="s">
        <v>15241</v>
      </c>
      <c r="W5157" s="45" t="str">
        <f>HYPERLINK("http://ictvonline.org/taxonomy/p/taxonomy-history?taxnode_id=201907270","ICTVonline=201907270")</f>
        <v>ICTVonline=201907270</v>
      </c>
      <c r="Y5157" s="1" t="s">
        <v>15251</v>
      </c>
      <c r="Z5157" s="1" t="s">
        <v>15252</v>
      </c>
      <c r="AA5157" s="1">
        <v>201900000</v>
      </c>
      <c r="AB5157" s="1">
        <v>35</v>
      </c>
    </row>
    <row r="5158" spans="1:28" x14ac:dyDescent="0.2">
      <c r="A5158" s="1">
        <v>13389</v>
      </c>
      <c r="B5158" s="1" t="s">
        <v>6839</v>
      </c>
      <c r="D5158" s="1" t="s">
        <v>11735</v>
      </c>
      <c r="F5158" s="1" t="s">
        <v>14661</v>
      </c>
      <c r="H5158" s="1" t="s">
        <v>14783</v>
      </c>
      <c r="J5158" s="1" t="s">
        <v>1067</v>
      </c>
      <c r="L5158" s="1" t="s">
        <v>1112</v>
      </c>
      <c r="N5158" s="1" t="s">
        <v>15239</v>
      </c>
      <c r="P5158" s="1" t="s">
        <v>15253</v>
      </c>
      <c r="Q5158" s="3">
        <v>0</v>
      </c>
      <c r="R5158" s="23" t="s">
        <v>11933</v>
      </c>
      <c r="S5158" s="23" t="s">
        <v>5849</v>
      </c>
      <c r="T5158" s="23" t="s">
        <v>4864</v>
      </c>
      <c r="U5158" s="3">
        <v>35</v>
      </c>
      <c r="V5158" s="3" t="s">
        <v>15241</v>
      </c>
      <c r="W5158" s="45" t="str">
        <f>HYPERLINK("http://ictvonline.org/taxonomy/p/taxonomy-history?taxnode_id=201907271","ICTVonline=201907271")</f>
        <v>ICTVonline=201907271</v>
      </c>
      <c r="Y5158" s="1" t="s">
        <v>15254</v>
      </c>
      <c r="Z5158" s="1" t="s">
        <v>15255</v>
      </c>
      <c r="AA5158" s="1">
        <v>201900000</v>
      </c>
      <c r="AB5158" s="1">
        <v>35</v>
      </c>
    </row>
    <row r="5159" spans="1:28" x14ac:dyDescent="0.2">
      <c r="A5159" s="1">
        <v>13393</v>
      </c>
      <c r="B5159" s="1" t="s">
        <v>6839</v>
      </c>
      <c r="D5159" s="1" t="s">
        <v>11735</v>
      </c>
      <c r="F5159" s="1" t="s">
        <v>14661</v>
      </c>
      <c r="H5159" s="1" t="s">
        <v>14783</v>
      </c>
      <c r="J5159" s="1" t="s">
        <v>1067</v>
      </c>
      <c r="L5159" s="1" t="s">
        <v>1112</v>
      </c>
      <c r="N5159" s="1" t="s">
        <v>2292</v>
      </c>
      <c r="P5159" s="1" t="s">
        <v>2293</v>
      </c>
      <c r="Q5159" s="3">
        <v>1</v>
      </c>
      <c r="R5159" s="23" t="s">
        <v>11933</v>
      </c>
      <c r="S5159" s="23" t="s">
        <v>5849</v>
      </c>
      <c r="T5159" s="23" t="s">
        <v>4866</v>
      </c>
      <c r="U5159" s="3">
        <v>35</v>
      </c>
      <c r="W5159" s="45" t="str">
        <f>HYPERLINK("http://ictvonline.org/taxonomy/p/taxonomy-history?taxnode_id=201901999","ICTVonline=201901999")</f>
        <v>ICTVonline=201901999</v>
      </c>
      <c r="AA5159" s="1">
        <v>201900000</v>
      </c>
      <c r="AB5159" s="1">
        <v>35</v>
      </c>
    </row>
    <row r="5160" spans="1:28" x14ac:dyDescent="0.2">
      <c r="A5160" s="1">
        <v>13397</v>
      </c>
      <c r="B5160" s="1" t="s">
        <v>6839</v>
      </c>
      <c r="D5160" s="1" t="s">
        <v>11735</v>
      </c>
      <c r="F5160" s="1" t="s">
        <v>14661</v>
      </c>
      <c r="H5160" s="1" t="s">
        <v>14783</v>
      </c>
      <c r="J5160" s="1" t="s">
        <v>1067</v>
      </c>
      <c r="L5160" s="1" t="s">
        <v>1112</v>
      </c>
      <c r="N5160" s="1" t="s">
        <v>15256</v>
      </c>
      <c r="P5160" s="1" t="s">
        <v>15257</v>
      </c>
      <c r="Q5160" s="3">
        <v>1</v>
      </c>
      <c r="R5160" s="23" t="s">
        <v>11933</v>
      </c>
      <c r="S5160" s="23" t="s">
        <v>5849</v>
      </c>
      <c r="T5160" s="23" t="s">
        <v>4864</v>
      </c>
      <c r="U5160" s="3">
        <v>35</v>
      </c>
      <c r="V5160" s="3" t="s">
        <v>15219</v>
      </c>
      <c r="W5160" s="45" t="str">
        <f>HYPERLINK("http://ictvonline.org/taxonomy/p/taxonomy-history?taxnode_id=201907134","ICTVonline=201907134")</f>
        <v>ICTVonline=201907134</v>
      </c>
      <c r="Y5160" s="1" t="s">
        <v>15258</v>
      </c>
      <c r="Z5160" s="1" t="s">
        <v>15259</v>
      </c>
      <c r="AA5160" s="1">
        <v>201900000</v>
      </c>
      <c r="AB5160" s="1">
        <v>35</v>
      </c>
    </row>
    <row r="5161" spans="1:28" x14ac:dyDescent="0.2">
      <c r="A5161" s="1">
        <v>13401</v>
      </c>
      <c r="B5161" s="1" t="s">
        <v>6839</v>
      </c>
      <c r="D5161" s="1" t="s">
        <v>11735</v>
      </c>
      <c r="F5161" s="1" t="s">
        <v>14661</v>
      </c>
      <c r="H5161" s="1" t="s">
        <v>14783</v>
      </c>
      <c r="J5161" s="1" t="s">
        <v>1067</v>
      </c>
      <c r="L5161" s="1" t="s">
        <v>1112</v>
      </c>
      <c r="N5161" s="1" t="s">
        <v>15260</v>
      </c>
      <c r="P5161" s="1" t="s">
        <v>15261</v>
      </c>
      <c r="Q5161" s="3">
        <v>1</v>
      </c>
      <c r="R5161" s="23" t="s">
        <v>11933</v>
      </c>
      <c r="S5161" s="23" t="s">
        <v>5849</v>
      </c>
      <c r="T5161" s="23" t="s">
        <v>4864</v>
      </c>
      <c r="U5161" s="3">
        <v>35</v>
      </c>
      <c r="V5161" s="3" t="s">
        <v>15262</v>
      </c>
      <c r="W5161" s="45" t="str">
        <f>HYPERLINK("http://ictvonline.org/taxonomy/p/taxonomy-history?taxnode_id=201907284","ICTVonline=201907284")</f>
        <v>ICTVonline=201907284</v>
      </c>
      <c r="Y5161" s="1" t="s">
        <v>15263</v>
      </c>
      <c r="Z5161" s="1" t="s">
        <v>15264</v>
      </c>
      <c r="AA5161" s="1">
        <v>201900000</v>
      </c>
      <c r="AB5161" s="1">
        <v>35</v>
      </c>
    </row>
    <row r="5162" spans="1:28" x14ac:dyDescent="0.2">
      <c r="A5162" s="1">
        <v>13403</v>
      </c>
      <c r="B5162" s="1" t="s">
        <v>6839</v>
      </c>
      <c r="D5162" s="1" t="s">
        <v>11735</v>
      </c>
      <c r="F5162" s="1" t="s">
        <v>14661</v>
      </c>
      <c r="H5162" s="1" t="s">
        <v>14783</v>
      </c>
      <c r="J5162" s="1" t="s">
        <v>1067</v>
      </c>
      <c r="L5162" s="1" t="s">
        <v>1112</v>
      </c>
      <c r="N5162" s="1" t="s">
        <v>15260</v>
      </c>
      <c r="P5162" s="1" t="s">
        <v>15265</v>
      </c>
      <c r="Q5162" s="3">
        <v>0</v>
      </c>
      <c r="R5162" s="23" t="s">
        <v>11933</v>
      </c>
      <c r="S5162" s="23" t="s">
        <v>5849</v>
      </c>
      <c r="T5162" s="23" t="s">
        <v>4864</v>
      </c>
      <c r="U5162" s="3">
        <v>35</v>
      </c>
      <c r="V5162" s="3" t="s">
        <v>15262</v>
      </c>
      <c r="W5162" s="45" t="str">
        <f>HYPERLINK("http://ictvonline.org/taxonomy/p/taxonomy-history?taxnode_id=201907285","ICTVonline=201907285")</f>
        <v>ICTVonline=201907285</v>
      </c>
      <c r="Y5162" s="1" t="s">
        <v>15266</v>
      </c>
      <c r="Z5162" s="1" t="s">
        <v>15267</v>
      </c>
      <c r="AA5162" s="1">
        <v>201900000</v>
      </c>
      <c r="AB5162" s="1">
        <v>35</v>
      </c>
    </row>
    <row r="5163" spans="1:28" x14ac:dyDescent="0.2">
      <c r="A5163" s="1">
        <v>13407</v>
      </c>
      <c r="B5163" s="1" t="s">
        <v>6839</v>
      </c>
      <c r="D5163" s="1" t="s">
        <v>11735</v>
      </c>
      <c r="F5163" s="1" t="s">
        <v>14661</v>
      </c>
      <c r="H5163" s="1" t="s">
        <v>14783</v>
      </c>
      <c r="J5163" s="1" t="s">
        <v>1067</v>
      </c>
      <c r="L5163" s="1" t="s">
        <v>1112</v>
      </c>
      <c r="N5163" s="1" t="s">
        <v>4531</v>
      </c>
      <c r="P5163" s="1" t="s">
        <v>4532</v>
      </c>
      <c r="Q5163" s="3">
        <v>1</v>
      </c>
      <c r="R5163" s="23" t="s">
        <v>11933</v>
      </c>
      <c r="S5163" s="23" t="s">
        <v>5849</v>
      </c>
      <c r="T5163" s="23" t="s">
        <v>4866</v>
      </c>
      <c r="U5163" s="3">
        <v>35</v>
      </c>
      <c r="W5163" s="45" t="str">
        <f>HYPERLINK("http://ictvonline.org/taxonomy/p/taxonomy-history?taxnode_id=201902001","ICTVonline=201902001")</f>
        <v>ICTVonline=201902001</v>
      </c>
      <c r="Y5163" s="1" t="s">
        <v>15268</v>
      </c>
      <c r="Z5163" s="1" t="s">
        <v>15269</v>
      </c>
      <c r="AA5163" s="1">
        <v>201900000</v>
      </c>
      <c r="AB5163" s="1">
        <v>35</v>
      </c>
    </row>
    <row r="5164" spans="1:28" x14ac:dyDescent="0.2">
      <c r="A5164" s="1">
        <v>13411</v>
      </c>
      <c r="B5164" s="1" t="s">
        <v>6839</v>
      </c>
      <c r="D5164" s="1" t="s">
        <v>11735</v>
      </c>
      <c r="F5164" s="1" t="s">
        <v>14661</v>
      </c>
      <c r="H5164" s="1" t="s">
        <v>14783</v>
      </c>
      <c r="J5164" s="1" t="s">
        <v>1067</v>
      </c>
      <c r="L5164" s="1" t="s">
        <v>1112</v>
      </c>
      <c r="N5164" s="1" t="s">
        <v>15270</v>
      </c>
      <c r="P5164" s="1" t="s">
        <v>15271</v>
      </c>
      <c r="Q5164" s="3">
        <v>1</v>
      </c>
      <c r="R5164" s="23" t="s">
        <v>11933</v>
      </c>
      <c r="S5164" s="23" t="s">
        <v>5849</v>
      </c>
      <c r="T5164" s="23" t="s">
        <v>4864</v>
      </c>
      <c r="U5164" s="3">
        <v>35</v>
      </c>
      <c r="V5164" s="3" t="s">
        <v>15272</v>
      </c>
      <c r="W5164" s="45" t="str">
        <f>HYPERLINK("http://ictvonline.org/taxonomy/p/taxonomy-history?taxnode_id=201907298","ICTVonline=201907298")</f>
        <v>ICTVonline=201907298</v>
      </c>
      <c r="Y5164" s="1" t="s">
        <v>15273</v>
      </c>
      <c r="Z5164" s="1" t="s">
        <v>15274</v>
      </c>
      <c r="AA5164" s="1">
        <v>201900000</v>
      </c>
      <c r="AB5164" s="1">
        <v>35</v>
      </c>
    </row>
    <row r="5165" spans="1:28" x14ac:dyDescent="0.2">
      <c r="A5165" s="1">
        <v>13415</v>
      </c>
      <c r="B5165" s="1" t="s">
        <v>6839</v>
      </c>
      <c r="D5165" s="1" t="s">
        <v>11735</v>
      </c>
      <c r="F5165" s="1" t="s">
        <v>14661</v>
      </c>
      <c r="H5165" s="1" t="s">
        <v>14783</v>
      </c>
      <c r="J5165" s="1" t="s">
        <v>1067</v>
      </c>
      <c r="L5165" s="1" t="s">
        <v>1112</v>
      </c>
      <c r="N5165" s="1" t="s">
        <v>626</v>
      </c>
      <c r="P5165" s="1" t="s">
        <v>2607</v>
      </c>
      <c r="Q5165" s="3">
        <v>1</v>
      </c>
      <c r="R5165" s="23" t="s">
        <v>11933</v>
      </c>
      <c r="S5165" s="23" t="s">
        <v>5849</v>
      </c>
      <c r="T5165" s="23" t="s">
        <v>4866</v>
      </c>
      <c r="U5165" s="3">
        <v>35</v>
      </c>
      <c r="W5165" s="45" t="str">
        <f>HYPERLINK("http://ictvonline.org/taxonomy/p/taxonomy-history?taxnode_id=201902003","ICTVonline=201902003")</f>
        <v>ICTVonline=201902003</v>
      </c>
      <c r="AA5165" s="1">
        <v>201900000</v>
      </c>
      <c r="AB5165" s="1">
        <v>35</v>
      </c>
    </row>
    <row r="5166" spans="1:28" x14ac:dyDescent="0.2">
      <c r="A5166" s="1">
        <v>13417</v>
      </c>
      <c r="B5166" s="1" t="s">
        <v>6839</v>
      </c>
      <c r="D5166" s="1" t="s">
        <v>11735</v>
      </c>
      <c r="F5166" s="1" t="s">
        <v>14661</v>
      </c>
      <c r="H5166" s="1" t="s">
        <v>14783</v>
      </c>
      <c r="J5166" s="1" t="s">
        <v>1067</v>
      </c>
      <c r="L5166" s="1" t="s">
        <v>1112</v>
      </c>
      <c r="N5166" s="1" t="s">
        <v>626</v>
      </c>
      <c r="P5166" s="1" t="s">
        <v>4533</v>
      </c>
      <c r="Q5166" s="3">
        <v>0</v>
      </c>
      <c r="R5166" s="23" t="s">
        <v>11933</v>
      </c>
      <c r="S5166" s="23" t="s">
        <v>5849</v>
      </c>
      <c r="T5166" s="23" t="s">
        <v>4866</v>
      </c>
      <c r="U5166" s="3">
        <v>35</v>
      </c>
      <c r="W5166" s="45" t="str">
        <f>HYPERLINK("http://ictvonline.org/taxonomy/p/taxonomy-history?taxnode_id=201902004","ICTVonline=201902004")</f>
        <v>ICTVonline=201902004</v>
      </c>
      <c r="Y5166" s="1" t="s">
        <v>15275</v>
      </c>
      <c r="Z5166" s="1" t="s">
        <v>15276</v>
      </c>
      <c r="AA5166" s="1">
        <v>201900000</v>
      </c>
      <c r="AB5166" s="1">
        <v>35</v>
      </c>
    </row>
    <row r="5167" spans="1:28" x14ac:dyDescent="0.2">
      <c r="A5167" s="1">
        <v>13419</v>
      </c>
      <c r="B5167" s="1" t="s">
        <v>6839</v>
      </c>
      <c r="D5167" s="1" t="s">
        <v>11735</v>
      </c>
      <c r="F5167" s="1" t="s">
        <v>14661</v>
      </c>
      <c r="H5167" s="1" t="s">
        <v>14783</v>
      </c>
      <c r="J5167" s="1" t="s">
        <v>1067</v>
      </c>
      <c r="L5167" s="1" t="s">
        <v>1112</v>
      </c>
      <c r="N5167" s="1" t="s">
        <v>626</v>
      </c>
      <c r="P5167" s="1" t="s">
        <v>4534</v>
      </c>
      <c r="Q5167" s="3">
        <v>0</v>
      </c>
      <c r="R5167" s="23" t="s">
        <v>11933</v>
      </c>
      <c r="S5167" s="23" t="s">
        <v>5849</v>
      </c>
      <c r="T5167" s="23" t="s">
        <v>4866</v>
      </c>
      <c r="U5167" s="3">
        <v>35</v>
      </c>
      <c r="W5167" s="45" t="str">
        <f>HYPERLINK("http://ictvonline.org/taxonomy/p/taxonomy-history?taxnode_id=201902005","ICTVonline=201902005")</f>
        <v>ICTVonline=201902005</v>
      </c>
      <c r="Y5167" s="1" t="s">
        <v>15277</v>
      </c>
      <c r="Z5167" s="1" t="s">
        <v>15278</v>
      </c>
      <c r="AA5167" s="1">
        <v>201900000</v>
      </c>
      <c r="AB5167" s="1">
        <v>35</v>
      </c>
    </row>
    <row r="5168" spans="1:28" x14ac:dyDescent="0.2">
      <c r="A5168" s="1">
        <v>13421</v>
      </c>
      <c r="B5168" s="1" t="s">
        <v>6839</v>
      </c>
      <c r="D5168" s="1" t="s">
        <v>11735</v>
      </c>
      <c r="F5168" s="1" t="s">
        <v>14661</v>
      </c>
      <c r="H5168" s="1" t="s">
        <v>14783</v>
      </c>
      <c r="J5168" s="1" t="s">
        <v>1067</v>
      </c>
      <c r="L5168" s="1" t="s">
        <v>1112</v>
      </c>
      <c r="N5168" s="1" t="s">
        <v>626</v>
      </c>
      <c r="P5168" s="1" t="s">
        <v>4535</v>
      </c>
      <c r="Q5168" s="3">
        <v>0</v>
      </c>
      <c r="R5168" s="23" t="s">
        <v>11933</v>
      </c>
      <c r="S5168" s="23" t="s">
        <v>5849</v>
      </c>
      <c r="T5168" s="23" t="s">
        <v>4866</v>
      </c>
      <c r="U5168" s="3">
        <v>35</v>
      </c>
      <c r="W5168" s="45" t="str">
        <f>HYPERLINK("http://ictvonline.org/taxonomy/p/taxonomy-history?taxnode_id=201902006","ICTVonline=201902006")</f>
        <v>ICTVonline=201902006</v>
      </c>
      <c r="Y5168" s="1" t="s">
        <v>15279</v>
      </c>
      <c r="Z5168" s="1" t="s">
        <v>15280</v>
      </c>
      <c r="AA5168" s="1">
        <v>201900000</v>
      </c>
      <c r="AB5168" s="1">
        <v>35</v>
      </c>
    </row>
    <row r="5169" spans="1:28" x14ac:dyDescent="0.2">
      <c r="A5169" s="1">
        <v>13423</v>
      </c>
      <c r="B5169" s="1" t="s">
        <v>6839</v>
      </c>
      <c r="D5169" s="1" t="s">
        <v>11735</v>
      </c>
      <c r="F5169" s="1" t="s">
        <v>14661</v>
      </c>
      <c r="H5169" s="1" t="s">
        <v>14783</v>
      </c>
      <c r="J5169" s="1" t="s">
        <v>1067</v>
      </c>
      <c r="L5169" s="1" t="s">
        <v>1112</v>
      </c>
      <c r="N5169" s="1" t="s">
        <v>626</v>
      </c>
      <c r="P5169" s="1" t="s">
        <v>4536</v>
      </c>
      <c r="Q5169" s="3">
        <v>0</v>
      </c>
      <c r="R5169" s="23" t="s">
        <v>11933</v>
      </c>
      <c r="S5169" s="23" t="s">
        <v>5849</v>
      </c>
      <c r="T5169" s="23" t="s">
        <v>4866</v>
      </c>
      <c r="U5169" s="3">
        <v>35</v>
      </c>
      <c r="W5169" s="45" t="str">
        <f>HYPERLINK("http://ictvonline.org/taxonomy/p/taxonomy-history?taxnode_id=201902007","ICTVonline=201902007")</f>
        <v>ICTVonline=201902007</v>
      </c>
      <c r="Y5169" s="1" t="s">
        <v>15281</v>
      </c>
      <c r="Z5169" s="1" t="s">
        <v>15282</v>
      </c>
      <c r="AA5169" s="1">
        <v>201900000</v>
      </c>
      <c r="AB5169" s="1">
        <v>35</v>
      </c>
    </row>
    <row r="5170" spans="1:28" x14ac:dyDescent="0.2">
      <c r="A5170" s="1">
        <v>13425</v>
      </c>
      <c r="B5170" s="1" t="s">
        <v>6839</v>
      </c>
      <c r="D5170" s="1" t="s">
        <v>11735</v>
      </c>
      <c r="F5170" s="1" t="s">
        <v>14661</v>
      </c>
      <c r="H5170" s="1" t="s">
        <v>14783</v>
      </c>
      <c r="J5170" s="1" t="s">
        <v>1067</v>
      </c>
      <c r="L5170" s="1" t="s">
        <v>1112</v>
      </c>
      <c r="N5170" s="1" t="s">
        <v>626</v>
      </c>
      <c r="P5170" s="1" t="s">
        <v>4537</v>
      </c>
      <c r="Q5170" s="3">
        <v>0</v>
      </c>
      <c r="R5170" s="23" t="s">
        <v>11933</v>
      </c>
      <c r="S5170" s="23" t="s">
        <v>5849</v>
      </c>
      <c r="T5170" s="23" t="s">
        <v>4866</v>
      </c>
      <c r="U5170" s="3">
        <v>35</v>
      </c>
      <c r="W5170" s="45" t="str">
        <f>HYPERLINK("http://ictvonline.org/taxonomy/p/taxonomy-history?taxnode_id=201902008","ICTVonline=201902008")</f>
        <v>ICTVonline=201902008</v>
      </c>
      <c r="Y5170" s="1" t="s">
        <v>15283</v>
      </c>
      <c r="Z5170" s="1" t="s">
        <v>15284</v>
      </c>
      <c r="AA5170" s="1">
        <v>201900000</v>
      </c>
      <c r="AB5170" s="1">
        <v>35</v>
      </c>
    </row>
    <row r="5171" spans="1:28" x14ac:dyDescent="0.2">
      <c r="A5171" s="1">
        <v>13427</v>
      </c>
      <c r="B5171" s="1" t="s">
        <v>6839</v>
      </c>
      <c r="D5171" s="1" t="s">
        <v>11735</v>
      </c>
      <c r="F5171" s="1" t="s">
        <v>14661</v>
      </c>
      <c r="H5171" s="1" t="s">
        <v>14783</v>
      </c>
      <c r="J5171" s="1" t="s">
        <v>1067</v>
      </c>
      <c r="L5171" s="1" t="s">
        <v>1112</v>
      </c>
      <c r="N5171" s="1" t="s">
        <v>626</v>
      </c>
      <c r="P5171" s="1" t="s">
        <v>4538</v>
      </c>
      <c r="Q5171" s="3">
        <v>0</v>
      </c>
      <c r="R5171" s="23" t="s">
        <v>11933</v>
      </c>
      <c r="S5171" s="23" t="s">
        <v>5849</v>
      </c>
      <c r="T5171" s="23" t="s">
        <v>4866</v>
      </c>
      <c r="U5171" s="3">
        <v>35</v>
      </c>
      <c r="W5171" s="45" t="str">
        <f>HYPERLINK("http://ictvonline.org/taxonomy/p/taxonomy-history?taxnode_id=201902009","ICTVonline=201902009")</f>
        <v>ICTVonline=201902009</v>
      </c>
      <c r="Y5171" s="1" t="s">
        <v>15285</v>
      </c>
      <c r="Z5171" s="1" t="s">
        <v>15286</v>
      </c>
      <c r="AA5171" s="1">
        <v>201900000</v>
      </c>
      <c r="AB5171" s="1">
        <v>35</v>
      </c>
    </row>
    <row r="5172" spans="1:28" x14ac:dyDescent="0.2">
      <c r="A5172" s="1">
        <v>13429</v>
      </c>
      <c r="B5172" s="1" t="s">
        <v>6839</v>
      </c>
      <c r="D5172" s="1" t="s">
        <v>11735</v>
      </c>
      <c r="F5172" s="1" t="s">
        <v>14661</v>
      </c>
      <c r="H5172" s="1" t="s">
        <v>14783</v>
      </c>
      <c r="J5172" s="1" t="s">
        <v>1067</v>
      </c>
      <c r="L5172" s="1" t="s">
        <v>1112</v>
      </c>
      <c r="N5172" s="1" t="s">
        <v>626</v>
      </c>
      <c r="P5172" s="1" t="s">
        <v>4539</v>
      </c>
      <c r="Q5172" s="3">
        <v>0</v>
      </c>
      <c r="R5172" s="23" t="s">
        <v>11933</v>
      </c>
      <c r="S5172" s="23" t="s">
        <v>5849</v>
      </c>
      <c r="T5172" s="23" t="s">
        <v>4866</v>
      </c>
      <c r="U5172" s="3">
        <v>35</v>
      </c>
      <c r="W5172" s="45" t="str">
        <f>HYPERLINK("http://ictvonline.org/taxonomy/p/taxonomy-history?taxnode_id=201902010","ICTVonline=201902010")</f>
        <v>ICTVonline=201902010</v>
      </c>
      <c r="Y5172" s="1" t="s">
        <v>15287</v>
      </c>
      <c r="Z5172" s="1" t="s">
        <v>15288</v>
      </c>
      <c r="AA5172" s="1">
        <v>201900000</v>
      </c>
      <c r="AB5172" s="1">
        <v>35</v>
      </c>
    </row>
    <row r="5173" spans="1:28" x14ac:dyDescent="0.2">
      <c r="A5173" s="1">
        <v>13431</v>
      </c>
      <c r="B5173" s="1" t="s">
        <v>6839</v>
      </c>
      <c r="D5173" s="1" t="s">
        <v>11735</v>
      </c>
      <c r="F5173" s="1" t="s">
        <v>14661</v>
      </c>
      <c r="H5173" s="1" t="s">
        <v>14783</v>
      </c>
      <c r="J5173" s="1" t="s">
        <v>1067</v>
      </c>
      <c r="L5173" s="1" t="s">
        <v>1112</v>
      </c>
      <c r="N5173" s="1" t="s">
        <v>626</v>
      </c>
      <c r="P5173" s="1" t="s">
        <v>4540</v>
      </c>
      <c r="Q5173" s="3">
        <v>0</v>
      </c>
      <c r="R5173" s="23" t="s">
        <v>11933</v>
      </c>
      <c r="S5173" s="23" t="s">
        <v>5849</v>
      </c>
      <c r="T5173" s="23" t="s">
        <v>4866</v>
      </c>
      <c r="U5173" s="3">
        <v>35</v>
      </c>
      <c r="W5173" s="45" t="str">
        <f>HYPERLINK("http://ictvonline.org/taxonomy/p/taxonomy-history?taxnode_id=201902011","ICTVonline=201902011")</f>
        <v>ICTVonline=201902011</v>
      </c>
      <c r="Y5173" s="1" t="s">
        <v>15289</v>
      </c>
      <c r="Z5173" s="1" t="s">
        <v>15290</v>
      </c>
      <c r="AA5173" s="1">
        <v>201900000</v>
      </c>
      <c r="AB5173" s="1">
        <v>35</v>
      </c>
    </row>
    <row r="5174" spans="1:28" x14ac:dyDescent="0.2">
      <c r="A5174" s="1">
        <v>13435</v>
      </c>
      <c r="B5174" s="1" t="s">
        <v>6839</v>
      </c>
      <c r="D5174" s="1" t="s">
        <v>11735</v>
      </c>
      <c r="F5174" s="1" t="s">
        <v>14661</v>
      </c>
      <c r="H5174" s="1" t="s">
        <v>14783</v>
      </c>
      <c r="J5174" s="1" t="s">
        <v>1067</v>
      </c>
      <c r="L5174" s="1" t="s">
        <v>1112</v>
      </c>
      <c r="N5174" s="1" t="s">
        <v>2294</v>
      </c>
      <c r="P5174" s="1" t="s">
        <v>2295</v>
      </c>
      <c r="Q5174" s="3">
        <v>1</v>
      </c>
      <c r="R5174" s="23" t="s">
        <v>11933</v>
      </c>
      <c r="S5174" s="23" t="s">
        <v>5849</v>
      </c>
      <c r="T5174" s="23" t="s">
        <v>4866</v>
      </c>
      <c r="U5174" s="3">
        <v>35</v>
      </c>
      <c r="W5174" s="45" t="str">
        <f>HYPERLINK("http://ictvonline.org/taxonomy/p/taxonomy-history?taxnode_id=201902013","ICTVonline=201902013")</f>
        <v>ICTVonline=201902013</v>
      </c>
      <c r="AA5174" s="1">
        <v>201900000</v>
      </c>
      <c r="AB5174" s="1">
        <v>35</v>
      </c>
    </row>
    <row r="5175" spans="1:28" x14ac:dyDescent="0.2">
      <c r="A5175" s="1">
        <v>13439</v>
      </c>
      <c r="B5175" s="1" t="s">
        <v>6839</v>
      </c>
      <c r="D5175" s="1" t="s">
        <v>11735</v>
      </c>
      <c r="F5175" s="1" t="s">
        <v>14661</v>
      </c>
      <c r="H5175" s="1" t="s">
        <v>14783</v>
      </c>
      <c r="J5175" s="1" t="s">
        <v>1067</v>
      </c>
      <c r="L5175" s="1" t="s">
        <v>1112</v>
      </c>
      <c r="N5175" s="1" t="s">
        <v>627</v>
      </c>
      <c r="P5175" s="1" t="s">
        <v>2175</v>
      </c>
      <c r="Q5175" s="3">
        <v>1</v>
      </c>
      <c r="R5175" s="23" t="s">
        <v>11933</v>
      </c>
      <c r="S5175" s="23" t="s">
        <v>5849</v>
      </c>
      <c r="T5175" s="23" t="s">
        <v>4866</v>
      </c>
      <c r="U5175" s="3">
        <v>35</v>
      </c>
      <c r="W5175" s="45" t="str">
        <f>HYPERLINK("http://ictvonline.org/taxonomy/p/taxonomy-history?taxnode_id=201902015","ICTVonline=201902015")</f>
        <v>ICTVonline=201902015</v>
      </c>
      <c r="AA5175" s="1">
        <v>201900000</v>
      </c>
      <c r="AB5175" s="1">
        <v>35</v>
      </c>
    </row>
    <row r="5176" spans="1:28" x14ac:dyDescent="0.2">
      <c r="A5176" s="1">
        <v>13441</v>
      </c>
      <c r="B5176" s="1" t="s">
        <v>6839</v>
      </c>
      <c r="D5176" s="1" t="s">
        <v>11735</v>
      </c>
      <c r="F5176" s="1" t="s">
        <v>14661</v>
      </c>
      <c r="H5176" s="1" t="s">
        <v>14783</v>
      </c>
      <c r="J5176" s="1" t="s">
        <v>1067</v>
      </c>
      <c r="L5176" s="1" t="s">
        <v>1112</v>
      </c>
      <c r="N5176" s="1" t="s">
        <v>627</v>
      </c>
      <c r="P5176" s="1" t="s">
        <v>2176</v>
      </c>
      <c r="Q5176" s="3">
        <v>0</v>
      </c>
      <c r="R5176" s="23" t="s">
        <v>11933</v>
      </c>
      <c r="S5176" s="23" t="s">
        <v>5849</v>
      </c>
      <c r="T5176" s="23" t="s">
        <v>4866</v>
      </c>
      <c r="U5176" s="3">
        <v>35</v>
      </c>
      <c r="W5176" s="45" t="str">
        <f>HYPERLINK("http://ictvonline.org/taxonomy/p/taxonomy-history?taxnode_id=201902016","ICTVonline=201902016")</f>
        <v>ICTVonline=201902016</v>
      </c>
      <c r="AA5176" s="1">
        <v>201900000</v>
      </c>
      <c r="AB5176" s="1">
        <v>35</v>
      </c>
    </row>
    <row r="5177" spans="1:28" x14ac:dyDescent="0.2">
      <c r="A5177" s="1">
        <v>13443</v>
      </c>
      <c r="B5177" s="1" t="s">
        <v>6839</v>
      </c>
      <c r="D5177" s="1" t="s">
        <v>11735</v>
      </c>
      <c r="F5177" s="1" t="s">
        <v>14661</v>
      </c>
      <c r="H5177" s="1" t="s">
        <v>14783</v>
      </c>
      <c r="J5177" s="1" t="s">
        <v>1067</v>
      </c>
      <c r="L5177" s="1" t="s">
        <v>1112</v>
      </c>
      <c r="N5177" s="1" t="s">
        <v>627</v>
      </c>
      <c r="P5177" s="1" t="s">
        <v>2177</v>
      </c>
      <c r="Q5177" s="3">
        <v>0</v>
      </c>
      <c r="R5177" s="23" t="s">
        <v>11933</v>
      </c>
      <c r="S5177" s="23" t="s">
        <v>5849</v>
      </c>
      <c r="T5177" s="23" t="s">
        <v>4866</v>
      </c>
      <c r="U5177" s="3">
        <v>35</v>
      </c>
      <c r="W5177" s="45" t="str">
        <f>HYPERLINK("http://ictvonline.org/taxonomy/p/taxonomy-history?taxnode_id=201902017","ICTVonline=201902017")</f>
        <v>ICTVonline=201902017</v>
      </c>
      <c r="AA5177" s="1">
        <v>201900000</v>
      </c>
      <c r="AB5177" s="1">
        <v>35</v>
      </c>
    </row>
    <row r="5178" spans="1:28" x14ac:dyDescent="0.2">
      <c r="A5178" s="1">
        <v>13445</v>
      </c>
      <c r="B5178" s="1" t="s">
        <v>6839</v>
      </c>
      <c r="D5178" s="1" t="s">
        <v>11735</v>
      </c>
      <c r="F5178" s="1" t="s">
        <v>14661</v>
      </c>
      <c r="H5178" s="1" t="s">
        <v>14783</v>
      </c>
      <c r="J5178" s="1" t="s">
        <v>1067</v>
      </c>
      <c r="L5178" s="1" t="s">
        <v>1112</v>
      </c>
      <c r="N5178" s="1" t="s">
        <v>627</v>
      </c>
      <c r="P5178" s="1" t="s">
        <v>4541</v>
      </c>
      <c r="Q5178" s="3">
        <v>0</v>
      </c>
      <c r="R5178" s="23" t="s">
        <v>11933</v>
      </c>
      <c r="S5178" s="23" t="s">
        <v>5849</v>
      </c>
      <c r="T5178" s="23" t="s">
        <v>4866</v>
      </c>
      <c r="U5178" s="3">
        <v>35</v>
      </c>
      <c r="W5178" s="45" t="str">
        <f>HYPERLINK("http://ictvonline.org/taxonomy/p/taxonomy-history?taxnode_id=201902018","ICTVonline=201902018")</f>
        <v>ICTVonline=201902018</v>
      </c>
      <c r="Y5178" s="1" t="s">
        <v>15291</v>
      </c>
      <c r="Z5178" s="1" t="s">
        <v>15292</v>
      </c>
      <c r="AA5178" s="1">
        <v>201900000</v>
      </c>
      <c r="AB5178" s="1">
        <v>35</v>
      </c>
    </row>
    <row r="5179" spans="1:28" x14ac:dyDescent="0.2">
      <c r="A5179" s="1">
        <v>13447</v>
      </c>
      <c r="B5179" s="1" t="s">
        <v>6839</v>
      </c>
      <c r="D5179" s="1" t="s">
        <v>11735</v>
      </c>
      <c r="F5179" s="1" t="s">
        <v>14661</v>
      </c>
      <c r="H5179" s="1" t="s">
        <v>14783</v>
      </c>
      <c r="J5179" s="1" t="s">
        <v>1067</v>
      </c>
      <c r="L5179" s="1" t="s">
        <v>1112</v>
      </c>
      <c r="N5179" s="1" t="s">
        <v>627</v>
      </c>
      <c r="P5179" s="1" t="s">
        <v>4542</v>
      </c>
      <c r="Q5179" s="3">
        <v>0</v>
      </c>
      <c r="R5179" s="23" t="s">
        <v>11933</v>
      </c>
      <c r="S5179" s="23" t="s">
        <v>5849</v>
      </c>
      <c r="T5179" s="23" t="s">
        <v>4866</v>
      </c>
      <c r="U5179" s="3">
        <v>35</v>
      </c>
      <c r="W5179" s="45" t="str">
        <f>HYPERLINK("http://ictvonline.org/taxonomy/p/taxonomy-history?taxnode_id=201902019","ICTVonline=201902019")</f>
        <v>ICTVonline=201902019</v>
      </c>
      <c r="Y5179" s="1" t="s">
        <v>15293</v>
      </c>
      <c r="Z5179" s="1" t="s">
        <v>15294</v>
      </c>
      <c r="AA5179" s="1">
        <v>201900000</v>
      </c>
      <c r="AB5179" s="1">
        <v>35</v>
      </c>
    </row>
    <row r="5180" spans="1:28" x14ac:dyDescent="0.2">
      <c r="A5180" s="1">
        <v>13449</v>
      </c>
      <c r="B5180" s="1" t="s">
        <v>6839</v>
      </c>
      <c r="D5180" s="1" t="s">
        <v>11735</v>
      </c>
      <c r="F5180" s="1" t="s">
        <v>14661</v>
      </c>
      <c r="H5180" s="1" t="s">
        <v>14783</v>
      </c>
      <c r="J5180" s="1" t="s">
        <v>1067</v>
      </c>
      <c r="L5180" s="1" t="s">
        <v>1112</v>
      </c>
      <c r="N5180" s="1" t="s">
        <v>627</v>
      </c>
      <c r="P5180" s="1" t="s">
        <v>4543</v>
      </c>
      <c r="Q5180" s="3">
        <v>0</v>
      </c>
      <c r="R5180" s="23" t="s">
        <v>11933</v>
      </c>
      <c r="S5180" s="23" t="s">
        <v>5849</v>
      </c>
      <c r="T5180" s="23" t="s">
        <v>4866</v>
      </c>
      <c r="U5180" s="3">
        <v>35</v>
      </c>
      <c r="W5180" s="45" t="str">
        <f>HYPERLINK("http://ictvonline.org/taxonomy/p/taxonomy-history?taxnode_id=201902020","ICTVonline=201902020")</f>
        <v>ICTVonline=201902020</v>
      </c>
      <c r="Y5180" s="1" t="s">
        <v>15295</v>
      </c>
      <c r="Z5180" s="1" t="s">
        <v>15296</v>
      </c>
      <c r="AA5180" s="1">
        <v>201900000</v>
      </c>
      <c r="AB5180" s="1">
        <v>35</v>
      </c>
    </row>
    <row r="5181" spans="1:28" x14ac:dyDescent="0.2">
      <c r="A5181" s="1">
        <v>13453</v>
      </c>
      <c r="B5181" s="1" t="s">
        <v>6839</v>
      </c>
      <c r="D5181" s="1" t="s">
        <v>11735</v>
      </c>
      <c r="F5181" s="1" t="s">
        <v>14661</v>
      </c>
      <c r="H5181" s="1" t="s">
        <v>14783</v>
      </c>
      <c r="J5181" s="1" t="s">
        <v>1067</v>
      </c>
      <c r="L5181" s="1" t="s">
        <v>1112</v>
      </c>
      <c r="N5181" s="1" t="s">
        <v>2608</v>
      </c>
      <c r="P5181" s="1" t="s">
        <v>2609</v>
      </c>
      <c r="Q5181" s="3">
        <v>1</v>
      </c>
      <c r="R5181" s="23" t="s">
        <v>11933</v>
      </c>
      <c r="S5181" s="23" t="s">
        <v>5849</v>
      </c>
      <c r="T5181" s="23" t="s">
        <v>4866</v>
      </c>
      <c r="U5181" s="3">
        <v>35</v>
      </c>
      <c r="W5181" s="45" t="str">
        <f>HYPERLINK("http://ictvonline.org/taxonomy/p/taxonomy-history?taxnode_id=201902022","ICTVonline=201902022")</f>
        <v>ICTVonline=201902022</v>
      </c>
      <c r="Y5181" s="1" t="s">
        <v>15297</v>
      </c>
      <c r="Z5181" s="1" t="s">
        <v>15298</v>
      </c>
      <c r="AA5181" s="1">
        <v>201900000</v>
      </c>
      <c r="AB5181" s="1">
        <v>35</v>
      </c>
    </row>
    <row r="5182" spans="1:28" x14ac:dyDescent="0.2">
      <c r="A5182" s="1">
        <v>13455</v>
      </c>
      <c r="B5182" s="1" t="s">
        <v>6839</v>
      </c>
      <c r="D5182" s="1" t="s">
        <v>11735</v>
      </c>
      <c r="F5182" s="1" t="s">
        <v>14661</v>
      </c>
      <c r="H5182" s="1" t="s">
        <v>14783</v>
      </c>
      <c r="J5182" s="1" t="s">
        <v>1067</v>
      </c>
      <c r="L5182" s="1" t="s">
        <v>1112</v>
      </c>
      <c r="N5182" s="1" t="s">
        <v>2608</v>
      </c>
      <c r="P5182" s="1" t="s">
        <v>5093</v>
      </c>
      <c r="Q5182" s="3">
        <v>0</v>
      </c>
      <c r="R5182" s="23" t="s">
        <v>11933</v>
      </c>
      <c r="S5182" s="23" t="s">
        <v>5849</v>
      </c>
      <c r="T5182" s="23" t="s">
        <v>4866</v>
      </c>
      <c r="U5182" s="3">
        <v>35</v>
      </c>
      <c r="W5182" s="45" t="str">
        <f>HYPERLINK("http://ictvonline.org/taxonomy/p/taxonomy-history?taxnode_id=201905598","ICTVonline=201905598")</f>
        <v>ICTVonline=201905598</v>
      </c>
      <c r="AA5182" s="1">
        <v>201900000</v>
      </c>
      <c r="AB5182" s="1">
        <v>35</v>
      </c>
    </row>
    <row r="5183" spans="1:28" x14ac:dyDescent="0.2">
      <c r="A5183" s="1">
        <v>13457</v>
      </c>
      <c r="B5183" s="1" t="s">
        <v>6839</v>
      </c>
      <c r="D5183" s="1" t="s">
        <v>11735</v>
      </c>
      <c r="F5183" s="1" t="s">
        <v>14661</v>
      </c>
      <c r="H5183" s="1" t="s">
        <v>14783</v>
      </c>
      <c r="J5183" s="1" t="s">
        <v>1067</v>
      </c>
      <c r="L5183" s="1" t="s">
        <v>1112</v>
      </c>
      <c r="N5183" s="1" t="s">
        <v>2608</v>
      </c>
      <c r="P5183" s="1" t="s">
        <v>5094</v>
      </c>
      <c r="Q5183" s="3">
        <v>0</v>
      </c>
      <c r="R5183" s="23" t="s">
        <v>11933</v>
      </c>
      <c r="S5183" s="23" t="s">
        <v>5849</v>
      </c>
      <c r="T5183" s="23" t="s">
        <v>4866</v>
      </c>
      <c r="U5183" s="3">
        <v>35</v>
      </c>
      <c r="W5183" s="45" t="str">
        <f>HYPERLINK("http://ictvonline.org/taxonomy/p/taxonomy-history?taxnode_id=201905599","ICTVonline=201905599")</f>
        <v>ICTVonline=201905599</v>
      </c>
      <c r="AA5183" s="1">
        <v>201900000</v>
      </c>
      <c r="AB5183" s="1">
        <v>35</v>
      </c>
    </row>
    <row r="5184" spans="1:28" x14ac:dyDescent="0.2">
      <c r="A5184" s="1">
        <v>13461</v>
      </c>
      <c r="B5184" s="1" t="s">
        <v>6839</v>
      </c>
      <c r="D5184" s="1" t="s">
        <v>11735</v>
      </c>
      <c r="F5184" s="1" t="s">
        <v>14661</v>
      </c>
      <c r="H5184" s="1" t="s">
        <v>14783</v>
      </c>
      <c r="J5184" s="1" t="s">
        <v>1067</v>
      </c>
      <c r="L5184" s="1" t="s">
        <v>1112</v>
      </c>
      <c r="N5184" s="1" t="s">
        <v>3592</v>
      </c>
      <c r="P5184" s="1" t="s">
        <v>3593</v>
      </c>
      <c r="Q5184" s="3">
        <v>1</v>
      </c>
      <c r="R5184" s="23" t="s">
        <v>11933</v>
      </c>
      <c r="S5184" s="23" t="s">
        <v>5849</v>
      </c>
      <c r="T5184" s="23" t="s">
        <v>4866</v>
      </c>
      <c r="U5184" s="3">
        <v>35</v>
      </c>
      <c r="W5184" s="45" t="str">
        <f>HYPERLINK("http://ictvonline.org/taxonomy/p/taxonomy-history?taxnode_id=201902024","ICTVonline=201902024")</f>
        <v>ICTVonline=201902024</v>
      </c>
      <c r="X5184" s="1" t="s">
        <v>15299</v>
      </c>
      <c r="Y5184" s="1" t="s">
        <v>15300</v>
      </c>
      <c r="Z5184" s="1" t="s">
        <v>15301</v>
      </c>
      <c r="AA5184" s="1">
        <v>201900000</v>
      </c>
      <c r="AB5184" s="1">
        <v>35</v>
      </c>
    </row>
    <row r="5185" spans="1:28" x14ac:dyDescent="0.2">
      <c r="A5185" s="1">
        <v>13463</v>
      </c>
      <c r="B5185" s="1" t="s">
        <v>6839</v>
      </c>
      <c r="D5185" s="1" t="s">
        <v>11735</v>
      </c>
      <c r="F5185" s="1" t="s">
        <v>14661</v>
      </c>
      <c r="H5185" s="1" t="s">
        <v>14783</v>
      </c>
      <c r="J5185" s="1" t="s">
        <v>1067</v>
      </c>
      <c r="L5185" s="1" t="s">
        <v>1112</v>
      </c>
      <c r="N5185" s="1" t="s">
        <v>3592</v>
      </c>
      <c r="P5185" s="1" t="s">
        <v>3594</v>
      </c>
      <c r="Q5185" s="3">
        <v>0</v>
      </c>
      <c r="R5185" s="23" t="s">
        <v>11933</v>
      </c>
      <c r="S5185" s="23" t="s">
        <v>5849</v>
      </c>
      <c r="T5185" s="23" t="s">
        <v>4866</v>
      </c>
      <c r="U5185" s="3">
        <v>35</v>
      </c>
      <c r="W5185" s="45" t="str">
        <f>HYPERLINK("http://ictvonline.org/taxonomy/p/taxonomy-history?taxnode_id=201902025","ICTVonline=201902025")</f>
        <v>ICTVonline=201902025</v>
      </c>
      <c r="X5185" s="1" t="s">
        <v>15302</v>
      </c>
      <c r="Y5185" s="1" t="s">
        <v>15303</v>
      </c>
      <c r="Z5185" s="1" t="s">
        <v>15304</v>
      </c>
      <c r="AA5185" s="1">
        <v>201900000</v>
      </c>
      <c r="AB5185" s="1">
        <v>35</v>
      </c>
    </row>
    <row r="5186" spans="1:28" x14ac:dyDescent="0.2">
      <c r="A5186" s="1">
        <v>13465</v>
      </c>
      <c r="B5186" s="1" t="s">
        <v>6839</v>
      </c>
      <c r="D5186" s="1" t="s">
        <v>11735</v>
      </c>
      <c r="F5186" s="1" t="s">
        <v>14661</v>
      </c>
      <c r="H5186" s="1" t="s">
        <v>14783</v>
      </c>
      <c r="J5186" s="1" t="s">
        <v>1067</v>
      </c>
      <c r="L5186" s="1" t="s">
        <v>1112</v>
      </c>
      <c r="N5186" s="1" t="s">
        <v>3592</v>
      </c>
      <c r="P5186" s="1" t="s">
        <v>3595</v>
      </c>
      <c r="Q5186" s="3">
        <v>0</v>
      </c>
      <c r="R5186" s="23" t="s">
        <v>11933</v>
      </c>
      <c r="S5186" s="23" t="s">
        <v>5849</v>
      </c>
      <c r="T5186" s="23" t="s">
        <v>4866</v>
      </c>
      <c r="U5186" s="3">
        <v>35</v>
      </c>
      <c r="W5186" s="45" t="str">
        <f>HYPERLINK("http://ictvonline.org/taxonomy/p/taxonomy-history?taxnode_id=201902026","ICTVonline=201902026")</f>
        <v>ICTVonline=201902026</v>
      </c>
      <c r="X5186" s="1" t="s">
        <v>15305</v>
      </c>
      <c r="Y5186" s="1" t="s">
        <v>15306</v>
      </c>
      <c r="Z5186" s="1" t="s">
        <v>15307</v>
      </c>
      <c r="AA5186" s="1">
        <v>201900000</v>
      </c>
      <c r="AB5186" s="1">
        <v>35</v>
      </c>
    </row>
    <row r="5187" spans="1:28" x14ac:dyDescent="0.2">
      <c r="A5187" s="1">
        <v>13469</v>
      </c>
      <c r="B5187" s="1" t="s">
        <v>6839</v>
      </c>
      <c r="D5187" s="1" t="s">
        <v>11735</v>
      </c>
      <c r="F5187" s="1" t="s">
        <v>14661</v>
      </c>
      <c r="H5187" s="1" t="s">
        <v>14783</v>
      </c>
      <c r="J5187" s="1" t="s">
        <v>1067</v>
      </c>
      <c r="L5187" s="1" t="s">
        <v>1112</v>
      </c>
      <c r="N5187" s="1" t="s">
        <v>6632</v>
      </c>
      <c r="P5187" s="1" t="s">
        <v>6633</v>
      </c>
      <c r="Q5187" s="3">
        <v>1</v>
      </c>
      <c r="R5187" s="23" t="s">
        <v>11933</v>
      </c>
      <c r="S5187" s="23" t="s">
        <v>5849</v>
      </c>
      <c r="T5187" s="23" t="s">
        <v>4866</v>
      </c>
      <c r="U5187" s="3">
        <v>35</v>
      </c>
      <c r="W5187" s="45" t="str">
        <f>HYPERLINK("http://ictvonline.org/taxonomy/p/taxonomy-history?taxnode_id=201906315","ICTVonline=201906315")</f>
        <v>ICTVonline=201906315</v>
      </c>
      <c r="X5187" s="1" t="s">
        <v>15308</v>
      </c>
      <c r="Y5187" s="1" t="s">
        <v>15309</v>
      </c>
      <c r="Z5187" s="1" t="s">
        <v>15310</v>
      </c>
      <c r="AA5187" s="1">
        <v>201900000</v>
      </c>
      <c r="AB5187" s="1">
        <v>35</v>
      </c>
    </row>
    <row r="5188" spans="1:28" x14ac:dyDescent="0.2">
      <c r="A5188" s="1">
        <v>13473</v>
      </c>
      <c r="B5188" s="1" t="s">
        <v>6839</v>
      </c>
      <c r="D5188" s="1" t="s">
        <v>11735</v>
      </c>
      <c r="F5188" s="1" t="s">
        <v>14661</v>
      </c>
      <c r="H5188" s="1" t="s">
        <v>14783</v>
      </c>
      <c r="J5188" s="1" t="s">
        <v>1067</v>
      </c>
      <c r="L5188" s="1" t="s">
        <v>1112</v>
      </c>
      <c r="N5188" s="1" t="s">
        <v>15311</v>
      </c>
      <c r="P5188" s="1" t="s">
        <v>15312</v>
      </c>
      <c r="Q5188" s="3">
        <v>1</v>
      </c>
      <c r="R5188" s="23" t="s">
        <v>11933</v>
      </c>
      <c r="S5188" s="23" t="s">
        <v>5849</v>
      </c>
      <c r="T5188" s="23" t="s">
        <v>4864</v>
      </c>
      <c r="U5188" s="3">
        <v>35</v>
      </c>
      <c r="V5188" s="3" t="s">
        <v>15313</v>
      </c>
      <c r="W5188" s="45" t="str">
        <f>HYPERLINK("http://ictvonline.org/taxonomy/p/taxonomy-history?taxnode_id=201907359","ICTVonline=201907359")</f>
        <v>ICTVonline=201907359</v>
      </c>
      <c r="Y5188" s="1" t="s">
        <v>15314</v>
      </c>
      <c r="Z5188" s="1" t="s">
        <v>15315</v>
      </c>
      <c r="AA5188" s="1">
        <v>201900000</v>
      </c>
      <c r="AB5188" s="1">
        <v>35</v>
      </c>
    </row>
    <row r="5189" spans="1:28" x14ac:dyDescent="0.2">
      <c r="A5189" s="1">
        <v>13477</v>
      </c>
      <c r="B5189" s="1" t="s">
        <v>6839</v>
      </c>
      <c r="D5189" s="1" t="s">
        <v>11735</v>
      </c>
      <c r="F5189" s="1" t="s">
        <v>14661</v>
      </c>
      <c r="H5189" s="1" t="s">
        <v>14783</v>
      </c>
      <c r="J5189" s="1" t="s">
        <v>1067</v>
      </c>
      <c r="L5189" s="1" t="s">
        <v>1112</v>
      </c>
      <c r="N5189" s="1" t="s">
        <v>6634</v>
      </c>
      <c r="P5189" s="1" t="s">
        <v>6635</v>
      </c>
      <c r="Q5189" s="3">
        <v>1</v>
      </c>
      <c r="R5189" s="23" t="s">
        <v>11933</v>
      </c>
      <c r="S5189" s="23" t="s">
        <v>5849</v>
      </c>
      <c r="T5189" s="23" t="s">
        <v>4866</v>
      </c>
      <c r="U5189" s="3">
        <v>35</v>
      </c>
      <c r="W5189" s="45" t="str">
        <f>HYPERLINK("http://ictvonline.org/taxonomy/p/taxonomy-history?taxnode_id=201906324","ICTVonline=201906324")</f>
        <v>ICTVonline=201906324</v>
      </c>
      <c r="X5189" s="1" t="s">
        <v>15316</v>
      </c>
      <c r="Y5189" s="1" t="s">
        <v>15317</v>
      </c>
      <c r="Z5189" s="1" t="s">
        <v>15318</v>
      </c>
      <c r="AA5189" s="1">
        <v>201900000</v>
      </c>
      <c r="AB5189" s="1">
        <v>35</v>
      </c>
    </row>
    <row r="5190" spans="1:28" x14ac:dyDescent="0.2">
      <c r="A5190" s="1">
        <v>13479</v>
      </c>
      <c r="B5190" s="1" t="s">
        <v>6839</v>
      </c>
      <c r="D5190" s="1" t="s">
        <v>11735</v>
      </c>
      <c r="F5190" s="1" t="s">
        <v>14661</v>
      </c>
      <c r="H5190" s="1" t="s">
        <v>14783</v>
      </c>
      <c r="J5190" s="1" t="s">
        <v>1067</v>
      </c>
      <c r="L5190" s="1" t="s">
        <v>1112</v>
      </c>
      <c r="N5190" s="1" t="s">
        <v>6634</v>
      </c>
      <c r="P5190" s="1" t="s">
        <v>6636</v>
      </c>
      <c r="Q5190" s="3">
        <v>0</v>
      </c>
      <c r="R5190" s="23" t="s">
        <v>11933</v>
      </c>
      <c r="S5190" s="23" t="s">
        <v>5849</v>
      </c>
      <c r="T5190" s="23" t="s">
        <v>4866</v>
      </c>
      <c r="U5190" s="3">
        <v>35</v>
      </c>
      <c r="W5190" s="45" t="str">
        <f>HYPERLINK("http://ictvonline.org/taxonomy/p/taxonomy-history?taxnode_id=201906325","ICTVonline=201906325")</f>
        <v>ICTVonline=201906325</v>
      </c>
      <c r="X5190" s="1" t="s">
        <v>15319</v>
      </c>
      <c r="Y5190" s="1" t="s">
        <v>15320</v>
      </c>
      <c r="Z5190" s="1" t="s">
        <v>15321</v>
      </c>
      <c r="AA5190" s="1">
        <v>201900000</v>
      </c>
      <c r="AB5190" s="1">
        <v>35</v>
      </c>
    </row>
    <row r="5191" spans="1:28" x14ac:dyDescent="0.2">
      <c r="A5191" s="1">
        <v>13483</v>
      </c>
      <c r="B5191" s="1" t="s">
        <v>6839</v>
      </c>
      <c r="D5191" s="1" t="s">
        <v>11735</v>
      </c>
      <c r="F5191" s="1" t="s">
        <v>14661</v>
      </c>
      <c r="H5191" s="1" t="s">
        <v>14783</v>
      </c>
      <c r="J5191" s="1" t="s">
        <v>1067</v>
      </c>
      <c r="L5191" s="1" t="s">
        <v>1112</v>
      </c>
      <c r="N5191" s="1" t="s">
        <v>2178</v>
      </c>
      <c r="P5191" s="1" t="s">
        <v>5095</v>
      </c>
      <c r="Q5191" s="3">
        <v>1</v>
      </c>
      <c r="R5191" s="23" t="s">
        <v>11933</v>
      </c>
      <c r="S5191" s="23" t="s">
        <v>5849</v>
      </c>
      <c r="T5191" s="23" t="s">
        <v>4866</v>
      </c>
      <c r="U5191" s="3">
        <v>35</v>
      </c>
      <c r="W5191" s="45" t="str">
        <f>HYPERLINK("http://ictvonline.org/taxonomy/p/taxonomy-history?taxnode_id=201902028","ICTVonline=201902028")</f>
        <v>ICTVonline=201902028</v>
      </c>
      <c r="AA5191" s="1">
        <v>201900000</v>
      </c>
      <c r="AB5191" s="1">
        <v>35</v>
      </c>
    </row>
    <row r="5192" spans="1:28" x14ac:dyDescent="0.2">
      <c r="A5192" s="1">
        <v>13485</v>
      </c>
      <c r="B5192" s="1" t="s">
        <v>6839</v>
      </c>
      <c r="D5192" s="1" t="s">
        <v>11735</v>
      </c>
      <c r="F5192" s="1" t="s">
        <v>14661</v>
      </c>
      <c r="H5192" s="1" t="s">
        <v>14783</v>
      </c>
      <c r="J5192" s="1" t="s">
        <v>1067</v>
      </c>
      <c r="L5192" s="1" t="s">
        <v>1112</v>
      </c>
      <c r="N5192" s="1" t="s">
        <v>2178</v>
      </c>
      <c r="P5192" s="1" t="s">
        <v>5096</v>
      </c>
      <c r="Q5192" s="3">
        <v>0</v>
      </c>
      <c r="R5192" s="23" t="s">
        <v>11933</v>
      </c>
      <c r="S5192" s="23" t="s">
        <v>5849</v>
      </c>
      <c r="T5192" s="23" t="s">
        <v>4866</v>
      </c>
      <c r="U5192" s="3">
        <v>35</v>
      </c>
      <c r="W5192" s="45" t="str">
        <f>HYPERLINK("http://ictvonline.org/taxonomy/p/taxonomy-history?taxnode_id=201905600","ICTVonline=201905600")</f>
        <v>ICTVonline=201905600</v>
      </c>
      <c r="AA5192" s="1">
        <v>201900000</v>
      </c>
      <c r="AB5192" s="1">
        <v>35</v>
      </c>
    </row>
    <row r="5193" spans="1:28" x14ac:dyDescent="0.2">
      <c r="A5193" s="1">
        <v>13487</v>
      </c>
      <c r="B5193" s="1" t="s">
        <v>6839</v>
      </c>
      <c r="D5193" s="1" t="s">
        <v>11735</v>
      </c>
      <c r="F5193" s="1" t="s">
        <v>14661</v>
      </c>
      <c r="H5193" s="1" t="s">
        <v>14783</v>
      </c>
      <c r="J5193" s="1" t="s">
        <v>1067</v>
      </c>
      <c r="L5193" s="1" t="s">
        <v>1112</v>
      </c>
      <c r="N5193" s="1" t="s">
        <v>2178</v>
      </c>
      <c r="P5193" s="1" t="s">
        <v>5097</v>
      </c>
      <c r="Q5193" s="3">
        <v>0</v>
      </c>
      <c r="R5193" s="23" t="s">
        <v>11933</v>
      </c>
      <c r="S5193" s="23" t="s">
        <v>5849</v>
      </c>
      <c r="T5193" s="23" t="s">
        <v>4866</v>
      </c>
      <c r="U5193" s="3">
        <v>35</v>
      </c>
      <c r="W5193" s="45" t="str">
        <f>HYPERLINK("http://ictvonline.org/taxonomy/p/taxonomy-history?taxnode_id=201905601","ICTVonline=201905601")</f>
        <v>ICTVonline=201905601</v>
      </c>
      <c r="AA5193" s="1">
        <v>201900000</v>
      </c>
      <c r="AB5193" s="1">
        <v>35</v>
      </c>
    </row>
    <row r="5194" spans="1:28" x14ac:dyDescent="0.2">
      <c r="A5194" s="1">
        <v>13489</v>
      </c>
      <c r="B5194" s="1" t="s">
        <v>6839</v>
      </c>
      <c r="D5194" s="1" t="s">
        <v>11735</v>
      </c>
      <c r="F5194" s="1" t="s">
        <v>14661</v>
      </c>
      <c r="H5194" s="1" t="s">
        <v>14783</v>
      </c>
      <c r="J5194" s="1" t="s">
        <v>1067</v>
      </c>
      <c r="L5194" s="1" t="s">
        <v>1112</v>
      </c>
      <c r="N5194" s="1" t="s">
        <v>2178</v>
      </c>
      <c r="P5194" s="1" t="s">
        <v>5098</v>
      </c>
      <c r="Q5194" s="3">
        <v>0</v>
      </c>
      <c r="R5194" s="23" t="s">
        <v>11933</v>
      </c>
      <c r="S5194" s="23" t="s">
        <v>5849</v>
      </c>
      <c r="T5194" s="23" t="s">
        <v>4866</v>
      </c>
      <c r="U5194" s="3">
        <v>35</v>
      </c>
      <c r="W5194" s="45" t="str">
        <f>HYPERLINK("http://ictvonline.org/taxonomy/p/taxonomy-history?taxnode_id=201905602","ICTVonline=201905602")</f>
        <v>ICTVonline=201905602</v>
      </c>
      <c r="AA5194" s="1">
        <v>201900000</v>
      </c>
      <c r="AB5194" s="1">
        <v>35</v>
      </c>
    </row>
    <row r="5195" spans="1:28" x14ac:dyDescent="0.2">
      <c r="A5195" s="1">
        <v>13491</v>
      </c>
      <c r="B5195" s="1" t="s">
        <v>6839</v>
      </c>
      <c r="D5195" s="1" t="s">
        <v>11735</v>
      </c>
      <c r="F5195" s="1" t="s">
        <v>14661</v>
      </c>
      <c r="H5195" s="1" t="s">
        <v>14783</v>
      </c>
      <c r="J5195" s="1" t="s">
        <v>1067</v>
      </c>
      <c r="L5195" s="1" t="s">
        <v>1112</v>
      </c>
      <c r="N5195" s="1" t="s">
        <v>2178</v>
      </c>
      <c r="P5195" s="1" t="s">
        <v>5099</v>
      </c>
      <c r="Q5195" s="3">
        <v>0</v>
      </c>
      <c r="R5195" s="23" t="s">
        <v>11933</v>
      </c>
      <c r="S5195" s="23" t="s">
        <v>5849</v>
      </c>
      <c r="T5195" s="23" t="s">
        <v>4866</v>
      </c>
      <c r="U5195" s="3">
        <v>35</v>
      </c>
      <c r="W5195" s="45" t="str">
        <f>HYPERLINK("http://ictvonline.org/taxonomy/p/taxonomy-history?taxnode_id=201905603","ICTVonline=201905603")</f>
        <v>ICTVonline=201905603</v>
      </c>
      <c r="AA5195" s="1">
        <v>201900000</v>
      </c>
      <c r="AB5195" s="1">
        <v>35</v>
      </c>
    </row>
    <row r="5196" spans="1:28" x14ac:dyDescent="0.2">
      <c r="A5196" s="1">
        <v>13495</v>
      </c>
      <c r="B5196" s="1" t="s">
        <v>6839</v>
      </c>
      <c r="D5196" s="1" t="s">
        <v>11735</v>
      </c>
      <c r="F5196" s="1" t="s">
        <v>14661</v>
      </c>
      <c r="H5196" s="1" t="s">
        <v>14783</v>
      </c>
      <c r="J5196" s="1" t="s">
        <v>1067</v>
      </c>
      <c r="L5196" s="1" t="s">
        <v>1112</v>
      </c>
      <c r="N5196" s="1" t="s">
        <v>2296</v>
      </c>
      <c r="P5196" s="1" t="s">
        <v>2297</v>
      </c>
      <c r="Q5196" s="3">
        <v>1</v>
      </c>
      <c r="R5196" s="23" t="s">
        <v>11933</v>
      </c>
      <c r="S5196" s="23" t="s">
        <v>5849</v>
      </c>
      <c r="T5196" s="23" t="s">
        <v>4866</v>
      </c>
      <c r="U5196" s="3">
        <v>35</v>
      </c>
      <c r="W5196" s="45" t="str">
        <f>HYPERLINK("http://ictvonline.org/taxonomy/p/taxonomy-history?taxnode_id=201902030","ICTVonline=201902030")</f>
        <v>ICTVonline=201902030</v>
      </c>
      <c r="AA5196" s="1">
        <v>201900000</v>
      </c>
      <c r="AB5196" s="1">
        <v>35</v>
      </c>
    </row>
    <row r="5197" spans="1:28" x14ac:dyDescent="0.2">
      <c r="A5197" s="1">
        <v>13497</v>
      </c>
      <c r="B5197" s="1" t="s">
        <v>6839</v>
      </c>
      <c r="D5197" s="1" t="s">
        <v>11735</v>
      </c>
      <c r="F5197" s="1" t="s">
        <v>14661</v>
      </c>
      <c r="H5197" s="1" t="s">
        <v>14783</v>
      </c>
      <c r="J5197" s="1" t="s">
        <v>1067</v>
      </c>
      <c r="L5197" s="1" t="s">
        <v>1112</v>
      </c>
      <c r="N5197" s="1" t="s">
        <v>2296</v>
      </c>
      <c r="P5197" s="1" t="s">
        <v>4544</v>
      </c>
      <c r="Q5197" s="3">
        <v>0</v>
      </c>
      <c r="R5197" s="23" t="s">
        <v>11933</v>
      </c>
      <c r="S5197" s="23" t="s">
        <v>5849</v>
      </c>
      <c r="T5197" s="23" t="s">
        <v>4866</v>
      </c>
      <c r="U5197" s="3">
        <v>35</v>
      </c>
      <c r="W5197" s="45" t="str">
        <f>HYPERLINK("http://ictvonline.org/taxonomy/p/taxonomy-history?taxnode_id=201902031","ICTVonline=201902031")</f>
        <v>ICTVonline=201902031</v>
      </c>
      <c r="Y5197" s="1" t="s">
        <v>15322</v>
      </c>
      <c r="Z5197" s="1" t="s">
        <v>15323</v>
      </c>
      <c r="AA5197" s="1">
        <v>201900000</v>
      </c>
      <c r="AB5197" s="1">
        <v>35</v>
      </c>
    </row>
    <row r="5198" spans="1:28" x14ac:dyDescent="0.2">
      <c r="A5198" s="1">
        <v>13499</v>
      </c>
      <c r="B5198" s="1" t="s">
        <v>6839</v>
      </c>
      <c r="D5198" s="1" t="s">
        <v>11735</v>
      </c>
      <c r="F5198" s="1" t="s">
        <v>14661</v>
      </c>
      <c r="H5198" s="1" t="s">
        <v>14783</v>
      </c>
      <c r="J5198" s="1" t="s">
        <v>1067</v>
      </c>
      <c r="L5198" s="1" t="s">
        <v>1112</v>
      </c>
      <c r="N5198" s="1" t="s">
        <v>2296</v>
      </c>
      <c r="P5198" s="1" t="s">
        <v>4545</v>
      </c>
      <c r="Q5198" s="3">
        <v>0</v>
      </c>
      <c r="R5198" s="23" t="s">
        <v>11933</v>
      </c>
      <c r="S5198" s="23" t="s">
        <v>5849</v>
      </c>
      <c r="T5198" s="23" t="s">
        <v>4866</v>
      </c>
      <c r="U5198" s="3">
        <v>35</v>
      </c>
      <c r="W5198" s="45" t="str">
        <f>HYPERLINK("http://ictvonline.org/taxonomy/p/taxonomy-history?taxnode_id=201902032","ICTVonline=201902032")</f>
        <v>ICTVonline=201902032</v>
      </c>
      <c r="Y5198" s="1" t="s">
        <v>15324</v>
      </c>
      <c r="Z5198" s="1" t="s">
        <v>15325</v>
      </c>
      <c r="AA5198" s="1">
        <v>201900000</v>
      </c>
      <c r="AB5198" s="1">
        <v>35</v>
      </c>
    </row>
    <row r="5199" spans="1:28" x14ac:dyDescent="0.2">
      <c r="A5199" s="1">
        <v>13501</v>
      </c>
      <c r="B5199" s="1" t="s">
        <v>6839</v>
      </c>
      <c r="D5199" s="1" t="s">
        <v>11735</v>
      </c>
      <c r="F5199" s="1" t="s">
        <v>14661</v>
      </c>
      <c r="H5199" s="1" t="s">
        <v>14783</v>
      </c>
      <c r="J5199" s="1" t="s">
        <v>1067</v>
      </c>
      <c r="L5199" s="1" t="s">
        <v>1112</v>
      </c>
      <c r="N5199" s="1" t="s">
        <v>2296</v>
      </c>
      <c r="P5199" s="1" t="s">
        <v>6637</v>
      </c>
      <c r="Q5199" s="3">
        <v>0</v>
      </c>
      <c r="R5199" s="23" t="s">
        <v>11933</v>
      </c>
      <c r="S5199" s="23" t="s">
        <v>5849</v>
      </c>
      <c r="T5199" s="23" t="s">
        <v>4866</v>
      </c>
      <c r="U5199" s="3">
        <v>35</v>
      </c>
      <c r="W5199" s="45" t="str">
        <f>HYPERLINK("http://ictvonline.org/taxonomy/p/taxonomy-history?taxnode_id=201906330","ICTVonline=201906330")</f>
        <v>ICTVonline=201906330</v>
      </c>
      <c r="X5199" s="1" t="s">
        <v>15326</v>
      </c>
      <c r="Y5199" s="1" t="s">
        <v>15327</v>
      </c>
      <c r="Z5199" s="1" t="s">
        <v>15328</v>
      </c>
      <c r="AA5199" s="1">
        <v>201900000</v>
      </c>
      <c r="AB5199" s="1">
        <v>35</v>
      </c>
    </row>
    <row r="5200" spans="1:28" x14ac:dyDescent="0.2">
      <c r="A5200" s="1">
        <v>13505</v>
      </c>
      <c r="B5200" s="1" t="s">
        <v>6839</v>
      </c>
      <c r="D5200" s="1" t="s">
        <v>11735</v>
      </c>
      <c r="F5200" s="1" t="s">
        <v>14661</v>
      </c>
      <c r="H5200" s="1" t="s">
        <v>14783</v>
      </c>
      <c r="J5200" s="1" t="s">
        <v>1067</v>
      </c>
      <c r="L5200" s="1" t="s">
        <v>1112</v>
      </c>
      <c r="N5200" s="1" t="s">
        <v>2298</v>
      </c>
      <c r="P5200" s="1" t="s">
        <v>2299</v>
      </c>
      <c r="Q5200" s="3">
        <v>1</v>
      </c>
      <c r="R5200" s="23" t="s">
        <v>11933</v>
      </c>
      <c r="S5200" s="23" t="s">
        <v>5849</v>
      </c>
      <c r="T5200" s="23" t="s">
        <v>4866</v>
      </c>
      <c r="U5200" s="3">
        <v>35</v>
      </c>
      <c r="W5200" s="45" t="str">
        <f>HYPERLINK("http://ictvonline.org/taxonomy/p/taxonomy-history?taxnode_id=201902034","ICTVonline=201902034")</f>
        <v>ICTVonline=201902034</v>
      </c>
      <c r="AA5200" s="1">
        <v>201900000</v>
      </c>
      <c r="AB5200" s="1">
        <v>35</v>
      </c>
    </row>
    <row r="5201" spans="1:28" x14ac:dyDescent="0.2">
      <c r="A5201" s="1">
        <v>13507</v>
      </c>
      <c r="B5201" s="1" t="s">
        <v>6839</v>
      </c>
      <c r="D5201" s="1" t="s">
        <v>11735</v>
      </c>
      <c r="F5201" s="1" t="s">
        <v>14661</v>
      </c>
      <c r="H5201" s="1" t="s">
        <v>14783</v>
      </c>
      <c r="J5201" s="1" t="s">
        <v>1067</v>
      </c>
      <c r="L5201" s="1" t="s">
        <v>1112</v>
      </c>
      <c r="N5201" s="1" t="s">
        <v>2298</v>
      </c>
      <c r="P5201" s="1" t="s">
        <v>15329</v>
      </c>
      <c r="Q5201" s="3">
        <v>0</v>
      </c>
      <c r="R5201" s="23" t="s">
        <v>11933</v>
      </c>
      <c r="S5201" s="23" t="s">
        <v>5849</v>
      </c>
      <c r="T5201" s="23" t="s">
        <v>4864</v>
      </c>
      <c r="U5201" s="3">
        <v>35</v>
      </c>
      <c r="V5201" s="3" t="s">
        <v>15330</v>
      </c>
      <c r="W5201" s="45" t="str">
        <f>HYPERLINK("http://ictvonline.org/taxonomy/p/taxonomy-history?taxnode_id=201907369","ICTVonline=201907369")</f>
        <v>ICTVonline=201907369</v>
      </c>
      <c r="Y5201" s="1" t="s">
        <v>15331</v>
      </c>
      <c r="Z5201" s="1" t="s">
        <v>15332</v>
      </c>
      <c r="AA5201" s="1">
        <v>201900000</v>
      </c>
      <c r="AB5201" s="1">
        <v>35</v>
      </c>
    </row>
    <row r="5202" spans="1:28" x14ac:dyDescent="0.2">
      <c r="A5202" s="1">
        <v>13511</v>
      </c>
      <c r="B5202" s="1" t="s">
        <v>6839</v>
      </c>
      <c r="D5202" s="1" t="s">
        <v>11735</v>
      </c>
      <c r="F5202" s="1" t="s">
        <v>14661</v>
      </c>
      <c r="H5202" s="1" t="s">
        <v>14783</v>
      </c>
      <c r="J5202" s="1" t="s">
        <v>1067</v>
      </c>
      <c r="L5202" s="1" t="s">
        <v>1112</v>
      </c>
      <c r="N5202" s="1" t="s">
        <v>15333</v>
      </c>
      <c r="P5202" s="1" t="s">
        <v>15334</v>
      </c>
      <c r="Q5202" s="3">
        <v>1</v>
      </c>
      <c r="R5202" s="23" t="s">
        <v>11933</v>
      </c>
      <c r="S5202" s="23" t="s">
        <v>5849</v>
      </c>
      <c r="T5202" s="23" t="s">
        <v>4864</v>
      </c>
      <c r="U5202" s="3">
        <v>35</v>
      </c>
      <c r="V5202" s="3" t="s">
        <v>15335</v>
      </c>
      <c r="W5202" s="45" t="str">
        <f>HYPERLINK("http://ictvonline.org/taxonomy/p/taxonomy-history?taxnode_id=201907398","ICTVonline=201907398")</f>
        <v>ICTVonline=201907398</v>
      </c>
      <c r="Y5202" s="1" t="s">
        <v>15336</v>
      </c>
      <c r="Z5202" s="1" t="s">
        <v>15337</v>
      </c>
      <c r="AA5202" s="1">
        <v>201900000</v>
      </c>
      <c r="AB5202" s="1">
        <v>35</v>
      </c>
    </row>
    <row r="5203" spans="1:28" x14ac:dyDescent="0.2">
      <c r="A5203" s="1">
        <v>13515</v>
      </c>
      <c r="B5203" s="1" t="s">
        <v>6839</v>
      </c>
      <c r="D5203" s="1" t="s">
        <v>11735</v>
      </c>
      <c r="F5203" s="1" t="s">
        <v>14661</v>
      </c>
      <c r="H5203" s="1" t="s">
        <v>14783</v>
      </c>
      <c r="J5203" s="1" t="s">
        <v>1067</v>
      </c>
      <c r="L5203" s="1" t="s">
        <v>1112</v>
      </c>
      <c r="N5203" s="1" t="s">
        <v>15338</v>
      </c>
      <c r="P5203" s="1" t="s">
        <v>15339</v>
      </c>
      <c r="Q5203" s="3">
        <v>1</v>
      </c>
      <c r="R5203" s="23" t="s">
        <v>11933</v>
      </c>
      <c r="S5203" s="23" t="s">
        <v>5849</v>
      </c>
      <c r="T5203" s="23" t="s">
        <v>4864</v>
      </c>
      <c r="U5203" s="3">
        <v>35</v>
      </c>
      <c r="V5203" s="3" t="s">
        <v>15272</v>
      </c>
      <c r="W5203" s="45" t="str">
        <f>HYPERLINK("http://ictvonline.org/taxonomy/p/taxonomy-history?taxnode_id=201907300","ICTVonline=201907300")</f>
        <v>ICTVonline=201907300</v>
      </c>
      <c r="Y5203" s="1" t="s">
        <v>15340</v>
      </c>
      <c r="Z5203" s="1" t="s">
        <v>15341</v>
      </c>
      <c r="AA5203" s="1">
        <v>201900000</v>
      </c>
      <c r="AB5203" s="1">
        <v>35</v>
      </c>
    </row>
    <row r="5204" spans="1:28" x14ac:dyDescent="0.2">
      <c r="A5204" s="1">
        <v>13519</v>
      </c>
      <c r="B5204" s="1" t="s">
        <v>6839</v>
      </c>
      <c r="D5204" s="1" t="s">
        <v>11735</v>
      </c>
      <c r="F5204" s="1" t="s">
        <v>14661</v>
      </c>
      <c r="H5204" s="1" t="s">
        <v>14783</v>
      </c>
      <c r="J5204" s="1" t="s">
        <v>1067</v>
      </c>
      <c r="L5204" s="1" t="s">
        <v>1112</v>
      </c>
      <c r="N5204" s="1" t="s">
        <v>5100</v>
      </c>
      <c r="P5204" s="1" t="s">
        <v>5101</v>
      </c>
      <c r="Q5204" s="3">
        <v>1</v>
      </c>
      <c r="R5204" s="23" t="s">
        <v>11933</v>
      </c>
      <c r="S5204" s="23" t="s">
        <v>5849</v>
      </c>
      <c r="T5204" s="23" t="s">
        <v>4866</v>
      </c>
      <c r="U5204" s="3">
        <v>35</v>
      </c>
      <c r="W5204" s="45" t="str">
        <f>HYPERLINK("http://ictvonline.org/taxonomy/p/taxonomy-history?taxnode_id=201905604","ICTVonline=201905604")</f>
        <v>ICTVonline=201905604</v>
      </c>
      <c r="AA5204" s="1">
        <v>201900000</v>
      </c>
      <c r="AB5204" s="1">
        <v>35</v>
      </c>
    </row>
    <row r="5205" spans="1:28" x14ac:dyDescent="0.2">
      <c r="A5205" s="1">
        <v>13523</v>
      </c>
      <c r="B5205" s="1" t="s">
        <v>6839</v>
      </c>
      <c r="D5205" s="1" t="s">
        <v>11735</v>
      </c>
      <c r="F5205" s="1" t="s">
        <v>14661</v>
      </c>
      <c r="H5205" s="1" t="s">
        <v>14783</v>
      </c>
      <c r="J5205" s="1" t="s">
        <v>1067</v>
      </c>
      <c r="L5205" s="1" t="s">
        <v>1112</v>
      </c>
      <c r="N5205" s="1" t="s">
        <v>2300</v>
      </c>
      <c r="P5205" s="1" t="s">
        <v>2301</v>
      </c>
      <c r="Q5205" s="3">
        <v>1</v>
      </c>
      <c r="R5205" s="23" t="s">
        <v>11933</v>
      </c>
      <c r="S5205" s="23" t="s">
        <v>5849</v>
      </c>
      <c r="T5205" s="23" t="s">
        <v>4866</v>
      </c>
      <c r="U5205" s="3">
        <v>35</v>
      </c>
      <c r="W5205" s="45" t="str">
        <f>HYPERLINK("http://ictvonline.org/taxonomy/p/taxonomy-history?taxnode_id=201902036","ICTVonline=201902036")</f>
        <v>ICTVonline=201902036</v>
      </c>
      <c r="AA5205" s="1">
        <v>201900000</v>
      </c>
      <c r="AB5205" s="1">
        <v>35</v>
      </c>
    </row>
    <row r="5206" spans="1:28" x14ac:dyDescent="0.2">
      <c r="A5206" s="1">
        <v>13527</v>
      </c>
      <c r="B5206" s="1" t="s">
        <v>6839</v>
      </c>
      <c r="D5206" s="1" t="s">
        <v>11735</v>
      </c>
      <c r="F5206" s="1" t="s">
        <v>14661</v>
      </c>
      <c r="H5206" s="1" t="s">
        <v>14783</v>
      </c>
      <c r="J5206" s="1" t="s">
        <v>1067</v>
      </c>
      <c r="L5206" s="1" t="s">
        <v>1112</v>
      </c>
      <c r="N5206" s="1" t="s">
        <v>15342</v>
      </c>
      <c r="P5206" s="1" t="s">
        <v>15343</v>
      </c>
      <c r="Q5206" s="3">
        <v>1</v>
      </c>
      <c r="R5206" s="23" t="s">
        <v>11933</v>
      </c>
      <c r="S5206" s="23" t="s">
        <v>5849</v>
      </c>
      <c r="T5206" s="23" t="s">
        <v>4864</v>
      </c>
      <c r="U5206" s="3">
        <v>35</v>
      </c>
      <c r="V5206" s="3" t="s">
        <v>15344</v>
      </c>
      <c r="W5206" s="45" t="str">
        <f>HYPERLINK("http://ictvonline.org/taxonomy/p/taxonomy-history?taxnode_id=201907410","ICTVonline=201907410")</f>
        <v>ICTVonline=201907410</v>
      </c>
      <c r="Y5206" s="1" t="s">
        <v>15345</v>
      </c>
      <c r="Z5206" s="1" t="s">
        <v>15346</v>
      </c>
      <c r="AA5206" s="1">
        <v>201900000</v>
      </c>
      <c r="AB5206" s="1">
        <v>35</v>
      </c>
    </row>
    <row r="5207" spans="1:28" x14ac:dyDescent="0.2">
      <c r="A5207" s="1">
        <v>13529</v>
      </c>
      <c r="B5207" s="1" t="s">
        <v>6839</v>
      </c>
      <c r="D5207" s="1" t="s">
        <v>11735</v>
      </c>
      <c r="F5207" s="1" t="s">
        <v>14661</v>
      </c>
      <c r="H5207" s="1" t="s">
        <v>14783</v>
      </c>
      <c r="J5207" s="1" t="s">
        <v>1067</v>
      </c>
      <c r="L5207" s="1" t="s">
        <v>1112</v>
      </c>
      <c r="N5207" s="1" t="s">
        <v>15342</v>
      </c>
      <c r="P5207" s="1" t="s">
        <v>15347</v>
      </c>
      <c r="Q5207" s="3">
        <v>0</v>
      </c>
      <c r="R5207" s="23" t="s">
        <v>11933</v>
      </c>
      <c r="S5207" s="23" t="s">
        <v>5849</v>
      </c>
      <c r="T5207" s="23" t="s">
        <v>4864</v>
      </c>
      <c r="U5207" s="3">
        <v>35</v>
      </c>
      <c r="V5207" s="3" t="s">
        <v>15344</v>
      </c>
      <c r="W5207" s="45" t="str">
        <f>HYPERLINK("http://ictvonline.org/taxonomy/p/taxonomy-history?taxnode_id=201907411","ICTVonline=201907411")</f>
        <v>ICTVonline=201907411</v>
      </c>
      <c r="Y5207" s="1" t="s">
        <v>15348</v>
      </c>
      <c r="Z5207" s="1" t="s">
        <v>15349</v>
      </c>
      <c r="AA5207" s="1">
        <v>201900000</v>
      </c>
      <c r="AB5207" s="1">
        <v>35</v>
      </c>
    </row>
    <row r="5208" spans="1:28" x14ac:dyDescent="0.2">
      <c r="A5208" s="1">
        <v>13531</v>
      </c>
      <c r="B5208" s="1" t="s">
        <v>6839</v>
      </c>
      <c r="D5208" s="1" t="s">
        <v>11735</v>
      </c>
      <c r="F5208" s="1" t="s">
        <v>14661</v>
      </c>
      <c r="H5208" s="1" t="s">
        <v>14783</v>
      </c>
      <c r="J5208" s="1" t="s">
        <v>1067</v>
      </c>
      <c r="L5208" s="1" t="s">
        <v>1112</v>
      </c>
      <c r="N5208" s="1" t="s">
        <v>15342</v>
      </c>
      <c r="P5208" s="1" t="s">
        <v>15350</v>
      </c>
      <c r="Q5208" s="3">
        <v>0</v>
      </c>
      <c r="R5208" s="23" t="s">
        <v>11933</v>
      </c>
      <c r="S5208" s="23" t="s">
        <v>5849</v>
      </c>
      <c r="T5208" s="23" t="s">
        <v>4864</v>
      </c>
      <c r="U5208" s="3">
        <v>35</v>
      </c>
      <c r="V5208" s="3" t="s">
        <v>15344</v>
      </c>
      <c r="W5208" s="45" t="str">
        <f>HYPERLINK("http://ictvonline.org/taxonomy/p/taxonomy-history?taxnode_id=201907412","ICTVonline=201907412")</f>
        <v>ICTVonline=201907412</v>
      </c>
      <c r="Y5208" s="1" t="s">
        <v>15351</v>
      </c>
      <c r="Z5208" s="1" t="s">
        <v>15352</v>
      </c>
      <c r="AA5208" s="1">
        <v>201900000</v>
      </c>
      <c r="AB5208" s="1">
        <v>35</v>
      </c>
    </row>
    <row r="5209" spans="1:28" x14ac:dyDescent="0.2">
      <c r="A5209" s="1">
        <v>13535</v>
      </c>
      <c r="B5209" s="1" t="s">
        <v>6839</v>
      </c>
      <c r="D5209" s="1" t="s">
        <v>11735</v>
      </c>
      <c r="F5209" s="1" t="s">
        <v>14661</v>
      </c>
      <c r="H5209" s="1" t="s">
        <v>14783</v>
      </c>
      <c r="J5209" s="1" t="s">
        <v>1067</v>
      </c>
      <c r="L5209" s="1" t="s">
        <v>1112</v>
      </c>
      <c r="N5209" s="1" t="s">
        <v>963</v>
      </c>
      <c r="P5209" s="1" t="s">
        <v>2610</v>
      </c>
      <c r="Q5209" s="3">
        <v>1</v>
      </c>
      <c r="R5209" s="23" t="s">
        <v>11933</v>
      </c>
      <c r="S5209" s="23" t="s">
        <v>5849</v>
      </c>
      <c r="T5209" s="23" t="s">
        <v>4866</v>
      </c>
      <c r="U5209" s="3">
        <v>35</v>
      </c>
      <c r="W5209" s="45" t="str">
        <f>HYPERLINK("http://ictvonline.org/taxonomy/p/taxonomy-history?taxnode_id=201902038","ICTVonline=201902038")</f>
        <v>ICTVonline=201902038</v>
      </c>
      <c r="AA5209" s="1">
        <v>201900000</v>
      </c>
      <c r="AB5209" s="1">
        <v>35</v>
      </c>
    </row>
    <row r="5210" spans="1:28" x14ac:dyDescent="0.2">
      <c r="A5210" s="1">
        <v>13537</v>
      </c>
      <c r="B5210" s="1" t="s">
        <v>6839</v>
      </c>
      <c r="D5210" s="1" t="s">
        <v>11735</v>
      </c>
      <c r="F5210" s="1" t="s">
        <v>14661</v>
      </c>
      <c r="H5210" s="1" t="s">
        <v>14783</v>
      </c>
      <c r="J5210" s="1" t="s">
        <v>1067</v>
      </c>
      <c r="L5210" s="1" t="s">
        <v>1112</v>
      </c>
      <c r="N5210" s="1" t="s">
        <v>963</v>
      </c>
      <c r="P5210" s="1" t="s">
        <v>2611</v>
      </c>
      <c r="Q5210" s="3">
        <v>0</v>
      </c>
      <c r="R5210" s="23" t="s">
        <v>11933</v>
      </c>
      <c r="S5210" s="23" t="s">
        <v>5849</v>
      </c>
      <c r="T5210" s="23" t="s">
        <v>4866</v>
      </c>
      <c r="U5210" s="3">
        <v>35</v>
      </c>
      <c r="W5210" s="45" t="str">
        <f>HYPERLINK("http://ictvonline.org/taxonomy/p/taxonomy-history?taxnode_id=201902039","ICTVonline=201902039")</f>
        <v>ICTVonline=201902039</v>
      </c>
      <c r="AA5210" s="1">
        <v>201900000</v>
      </c>
      <c r="AB5210" s="1">
        <v>35</v>
      </c>
    </row>
    <row r="5211" spans="1:28" x14ac:dyDescent="0.2">
      <c r="A5211" s="1">
        <v>13539</v>
      </c>
      <c r="B5211" s="1" t="s">
        <v>6839</v>
      </c>
      <c r="D5211" s="1" t="s">
        <v>11735</v>
      </c>
      <c r="F5211" s="1" t="s">
        <v>14661</v>
      </c>
      <c r="H5211" s="1" t="s">
        <v>14783</v>
      </c>
      <c r="J5211" s="1" t="s">
        <v>1067</v>
      </c>
      <c r="L5211" s="1" t="s">
        <v>1112</v>
      </c>
      <c r="N5211" s="1" t="s">
        <v>963</v>
      </c>
      <c r="P5211" s="1" t="s">
        <v>4546</v>
      </c>
      <c r="Q5211" s="3">
        <v>0</v>
      </c>
      <c r="R5211" s="23" t="s">
        <v>11933</v>
      </c>
      <c r="S5211" s="23" t="s">
        <v>5849</v>
      </c>
      <c r="T5211" s="23" t="s">
        <v>4866</v>
      </c>
      <c r="U5211" s="3">
        <v>35</v>
      </c>
      <c r="W5211" s="45" t="str">
        <f>HYPERLINK("http://ictvonline.org/taxonomy/p/taxonomy-history?taxnode_id=201902040","ICTVonline=201902040")</f>
        <v>ICTVonline=201902040</v>
      </c>
      <c r="Y5211" s="1" t="s">
        <v>15353</v>
      </c>
      <c r="Z5211" s="1" t="s">
        <v>15354</v>
      </c>
      <c r="AA5211" s="1">
        <v>201900000</v>
      </c>
      <c r="AB5211" s="1">
        <v>35</v>
      </c>
    </row>
    <row r="5212" spans="1:28" x14ac:dyDescent="0.2">
      <c r="A5212" s="1">
        <v>13541</v>
      </c>
      <c r="B5212" s="1" t="s">
        <v>6839</v>
      </c>
      <c r="D5212" s="1" t="s">
        <v>11735</v>
      </c>
      <c r="F5212" s="1" t="s">
        <v>14661</v>
      </c>
      <c r="H5212" s="1" t="s">
        <v>14783</v>
      </c>
      <c r="J5212" s="1" t="s">
        <v>1067</v>
      </c>
      <c r="L5212" s="1" t="s">
        <v>1112</v>
      </c>
      <c r="N5212" s="1" t="s">
        <v>963</v>
      </c>
      <c r="P5212" s="1" t="s">
        <v>4547</v>
      </c>
      <c r="Q5212" s="3">
        <v>0</v>
      </c>
      <c r="R5212" s="23" t="s">
        <v>11933</v>
      </c>
      <c r="S5212" s="23" t="s">
        <v>5849</v>
      </c>
      <c r="T5212" s="23" t="s">
        <v>4866</v>
      </c>
      <c r="U5212" s="3">
        <v>35</v>
      </c>
      <c r="W5212" s="45" t="str">
        <f>HYPERLINK("http://ictvonline.org/taxonomy/p/taxonomy-history?taxnode_id=201902041","ICTVonline=201902041")</f>
        <v>ICTVonline=201902041</v>
      </c>
      <c r="Y5212" s="1" t="s">
        <v>15355</v>
      </c>
      <c r="Z5212" s="1" t="s">
        <v>15356</v>
      </c>
      <c r="AA5212" s="1">
        <v>201900000</v>
      </c>
      <c r="AB5212" s="1">
        <v>35</v>
      </c>
    </row>
    <row r="5213" spans="1:28" x14ac:dyDescent="0.2">
      <c r="A5213" s="1">
        <v>13543</v>
      </c>
      <c r="B5213" s="1" t="s">
        <v>6839</v>
      </c>
      <c r="D5213" s="1" t="s">
        <v>11735</v>
      </c>
      <c r="F5213" s="1" t="s">
        <v>14661</v>
      </c>
      <c r="H5213" s="1" t="s">
        <v>14783</v>
      </c>
      <c r="J5213" s="1" t="s">
        <v>1067</v>
      </c>
      <c r="L5213" s="1" t="s">
        <v>1112</v>
      </c>
      <c r="N5213" s="1" t="s">
        <v>963</v>
      </c>
      <c r="P5213" s="1" t="s">
        <v>15357</v>
      </c>
      <c r="Q5213" s="3">
        <v>0</v>
      </c>
      <c r="R5213" s="23" t="s">
        <v>11933</v>
      </c>
      <c r="S5213" s="23" t="s">
        <v>5849</v>
      </c>
      <c r="T5213" s="23" t="s">
        <v>4864</v>
      </c>
      <c r="U5213" s="3">
        <v>35</v>
      </c>
      <c r="V5213" s="3" t="s">
        <v>15358</v>
      </c>
      <c r="W5213" s="45" t="str">
        <f>HYPERLINK("http://ictvonline.org/taxonomy/p/taxonomy-history?taxnode_id=201907418","ICTVonline=201907418")</f>
        <v>ICTVonline=201907418</v>
      </c>
      <c r="Y5213" s="1" t="s">
        <v>15359</v>
      </c>
      <c r="Z5213" s="1" t="s">
        <v>15360</v>
      </c>
      <c r="AA5213" s="1">
        <v>201900000</v>
      </c>
      <c r="AB5213" s="1">
        <v>35</v>
      </c>
    </row>
    <row r="5214" spans="1:28" x14ac:dyDescent="0.2">
      <c r="A5214" s="1">
        <v>13545</v>
      </c>
      <c r="B5214" s="1" t="s">
        <v>6839</v>
      </c>
      <c r="D5214" s="1" t="s">
        <v>11735</v>
      </c>
      <c r="F5214" s="1" t="s">
        <v>14661</v>
      </c>
      <c r="H5214" s="1" t="s">
        <v>14783</v>
      </c>
      <c r="J5214" s="1" t="s">
        <v>1067</v>
      </c>
      <c r="L5214" s="1" t="s">
        <v>1112</v>
      </c>
      <c r="N5214" s="1" t="s">
        <v>963</v>
      </c>
      <c r="P5214" s="1" t="s">
        <v>15361</v>
      </c>
      <c r="Q5214" s="3">
        <v>0</v>
      </c>
      <c r="R5214" s="23" t="s">
        <v>11933</v>
      </c>
      <c r="S5214" s="23" t="s">
        <v>5849</v>
      </c>
      <c r="T5214" s="23" t="s">
        <v>4864</v>
      </c>
      <c r="U5214" s="3">
        <v>35</v>
      </c>
      <c r="V5214" s="3" t="s">
        <v>15358</v>
      </c>
      <c r="W5214" s="45" t="str">
        <f>HYPERLINK("http://ictvonline.org/taxonomy/p/taxonomy-history?taxnode_id=201907419","ICTVonline=201907419")</f>
        <v>ICTVonline=201907419</v>
      </c>
      <c r="Y5214" s="1" t="s">
        <v>15362</v>
      </c>
      <c r="Z5214" s="1" t="s">
        <v>15363</v>
      </c>
      <c r="AA5214" s="1">
        <v>201900000</v>
      </c>
      <c r="AB5214" s="1">
        <v>35</v>
      </c>
    </row>
    <row r="5215" spans="1:28" x14ac:dyDescent="0.2">
      <c r="A5215" s="1">
        <v>13549</v>
      </c>
      <c r="B5215" s="1" t="s">
        <v>6839</v>
      </c>
      <c r="D5215" s="1" t="s">
        <v>11735</v>
      </c>
      <c r="F5215" s="1" t="s">
        <v>14661</v>
      </c>
      <c r="H5215" s="1" t="s">
        <v>14783</v>
      </c>
      <c r="J5215" s="1" t="s">
        <v>1067</v>
      </c>
      <c r="L5215" s="1" t="s">
        <v>1112</v>
      </c>
      <c r="N5215" s="1" t="s">
        <v>2302</v>
      </c>
      <c r="P5215" s="1" t="s">
        <v>2303</v>
      </c>
      <c r="Q5215" s="3">
        <v>1</v>
      </c>
      <c r="R5215" s="23" t="s">
        <v>11933</v>
      </c>
      <c r="S5215" s="23" t="s">
        <v>5849</v>
      </c>
      <c r="T5215" s="23" t="s">
        <v>4866</v>
      </c>
      <c r="U5215" s="3">
        <v>35</v>
      </c>
      <c r="W5215" s="45" t="str">
        <f>HYPERLINK("http://ictvonline.org/taxonomy/p/taxonomy-history?taxnode_id=201902043","ICTVonline=201902043")</f>
        <v>ICTVonline=201902043</v>
      </c>
      <c r="AA5215" s="1">
        <v>201900000</v>
      </c>
      <c r="AB5215" s="1">
        <v>35</v>
      </c>
    </row>
    <row r="5216" spans="1:28" x14ac:dyDescent="0.2">
      <c r="A5216" s="1">
        <v>13553</v>
      </c>
      <c r="B5216" s="1" t="s">
        <v>6839</v>
      </c>
      <c r="D5216" s="1" t="s">
        <v>11735</v>
      </c>
      <c r="F5216" s="1" t="s">
        <v>14661</v>
      </c>
      <c r="H5216" s="1" t="s">
        <v>14783</v>
      </c>
      <c r="J5216" s="1" t="s">
        <v>1067</v>
      </c>
      <c r="L5216" s="1" t="s">
        <v>1112</v>
      </c>
      <c r="N5216" s="1" t="s">
        <v>2304</v>
      </c>
      <c r="P5216" s="1" t="s">
        <v>2305</v>
      </c>
      <c r="Q5216" s="3">
        <v>1</v>
      </c>
      <c r="R5216" s="23" t="s">
        <v>11933</v>
      </c>
      <c r="S5216" s="23" t="s">
        <v>5849</v>
      </c>
      <c r="T5216" s="23" t="s">
        <v>4866</v>
      </c>
      <c r="U5216" s="3">
        <v>35</v>
      </c>
      <c r="W5216" s="45" t="str">
        <f>HYPERLINK("http://ictvonline.org/taxonomy/p/taxonomy-history?taxnode_id=201902045","ICTVonline=201902045")</f>
        <v>ICTVonline=201902045</v>
      </c>
      <c r="AA5216" s="1">
        <v>201900000</v>
      </c>
      <c r="AB5216" s="1">
        <v>35</v>
      </c>
    </row>
    <row r="5217" spans="1:28" x14ac:dyDescent="0.2">
      <c r="A5217" s="1">
        <v>13555</v>
      </c>
      <c r="B5217" s="1" t="s">
        <v>6839</v>
      </c>
      <c r="D5217" s="1" t="s">
        <v>11735</v>
      </c>
      <c r="F5217" s="1" t="s">
        <v>14661</v>
      </c>
      <c r="H5217" s="1" t="s">
        <v>14783</v>
      </c>
      <c r="J5217" s="1" t="s">
        <v>1067</v>
      </c>
      <c r="L5217" s="1" t="s">
        <v>1112</v>
      </c>
      <c r="N5217" s="1" t="s">
        <v>2304</v>
      </c>
      <c r="P5217" s="1" t="s">
        <v>6638</v>
      </c>
      <c r="Q5217" s="3">
        <v>0</v>
      </c>
      <c r="R5217" s="23" t="s">
        <v>11933</v>
      </c>
      <c r="S5217" s="23" t="s">
        <v>5849</v>
      </c>
      <c r="T5217" s="23" t="s">
        <v>4866</v>
      </c>
      <c r="U5217" s="3">
        <v>35</v>
      </c>
      <c r="W5217" s="45" t="str">
        <f>HYPERLINK("http://ictvonline.org/taxonomy/p/taxonomy-history?taxnode_id=201906340","ICTVonline=201906340")</f>
        <v>ICTVonline=201906340</v>
      </c>
      <c r="X5217" s="1" t="s">
        <v>15364</v>
      </c>
      <c r="Y5217" s="1" t="s">
        <v>15365</v>
      </c>
      <c r="Z5217" s="1" t="s">
        <v>15366</v>
      </c>
      <c r="AA5217" s="1">
        <v>201900000</v>
      </c>
      <c r="AB5217" s="1">
        <v>35</v>
      </c>
    </row>
    <row r="5218" spans="1:28" x14ac:dyDescent="0.2">
      <c r="A5218" s="1">
        <v>13559</v>
      </c>
      <c r="B5218" s="1" t="s">
        <v>6839</v>
      </c>
      <c r="D5218" s="1" t="s">
        <v>11735</v>
      </c>
      <c r="F5218" s="1" t="s">
        <v>14661</v>
      </c>
      <c r="H5218" s="1" t="s">
        <v>14783</v>
      </c>
      <c r="J5218" s="1" t="s">
        <v>1067</v>
      </c>
      <c r="L5218" s="1" t="s">
        <v>1112</v>
      </c>
      <c r="N5218" s="1" t="s">
        <v>15367</v>
      </c>
      <c r="P5218" s="1" t="s">
        <v>15368</v>
      </c>
      <c r="Q5218" s="3">
        <v>1</v>
      </c>
      <c r="R5218" s="23" t="s">
        <v>11933</v>
      </c>
      <c r="S5218" s="23" t="s">
        <v>5849</v>
      </c>
      <c r="T5218" s="23" t="s">
        <v>4864</v>
      </c>
      <c r="U5218" s="3">
        <v>35</v>
      </c>
      <c r="V5218" s="3" t="s">
        <v>15272</v>
      </c>
      <c r="W5218" s="45" t="str">
        <f>HYPERLINK("http://ictvonline.org/taxonomy/p/taxonomy-history?taxnode_id=201907302","ICTVonline=201907302")</f>
        <v>ICTVonline=201907302</v>
      </c>
      <c r="Y5218" s="1" t="s">
        <v>15369</v>
      </c>
      <c r="Z5218" s="1" t="s">
        <v>15370</v>
      </c>
      <c r="AA5218" s="1">
        <v>201900000</v>
      </c>
      <c r="AB5218" s="1">
        <v>35</v>
      </c>
    </row>
    <row r="5219" spans="1:28" x14ac:dyDescent="0.2">
      <c r="A5219" s="1">
        <v>13563</v>
      </c>
      <c r="B5219" s="1" t="s">
        <v>6839</v>
      </c>
      <c r="D5219" s="1" t="s">
        <v>11735</v>
      </c>
      <c r="F5219" s="1" t="s">
        <v>14661</v>
      </c>
      <c r="H5219" s="1" t="s">
        <v>14783</v>
      </c>
      <c r="J5219" s="1" t="s">
        <v>1067</v>
      </c>
      <c r="L5219" s="1" t="s">
        <v>1112</v>
      </c>
      <c r="N5219" s="1" t="s">
        <v>6639</v>
      </c>
      <c r="P5219" s="1" t="s">
        <v>6640</v>
      </c>
      <c r="Q5219" s="3">
        <v>1</v>
      </c>
      <c r="R5219" s="23" t="s">
        <v>11933</v>
      </c>
      <c r="S5219" s="23" t="s">
        <v>5849</v>
      </c>
      <c r="T5219" s="23" t="s">
        <v>4866</v>
      </c>
      <c r="U5219" s="3">
        <v>35</v>
      </c>
      <c r="W5219" s="45" t="str">
        <f>HYPERLINK("http://ictvonline.org/taxonomy/p/taxonomy-history?taxnode_id=201906392","ICTVonline=201906392")</f>
        <v>ICTVonline=201906392</v>
      </c>
      <c r="X5219" s="1" t="s">
        <v>15371</v>
      </c>
      <c r="Y5219" s="1" t="s">
        <v>15372</v>
      </c>
      <c r="Z5219" s="1" t="s">
        <v>15373</v>
      </c>
      <c r="AA5219" s="1">
        <v>201900000</v>
      </c>
      <c r="AB5219" s="1">
        <v>35</v>
      </c>
    </row>
    <row r="5220" spans="1:28" x14ac:dyDescent="0.2">
      <c r="A5220" s="1">
        <v>13567</v>
      </c>
      <c r="B5220" s="1" t="s">
        <v>6839</v>
      </c>
      <c r="D5220" s="1" t="s">
        <v>11735</v>
      </c>
      <c r="F5220" s="1" t="s">
        <v>14661</v>
      </c>
      <c r="H5220" s="1" t="s">
        <v>14783</v>
      </c>
      <c r="J5220" s="1" t="s">
        <v>1067</v>
      </c>
      <c r="L5220" s="1" t="s">
        <v>1112</v>
      </c>
      <c r="N5220" s="1" t="s">
        <v>3596</v>
      </c>
      <c r="P5220" s="1" t="s">
        <v>3597</v>
      </c>
      <c r="Q5220" s="3">
        <v>1</v>
      </c>
      <c r="R5220" s="23" t="s">
        <v>11933</v>
      </c>
      <c r="S5220" s="23" t="s">
        <v>5849</v>
      </c>
      <c r="T5220" s="23" t="s">
        <v>4866</v>
      </c>
      <c r="U5220" s="3">
        <v>35</v>
      </c>
      <c r="W5220" s="45" t="str">
        <f>HYPERLINK("http://ictvonline.org/taxonomy/p/taxonomy-history?taxnode_id=201902047","ICTVonline=201902047")</f>
        <v>ICTVonline=201902047</v>
      </c>
      <c r="Y5220" s="1" t="s">
        <v>15374</v>
      </c>
      <c r="Z5220" s="1" t="s">
        <v>15375</v>
      </c>
      <c r="AA5220" s="1">
        <v>201900000</v>
      </c>
      <c r="AB5220" s="1">
        <v>35</v>
      </c>
    </row>
    <row r="5221" spans="1:28" x14ac:dyDescent="0.2">
      <c r="A5221" s="1">
        <v>13569</v>
      </c>
      <c r="B5221" s="1" t="s">
        <v>6839</v>
      </c>
      <c r="D5221" s="1" t="s">
        <v>11735</v>
      </c>
      <c r="F5221" s="1" t="s">
        <v>14661</v>
      </c>
      <c r="H5221" s="1" t="s">
        <v>14783</v>
      </c>
      <c r="J5221" s="1" t="s">
        <v>1067</v>
      </c>
      <c r="L5221" s="1" t="s">
        <v>1112</v>
      </c>
      <c r="N5221" s="1" t="s">
        <v>3596</v>
      </c>
      <c r="P5221" s="1" t="s">
        <v>15376</v>
      </c>
      <c r="Q5221" s="3">
        <v>0</v>
      </c>
      <c r="R5221" s="23" t="s">
        <v>11933</v>
      </c>
      <c r="S5221" s="23" t="s">
        <v>5849</v>
      </c>
      <c r="T5221" s="23" t="s">
        <v>4864</v>
      </c>
      <c r="U5221" s="3">
        <v>35</v>
      </c>
      <c r="V5221" s="3" t="s">
        <v>15377</v>
      </c>
      <c r="W5221" s="45" t="str">
        <f>HYPERLINK("http://ictvonline.org/taxonomy/p/taxonomy-history?taxnode_id=201907428","ICTVonline=201907428")</f>
        <v>ICTVonline=201907428</v>
      </c>
      <c r="Y5221" s="1" t="s">
        <v>15378</v>
      </c>
      <c r="Z5221" s="1" t="s">
        <v>15379</v>
      </c>
      <c r="AA5221" s="1">
        <v>201900000</v>
      </c>
      <c r="AB5221" s="1">
        <v>35</v>
      </c>
    </row>
    <row r="5222" spans="1:28" x14ac:dyDescent="0.2">
      <c r="A5222" s="1">
        <v>13573</v>
      </c>
      <c r="B5222" s="1" t="s">
        <v>6839</v>
      </c>
      <c r="D5222" s="1" t="s">
        <v>11735</v>
      </c>
      <c r="F5222" s="1" t="s">
        <v>14661</v>
      </c>
      <c r="H5222" s="1" t="s">
        <v>14783</v>
      </c>
      <c r="J5222" s="1" t="s">
        <v>1067</v>
      </c>
      <c r="L5222" s="1" t="s">
        <v>1112</v>
      </c>
      <c r="N5222" s="1" t="s">
        <v>4548</v>
      </c>
      <c r="P5222" s="1" t="s">
        <v>4549</v>
      </c>
      <c r="Q5222" s="3">
        <v>1</v>
      </c>
      <c r="R5222" s="23" t="s">
        <v>11933</v>
      </c>
      <c r="S5222" s="23" t="s">
        <v>5849</v>
      </c>
      <c r="T5222" s="23" t="s">
        <v>4866</v>
      </c>
      <c r="U5222" s="3">
        <v>35</v>
      </c>
      <c r="W5222" s="45" t="str">
        <f>HYPERLINK("http://ictvonline.org/taxonomy/p/taxonomy-history?taxnode_id=201902049","ICTVonline=201902049")</f>
        <v>ICTVonline=201902049</v>
      </c>
      <c r="Y5222" s="1" t="s">
        <v>15380</v>
      </c>
      <c r="Z5222" s="1" t="s">
        <v>15381</v>
      </c>
      <c r="AA5222" s="1">
        <v>201900000</v>
      </c>
      <c r="AB5222" s="1">
        <v>35</v>
      </c>
    </row>
    <row r="5223" spans="1:28" x14ac:dyDescent="0.2">
      <c r="A5223" s="1">
        <v>13575</v>
      </c>
      <c r="B5223" s="1" t="s">
        <v>6839</v>
      </c>
      <c r="D5223" s="1" t="s">
        <v>11735</v>
      </c>
      <c r="F5223" s="1" t="s">
        <v>14661</v>
      </c>
      <c r="H5223" s="1" t="s">
        <v>14783</v>
      </c>
      <c r="J5223" s="1" t="s">
        <v>1067</v>
      </c>
      <c r="L5223" s="1" t="s">
        <v>1112</v>
      </c>
      <c r="N5223" s="1" t="s">
        <v>4548</v>
      </c>
      <c r="P5223" s="1" t="s">
        <v>6641</v>
      </c>
      <c r="Q5223" s="3">
        <v>0</v>
      </c>
      <c r="R5223" s="23" t="s">
        <v>11933</v>
      </c>
      <c r="S5223" s="23" t="s">
        <v>5849</v>
      </c>
      <c r="T5223" s="23" t="s">
        <v>4866</v>
      </c>
      <c r="U5223" s="3">
        <v>35</v>
      </c>
      <c r="W5223" s="45" t="str">
        <f>HYPERLINK("http://ictvonline.org/taxonomy/p/taxonomy-history?taxnode_id=201906420","ICTVonline=201906420")</f>
        <v>ICTVonline=201906420</v>
      </c>
      <c r="X5223" s="1" t="s">
        <v>15382</v>
      </c>
      <c r="Y5223" s="1" t="s">
        <v>15383</v>
      </c>
      <c r="Z5223" s="1" t="s">
        <v>15384</v>
      </c>
      <c r="AA5223" s="1">
        <v>201900000</v>
      </c>
      <c r="AB5223" s="1">
        <v>35</v>
      </c>
    </row>
    <row r="5224" spans="1:28" x14ac:dyDescent="0.2">
      <c r="A5224" s="1">
        <v>13577</v>
      </c>
      <c r="B5224" s="1" t="s">
        <v>6839</v>
      </c>
      <c r="D5224" s="1" t="s">
        <v>11735</v>
      </c>
      <c r="F5224" s="1" t="s">
        <v>14661</v>
      </c>
      <c r="H5224" s="1" t="s">
        <v>14783</v>
      </c>
      <c r="J5224" s="1" t="s">
        <v>1067</v>
      </c>
      <c r="L5224" s="1" t="s">
        <v>1112</v>
      </c>
      <c r="N5224" s="1" t="s">
        <v>4548</v>
      </c>
      <c r="P5224" s="1" t="s">
        <v>6642</v>
      </c>
      <c r="Q5224" s="3">
        <v>0</v>
      </c>
      <c r="R5224" s="23" t="s">
        <v>11933</v>
      </c>
      <c r="S5224" s="23" t="s">
        <v>5849</v>
      </c>
      <c r="T5224" s="23" t="s">
        <v>4866</v>
      </c>
      <c r="U5224" s="3">
        <v>35</v>
      </c>
      <c r="W5224" s="45" t="str">
        <f>HYPERLINK("http://ictvonline.org/taxonomy/p/taxonomy-history?taxnode_id=201906421","ICTVonline=201906421")</f>
        <v>ICTVonline=201906421</v>
      </c>
      <c r="X5224" s="1" t="s">
        <v>15385</v>
      </c>
      <c r="Y5224" s="1" t="s">
        <v>15386</v>
      </c>
      <c r="Z5224" s="1" t="s">
        <v>15387</v>
      </c>
      <c r="AA5224" s="1">
        <v>201900000</v>
      </c>
      <c r="AB5224" s="1">
        <v>35</v>
      </c>
    </row>
    <row r="5225" spans="1:28" x14ac:dyDescent="0.2">
      <c r="A5225" s="1">
        <v>13579</v>
      </c>
      <c r="B5225" s="1" t="s">
        <v>6839</v>
      </c>
      <c r="D5225" s="1" t="s">
        <v>11735</v>
      </c>
      <c r="F5225" s="1" t="s">
        <v>14661</v>
      </c>
      <c r="H5225" s="1" t="s">
        <v>14783</v>
      </c>
      <c r="J5225" s="1" t="s">
        <v>1067</v>
      </c>
      <c r="L5225" s="1" t="s">
        <v>1112</v>
      </c>
      <c r="N5225" s="1" t="s">
        <v>4548</v>
      </c>
      <c r="P5225" s="1" t="s">
        <v>6643</v>
      </c>
      <c r="Q5225" s="3">
        <v>0</v>
      </c>
      <c r="R5225" s="23" t="s">
        <v>11933</v>
      </c>
      <c r="S5225" s="23" t="s">
        <v>5849</v>
      </c>
      <c r="T5225" s="23" t="s">
        <v>4866</v>
      </c>
      <c r="U5225" s="3">
        <v>35</v>
      </c>
      <c r="W5225" s="45" t="str">
        <f>HYPERLINK("http://ictvonline.org/taxonomy/p/taxonomy-history?taxnode_id=201906422","ICTVonline=201906422")</f>
        <v>ICTVonline=201906422</v>
      </c>
      <c r="X5225" s="1" t="s">
        <v>15388</v>
      </c>
      <c r="Y5225" s="1" t="s">
        <v>15389</v>
      </c>
      <c r="Z5225" s="1" t="s">
        <v>15390</v>
      </c>
      <c r="AA5225" s="1">
        <v>201900000</v>
      </c>
      <c r="AB5225" s="1">
        <v>35</v>
      </c>
    </row>
    <row r="5226" spans="1:28" x14ac:dyDescent="0.2">
      <c r="A5226" s="1">
        <v>13583</v>
      </c>
      <c r="B5226" s="1" t="s">
        <v>6839</v>
      </c>
      <c r="D5226" s="1" t="s">
        <v>11735</v>
      </c>
      <c r="F5226" s="1" t="s">
        <v>14661</v>
      </c>
      <c r="H5226" s="1" t="s">
        <v>14783</v>
      </c>
      <c r="J5226" s="1" t="s">
        <v>1067</v>
      </c>
      <c r="L5226" s="1" t="s">
        <v>1112</v>
      </c>
      <c r="N5226" s="1" t="s">
        <v>6644</v>
      </c>
      <c r="P5226" s="1" t="s">
        <v>6645</v>
      </c>
      <c r="Q5226" s="3">
        <v>1</v>
      </c>
      <c r="R5226" s="23" t="s">
        <v>11933</v>
      </c>
      <c r="S5226" s="23" t="s">
        <v>5849</v>
      </c>
      <c r="T5226" s="23" t="s">
        <v>4866</v>
      </c>
      <c r="U5226" s="3">
        <v>35</v>
      </c>
      <c r="W5226" s="45" t="str">
        <f>HYPERLINK("http://ictvonline.org/taxonomy/p/taxonomy-history?taxnode_id=201906441","ICTVonline=201906441")</f>
        <v>ICTVonline=201906441</v>
      </c>
      <c r="X5226" s="1" t="s">
        <v>15391</v>
      </c>
      <c r="Y5226" s="1" t="s">
        <v>15392</v>
      </c>
      <c r="Z5226" s="1" t="s">
        <v>15393</v>
      </c>
      <c r="AA5226" s="1">
        <v>201900000</v>
      </c>
      <c r="AB5226" s="1">
        <v>35</v>
      </c>
    </row>
    <row r="5227" spans="1:28" x14ac:dyDescent="0.2">
      <c r="A5227" s="1">
        <v>13585</v>
      </c>
      <c r="B5227" s="1" t="s">
        <v>6839</v>
      </c>
      <c r="D5227" s="1" t="s">
        <v>11735</v>
      </c>
      <c r="F5227" s="1" t="s">
        <v>14661</v>
      </c>
      <c r="H5227" s="1" t="s">
        <v>14783</v>
      </c>
      <c r="J5227" s="1" t="s">
        <v>1067</v>
      </c>
      <c r="L5227" s="1" t="s">
        <v>1112</v>
      </c>
      <c r="N5227" s="1" t="s">
        <v>6644</v>
      </c>
      <c r="P5227" s="1" t="s">
        <v>6646</v>
      </c>
      <c r="Q5227" s="3">
        <v>0</v>
      </c>
      <c r="R5227" s="23" t="s">
        <v>11933</v>
      </c>
      <c r="S5227" s="23" t="s">
        <v>5849</v>
      </c>
      <c r="T5227" s="23" t="s">
        <v>4866</v>
      </c>
      <c r="U5227" s="3">
        <v>35</v>
      </c>
      <c r="W5227" s="45" t="str">
        <f>HYPERLINK("http://ictvonline.org/taxonomy/p/taxonomy-history?taxnode_id=201906442","ICTVonline=201906442")</f>
        <v>ICTVonline=201906442</v>
      </c>
      <c r="X5227" s="1" t="s">
        <v>15394</v>
      </c>
      <c r="Y5227" s="1" t="s">
        <v>15395</v>
      </c>
      <c r="Z5227" s="1" t="s">
        <v>15396</v>
      </c>
      <c r="AA5227" s="1">
        <v>201900000</v>
      </c>
      <c r="AB5227" s="1">
        <v>35</v>
      </c>
    </row>
    <row r="5228" spans="1:28" x14ac:dyDescent="0.2">
      <c r="A5228" s="1">
        <v>13587</v>
      </c>
      <c r="B5228" s="1" t="s">
        <v>6839</v>
      </c>
      <c r="D5228" s="1" t="s">
        <v>11735</v>
      </c>
      <c r="F5228" s="1" t="s">
        <v>14661</v>
      </c>
      <c r="H5228" s="1" t="s">
        <v>14783</v>
      </c>
      <c r="J5228" s="1" t="s">
        <v>1067</v>
      </c>
      <c r="L5228" s="1" t="s">
        <v>1112</v>
      </c>
      <c r="N5228" s="1" t="s">
        <v>6644</v>
      </c>
      <c r="P5228" s="1" t="s">
        <v>15397</v>
      </c>
      <c r="Q5228" s="3">
        <v>0</v>
      </c>
      <c r="R5228" s="23" t="s">
        <v>11933</v>
      </c>
      <c r="S5228" s="23" t="s">
        <v>5849</v>
      </c>
      <c r="T5228" s="23" t="s">
        <v>4864</v>
      </c>
      <c r="U5228" s="3">
        <v>35</v>
      </c>
      <c r="V5228" s="3" t="s">
        <v>15398</v>
      </c>
      <c r="W5228" s="45" t="str">
        <f>HYPERLINK("http://ictvonline.org/taxonomy/p/taxonomy-history?taxnode_id=201907439","ICTVonline=201907439")</f>
        <v>ICTVonline=201907439</v>
      </c>
      <c r="Y5228" s="1" t="s">
        <v>15399</v>
      </c>
      <c r="Z5228" s="1" t="s">
        <v>15400</v>
      </c>
      <c r="AA5228" s="1">
        <v>201900000</v>
      </c>
      <c r="AB5228" s="1">
        <v>35</v>
      </c>
    </row>
    <row r="5229" spans="1:28" x14ac:dyDescent="0.2">
      <c r="A5229" s="1">
        <v>13591</v>
      </c>
      <c r="B5229" s="1" t="s">
        <v>6839</v>
      </c>
      <c r="D5229" s="1" t="s">
        <v>11735</v>
      </c>
      <c r="F5229" s="1" t="s">
        <v>14661</v>
      </c>
      <c r="H5229" s="1" t="s">
        <v>14783</v>
      </c>
      <c r="J5229" s="1" t="s">
        <v>1067</v>
      </c>
      <c r="L5229" s="1" t="s">
        <v>1112</v>
      </c>
      <c r="N5229" s="1" t="s">
        <v>15401</v>
      </c>
      <c r="P5229" s="1" t="s">
        <v>15402</v>
      </c>
      <c r="Q5229" s="3">
        <v>1</v>
      </c>
      <c r="R5229" s="23" t="s">
        <v>11933</v>
      </c>
      <c r="S5229" s="23" t="s">
        <v>5849</v>
      </c>
      <c r="T5229" s="23" t="s">
        <v>4864</v>
      </c>
      <c r="U5229" s="3">
        <v>35</v>
      </c>
      <c r="V5229" s="3" t="s">
        <v>15403</v>
      </c>
      <c r="W5229" s="45" t="str">
        <f>HYPERLINK("http://ictvonline.org/taxonomy/p/taxonomy-history?taxnode_id=201907446","ICTVonline=201907446")</f>
        <v>ICTVonline=201907446</v>
      </c>
      <c r="Y5229" s="1" t="s">
        <v>15404</v>
      </c>
      <c r="Z5229" s="1" t="s">
        <v>15405</v>
      </c>
      <c r="AA5229" s="1">
        <v>201900000</v>
      </c>
      <c r="AB5229" s="1">
        <v>35</v>
      </c>
    </row>
    <row r="5230" spans="1:28" x14ac:dyDescent="0.2">
      <c r="A5230" s="1">
        <v>13595</v>
      </c>
      <c r="B5230" s="1" t="s">
        <v>6839</v>
      </c>
      <c r="D5230" s="1" t="s">
        <v>11735</v>
      </c>
      <c r="F5230" s="1" t="s">
        <v>14661</v>
      </c>
      <c r="H5230" s="1" t="s">
        <v>14783</v>
      </c>
      <c r="J5230" s="1" t="s">
        <v>1067</v>
      </c>
      <c r="L5230" s="1" t="s">
        <v>1112</v>
      </c>
      <c r="N5230" s="1" t="s">
        <v>2306</v>
      </c>
      <c r="P5230" s="1" t="s">
        <v>2307</v>
      </c>
      <c r="Q5230" s="3">
        <v>1</v>
      </c>
      <c r="R5230" s="23" t="s">
        <v>11933</v>
      </c>
      <c r="S5230" s="23" t="s">
        <v>5849</v>
      </c>
      <c r="T5230" s="23" t="s">
        <v>4866</v>
      </c>
      <c r="U5230" s="3">
        <v>35</v>
      </c>
      <c r="W5230" s="45" t="str">
        <f>HYPERLINK("http://ictvonline.org/taxonomy/p/taxonomy-history?taxnode_id=201902051","ICTVonline=201902051")</f>
        <v>ICTVonline=201902051</v>
      </c>
      <c r="AA5230" s="1">
        <v>201900000</v>
      </c>
      <c r="AB5230" s="1">
        <v>35</v>
      </c>
    </row>
    <row r="5231" spans="1:28" x14ac:dyDescent="0.2">
      <c r="A5231" s="1">
        <v>13597</v>
      </c>
      <c r="B5231" s="1" t="s">
        <v>6839</v>
      </c>
      <c r="D5231" s="1" t="s">
        <v>11735</v>
      </c>
      <c r="F5231" s="1" t="s">
        <v>14661</v>
      </c>
      <c r="H5231" s="1" t="s">
        <v>14783</v>
      </c>
      <c r="J5231" s="1" t="s">
        <v>1067</v>
      </c>
      <c r="L5231" s="1" t="s">
        <v>1112</v>
      </c>
      <c r="N5231" s="1" t="s">
        <v>2306</v>
      </c>
      <c r="P5231" s="1" t="s">
        <v>6647</v>
      </c>
      <c r="Q5231" s="3">
        <v>0</v>
      </c>
      <c r="R5231" s="23" t="s">
        <v>11933</v>
      </c>
      <c r="S5231" s="23" t="s">
        <v>5849</v>
      </c>
      <c r="T5231" s="23" t="s">
        <v>4866</v>
      </c>
      <c r="U5231" s="3">
        <v>35</v>
      </c>
      <c r="W5231" s="45" t="str">
        <f>HYPERLINK("http://ictvonline.org/taxonomy/p/taxonomy-history?taxnode_id=201906477","ICTVonline=201906477")</f>
        <v>ICTVonline=201906477</v>
      </c>
      <c r="X5231" s="1" t="s">
        <v>15406</v>
      </c>
      <c r="Y5231" s="1" t="s">
        <v>15407</v>
      </c>
      <c r="Z5231" s="1" t="s">
        <v>15408</v>
      </c>
      <c r="AA5231" s="1">
        <v>201900000</v>
      </c>
      <c r="AB5231" s="1">
        <v>35</v>
      </c>
    </row>
    <row r="5232" spans="1:28" x14ac:dyDescent="0.2">
      <c r="A5232" s="1">
        <v>13599</v>
      </c>
      <c r="B5232" s="1" t="s">
        <v>6839</v>
      </c>
      <c r="D5232" s="1" t="s">
        <v>11735</v>
      </c>
      <c r="F5232" s="1" t="s">
        <v>14661</v>
      </c>
      <c r="H5232" s="1" t="s">
        <v>14783</v>
      </c>
      <c r="J5232" s="1" t="s">
        <v>1067</v>
      </c>
      <c r="L5232" s="1" t="s">
        <v>1112</v>
      </c>
      <c r="N5232" s="1" t="s">
        <v>2306</v>
      </c>
      <c r="P5232" s="1" t="s">
        <v>6648</v>
      </c>
      <c r="Q5232" s="3">
        <v>0</v>
      </c>
      <c r="R5232" s="23" t="s">
        <v>11933</v>
      </c>
      <c r="S5232" s="23" t="s">
        <v>5849</v>
      </c>
      <c r="T5232" s="23" t="s">
        <v>4866</v>
      </c>
      <c r="U5232" s="3">
        <v>35</v>
      </c>
      <c r="W5232" s="45" t="str">
        <f>HYPERLINK("http://ictvonline.org/taxonomy/p/taxonomy-history?taxnode_id=201906478","ICTVonline=201906478")</f>
        <v>ICTVonline=201906478</v>
      </c>
      <c r="X5232" s="1" t="s">
        <v>15409</v>
      </c>
      <c r="Y5232" s="1" t="s">
        <v>15410</v>
      </c>
      <c r="Z5232" s="1" t="s">
        <v>15411</v>
      </c>
      <c r="AA5232" s="1">
        <v>201900000</v>
      </c>
      <c r="AB5232" s="1">
        <v>35</v>
      </c>
    </row>
    <row r="5233" spans="1:28" x14ac:dyDescent="0.2">
      <c r="A5233" s="1">
        <v>13603</v>
      </c>
      <c r="B5233" s="1" t="s">
        <v>6839</v>
      </c>
      <c r="D5233" s="1" t="s">
        <v>11735</v>
      </c>
      <c r="F5233" s="1" t="s">
        <v>14661</v>
      </c>
      <c r="H5233" s="1" t="s">
        <v>14783</v>
      </c>
      <c r="J5233" s="1" t="s">
        <v>1067</v>
      </c>
      <c r="L5233" s="1" t="s">
        <v>1112</v>
      </c>
      <c r="N5233" s="1" t="s">
        <v>2612</v>
      </c>
      <c r="P5233" s="1" t="s">
        <v>2613</v>
      </c>
      <c r="Q5233" s="3">
        <v>1</v>
      </c>
      <c r="R5233" s="23" t="s">
        <v>11933</v>
      </c>
      <c r="S5233" s="23" t="s">
        <v>5849</v>
      </c>
      <c r="T5233" s="23" t="s">
        <v>4866</v>
      </c>
      <c r="U5233" s="3">
        <v>35</v>
      </c>
      <c r="W5233" s="45" t="str">
        <f>HYPERLINK("http://ictvonline.org/taxonomy/p/taxonomy-history?taxnode_id=201902053","ICTVonline=201902053")</f>
        <v>ICTVonline=201902053</v>
      </c>
      <c r="Y5233" s="1" t="s">
        <v>15412</v>
      </c>
      <c r="Z5233" s="1" t="s">
        <v>15413</v>
      </c>
      <c r="AA5233" s="1">
        <v>201900000</v>
      </c>
      <c r="AB5233" s="1">
        <v>35</v>
      </c>
    </row>
    <row r="5234" spans="1:28" x14ac:dyDescent="0.2">
      <c r="A5234" s="1">
        <v>13607</v>
      </c>
      <c r="B5234" s="1" t="s">
        <v>6839</v>
      </c>
      <c r="D5234" s="1" t="s">
        <v>11735</v>
      </c>
      <c r="F5234" s="1" t="s">
        <v>14661</v>
      </c>
      <c r="H5234" s="1" t="s">
        <v>14783</v>
      </c>
      <c r="J5234" s="1" t="s">
        <v>1067</v>
      </c>
      <c r="L5234" s="1" t="s">
        <v>1112</v>
      </c>
      <c r="N5234" s="1" t="s">
        <v>2179</v>
      </c>
      <c r="P5234" s="1" t="s">
        <v>2180</v>
      </c>
      <c r="Q5234" s="3">
        <v>1</v>
      </c>
      <c r="R5234" s="23" t="s">
        <v>11933</v>
      </c>
      <c r="S5234" s="23" t="s">
        <v>5849</v>
      </c>
      <c r="T5234" s="23" t="s">
        <v>4866</v>
      </c>
      <c r="U5234" s="3">
        <v>35</v>
      </c>
      <c r="W5234" s="45" t="str">
        <f>HYPERLINK("http://ictvonline.org/taxonomy/p/taxonomy-history?taxnode_id=201902055","ICTVonline=201902055")</f>
        <v>ICTVonline=201902055</v>
      </c>
      <c r="AA5234" s="1">
        <v>201900000</v>
      </c>
      <c r="AB5234" s="1">
        <v>35</v>
      </c>
    </row>
    <row r="5235" spans="1:28" x14ac:dyDescent="0.2">
      <c r="A5235" s="1">
        <v>13611</v>
      </c>
      <c r="B5235" s="1" t="s">
        <v>6839</v>
      </c>
      <c r="D5235" s="1" t="s">
        <v>11735</v>
      </c>
      <c r="F5235" s="1" t="s">
        <v>14661</v>
      </c>
      <c r="H5235" s="1" t="s">
        <v>14783</v>
      </c>
      <c r="J5235" s="1" t="s">
        <v>1067</v>
      </c>
      <c r="L5235" s="1" t="s">
        <v>1112</v>
      </c>
      <c r="N5235" s="1" t="s">
        <v>1070</v>
      </c>
      <c r="P5235" s="1" t="s">
        <v>2614</v>
      </c>
      <c r="Q5235" s="3">
        <v>1</v>
      </c>
      <c r="R5235" s="23" t="s">
        <v>11933</v>
      </c>
      <c r="S5235" s="23" t="s">
        <v>5849</v>
      </c>
      <c r="T5235" s="23" t="s">
        <v>4866</v>
      </c>
      <c r="U5235" s="3">
        <v>35</v>
      </c>
      <c r="W5235" s="45" t="str">
        <f>HYPERLINK("http://ictvonline.org/taxonomy/p/taxonomy-history?taxnode_id=201902058","ICTVonline=201902058")</f>
        <v>ICTVonline=201902058</v>
      </c>
      <c r="AA5235" s="1">
        <v>201900000</v>
      </c>
      <c r="AB5235" s="1">
        <v>35</v>
      </c>
    </row>
    <row r="5236" spans="1:28" x14ac:dyDescent="0.2">
      <c r="A5236" s="1">
        <v>13613</v>
      </c>
      <c r="B5236" s="1" t="s">
        <v>6839</v>
      </c>
      <c r="D5236" s="1" t="s">
        <v>11735</v>
      </c>
      <c r="F5236" s="1" t="s">
        <v>14661</v>
      </c>
      <c r="H5236" s="1" t="s">
        <v>14783</v>
      </c>
      <c r="J5236" s="1" t="s">
        <v>1067</v>
      </c>
      <c r="L5236" s="1" t="s">
        <v>1112</v>
      </c>
      <c r="N5236" s="1" t="s">
        <v>1070</v>
      </c>
      <c r="P5236" s="1" t="s">
        <v>2615</v>
      </c>
      <c r="Q5236" s="3">
        <v>0</v>
      </c>
      <c r="R5236" s="23" t="s">
        <v>11933</v>
      </c>
      <c r="S5236" s="23" t="s">
        <v>5849</v>
      </c>
      <c r="T5236" s="23" t="s">
        <v>4866</v>
      </c>
      <c r="U5236" s="3">
        <v>35</v>
      </c>
      <c r="W5236" s="45" t="str">
        <f>HYPERLINK("http://ictvonline.org/taxonomy/p/taxonomy-history?taxnode_id=201902059","ICTVonline=201902059")</f>
        <v>ICTVonline=201902059</v>
      </c>
      <c r="AA5236" s="1">
        <v>201900000</v>
      </c>
      <c r="AB5236" s="1">
        <v>35</v>
      </c>
    </row>
    <row r="5237" spans="1:28" x14ac:dyDescent="0.2">
      <c r="A5237" s="1">
        <v>13617</v>
      </c>
      <c r="B5237" s="1" t="s">
        <v>6839</v>
      </c>
      <c r="D5237" s="1" t="s">
        <v>11735</v>
      </c>
      <c r="F5237" s="1" t="s">
        <v>14661</v>
      </c>
      <c r="H5237" s="1" t="s">
        <v>14783</v>
      </c>
      <c r="J5237" s="1" t="s">
        <v>1067</v>
      </c>
      <c r="L5237" s="1" t="s">
        <v>1112</v>
      </c>
      <c r="N5237" s="1" t="s">
        <v>994</v>
      </c>
      <c r="P5237" s="1" t="s">
        <v>2616</v>
      </c>
      <c r="Q5237" s="3">
        <v>1</v>
      </c>
      <c r="R5237" s="23" t="s">
        <v>11933</v>
      </c>
      <c r="S5237" s="23" t="s">
        <v>5849</v>
      </c>
      <c r="T5237" s="23" t="s">
        <v>4866</v>
      </c>
      <c r="U5237" s="3">
        <v>35</v>
      </c>
      <c r="W5237" s="45" t="str">
        <f>HYPERLINK("http://ictvonline.org/taxonomy/p/taxonomy-history?taxnode_id=201902061","ICTVonline=201902061")</f>
        <v>ICTVonline=201902061</v>
      </c>
      <c r="AA5237" s="1">
        <v>201900000</v>
      </c>
      <c r="AB5237" s="1">
        <v>35</v>
      </c>
    </row>
    <row r="5238" spans="1:28" x14ac:dyDescent="0.2">
      <c r="A5238" s="1">
        <v>13621</v>
      </c>
      <c r="B5238" s="1" t="s">
        <v>6839</v>
      </c>
      <c r="D5238" s="1" t="s">
        <v>11735</v>
      </c>
      <c r="F5238" s="1" t="s">
        <v>14661</v>
      </c>
      <c r="H5238" s="1" t="s">
        <v>14783</v>
      </c>
      <c r="J5238" s="1" t="s">
        <v>1067</v>
      </c>
      <c r="L5238" s="1" t="s">
        <v>1112</v>
      </c>
      <c r="N5238" s="1" t="s">
        <v>5102</v>
      </c>
      <c r="P5238" s="1" t="s">
        <v>5103</v>
      </c>
      <c r="Q5238" s="3">
        <v>1</v>
      </c>
      <c r="R5238" s="23" t="s">
        <v>11933</v>
      </c>
      <c r="S5238" s="23" t="s">
        <v>5849</v>
      </c>
      <c r="T5238" s="23" t="s">
        <v>4866</v>
      </c>
      <c r="U5238" s="3">
        <v>35</v>
      </c>
      <c r="W5238" s="45" t="str">
        <f>HYPERLINK("http://ictvonline.org/taxonomy/p/taxonomy-history?taxnode_id=201905606","ICTVonline=201905606")</f>
        <v>ICTVonline=201905606</v>
      </c>
      <c r="AA5238" s="1">
        <v>201900000</v>
      </c>
      <c r="AB5238" s="1">
        <v>35</v>
      </c>
    </row>
    <row r="5239" spans="1:28" x14ac:dyDescent="0.2">
      <c r="A5239" s="1">
        <v>13625</v>
      </c>
      <c r="B5239" s="1" t="s">
        <v>6839</v>
      </c>
      <c r="D5239" s="1" t="s">
        <v>11735</v>
      </c>
      <c r="F5239" s="1" t="s">
        <v>14661</v>
      </c>
      <c r="H5239" s="1" t="s">
        <v>14783</v>
      </c>
      <c r="J5239" s="1" t="s">
        <v>1067</v>
      </c>
      <c r="L5239" s="1" t="s">
        <v>1112</v>
      </c>
      <c r="N5239" s="1" t="s">
        <v>2617</v>
      </c>
      <c r="P5239" s="1" t="s">
        <v>2618</v>
      </c>
      <c r="Q5239" s="3">
        <v>1</v>
      </c>
      <c r="R5239" s="23" t="s">
        <v>11933</v>
      </c>
      <c r="S5239" s="23" t="s">
        <v>5849</v>
      </c>
      <c r="T5239" s="23" t="s">
        <v>4866</v>
      </c>
      <c r="U5239" s="3">
        <v>35</v>
      </c>
      <c r="W5239" s="45" t="str">
        <f>HYPERLINK("http://ictvonline.org/taxonomy/p/taxonomy-history?taxnode_id=201902063","ICTVonline=201902063")</f>
        <v>ICTVonline=201902063</v>
      </c>
      <c r="Y5239" s="1" t="s">
        <v>15414</v>
      </c>
      <c r="Z5239" s="1" t="s">
        <v>15415</v>
      </c>
      <c r="AA5239" s="1">
        <v>201900000</v>
      </c>
      <c r="AB5239" s="1">
        <v>35</v>
      </c>
    </row>
    <row r="5240" spans="1:28" x14ac:dyDescent="0.2">
      <c r="A5240" s="1">
        <v>13629</v>
      </c>
      <c r="B5240" s="1" t="s">
        <v>6839</v>
      </c>
      <c r="D5240" s="1" t="s">
        <v>11735</v>
      </c>
      <c r="F5240" s="1" t="s">
        <v>14661</v>
      </c>
      <c r="H5240" s="1" t="s">
        <v>14783</v>
      </c>
      <c r="J5240" s="1" t="s">
        <v>1067</v>
      </c>
      <c r="L5240" s="1" t="s">
        <v>1112</v>
      </c>
      <c r="N5240" s="1" t="s">
        <v>15416</v>
      </c>
      <c r="P5240" s="1" t="s">
        <v>15417</v>
      </c>
      <c r="Q5240" s="3">
        <v>1</v>
      </c>
      <c r="R5240" s="23" t="s">
        <v>11933</v>
      </c>
      <c r="S5240" s="23" t="s">
        <v>5849</v>
      </c>
      <c r="T5240" s="23" t="s">
        <v>4864</v>
      </c>
      <c r="U5240" s="3">
        <v>35</v>
      </c>
      <c r="V5240" s="3" t="s">
        <v>15272</v>
      </c>
      <c r="W5240" s="45" t="str">
        <f>HYPERLINK("http://ictvonline.org/taxonomy/p/taxonomy-history?taxnode_id=201907304","ICTVonline=201907304")</f>
        <v>ICTVonline=201907304</v>
      </c>
      <c r="Y5240" s="1" t="s">
        <v>15418</v>
      </c>
      <c r="Z5240" s="1" t="s">
        <v>15419</v>
      </c>
      <c r="AA5240" s="1">
        <v>201900000</v>
      </c>
      <c r="AB5240" s="1">
        <v>35</v>
      </c>
    </row>
    <row r="5241" spans="1:28" x14ac:dyDescent="0.2">
      <c r="A5241" s="1">
        <v>13633</v>
      </c>
      <c r="B5241" s="1" t="s">
        <v>6839</v>
      </c>
      <c r="D5241" s="1" t="s">
        <v>11735</v>
      </c>
      <c r="F5241" s="1" t="s">
        <v>14661</v>
      </c>
      <c r="H5241" s="1" t="s">
        <v>14783</v>
      </c>
      <c r="J5241" s="1" t="s">
        <v>1067</v>
      </c>
      <c r="L5241" s="1" t="s">
        <v>1112</v>
      </c>
      <c r="N5241" s="1" t="s">
        <v>964</v>
      </c>
      <c r="P5241" s="1" t="s">
        <v>2619</v>
      </c>
      <c r="Q5241" s="3">
        <v>1</v>
      </c>
      <c r="R5241" s="23" t="s">
        <v>11933</v>
      </c>
      <c r="S5241" s="23" t="s">
        <v>5849</v>
      </c>
      <c r="T5241" s="23" t="s">
        <v>4866</v>
      </c>
      <c r="U5241" s="3">
        <v>35</v>
      </c>
      <c r="W5241" s="45" t="str">
        <f>HYPERLINK("http://ictvonline.org/taxonomy/p/taxonomy-history?taxnode_id=201902065","ICTVonline=201902065")</f>
        <v>ICTVonline=201902065</v>
      </c>
      <c r="AA5241" s="1">
        <v>201900000</v>
      </c>
      <c r="AB5241" s="1">
        <v>35</v>
      </c>
    </row>
    <row r="5242" spans="1:28" x14ac:dyDescent="0.2">
      <c r="A5242" s="1">
        <v>13635</v>
      </c>
      <c r="B5242" s="1" t="s">
        <v>6839</v>
      </c>
      <c r="D5242" s="1" t="s">
        <v>11735</v>
      </c>
      <c r="F5242" s="1" t="s">
        <v>14661</v>
      </c>
      <c r="H5242" s="1" t="s">
        <v>14783</v>
      </c>
      <c r="J5242" s="1" t="s">
        <v>1067</v>
      </c>
      <c r="L5242" s="1" t="s">
        <v>1112</v>
      </c>
      <c r="N5242" s="1" t="s">
        <v>964</v>
      </c>
      <c r="P5242" s="1" t="s">
        <v>15420</v>
      </c>
      <c r="Q5242" s="3">
        <v>0</v>
      </c>
      <c r="R5242" s="23" t="s">
        <v>11933</v>
      </c>
      <c r="S5242" s="23" t="s">
        <v>5849</v>
      </c>
      <c r="T5242" s="23" t="s">
        <v>4864</v>
      </c>
      <c r="U5242" s="3">
        <v>35</v>
      </c>
      <c r="V5242" s="3" t="s">
        <v>15421</v>
      </c>
      <c r="W5242" s="45" t="str">
        <f>HYPERLINK("http://ictvonline.org/taxonomy/p/taxonomy-history?taxnode_id=201907451","ICTVonline=201907451")</f>
        <v>ICTVonline=201907451</v>
      </c>
      <c r="Y5242" s="1" t="s">
        <v>15422</v>
      </c>
      <c r="Z5242" s="1" t="s">
        <v>15423</v>
      </c>
      <c r="AA5242" s="1">
        <v>201900000</v>
      </c>
      <c r="AB5242" s="1">
        <v>35</v>
      </c>
    </row>
    <row r="5243" spans="1:28" x14ac:dyDescent="0.2">
      <c r="A5243" s="1">
        <v>13639</v>
      </c>
      <c r="B5243" s="1" t="s">
        <v>6839</v>
      </c>
      <c r="D5243" s="1" t="s">
        <v>11735</v>
      </c>
      <c r="F5243" s="1" t="s">
        <v>14661</v>
      </c>
      <c r="H5243" s="1" t="s">
        <v>14783</v>
      </c>
      <c r="J5243" s="1" t="s">
        <v>1067</v>
      </c>
      <c r="L5243" s="1" t="s">
        <v>1112</v>
      </c>
      <c r="N5243" s="1" t="s">
        <v>4550</v>
      </c>
      <c r="P5243" s="1" t="s">
        <v>4551</v>
      </c>
      <c r="Q5243" s="3">
        <v>1</v>
      </c>
      <c r="R5243" s="23" t="s">
        <v>11933</v>
      </c>
      <c r="S5243" s="23" t="s">
        <v>5849</v>
      </c>
      <c r="T5243" s="23" t="s">
        <v>4866</v>
      </c>
      <c r="U5243" s="3">
        <v>35</v>
      </c>
      <c r="W5243" s="45" t="str">
        <f>HYPERLINK("http://ictvonline.org/taxonomy/p/taxonomy-history?taxnode_id=201902067","ICTVonline=201902067")</f>
        <v>ICTVonline=201902067</v>
      </c>
      <c r="Y5243" s="1" t="s">
        <v>15424</v>
      </c>
      <c r="Z5243" s="1" t="s">
        <v>15425</v>
      </c>
      <c r="AA5243" s="1">
        <v>201900000</v>
      </c>
      <c r="AB5243" s="1">
        <v>35</v>
      </c>
    </row>
    <row r="5244" spans="1:28" x14ac:dyDescent="0.2">
      <c r="A5244" s="1">
        <v>13643</v>
      </c>
      <c r="B5244" s="1" t="s">
        <v>6839</v>
      </c>
      <c r="D5244" s="1" t="s">
        <v>11735</v>
      </c>
      <c r="F5244" s="1" t="s">
        <v>14661</v>
      </c>
      <c r="H5244" s="1" t="s">
        <v>14783</v>
      </c>
      <c r="J5244" s="1" t="s">
        <v>1067</v>
      </c>
      <c r="L5244" s="1" t="s">
        <v>1112</v>
      </c>
      <c r="N5244" s="1" t="s">
        <v>6649</v>
      </c>
      <c r="P5244" s="1" t="s">
        <v>6650</v>
      </c>
      <c r="Q5244" s="3">
        <v>1</v>
      </c>
      <c r="R5244" s="23" t="s">
        <v>11933</v>
      </c>
      <c r="S5244" s="23" t="s">
        <v>5849</v>
      </c>
      <c r="T5244" s="23" t="s">
        <v>4866</v>
      </c>
      <c r="U5244" s="3">
        <v>35</v>
      </c>
      <c r="W5244" s="45" t="str">
        <f>HYPERLINK("http://ictvonline.org/taxonomy/p/taxonomy-history?taxnode_id=201906483","ICTVonline=201906483")</f>
        <v>ICTVonline=201906483</v>
      </c>
      <c r="X5244" s="1" t="s">
        <v>15426</v>
      </c>
      <c r="Y5244" s="1" t="s">
        <v>15427</v>
      </c>
      <c r="Z5244" s="1" t="s">
        <v>15428</v>
      </c>
      <c r="AA5244" s="1">
        <v>201900000</v>
      </c>
      <c r="AB5244" s="1">
        <v>35</v>
      </c>
    </row>
    <row r="5245" spans="1:28" x14ac:dyDescent="0.2">
      <c r="A5245" s="1">
        <v>13647</v>
      </c>
      <c r="B5245" s="1" t="s">
        <v>6839</v>
      </c>
      <c r="D5245" s="1" t="s">
        <v>11735</v>
      </c>
      <c r="F5245" s="1" t="s">
        <v>14661</v>
      </c>
      <c r="H5245" s="1" t="s">
        <v>14783</v>
      </c>
      <c r="J5245" s="1" t="s">
        <v>1067</v>
      </c>
      <c r="L5245" s="1" t="s">
        <v>1112</v>
      </c>
      <c r="N5245" s="1" t="s">
        <v>995</v>
      </c>
      <c r="P5245" s="1" t="s">
        <v>2620</v>
      </c>
      <c r="Q5245" s="3">
        <v>1</v>
      </c>
      <c r="R5245" s="23" t="s">
        <v>11933</v>
      </c>
      <c r="S5245" s="23" t="s">
        <v>5849</v>
      </c>
      <c r="T5245" s="23" t="s">
        <v>4866</v>
      </c>
      <c r="U5245" s="3">
        <v>35</v>
      </c>
      <c r="W5245" s="45" t="str">
        <f>HYPERLINK("http://ictvonline.org/taxonomy/p/taxonomy-history?taxnode_id=201902069","ICTVonline=201902069")</f>
        <v>ICTVonline=201902069</v>
      </c>
      <c r="AA5245" s="1">
        <v>201900000</v>
      </c>
      <c r="AB5245" s="1">
        <v>35</v>
      </c>
    </row>
    <row r="5246" spans="1:28" x14ac:dyDescent="0.2">
      <c r="A5246" s="1">
        <v>13649</v>
      </c>
      <c r="B5246" s="1" t="s">
        <v>6839</v>
      </c>
      <c r="D5246" s="1" t="s">
        <v>11735</v>
      </c>
      <c r="F5246" s="1" t="s">
        <v>14661</v>
      </c>
      <c r="H5246" s="1" t="s">
        <v>14783</v>
      </c>
      <c r="J5246" s="1" t="s">
        <v>1067</v>
      </c>
      <c r="L5246" s="1" t="s">
        <v>1112</v>
      </c>
      <c r="N5246" s="1" t="s">
        <v>995</v>
      </c>
      <c r="P5246" s="1" t="s">
        <v>15429</v>
      </c>
      <c r="Q5246" s="3">
        <v>0</v>
      </c>
      <c r="R5246" s="23" t="s">
        <v>11933</v>
      </c>
      <c r="S5246" s="23" t="s">
        <v>5849</v>
      </c>
      <c r="T5246" s="23" t="s">
        <v>4864</v>
      </c>
      <c r="U5246" s="3">
        <v>35</v>
      </c>
      <c r="V5246" s="3" t="s">
        <v>15430</v>
      </c>
      <c r="W5246" s="45" t="str">
        <f>HYPERLINK("http://ictvonline.org/taxonomy/p/taxonomy-history?taxnode_id=201907458","ICTVonline=201907458")</f>
        <v>ICTVonline=201907458</v>
      </c>
      <c r="Y5246" s="1" t="s">
        <v>15431</v>
      </c>
      <c r="Z5246" s="1" t="s">
        <v>15432</v>
      </c>
      <c r="AA5246" s="1">
        <v>201900000</v>
      </c>
      <c r="AB5246" s="1">
        <v>35</v>
      </c>
    </row>
    <row r="5247" spans="1:28" x14ac:dyDescent="0.2">
      <c r="A5247" s="1">
        <v>13653</v>
      </c>
      <c r="B5247" s="1" t="s">
        <v>6839</v>
      </c>
      <c r="D5247" s="1" t="s">
        <v>11735</v>
      </c>
      <c r="F5247" s="1" t="s">
        <v>14661</v>
      </c>
      <c r="H5247" s="1" t="s">
        <v>14783</v>
      </c>
      <c r="J5247" s="1" t="s">
        <v>1067</v>
      </c>
      <c r="L5247" s="1" t="s">
        <v>1112</v>
      </c>
      <c r="N5247" s="1" t="s">
        <v>15433</v>
      </c>
      <c r="P5247" s="1" t="s">
        <v>15434</v>
      </c>
      <c r="Q5247" s="3">
        <v>1</v>
      </c>
      <c r="R5247" s="23" t="s">
        <v>11933</v>
      </c>
      <c r="S5247" s="23" t="s">
        <v>5849</v>
      </c>
      <c r="T5247" s="23" t="s">
        <v>4864</v>
      </c>
      <c r="U5247" s="3">
        <v>35</v>
      </c>
      <c r="V5247" s="3" t="s">
        <v>15272</v>
      </c>
      <c r="W5247" s="45" t="str">
        <f>HYPERLINK("http://ictvonline.org/taxonomy/p/taxonomy-history?taxnode_id=201907306","ICTVonline=201907306")</f>
        <v>ICTVonline=201907306</v>
      </c>
      <c r="Y5247" s="1" t="s">
        <v>15435</v>
      </c>
      <c r="Z5247" s="1" t="s">
        <v>15436</v>
      </c>
      <c r="AA5247" s="1">
        <v>201900000</v>
      </c>
      <c r="AB5247" s="1">
        <v>35</v>
      </c>
    </row>
    <row r="5248" spans="1:28" x14ac:dyDescent="0.2">
      <c r="A5248" s="1">
        <v>13659</v>
      </c>
      <c r="B5248" s="1" t="s">
        <v>6839</v>
      </c>
      <c r="D5248" s="1" t="s">
        <v>11735</v>
      </c>
      <c r="F5248" s="1" t="s">
        <v>14661</v>
      </c>
      <c r="H5248" s="1" t="s">
        <v>14783</v>
      </c>
      <c r="J5248" s="1" t="s">
        <v>1067</v>
      </c>
      <c r="L5248" s="1" t="s">
        <v>5104</v>
      </c>
      <c r="N5248" s="1" t="s">
        <v>5105</v>
      </c>
      <c r="P5248" s="1" t="s">
        <v>5106</v>
      </c>
      <c r="Q5248" s="3">
        <v>1</v>
      </c>
      <c r="R5248" s="23" t="s">
        <v>11933</v>
      </c>
      <c r="S5248" s="23" t="s">
        <v>5849</v>
      </c>
      <c r="T5248" s="23" t="s">
        <v>4866</v>
      </c>
      <c r="U5248" s="3">
        <v>35</v>
      </c>
      <c r="W5248" s="45" t="str">
        <f>HYPERLINK("http://ictvonline.org/taxonomy/p/taxonomy-history?taxnode_id=201905608","ICTVonline=201905608")</f>
        <v>ICTVonline=201905608</v>
      </c>
      <c r="AA5248" s="1">
        <v>201900000</v>
      </c>
      <c r="AB5248" s="1">
        <v>35</v>
      </c>
    </row>
    <row r="5249" spans="1:28" x14ac:dyDescent="0.2">
      <c r="A5249" s="1">
        <v>13661</v>
      </c>
      <c r="B5249" s="1" t="s">
        <v>6839</v>
      </c>
      <c r="D5249" s="1" t="s">
        <v>11735</v>
      </c>
      <c r="F5249" s="1" t="s">
        <v>14661</v>
      </c>
      <c r="H5249" s="1" t="s">
        <v>14783</v>
      </c>
      <c r="J5249" s="1" t="s">
        <v>1067</v>
      </c>
      <c r="L5249" s="1" t="s">
        <v>5104</v>
      </c>
      <c r="N5249" s="1" t="s">
        <v>5105</v>
      </c>
      <c r="P5249" s="1" t="s">
        <v>5107</v>
      </c>
      <c r="Q5249" s="3">
        <v>0</v>
      </c>
      <c r="R5249" s="23" t="s">
        <v>11933</v>
      </c>
      <c r="S5249" s="23" t="s">
        <v>5849</v>
      </c>
      <c r="T5249" s="23" t="s">
        <v>4866</v>
      </c>
      <c r="U5249" s="3">
        <v>35</v>
      </c>
      <c r="W5249" s="45" t="str">
        <f>HYPERLINK("http://ictvonline.org/taxonomy/p/taxonomy-history?taxnode_id=201905609","ICTVonline=201905609")</f>
        <v>ICTVonline=201905609</v>
      </c>
      <c r="AA5249" s="1">
        <v>201900000</v>
      </c>
      <c r="AB5249" s="1">
        <v>35</v>
      </c>
    </row>
    <row r="5250" spans="1:28" x14ac:dyDescent="0.2">
      <c r="A5250" s="1">
        <v>13665</v>
      </c>
      <c r="B5250" s="1" t="s">
        <v>6839</v>
      </c>
      <c r="D5250" s="1" t="s">
        <v>11735</v>
      </c>
      <c r="F5250" s="1" t="s">
        <v>14661</v>
      </c>
      <c r="H5250" s="1" t="s">
        <v>14783</v>
      </c>
      <c r="J5250" s="1" t="s">
        <v>1067</v>
      </c>
      <c r="L5250" s="1" t="s">
        <v>5104</v>
      </c>
      <c r="N5250" s="1" t="s">
        <v>5108</v>
      </c>
      <c r="P5250" s="1" t="s">
        <v>5109</v>
      </c>
      <c r="Q5250" s="3">
        <v>1</v>
      </c>
      <c r="R5250" s="23" t="s">
        <v>11933</v>
      </c>
      <c r="S5250" s="23" t="s">
        <v>5849</v>
      </c>
      <c r="T5250" s="23" t="s">
        <v>4866</v>
      </c>
      <c r="U5250" s="3">
        <v>35</v>
      </c>
      <c r="W5250" s="45" t="str">
        <f>HYPERLINK("http://ictvonline.org/taxonomy/p/taxonomy-history?taxnode_id=201905611","ICTVonline=201905611")</f>
        <v>ICTVonline=201905611</v>
      </c>
      <c r="AA5250" s="1">
        <v>201900000</v>
      </c>
      <c r="AB5250" s="1">
        <v>35</v>
      </c>
    </row>
    <row r="5251" spans="1:28" x14ac:dyDescent="0.2">
      <c r="A5251" s="1">
        <v>13669</v>
      </c>
      <c r="B5251" s="1" t="s">
        <v>6839</v>
      </c>
      <c r="D5251" s="1" t="s">
        <v>11735</v>
      </c>
      <c r="F5251" s="1" t="s">
        <v>14661</v>
      </c>
      <c r="H5251" s="1" t="s">
        <v>14783</v>
      </c>
      <c r="J5251" s="1" t="s">
        <v>1067</v>
      </c>
      <c r="L5251" s="1" t="s">
        <v>5104</v>
      </c>
      <c r="N5251" s="1" t="s">
        <v>5110</v>
      </c>
      <c r="P5251" s="1" t="s">
        <v>5111</v>
      </c>
      <c r="Q5251" s="3">
        <v>0</v>
      </c>
      <c r="R5251" s="23" t="s">
        <v>11933</v>
      </c>
      <c r="S5251" s="23" t="s">
        <v>5849</v>
      </c>
      <c r="T5251" s="23" t="s">
        <v>4866</v>
      </c>
      <c r="U5251" s="3">
        <v>35</v>
      </c>
      <c r="W5251" s="45" t="str">
        <f>HYPERLINK("http://ictvonline.org/taxonomy/p/taxonomy-history?taxnode_id=201905613","ICTVonline=201905613")</f>
        <v>ICTVonline=201905613</v>
      </c>
      <c r="AA5251" s="1">
        <v>201900000</v>
      </c>
      <c r="AB5251" s="1">
        <v>35</v>
      </c>
    </row>
    <row r="5252" spans="1:28" x14ac:dyDescent="0.2">
      <c r="A5252" s="1">
        <v>13671</v>
      </c>
      <c r="B5252" s="1" t="s">
        <v>6839</v>
      </c>
      <c r="D5252" s="1" t="s">
        <v>11735</v>
      </c>
      <c r="F5252" s="1" t="s">
        <v>14661</v>
      </c>
      <c r="H5252" s="1" t="s">
        <v>14783</v>
      </c>
      <c r="J5252" s="1" t="s">
        <v>1067</v>
      </c>
      <c r="L5252" s="1" t="s">
        <v>5104</v>
      </c>
      <c r="N5252" s="1" t="s">
        <v>5110</v>
      </c>
      <c r="P5252" s="1" t="s">
        <v>5112</v>
      </c>
      <c r="Q5252" s="3">
        <v>0</v>
      </c>
      <c r="R5252" s="23" t="s">
        <v>11933</v>
      </c>
      <c r="S5252" s="23" t="s">
        <v>5849</v>
      </c>
      <c r="T5252" s="23" t="s">
        <v>4866</v>
      </c>
      <c r="U5252" s="3">
        <v>35</v>
      </c>
      <c r="W5252" s="45" t="str">
        <f>HYPERLINK("http://ictvonline.org/taxonomy/p/taxonomy-history?taxnode_id=201905614","ICTVonline=201905614")</f>
        <v>ICTVonline=201905614</v>
      </c>
      <c r="AA5252" s="1">
        <v>201900000</v>
      </c>
      <c r="AB5252" s="1">
        <v>35</v>
      </c>
    </row>
    <row r="5253" spans="1:28" x14ac:dyDescent="0.2">
      <c r="A5253" s="1">
        <v>13673</v>
      </c>
      <c r="B5253" s="1" t="s">
        <v>6839</v>
      </c>
      <c r="D5253" s="1" t="s">
        <v>11735</v>
      </c>
      <c r="F5253" s="1" t="s">
        <v>14661</v>
      </c>
      <c r="H5253" s="1" t="s">
        <v>14783</v>
      </c>
      <c r="J5253" s="1" t="s">
        <v>1067</v>
      </c>
      <c r="L5253" s="1" t="s">
        <v>5104</v>
      </c>
      <c r="N5253" s="1" t="s">
        <v>5110</v>
      </c>
      <c r="P5253" s="1" t="s">
        <v>5113</v>
      </c>
      <c r="Q5253" s="3">
        <v>0</v>
      </c>
      <c r="R5253" s="23" t="s">
        <v>11933</v>
      </c>
      <c r="S5253" s="23" t="s">
        <v>5849</v>
      </c>
      <c r="T5253" s="23" t="s">
        <v>4866</v>
      </c>
      <c r="U5253" s="3">
        <v>35</v>
      </c>
      <c r="W5253" s="45" t="str">
        <f>HYPERLINK("http://ictvonline.org/taxonomy/p/taxonomy-history?taxnode_id=201905615","ICTVonline=201905615")</f>
        <v>ICTVonline=201905615</v>
      </c>
      <c r="AA5253" s="1">
        <v>201900000</v>
      </c>
      <c r="AB5253" s="1">
        <v>35</v>
      </c>
    </row>
    <row r="5254" spans="1:28" x14ac:dyDescent="0.2">
      <c r="A5254" s="1">
        <v>13675</v>
      </c>
      <c r="B5254" s="1" t="s">
        <v>6839</v>
      </c>
      <c r="D5254" s="1" t="s">
        <v>11735</v>
      </c>
      <c r="F5254" s="1" t="s">
        <v>14661</v>
      </c>
      <c r="H5254" s="1" t="s">
        <v>14783</v>
      </c>
      <c r="J5254" s="1" t="s">
        <v>1067</v>
      </c>
      <c r="L5254" s="1" t="s">
        <v>5104</v>
      </c>
      <c r="N5254" s="1" t="s">
        <v>5110</v>
      </c>
      <c r="P5254" s="1" t="s">
        <v>5114</v>
      </c>
      <c r="Q5254" s="3">
        <v>0</v>
      </c>
      <c r="R5254" s="23" t="s">
        <v>11933</v>
      </c>
      <c r="S5254" s="23" t="s">
        <v>5849</v>
      </c>
      <c r="T5254" s="23" t="s">
        <v>4866</v>
      </c>
      <c r="U5254" s="3">
        <v>35</v>
      </c>
      <c r="W5254" s="45" t="str">
        <f>HYPERLINK("http://ictvonline.org/taxonomy/p/taxonomy-history?taxnode_id=201905616","ICTVonline=201905616")</f>
        <v>ICTVonline=201905616</v>
      </c>
      <c r="AA5254" s="1">
        <v>201900000</v>
      </c>
      <c r="AB5254" s="1">
        <v>35</v>
      </c>
    </row>
    <row r="5255" spans="1:28" x14ac:dyDescent="0.2">
      <c r="A5255" s="1">
        <v>13677</v>
      </c>
      <c r="B5255" s="1" t="s">
        <v>6839</v>
      </c>
      <c r="D5255" s="1" t="s">
        <v>11735</v>
      </c>
      <c r="F5255" s="1" t="s">
        <v>14661</v>
      </c>
      <c r="H5255" s="1" t="s">
        <v>14783</v>
      </c>
      <c r="J5255" s="1" t="s">
        <v>1067</v>
      </c>
      <c r="L5255" s="1" t="s">
        <v>5104</v>
      </c>
      <c r="N5255" s="1" t="s">
        <v>5110</v>
      </c>
      <c r="P5255" s="1" t="s">
        <v>5115</v>
      </c>
      <c r="Q5255" s="3">
        <v>0</v>
      </c>
      <c r="R5255" s="23" t="s">
        <v>11933</v>
      </c>
      <c r="S5255" s="23" t="s">
        <v>5849</v>
      </c>
      <c r="T5255" s="23" t="s">
        <v>4866</v>
      </c>
      <c r="U5255" s="3">
        <v>35</v>
      </c>
      <c r="W5255" s="45" t="str">
        <f>HYPERLINK("http://ictvonline.org/taxonomy/p/taxonomy-history?taxnode_id=201905617","ICTVonline=201905617")</f>
        <v>ICTVonline=201905617</v>
      </c>
      <c r="AA5255" s="1">
        <v>201900000</v>
      </c>
      <c r="AB5255" s="1">
        <v>35</v>
      </c>
    </row>
    <row r="5256" spans="1:28" x14ac:dyDescent="0.2">
      <c r="A5256" s="1">
        <v>13679</v>
      </c>
      <c r="B5256" s="1" t="s">
        <v>6839</v>
      </c>
      <c r="D5256" s="1" t="s">
        <v>11735</v>
      </c>
      <c r="F5256" s="1" t="s">
        <v>14661</v>
      </c>
      <c r="H5256" s="1" t="s">
        <v>14783</v>
      </c>
      <c r="J5256" s="1" t="s">
        <v>1067</v>
      </c>
      <c r="L5256" s="1" t="s">
        <v>5104</v>
      </c>
      <c r="N5256" s="1" t="s">
        <v>5110</v>
      </c>
      <c r="P5256" s="1" t="s">
        <v>5116</v>
      </c>
      <c r="Q5256" s="3">
        <v>0</v>
      </c>
      <c r="R5256" s="23" t="s">
        <v>11933</v>
      </c>
      <c r="S5256" s="23" t="s">
        <v>5849</v>
      </c>
      <c r="T5256" s="23" t="s">
        <v>4866</v>
      </c>
      <c r="U5256" s="3">
        <v>35</v>
      </c>
      <c r="W5256" s="45" t="str">
        <f>HYPERLINK("http://ictvonline.org/taxonomy/p/taxonomy-history?taxnode_id=201905618","ICTVonline=201905618")</f>
        <v>ICTVonline=201905618</v>
      </c>
      <c r="AA5256" s="1">
        <v>201900000</v>
      </c>
      <c r="AB5256" s="1">
        <v>35</v>
      </c>
    </row>
    <row r="5257" spans="1:28" x14ac:dyDescent="0.2">
      <c r="A5257" s="1">
        <v>13681</v>
      </c>
      <c r="B5257" s="1" t="s">
        <v>6839</v>
      </c>
      <c r="D5257" s="1" t="s">
        <v>11735</v>
      </c>
      <c r="F5257" s="1" t="s">
        <v>14661</v>
      </c>
      <c r="H5257" s="1" t="s">
        <v>14783</v>
      </c>
      <c r="J5257" s="1" t="s">
        <v>1067</v>
      </c>
      <c r="L5257" s="1" t="s">
        <v>5104</v>
      </c>
      <c r="N5257" s="1" t="s">
        <v>5110</v>
      </c>
      <c r="P5257" s="1" t="s">
        <v>5117</v>
      </c>
      <c r="Q5257" s="3">
        <v>0</v>
      </c>
      <c r="R5257" s="23" t="s">
        <v>11933</v>
      </c>
      <c r="S5257" s="23" t="s">
        <v>5849</v>
      </c>
      <c r="T5257" s="23" t="s">
        <v>4866</v>
      </c>
      <c r="U5257" s="3">
        <v>35</v>
      </c>
      <c r="W5257" s="45" t="str">
        <f>HYPERLINK("http://ictvonline.org/taxonomy/p/taxonomy-history?taxnode_id=201905619","ICTVonline=201905619")</f>
        <v>ICTVonline=201905619</v>
      </c>
      <c r="AA5257" s="1">
        <v>201900000</v>
      </c>
      <c r="AB5257" s="1">
        <v>35</v>
      </c>
    </row>
    <row r="5258" spans="1:28" x14ac:dyDescent="0.2">
      <c r="A5258" s="1">
        <v>13683</v>
      </c>
      <c r="B5258" s="1" t="s">
        <v>6839</v>
      </c>
      <c r="D5258" s="1" t="s">
        <v>11735</v>
      </c>
      <c r="F5258" s="1" t="s">
        <v>14661</v>
      </c>
      <c r="H5258" s="1" t="s">
        <v>14783</v>
      </c>
      <c r="J5258" s="1" t="s">
        <v>1067</v>
      </c>
      <c r="L5258" s="1" t="s">
        <v>5104</v>
      </c>
      <c r="N5258" s="1" t="s">
        <v>5110</v>
      </c>
      <c r="P5258" s="1" t="s">
        <v>5118</v>
      </c>
      <c r="Q5258" s="3">
        <v>0</v>
      </c>
      <c r="R5258" s="23" t="s">
        <v>11933</v>
      </c>
      <c r="S5258" s="23" t="s">
        <v>5849</v>
      </c>
      <c r="T5258" s="23" t="s">
        <v>4866</v>
      </c>
      <c r="U5258" s="3">
        <v>35</v>
      </c>
      <c r="W5258" s="45" t="str">
        <f>HYPERLINK("http://ictvonline.org/taxonomy/p/taxonomy-history?taxnode_id=201905620","ICTVonline=201905620")</f>
        <v>ICTVonline=201905620</v>
      </c>
      <c r="AA5258" s="1">
        <v>201900000</v>
      </c>
      <c r="AB5258" s="1">
        <v>35</v>
      </c>
    </row>
    <row r="5259" spans="1:28" x14ac:dyDescent="0.2">
      <c r="A5259" s="1">
        <v>13685</v>
      </c>
      <c r="B5259" s="1" t="s">
        <v>6839</v>
      </c>
      <c r="D5259" s="1" t="s">
        <v>11735</v>
      </c>
      <c r="F5259" s="1" t="s">
        <v>14661</v>
      </c>
      <c r="H5259" s="1" t="s">
        <v>14783</v>
      </c>
      <c r="J5259" s="1" t="s">
        <v>1067</v>
      </c>
      <c r="L5259" s="1" t="s">
        <v>5104</v>
      </c>
      <c r="N5259" s="1" t="s">
        <v>5110</v>
      </c>
      <c r="P5259" s="1" t="s">
        <v>5119</v>
      </c>
      <c r="Q5259" s="3">
        <v>0</v>
      </c>
      <c r="R5259" s="23" t="s">
        <v>11933</v>
      </c>
      <c r="S5259" s="23" t="s">
        <v>5849</v>
      </c>
      <c r="T5259" s="23" t="s">
        <v>4866</v>
      </c>
      <c r="U5259" s="3">
        <v>35</v>
      </c>
      <c r="W5259" s="45" t="str">
        <f>HYPERLINK("http://ictvonline.org/taxonomy/p/taxonomy-history?taxnode_id=201905621","ICTVonline=201905621")</f>
        <v>ICTVonline=201905621</v>
      </c>
      <c r="AA5259" s="1">
        <v>201900000</v>
      </c>
      <c r="AB5259" s="1">
        <v>35</v>
      </c>
    </row>
    <row r="5260" spans="1:28" x14ac:dyDescent="0.2">
      <c r="A5260" s="1">
        <v>13687</v>
      </c>
      <c r="B5260" s="1" t="s">
        <v>6839</v>
      </c>
      <c r="D5260" s="1" t="s">
        <v>11735</v>
      </c>
      <c r="F5260" s="1" t="s">
        <v>14661</v>
      </c>
      <c r="H5260" s="1" t="s">
        <v>14783</v>
      </c>
      <c r="J5260" s="1" t="s">
        <v>1067</v>
      </c>
      <c r="L5260" s="1" t="s">
        <v>5104</v>
      </c>
      <c r="N5260" s="1" t="s">
        <v>5110</v>
      </c>
      <c r="P5260" s="1" t="s">
        <v>5120</v>
      </c>
      <c r="Q5260" s="3">
        <v>1</v>
      </c>
      <c r="R5260" s="23" t="s">
        <v>11933</v>
      </c>
      <c r="S5260" s="23" t="s">
        <v>5849</v>
      </c>
      <c r="T5260" s="23" t="s">
        <v>4866</v>
      </c>
      <c r="U5260" s="3">
        <v>35</v>
      </c>
      <c r="W5260" s="45" t="str">
        <f>HYPERLINK("http://ictvonline.org/taxonomy/p/taxonomy-history?taxnode_id=201905622","ICTVonline=201905622")</f>
        <v>ICTVonline=201905622</v>
      </c>
      <c r="AA5260" s="1">
        <v>201900000</v>
      </c>
      <c r="AB5260" s="1">
        <v>35</v>
      </c>
    </row>
    <row r="5261" spans="1:28" x14ac:dyDescent="0.2">
      <c r="A5261" s="1">
        <v>13689</v>
      </c>
      <c r="B5261" s="1" t="s">
        <v>6839</v>
      </c>
      <c r="D5261" s="1" t="s">
        <v>11735</v>
      </c>
      <c r="F5261" s="1" t="s">
        <v>14661</v>
      </c>
      <c r="H5261" s="1" t="s">
        <v>14783</v>
      </c>
      <c r="J5261" s="1" t="s">
        <v>1067</v>
      </c>
      <c r="L5261" s="1" t="s">
        <v>5104</v>
      </c>
      <c r="N5261" s="1" t="s">
        <v>5110</v>
      </c>
      <c r="P5261" s="1" t="s">
        <v>5121</v>
      </c>
      <c r="Q5261" s="3">
        <v>0</v>
      </c>
      <c r="R5261" s="23" t="s">
        <v>11933</v>
      </c>
      <c r="S5261" s="23" t="s">
        <v>5849</v>
      </c>
      <c r="T5261" s="23" t="s">
        <v>4866</v>
      </c>
      <c r="U5261" s="3">
        <v>35</v>
      </c>
      <c r="W5261" s="45" t="str">
        <f>HYPERLINK("http://ictvonline.org/taxonomy/p/taxonomy-history?taxnode_id=201905623","ICTVonline=201905623")</f>
        <v>ICTVonline=201905623</v>
      </c>
      <c r="AA5261" s="1">
        <v>201900000</v>
      </c>
      <c r="AB5261" s="1">
        <v>35</v>
      </c>
    </row>
    <row r="5262" spans="1:28" x14ac:dyDescent="0.2">
      <c r="A5262" s="1">
        <v>13696</v>
      </c>
      <c r="B5262" s="1" t="s">
        <v>6839</v>
      </c>
      <c r="D5262" s="1" t="s">
        <v>11735</v>
      </c>
      <c r="F5262" s="1" t="s">
        <v>14661</v>
      </c>
      <c r="H5262" s="1" t="s">
        <v>14783</v>
      </c>
      <c r="J5262" s="1" t="s">
        <v>1067</v>
      </c>
      <c r="L5262" s="1" t="s">
        <v>1986</v>
      </c>
      <c r="M5262" s="1" t="s">
        <v>1875</v>
      </c>
      <c r="N5262" s="1" t="s">
        <v>1872</v>
      </c>
      <c r="P5262" s="1" t="s">
        <v>685</v>
      </c>
      <c r="Q5262" s="3">
        <v>0</v>
      </c>
      <c r="R5262" s="23" t="s">
        <v>11933</v>
      </c>
      <c r="S5262" s="23" t="s">
        <v>5849</v>
      </c>
      <c r="T5262" s="23" t="s">
        <v>4866</v>
      </c>
      <c r="U5262" s="3">
        <v>35</v>
      </c>
      <c r="W5262" s="45" t="str">
        <f>HYPERLINK("http://ictvonline.org/taxonomy/p/taxonomy-history?taxnode_id=201902073","ICTVonline=201902073")</f>
        <v>ICTVonline=201902073</v>
      </c>
      <c r="Y5262" s="1" t="s">
        <v>15437</v>
      </c>
      <c r="Z5262" s="1" t="s">
        <v>15438</v>
      </c>
      <c r="AA5262" s="1">
        <v>201900000</v>
      </c>
      <c r="AB5262" s="1">
        <v>35</v>
      </c>
    </row>
    <row r="5263" spans="1:28" x14ac:dyDescent="0.2">
      <c r="A5263" s="1">
        <v>13698</v>
      </c>
      <c r="B5263" s="1" t="s">
        <v>6839</v>
      </c>
      <c r="D5263" s="1" t="s">
        <v>11735</v>
      </c>
      <c r="F5263" s="1" t="s">
        <v>14661</v>
      </c>
      <c r="H5263" s="1" t="s">
        <v>14783</v>
      </c>
      <c r="J5263" s="1" t="s">
        <v>1067</v>
      </c>
      <c r="L5263" s="1" t="s">
        <v>1986</v>
      </c>
      <c r="M5263" s="1" t="s">
        <v>1875</v>
      </c>
      <c r="N5263" s="1" t="s">
        <v>1872</v>
      </c>
      <c r="P5263" s="1" t="s">
        <v>686</v>
      </c>
      <c r="Q5263" s="3">
        <v>0</v>
      </c>
      <c r="R5263" s="23" t="s">
        <v>11933</v>
      </c>
      <c r="S5263" s="23" t="s">
        <v>5849</v>
      </c>
      <c r="T5263" s="23" t="s">
        <v>4866</v>
      </c>
      <c r="U5263" s="3">
        <v>35</v>
      </c>
      <c r="W5263" s="45" t="str">
        <f>HYPERLINK("http://ictvonline.org/taxonomy/p/taxonomy-history?taxnode_id=201902074","ICTVonline=201902074")</f>
        <v>ICTVonline=201902074</v>
      </c>
      <c r="Y5263" s="1" t="s">
        <v>15439</v>
      </c>
      <c r="Z5263" s="1" t="s">
        <v>15440</v>
      </c>
      <c r="AA5263" s="1">
        <v>201900000</v>
      </c>
      <c r="AB5263" s="1">
        <v>35</v>
      </c>
    </row>
    <row r="5264" spans="1:28" x14ac:dyDescent="0.2">
      <c r="A5264" s="1">
        <v>13700</v>
      </c>
      <c r="B5264" s="1" t="s">
        <v>6839</v>
      </c>
      <c r="D5264" s="1" t="s">
        <v>11735</v>
      </c>
      <c r="F5264" s="1" t="s">
        <v>14661</v>
      </c>
      <c r="H5264" s="1" t="s">
        <v>14783</v>
      </c>
      <c r="J5264" s="1" t="s">
        <v>1067</v>
      </c>
      <c r="L5264" s="1" t="s">
        <v>1986</v>
      </c>
      <c r="M5264" s="1" t="s">
        <v>1875</v>
      </c>
      <c r="N5264" s="1" t="s">
        <v>1872</v>
      </c>
      <c r="P5264" s="1" t="s">
        <v>687</v>
      </c>
      <c r="Q5264" s="3">
        <v>0</v>
      </c>
      <c r="R5264" s="23" t="s">
        <v>11933</v>
      </c>
      <c r="S5264" s="23" t="s">
        <v>5849</v>
      </c>
      <c r="T5264" s="23" t="s">
        <v>4866</v>
      </c>
      <c r="U5264" s="3">
        <v>35</v>
      </c>
      <c r="W5264" s="45" t="str">
        <f>HYPERLINK("http://ictvonline.org/taxonomy/p/taxonomy-history?taxnode_id=201902075","ICTVonline=201902075")</f>
        <v>ICTVonline=201902075</v>
      </c>
      <c r="AA5264" s="1">
        <v>201900000</v>
      </c>
      <c r="AB5264" s="1">
        <v>35</v>
      </c>
    </row>
    <row r="5265" spans="1:28" x14ac:dyDescent="0.2">
      <c r="A5265" s="1">
        <v>13702</v>
      </c>
      <c r="B5265" s="1" t="s">
        <v>6839</v>
      </c>
      <c r="D5265" s="1" t="s">
        <v>11735</v>
      </c>
      <c r="F5265" s="1" t="s">
        <v>14661</v>
      </c>
      <c r="H5265" s="1" t="s">
        <v>14783</v>
      </c>
      <c r="J5265" s="1" t="s">
        <v>1067</v>
      </c>
      <c r="L5265" s="1" t="s">
        <v>1986</v>
      </c>
      <c r="M5265" s="1" t="s">
        <v>1875</v>
      </c>
      <c r="N5265" s="1" t="s">
        <v>1872</v>
      </c>
      <c r="P5265" s="1" t="s">
        <v>688</v>
      </c>
      <c r="Q5265" s="3">
        <v>0</v>
      </c>
      <c r="R5265" s="23" t="s">
        <v>11933</v>
      </c>
      <c r="S5265" s="23" t="s">
        <v>5849</v>
      </c>
      <c r="T5265" s="23" t="s">
        <v>4866</v>
      </c>
      <c r="U5265" s="3">
        <v>35</v>
      </c>
      <c r="W5265" s="45" t="str">
        <f>HYPERLINK("http://ictvonline.org/taxonomy/p/taxonomy-history?taxnode_id=201902076","ICTVonline=201902076")</f>
        <v>ICTVonline=201902076</v>
      </c>
      <c r="Y5265" s="1" t="s">
        <v>15441</v>
      </c>
      <c r="Z5265" s="1" t="s">
        <v>15442</v>
      </c>
      <c r="AA5265" s="1">
        <v>201900000</v>
      </c>
      <c r="AB5265" s="1">
        <v>35</v>
      </c>
    </row>
    <row r="5266" spans="1:28" x14ac:dyDescent="0.2">
      <c r="A5266" s="1">
        <v>13704</v>
      </c>
      <c r="B5266" s="1" t="s">
        <v>6839</v>
      </c>
      <c r="D5266" s="1" t="s">
        <v>11735</v>
      </c>
      <c r="F5266" s="1" t="s">
        <v>14661</v>
      </c>
      <c r="H5266" s="1" t="s">
        <v>14783</v>
      </c>
      <c r="J5266" s="1" t="s">
        <v>1067</v>
      </c>
      <c r="L5266" s="1" t="s">
        <v>1986</v>
      </c>
      <c r="M5266" s="1" t="s">
        <v>1875</v>
      </c>
      <c r="N5266" s="1" t="s">
        <v>1872</v>
      </c>
      <c r="P5266" s="1" t="s">
        <v>1068</v>
      </c>
      <c r="Q5266" s="3">
        <v>0</v>
      </c>
      <c r="R5266" s="23" t="s">
        <v>11933</v>
      </c>
      <c r="S5266" s="23" t="s">
        <v>5849</v>
      </c>
      <c r="T5266" s="23" t="s">
        <v>4866</v>
      </c>
      <c r="U5266" s="3">
        <v>35</v>
      </c>
      <c r="W5266" s="45" t="str">
        <f>HYPERLINK("http://ictvonline.org/taxonomy/p/taxonomy-history?taxnode_id=201902077","ICTVonline=201902077")</f>
        <v>ICTVonline=201902077</v>
      </c>
      <c r="Y5266" s="1" t="s">
        <v>15443</v>
      </c>
      <c r="Z5266" s="1" t="s">
        <v>15444</v>
      </c>
      <c r="AA5266" s="1">
        <v>201900000</v>
      </c>
      <c r="AB5266" s="1">
        <v>35</v>
      </c>
    </row>
    <row r="5267" spans="1:28" x14ac:dyDescent="0.2">
      <c r="A5267" s="1">
        <v>13706</v>
      </c>
      <c r="B5267" s="1" t="s">
        <v>6839</v>
      </c>
      <c r="D5267" s="1" t="s">
        <v>11735</v>
      </c>
      <c r="F5267" s="1" t="s">
        <v>14661</v>
      </c>
      <c r="H5267" s="1" t="s">
        <v>14783</v>
      </c>
      <c r="J5267" s="1" t="s">
        <v>1067</v>
      </c>
      <c r="L5267" s="1" t="s">
        <v>1986</v>
      </c>
      <c r="M5267" s="1" t="s">
        <v>1875</v>
      </c>
      <c r="N5267" s="1" t="s">
        <v>1872</v>
      </c>
      <c r="P5267" s="1" t="s">
        <v>1069</v>
      </c>
      <c r="Q5267" s="3">
        <v>1</v>
      </c>
      <c r="R5267" s="23" t="s">
        <v>11933</v>
      </c>
      <c r="S5267" s="23" t="s">
        <v>5849</v>
      </c>
      <c r="T5267" s="23" t="s">
        <v>4866</v>
      </c>
      <c r="U5267" s="3">
        <v>35</v>
      </c>
      <c r="W5267" s="45" t="str">
        <f>HYPERLINK("http://ictvonline.org/taxonomy/p/taxonomy-history?taxnode_id=201902078","ICTVonline=201902078")</f>
        <v>ICTVonline=201902078</v>
      </c>
      <c r="Y5267" s="1" t="s">
        <v>15445</v>
      </c>
      <c r="Z5267" s="1" t="s">
        <v>15446</v>
      </c>
      <c r="AA5267" s="1">
        <v>201900000</v>
      </c>
      <c r="AB5267" s="1">
        <v>35</v>
      </c>
    </row>
    <row r="5268" spans="1:28" x14ac:dyDescent="0.2">
      <c r="A5268" s="1">
        <v>13708</v>
      </c>
      <c r="B5268" s="1" t="s">
        <v>6839</v>
      </c>
      <c r="D5268" s="1" t="s">
        <v>11735</v>
      </c>
      <c r="F5268" s="1" t="s">
        <v>14661</v>
      </c>
      <c r="H5268" s="1" t="s">
        <v>14783</v>
      </c>
      <c r="J5268" s="1" t="s">
        <v>1067</v>
      </c>
      <c r="L5268" s="1" t="s">
        <v>1986</v>
      </c>
      <c r="M5268" s="1" t="s">
        <v>1875</v>
      </c>
      <c r="N5268" s="1" t="s">
        <v>1872</v>
      </c>
      <c r="P5268" s="1" t="s">
        <v>689</v>
      </c>
      <c r="Q5268" s="3">
        <v>0</v>
      </c>
      <c r="R5268" s="23" t="s">
        <v>11933</v>
      </c>
      <c r="S5268" s="23" t="s">
        <v>5849</v>
      </c>
      <c r="T5268" s="23" t="s">
        <v>4866</v>
      </c>
      <c r="U5268" s="3">
        <v>35</v>
      </c>
      <c r="W5268" s="45" t="str">
        <f>HYPERLINK("http://ictvonline.org/taxonomy/p/taxonomy-history?taxnode_id=201902079","ICTVonline=201902079")</f>
        <v>ICTVonline=201902079</v>
      </c>
      <c r="Y5268" s="1" t="s">
        <v>15447</v>
      </c>
      <c r="Z5268" s="1" t="s">
        <v>15448</v>
      </c>
      <c r="AA5268" s="1">
        <v>201900000</v>
      </c>
      <c r="AB5268" s="1">
        <v>35</v>
      </c>
    </row>
    <row r="5269" spans="1:28" x14ac:dyDescent="0.2">
      <c r="A5269" s="1">
        <v>13710</v>
      </c>
      <c r="B5269" s="1" t="s">
        <v>6839</v>
      </c>
      <c r="D5269" s="1" t="s">
        <v>11735</v>
      </c>
      <c r="F5269" s="1" t="s">
        <v>14661</v>
      </c>
      <c r="H5269" s="1" t="s">
        <v>14783</v>
      </c>
      <c r="J5269" s="1" t="s">
        <v>1067</v>
      </c>
      <c r="L5269" s="1" t="s">
        <v>1986</v>
      </c>
      <c r="M5269" s="1" t="s">
        <v>1875</v>
      </c>
      <c r="N5269" s="1" t="s">
        <v>1872</v>
      </c>
      <c r="P5269" s="1" t="s">
        <v>1146</v>
      </c>
      <c r="Q5269" s="3">
        <v>0</v>
      </c>
      <c r="R5269" s="23" t="s">
        <v>11933</v>
      </c>
      <c r="S5269" s="23" t="s">
        <v>5849</v>
      </c>
      <c r="T5269" s="23" t="s">
        <v>4866</v>
      </c>
      <c r="U5269" s="3">
        <v>35</v>
      </c>
      <c r="W5269" s="45" t="str">
        <f>HYPERLINK("http://ictvonline.org/taxonomy/p/taxonomy-history?taxnode_id=201902080","ICTVonline=201902080")</f>
        <v>ICTVonline=201902080</v>
      </c>
      <c r="AA5269" s="1">
        <v>201900000</v>
      </c>
      <c r="AB5269" s="1">
        <v>35</v>
      </c>
    </row>
    <row r="5270" spans="1:28" x14ac:dyDescent="0.2">
      <c r="A5270" s="1">
        <v>13712</v>
      </c>
      <c r="B5270" s="1" t="s">
        <v>6839</v>
      </c>
      <c r="D5270" s="1" t="s">
        <v>11735</v>
      </c>
      <c r="F5270" s="1" t="s">
        <v>14661</v>
      </c>
      <c r="H5270" s="1" t="s">
        <v>14783</v>
      </c>
      <c r="J5270" s="1" t="s">
        <v>1067</v>
      </c>
      <c r="L5270" s="1" t="s">
        <v>1986</v>
      </c>
      <c r="M5270" s="1" t="s">
        <v>1875</v>
      </c>
      <c r="N5270" s="1" t="s">
        <v>1872</v>
      </c>
      <c r="P5270" s="1" t="s">
        <v>1147</v>
      </c>
      <c r="Q5270" s="3">
        <v>0</v>
      </c>
      <c r="R5270" s="23" t="s">
        <v>11933</v>
      </c>
      <c r="S5270" s="23" t="s">
        <v>5849</v>
      </c>
      <c r="T5270" s="23" t="s">
        <v>4866</v>
      </c>
      <c r="U5270" s="3">
        <v>35</v>
      </c>
      <c r="W5270" s="45" t="str">
        <f>HYPERLINK("http://ictvonline.org/taxonomy/p/taxonomy-history?taxnode_id=201902081","ICTVonline=201902081")</f>
        <v>ICTVonline=201902081</v>
      </c>
      <c r="AA5270" s="1">
        <v>201900000</v>
      </c>
      <c r="AB5270" s="1">
        <v>35</v>
      </c>
    </row>
    <row r="5271" spans="1:28" x14ac:dyDescent="0.2">
      <c r="A5271" s="1">
        <v>13714</v>
      </c>
      <c r="B5271" s="1" t="s">
        <v>6839</v>
      </c>
      <c r="D5271" s="1" t="s">
        <v>11735</v>
      </c>
      <c r="F5271" s="1" t="s">
        <v>14661</v>
      </c>
      <c r="H5271" s="1" t="s">
        <v>14783</v>
      </c>
      <c r="J5271" s="1" t="s">
        <v>1067</v>
      </c>
      <c r="L5271" s="1" t="s">
        <v>1986</v>
      </c>
      <c r="M5271" s="1" t="s">
        <v>1875</v>
      </c>
      <c r="N5271" s="1" t="s">
        <v>1872</v>
      </c>
      <c r="P5271" s="1" t="s">
        <v>1348</v>
      </c>
      <c r="Q5271" s="3">
        <v>0</v>
      </c>
      <c r="R5271" s="23" t="s">
        <v>11933</v>
      </c>
      <c r="S5271" s="23" t="s">
        <v>5849</v>
      </c>
      <c r="T5271" s="23" t="s">
        <v>4866</v>
      </c>
      <c r="U5271" s="3">
        <v>35</v>
      </c>
      <c r="W5271" s="45" t="str">
        <f>HYPERLINK("http://ictvonline.org/taxonomy/p/taxonomy-history?taxnode_id=201902082","ICTVonline=201902082")</f>
        <v>ICTVonline=201902082</v>
      </c>
      <c r="AA5271" s="1">
        <v>201900000</v>
      </c>
      <c r="AB5271" s="1">
        <v>35</v>
      </c>
    </row>
    <row r="5272" spans="1:28" x14ac:dyDescent="0.2">
      <c r="A5272" s="1">
        <v>13716</v>
      </c>
      <c r="B5272" s="1" t="s">
        <v>6839</v>
      </c>
      <c r="D5272" s="1" t="s">
        <v>11735</v>
      </c>
      <c r="F5272" s="1" t="s">
        <v>14661</v>
      </c>
      <c r="H5272" s="1" t="s">
        <v>14783</v>
      </c>
      <c r="J5272" s="1" t="s">
        <v>1067</v>
      </c>
      <c r="L5272" s="1" t="s">
        <v>1986</v>
      </c>
      <c r="M5272" s="1" t="s">
        <v>1875</v>
      </c>
      <c r="N5272" s="1" t="s">
        <v>1872</v>
      </c>
      <c r="P5272" s="1" t="s">
        <v>904</v>
      </c>
      <c r="Q5272" s="3">
        <v>0</v>
      </c>
      <c r="R5272" s="23" t="s">
        <v>11933</v>
      </c>
      <c r="S5272" s="23" t="s">
        <v>5849</v>
      </c>
      <c r="T5272" s="23" t="s">
        <v>4866</v>
      </c>
      <c r="U5272" s="3">
        <v>35</v>
      </c>
      <c r="W5272" s="45" t="str">
        <f>HYPERLINK("http://ictvonline.org/taxonomy/p/taxonomy-history?taxnode_id=201902083","ICTVonline=201902083")</f>
        <v>ICTVonline=201902083</v>
      </c>
      <c r="AA5272" s="1">
        <v>201900000</v>
      </c>
      <c r="AB5272" s="1">
        <v>35</v>
      </c>
    </row>
    <row r="5273" spans="1:28" x14ac:dyDescent="0.2">
      <c r="A5273" s="1">
        <v>13718</v>
      </c>
      <c r="B5273" s="1" t="s">
        <v>6839</v>
      </c>
      <c r="D5273" s="1" t="s">
        <v>11735</v>
      </c>
      <c r="F5273" s="1" t="s">
        <v>14661</v>
      </c>
      <c r="H5273" s="1" t="s">
        <v>14783</v>
      </c>
      <c r="J5273" s="1" t="s">
        <v>1067</v>
      </c>
      <c r="L5273" s="1" t="s">
        <v>1986</v>
      </c>
      <c r="M5273" s="1" t="s">
        <v>1875</v>
      </c>
      <c r="N5273" s="1" t="s">
        <v>1872</v>
      </c>
      <c r="P5273" s="1" t="s">
        <v>905</v>
      </c>
      <c r="Q5273" s="3">
        <v>0</v>
      </c>
      <c r="R5273" s="23" t="s">
        <v>11933</v>
      </c>
      <c r="S5273" s="23" t="s">
        <v>5849</v>
      </c>
      <c r="T5273" s="23" t="s">
        <v>4866</v>
      </c>
      <c r="U5273" s="3">
        <v>35</v>
      </c>
      <c r="W5273" s="45" t="str">
        <f>HYPERLINK("http://ictvonline.org/taxonomy/p/taxonomy-history?taxnode_id=201902084","ICTVonline=201902084")</f>
        <v>ICTVonline=201902084</v>
      </c>
      <c r="Y5273" s="1" t="s">
        <v>15449</v>
      </c>
      <c r="Z5273" s="1" t="s">
        <v>12238</v>
      </c>
      <c r="AA5273" s="1">
        <v>201900000</v>
      </c>
      <c r="AB5273" s="1">
        <v>35</v>
      </c>
    </row>
    <row r="5274" spans="1:28" x14ac:dyDescent="0.2">
      <c r="A5274" s="1">
        <v>13720</v>
      </c>
      <c r="B5274" s="1" t="s">
        <v>6839</v>
      </c>
      <c r="D5274" s="1" t="s">
        <v>11735</v>
      </c>
      <c r="F5274" s="1" t="s">
        <v>14661</v>
      </c>
      <c r="H5274" s="1" t="s">
        <v>14783</v>
      </c>
      <c r="J5274" s="1" t="s">
        <v>1067</v>
      </c>
      <c r="L5274" s="1" t="s">
        <v>1986</v>
      </c>
      <c r="M5274" s="1" t="s">
        <v>1875</v>
      </c>
      <c r="N5274" s="1" t="s">
        <v>1872</v>
      </c>
      <c r="P5274" s="1" t="s">
        <v>1350</v>
      </c>
      <c r="Q5274" s="3">
        <v>0</v>
      </c>
      <c r="R5274" s="23" t="s">
        <v>11933</v>
      </c>
      <c r="S5274" s="23" t="s">
        <v>5849</v>
      </c>
      <c r="T5274" s="23" t="s">
        <v>4866</v>
      </c>
      <c r="U5274" s="3">
        <v>35</v>
      </c>
      <c r="W5274" s="45" t="str">
        <f>HYPERLINK("http://ictvonline.org/taxonomy/p/taxonomy-history?taxnode_id=201902085","ICTVonline=201902085")</f>
        <v>ICTVonline=201902085</v>
      </c>
      <c r="Y5274" s="1" t="s">
        <v>15450</v>
      </c>
      <c r="Z5274" s="1" t="s">
        <v>15451</v>
      </c>
      <c r="AA5274" s="1">
        <v>201900000</v>
      </c>
      <c r="AB5274" s="1">
        <v>35</v>
      </c>
    </row>
    <row r="5275" spans="1:28" x14ac:dyDescent="0.2">
      <c r="A5275" s="1">
        <v>13722</v>
      </c>
      <c r="B5275" s="1" t="s">
        <v>6839</v>
      </c>
      <c r="D5275" s="1" t="s">
        <v>11735</v>
      </c>
      <c r="F5275" s="1" t="s">
        <v>14661</v>
      </c>
      <c r="H5275" s="1" t="s">
        <v>14783</v>
      </c>
      <c r="J5275" s="1" t="s">
        <v>1067</v>
      </c>
      <c r="L5275" s="1" t="s">
        <v>1986</v>
      </c>
      <c r="M5275" s="1" t="s">
        <v>1875</v>
      </c>
      <c r="N5275" s="1" t="s">
        <v>1872</v>
      </c>
      <c r="P5275" s="1" t="s">
        <v>571</v>
      </c>
      <c r="Q5275" s="3">
        <v>0</v>
      </c>
      <c r="R5275" s="23" t="s">
        <v>11933</v>
      </c>
      <c r="S5275" s="23" t="s">
        <v>5849</v>
      </c>
      <c r="T5275" s="23" t="s">
        <v>4866</v>
      </c>
      <c r="U5275" s="3">
        <v>35</v>
      </c>
      <c r="W5275" s="45" t="str">
        <f>HYPERLINK("http://ictvonline.org/taxonomy/p/taxonomy-history?taxnode_id=201902086","ICTVonline=201902086")</f>
        <v>ICTVonline=201902086</v>
      </c>
      <c r="Y5275" s="1" t="s">
        <v>15452</v>
      </c>
      <c r="Z5275" s="1" t="s">
        <v>15453</v>
      </c>
      <c r="AA5275" s="1">
        <v>201900000</v>
      </c>
      <c r="AB5275" s="1">
        <v>35</v>
      </c>
    </row>
    <row r="5276" spans="1:28" x14ac:dyDescent="0.2">
      <c r="A5276" s="1">
        <v>13724</v>
      </c>
      <c r="B5276" s="1" t="s">
        <v>6839</v>
      </c>
      <c r="D5276" s="1" t="s">
        <v>11735</v>
      </c>
      <c r="F5276" s="1" t="s">
        <v>14661</v>
      </c>
      <c r="H5276" s="1" t="s">
        <v>14783</v>
      </c>
      <c r="J5276" s="1" t="s">
        <v>1067</v>
      </c>
      <c r="L5276" s="1" t="s">
        <v>1986</v>
      </c>
      <c r="M5276" s="1" t="s">
        <v>1875</v>
      </c>
      <c r="N5276" s="1" t="s">
        <v>1872</v>
      </c>
      <c r="P5276" s="1" t="s">
        <v>572</v>
      </c>
      <c r="Q5276" s="3">
        <v>0</v>
      </c>
      <c r="R5276" s="23" t="s">
        <v>11933</v>
      </c>
      <c r="S5276" s="23" t="s">
        <v>5849</v>
      </c>
      <c r="T5276" s="23" t="s">
        <v>4866</v>
      </c>
      <c r="U5276" s="3">
        <v>35</v>
      </c>
      <c r="W5276" s="45" t="str">
        <f>HYPERLINK("http://ictvonline.org/taxonomy/p/taxonomy-history?taxnode_id=201902087","ICTVonline=201902087")</f>
        <v>ICTVonline=201902087</v>
      </c>
      <c r="AA5276" s="1">
        <v>201900000</v>
      </c>
      <c r="AB5276" s="1">
        <v>35</v>
      </c>
    </row>
    <row r="5277" spans="1:28" x14ac:dyDescent="0.2">
      <c r="A5277" s="1">
        <v>13728</v>
      </c>
      <c r="B5277" s="1" t="s">
        <v>6839</v>
      </c>
      <c r="D5277" s="1" t="s">
        <v>11735</v>
      </c>
      <c r="F5277" s="1" t="s">
        <v>14661</v>
      </c>
      <c r="H5277" s="1" t="s">
        <v>14783</v>
      </c>
      <c r="J5277" s="1" t="s">
        <v>1067</v>
      </c>
      <c r="L5277" s="1" t="s">
        <v>1986</v>
      </c>
      <c r="M5277" s="1" t="s">
        <v>1875</v>
      </c>
      <c r="N5277" s="1" t="s">
        <v>1873</v>
      </c>
      <c r="P5277" s="1" t="s">
        <v>573</v>
      </c>
      <c r="Q5277" s="3">
        <v>1</v>
      </c>
      <c r="R5277" s="23" t="s">
        <v>11933</v>
      </c>
      <c r="S5277" s="23" t="s">
        <v>5849</v>
      </c>
      <c r="T5277" s="23" t="s">
        <v>4866</v>
      </c>
      <c r="U5277" s="3">
        <v>35</v>
      </c>
      <c r="W5277" s="45" t="str">
        <f>HYPERLINK("http://ictvonline.org/taxonomy/p/taxonomy-history?taxnode_id=201902089","ICTVonline=201902089")</f>
        <v>ICTVonline=201902089</v>
      </c>
      <c r="Y5277" s="1" t="s">
        <v>15454</v>
      </c>
      <c r="Z5277" s="1" t="s">
        <v>15455</v>
      </c>
      <c r="AA5277" s="1">
        <v>201900000</v>
      </c>
      <c r="AB5277" s="1">
        <v>35</v>
      </c>
    </row>
    <row r="5278" spans="1:28" x14ac:dyDescent="0.2">
      <c r="A5278" s="1">
        <v>13730</v>
      </c>
      <c r="B5278" s="1" t="s">
        <v>6839</v>
      </c>
      <c r="D5278" s="1" t="s">
        <v>11735</v>
      </c>
      <c r="F5278" s="1" t="s">
        <v>14661</v>
      </c>
      <c r="H5278" s="1" t="s">
        <v>14783</v>
      </c>
      <c r="J5278" s="1" t="s">
        <v>1067</v>
      </c>
      <c r="L5278" s="1" t="s">
        <v>1986</v>
      </c>
      <c r="M5278" s="1" t="s">
        <v>1875</v>
      </c>
      <c r="N5278" s="1" t="s">
        <v>1873</v>
      </c>
      <c r="P5278" s="1" t="s">
        <v>574</v>
      </c>
      <c r="Q5278" s="3">
        <v>0</v>
      </c>
      <c r="R5278" s="23" t="s">
        <v>11933</v>
      </c>
      <c r="S5278" s="23" t="s">
        <v>5849</v>
      </c>
      <c r="T5278" s="23" t="s">
        <v>4866</v>
      </c>
      <c r="U5278" s="3">
        <v>35</v>
      </c>
      <c r="W5278" s="45" t="str">
        <f>HYPERLINK("http://ictvonline.org/taxonomy/p/taxonomy-history?taxnode_id=201902090","ICTVonline=201902090")</f>
        <v>ICTVonline=201902090</v>
      </c>
      <c r="Y5278" s="1" t="s">
        <v>15456</v>
      </c>
      <c r="Z5278" s="1" t="s">
        <v>15457</v>
      </c>
      <c r="AA5278" s="1">
        <v>201900000</v>
      </c>
      <c r="AB5278" s="1">
        <v>35</v>
      </c>
    </row>
    <row r="5279" spans="1:28" x14ac:dyDescent="0.2">
      <c r="A5279" s="1">
        <v>13732</v>
      </c>
      <c r="B5279" s="1" t="s">
        <v>6839</v>
      </c>
      <c r="D5279" s="1" t="s">
        <v>11735</v>
      </c>
      <c r="F5279" s="1" t="s">
        <v>14661</v>
      </c>
      <c r="H5279" s="1" t="s">
        <v>14783</v>
      </c>
      <c r="J5279" s="1" t="s">
        <v>1067</v>
      </c>
      <c r="L5279" s="1" t="s">
        <v>1986</v>
      </c>
      <c r="M5279" s="1" t="s">
        <v>1875</v>
      </c>
      <c r="N5279" s="1" t="s">
        <v>1873</v>
      </c>
      <c r="P5279" s="1" t="s">
        <v>2181</v>
      </c>
      <c r="Q5279" s="3">
        <v>0</v>
      </c>
      <c r="R5279" s="23" t="s">
        <v>11933</v>
      </c>
      <c r="S5279" s="23" t="s">
        <v>5849</v>
      </c>
      <c r="T5279" s="23" t="s">
        <v>4866</v>
      </c>
      <c r="U5279" s="3">
        <v>35</v>
      </c>
      <c r="W5279" s="45" t="str">
        <f>HYPERLINK("http://ictvonline.org/taxonomy/p/taxonomy-history?taxnode_id=201902091","ICTVonline=201902091")</f>
        <v>ICTVonline=201902091</v>
      </c>
      <c r="AA5279" s="1">
        <v>201900000</v>
      </c>
      <c r="AB5279" s="1">
        <v>35</v>
      </c>
    </row>
    <row r="5280" spans="1:28" x14ac:dyDescent="0.2">
      <c r="A5280" s="1">
        <v>13734</v>
      </c>
      <c r="B5280" s="1" t="s">
        <v>6839</v>
      </c>
      <c r="D5280" s="1" t="s">
        <v>11735</v>
      </c>
      <c r="F5280" s="1" t="s">
        <v>14661</v>
      </c>
      <c r="H5280" s="1" t="s">
        <v>14783</v>
      </c>
      <c r="J5280" s="1" t="s">
        <v>1067</v>
      </c>
      <c r="L5280" s="1" t="s">
        <v>1986</v>
      </c>
      <c r="M5280" s="1" t="s">
        <v>1875</v>
      </c>
      <c r="N5280" s="1" t="s">
        <v>1873</v>
      </c>
      <c r="P5280" s="1" t="s">
        <v>575</v>
      </c>
      <c r="Q5280" s="3">
        <v>0</v>
      </c>
      <c r="R5280" s="23" t="s">
        <v>11933</v>
      </c>
      <c r="S5280" s="23" t="s">
        <v>5849</v>
      </c>
      <c r="T5280" s="23" t="s">
        <v>4866</v>
      </c>
      <c r="U5280" s="3">
        <v>35</v>
      </c>
      <c r="W5280" s="45" t="str">
        <f>HYPERLINK("http://ictvonline.org/taxonomy/p/taxonomy-history?taxnode_id=201902092","ICTVonline=201902092")</f>
        <v>ICTVonline=201902092</v>
      </c>
      <c r="Y5280" s="1" t="s">
        <v>15458</v>
      </c>
      <c r="Z5280" s="1" t="s">
        <v>15459</v>
      </c>
      <c r="AA5280" s="1">
        <v>201900000</v>
      </c>
      <c r="AB5280" s="1">
        <v>35</v>
      </c>
    </row>
    <row r="5281" spans="1:28" x14ac:dyDescent="0.2">
      <c r="A5281" s="1">
        <v>13736</v>
      </c>
      <c r="B5281" s="1" t="s">
        <v>6839</v>
      </c>
      <c r="D5281" s="1" t="s">
        <v>11735</v>
      </c>
      <c r="F5281" s="1" t="s">
        <v>14661</v>
      </c>
      <c r="H5281" s="1" t="s">
        <v>14783</v>
      </c>
      <c r="J5281" s="1" t="s">
        <v>1067</v>
      </c>
      <c r="L5281" s="1" t="s">
        <v>1986</v>
      </c>
      <c r="M5281" s="1" t="s">
        <v>1875</v>
      </c>
      <c r="N5281" s="1" t="s">
        <v>1873</v>
      </c>
      <c r="P5281" s="1" t="s">
        <v>5122</v>
      </c>
      <c r="Q5281" s="3">
        <v>0</v>
      </c>
      <c r="R5281" s="23" t="s">
        <v>11933</v>
      </c>
      <c r="S5281" s="23" t="s">
        <v>5849</v>
      </c>
      <c r="T5281" s="23" t="s">
        <v>4866</v>
      </c>
      <c r="U5281" s="3">
        <v>35</v>
      </c>
      <c r="W5281" s="45" t="str">
        <f>HYPERLINK("http://ictvonline.org/taxonomy/p/taxonomy-history?taxnode_id=201905626","ICTVonline=201905626")</f>
        <v>ICTVonline=201905626</v>
      </c>
      <c r="AA5281" s="1">
        <v>201900000</v>
      </c>
      <c r="AB5281" s="1">
        <v>35</v>
      </c>
    </row>
    <row r="5282" spans="1:28" x14ac:dyDescent="0.2">
      <c r="A5282" s="1">
        <v>13738</v>
      </c>
      <c r="B5282" s="1" t="s">
        <v>6839</v>
      </c>
      <c r="D5282" s="1" t="s">
        <v>11735</v>
      </c>
      <c r="F5282" s="1" t="s">
        <v>14661</v>
      </c>
      <c r="H5282" s="1" t="s">
        <v>14783</v>
      </c>
      <c r="J5282" s="1" t="s">
        <v>1067</v>
      </c>
      <c r="L5282" s="1" t="s">
        <v>1986</v>
      </c>
      <c r="M5282" s="1" t="s">
        <v>1875</v>
      </c>
      <c r="N5282" s="1" t="s">
        <v>1873</v>
      </c>
      <c r="P5282" s="1" t="s">
        <v>910</v>
      </c>
      <c r="Q5282" s="3">
        <v>0</v>
      </c>
      <c r="R5282" s="23" t="s">
        <v>11933</v>
      </c>
      <c r="S5282" s="23" t="s">
        <v>5849</v>
      </c>
      <c r="T5282" s="23" t="s">
        <v>4866</v>
      </c>
      <c r="U5282" s="3">
        <v>35</v>
      </c>
      <c r="W5282" s="45" t="str">
        <f>HYPERLINK("http://ictvonline.org/taxonomy/p/taxonomy-history?taxnode_id=201902093","ICTVonline=201902093")</f>
        <v>ICTVonline=201902093</v>
      </c>
      <c r="Y5282" s="1" t="s">
        <v>15460</v>
      </c>
      <c r="Z5282" s="1" t="s">
        <v>15461</v>
      </c>
      <c r="AA5282" s="1">
        <v>201900000</v>
      </c>
      <c r="AB5282" s="1">
        <v>35</v>
      </c>
    </row>
    <row r="5283" spans="1:28" x14ac:dyDescent="0.2">
      <c r="A5283" s="1">
        <v>13740</v>
      </c>
      <c r="B5283" s="1" t="s">
        <v>6839</v>
      </c>
      <c r="D5283" s="1" t="s">
        <v>11735</v>
      </c>
      <c r="F5283" s="1" t="s">
        <v>14661</v>
      </c>
      <c r="H5283" s="1" t="s">
        <v>14783</v>
      </c>
      <c r="J5283" s="1" t="s">
        <v>1067</v>
      </c>
      <c r="L5283" s="1" t="s">
        <v>1986</v>
      </c>
      <c r="M5283" s="1" t="s">
        <v>1875</v>
      </c>
      <c r="N5283" s="1" t="s">
        <v>1873</v>
      </c>
      <c r="P5283" s="1" t="s">
        <v>5123</v>
      </c>
      <c r="Q5283" s="3">
        <v>0</v>
      </c>
      <c r="R5283" s="23" t="s">
        <v>11933</v>
      </c>
      <c r="S5283" s="23" t="s">
        <v>5849</v>
      </c>
      <c r="T5283" s="23" t="s">
        <v>4866</v>
      </c>
      <c r="U5283" s="3">
        <v>35</v>
      </c>
      <c r="W5283" s="45" t="str">
        <f>HYPERLINK("http://ictvonline.org/taxonomy/p/taxonomy-history?taxnode_id=201905627","ICTVonline=201905627")</f>
        <v>ICTVonline=201905627</v>
      </c>
      <c r="AA5283" s="1">
        <v>201900000</v>
      </c>
      <c r="AB5283" s="1">
        <v>35</v>
      </c>
    </row>
    <row r="5284" spans="1:28" x14ac:dyDescent="0.2">
      <c r="A5284" s="1">
        <v>13744</v>
      </c>
      <c r="B5284" s="1" t="s">
        <v>6839</v>
      </c>
      <c r="D5284" s="1" t="s">
        <v>11735</v>
      </c>
      <c r="F5284" s="1" t="s">
        <v>14661</v>
      </c>
      <c r="H5284" s="1" t="s">
        <v>14783</v>
      </c>
      <c r="J5284" s="1" t="s">
        <v>1067</v>
      </c>
      <c r="L5284" s="1" t="s">
        <v>1986</v>
      </c>
      <c r="M5284" s="1" t="s">
        <v>1875</v>
      </c>
      <c r="N5284" s="1" t="s">
        <v>1874</v>
      </c>
      <c r="P5284" s="1" t="s">
        <v>3598</v>
      </c>
      <c r="Q5284" s="3">
        <v>0</v>
      </c>
      <c r="R5284" s="23" t="s">
        <v>11933</v>
      </c>
      <c r="S5284" s="23" t="s">
        <v>5849</v>
      </c>
      <c r="T5284" s="23" t="s">
        <v>4866</v>
      </c>
      <c r="U5284" s="3">
        <v>35</v>
      </c>
      <c r="W5284" s="45" t="str">
        <f>HYPERLINK("http://ictvonline.org/taxonomy/p/taxonomy-history?taxnode_id=201902095","ICTVonline=201902095")</f>
        <v>ICTVonline=201902095</v>
      </c>
      <c r="Y5284" s="1" t="s">
        <v>15462</v>
      </c>
      <c r="Z5284" s="1" t="s">
        <v>15463</v>
      </c>
      <c r="AA5284" s="1">
        <v>201900000</v>
      </c>
      <c r="AB5284" s="1">
        <v>35</v>
      </c>
    </row>
    <row r="5285" spans="1:28" x14ac:dyDescent="0.2">
      <c r="A5285" s="1">
        <v>13746</v>
      </c>
      <c r="B5285" s="1" t="s">
        <v>6839</v>
      </c>
      <c r="D5285" s="1" t="s">
        <v>11735</v>
      </c>
      <c r="F5285" s="1" t="s">
        <v>14661</v>
      </c>
      <c r="H5285" s="1" t="s">
        <v>14783</v>
      </c>
      <c r="J5285" s="1" t="s">
        <v>1067</v>
      </c>
      <c r="L5285" s="1" t="s">
        <v>1986</v>
      </c>
      <c r="M5285" s="1" t="s">
        <v>1875</v>
      </c>
      <c r="N5285" s="1" t="s">
        <v>1874</v>
      </c>
      <c r="P5285" s="1" t="s">
        <v>911</v>
      </c>
      <c r="Q5285" s="3">
        <v>0</v>
      </c>
      <c r="R5285" s="23" t="s">
        <v>11933</v>
      </c>
      <c r="S5285" s="23" t="s">
        <v>5849</v>
      </c>
      <c r="T5285" s="23" t="s">
        <v>4866</v>
      </c>
      <c r="U5285" s="3">
        <v>35</v>
      </c>
      <c r="W5285" s="45" t="str">
        <f>HYPERLINK("http://ictvonline.org/taxonomy/p/taxonomy-history?taxnode_id=201902096","ICTVonline=201902096")</f>
        <v>ICTVonline=201902096</v>
      </c>
      <c r="AA5285" s="1">
        <v>201900000</v>
      </c>
      <c r="AB5285" s="1">
        <v>35</v>
      </c>
    </row>
    <row r="5286" spans="1:28" x14ac:dyDescent="0.2">
      <c r="A5286" s="1">
        <v>13748</v>
      </c>
      <c r="B5286" s="1" t="s">
        <v>6839</v>
      </c>
      <c r="D5286" s="1" t="s">
        <v>11735</v>
      </c>
      <c r="F5286" s="1" t="s">
        <v>14661</v>
      </c>
      <c r="H5286" s="1" t="s">
        <v>14783</v>
      </c>
      <c r="J5286" s="1" t="s">
        <v>1067</v>
      </c>
      <c r="L5286" s="1" t="s">
        <v>1986</v>
      </c>
      <c r="M5286" s="1" t="s">
        <v>1875</v>
      </c>
      <c r="N5286" s="1" t="s">
        <v>1874</v>
      </c>
      <c r="P5286" s="1" t="s">
        <v>912</v>
      </c>
      <c r="Q5286" s="3">
        <v>0</v>
      </c>
      <c r="R5286" s="23" t="s">
        <v>11933</v>
      </c>
      <c r="S5286" s="23" t="s">
        <v>5849</v>
      </c>
      <c r="T5286" s="23" t="s">
        <v>4866</v>
      </c>
      <c r="U5286" s="3">
        <v>35</v>
      </c>
      <c r="W5286" s="45" t="str">
        <f>HYPERLINK("http://ictvonline.org/taxonomy/p/taxonomy-history?taxnode_id=201902097","ICTVonline=201902097")</f>
        <v>ICTVonline=201902097</v>
      </c>
      <c r="Y5286" s="1" t="s">
        <v>15464</v>
      </c>
      <c r="Z5286" s="1" t="s">
        <v>15465</v>
      </c>
      <c r="AA5286" s="1">
        <v>201900000</v>
      </c>
      <c r="AB5286" s="1">
        <v>35</v>
      </c>
    </row>
    <row r="5287" spans="1:28" x14ac:dyDescent="0.2">
      <c r="A5287" s="1">
        <v>13750</v>
      </c>
      <c r="B5287" s="1" t="s">
        <v>6839</v>
      </c>
      <c r="D5287" s="1" t="s">
        <v>11735</v>
      </c>
      <c r="F5287" s="1" t="s">
        <v>14661</v>
      </c>
      <c r="H5287" s="1" t="s">
        <v>14783</v>
      </c>
      <c r="J5287" s="1" t="s">
        <v>1067</v>
      </c>
      <c r="L5287" s="1" t="s">
        <v>1986</v>
      </c>
      <c r="M5287" s="1" t="s">
        <v>1875</v>
      </c>
      <c r="N5287" s="1" t="s">
        <v>1874</v>
      </c>
      <c r="P5287" s="1" t="s">
        <v>913</v>
      </c>
      <c r="Q5287" s="3">
        <v>0</v>
      </c>
      <c r="R5287" s="23" t="s">
        <v>11933</v>
      </c>
      <c r="S5287" s="23" t="s">
        <v>5849</v>
      </c>
      <c r="T5287" s="23" t="s">
        <v>4866</v>
      </c>
      <c r="U5287" s="3">
        <v>35</v>
      </c>
      <c r="W5287" s="45" t="str">
        <f>HYPERLINK("http://ictvonline.org/taxonomy/p/taxonomy-history?taxnode_id=201902098","ICTVonline=201902098")</f>
        <v>ICTVonline=201902098</v>
      </c>
      <c r="AA5287" s="1">
        <v>201900000</v>
      </c>
      <c r="AB5287" s="1">
        <v>35</v>
      </c>
    </row>
    <row r="5288" spans="1:28" x14ac:dyDescent="0.2">
      <c r="A5288" s="1">
        <v>13752</v>
      </c>
      <c r="B5288" s="1" t="s">
        <v>6839</v>
      </c>
      <c r="D5288" s="1" t="s">
        <v>11735</v>
      </c>
      <c r="F5288" s="1" t="s">
        <v>14661</v>
      </c>
      <c r="H5288" s="1" t="s">
        <v>14783</v>
      </c>
      <c r="J5288" s="1" t="s">
        <v>1067</v>
      </c>
      <c r="L5288" s="1" t="s">
        <v>1986</v>
      </c>
      <c r="M5288" s="1" t="s">
        <v>1875</v>
      </c>
      <c r="N5288" s="1" t="s">
        <v>1874</v>
      </c>
      <c r="P5288" s="1" t="s">
        <v>577</v>
      </c>
      <c r="Q5288" s="3">
        <v>0</v>
      </c>
      <c r="R5288" s="23" t="s">
        <v>11933</v>
      </c>
      <c r="S5288" s="23" t="s">
        <v>5849</v>
      </c>
      <c r="T5288" s="23" t="s">
        <v>4866</v>
      </c>
      <c r="U5288" s="3">
        <v>35</v>
      </c>
      <c r="W5288" s="45" t="str">
        <f>HYPERLINK("http://ictvonline.org/taxonomy/p/taxonomy-history?taxnode_id=201902099","ICTVonline=201902099")</f>
        <v>ICTVonline=201902099</v>
      </c>
      <c r="AA5288" s="1">
        <v>201900000</v>
      </c>
      <c r="AB5288" s="1">
        <v>35</v>
      </c>
    </row>
    <row r="5289" spans="1:28" x14ac:dyDescent="0.2">
      <c r="A5289" s="1">
        <v>13754</v>
      </c>
      <c r="B5289" s="1" t="s">
        <v>6839</v>
      </c>
      <c r="D5289" s="1" t="s">
        <v>11735</v>
      </c>
      <c r="F5289" s="1" t="s">
        <v>14661</v>
      </c>
      <c r="H5289" s="1" t="s">
        <v>14783</v>
      </c>
      <c r="J5289" s="1" t="s">
        <v>1067</v>
      </c>
      <c r="L5289" s="1" t="s">
        <v>1986</v>
      </c>
      <c r="M5289" s="1" t="s">
        <v>1875</v>
      </c>
      <c r="N5289" s="1" t="s">
        <v>1874</v>
      </c>
      <c r="P5289" s="1" t="s">
        <v>578</v>
      </c>
      <c r="Q5289" s="3">
        <v>0</v>
      </c>
      <c r="R5289" s="23" t="s">
        <v>11933</v>
      </c>
      <c r="S5289" s="23" t="s">
        <v>5849</v>
      </c>
      <c r="T5289" s="23" t="s">
        <v>4866</v>
      </c>
      <c r="U5289" s="3">
        <v>35</v>
      </c>
      <c r="W5289" s="45" t="str">
        <f>HYPERLINK("http://ictvonline.org/taxonomy/p/taxonomy-history?taxnode_id=201902100","ICTVonline=201902100")</f>
        <v>ICTVonline=201902100</v>
      </c>
      <c r="AA5289" s="1">
        <v>201900000</v>
      </c>
      <c r="AB5289" s="1">
        <v>35</v>
      </c>
    </row>
    <row r="5290" spans="1:28" x14ac:dyDescent="0.2">
      <c r="A5290" s="1">
        <v>13756</v>
      </c>
      <c r="B5290" s="1" t="s">
        <v>6839</v>
      </c>
      <c r="D5290" s="1" t="s">
        <v>11735</v>
      </c>
      <c r="F5290" s="1" t="s">
        <v>14661</v>
      </c>
      <c r="H5290" s="1" t="s">
        <v>14783</v>
      </c>
      <c r="J5290" s="1" t="s">
        <v>1067</v>
      </c>
      <c r="L5290" s="1" t="s">
        <v>1986</v>
      </c>
      <c r="M5290" s="1" t="s">
        <v>1875</v>
      </c>
      <c r="N5290" s="1" t="s">
        <v>1874</v>
      </c>
      <c r="P5290" s="1" t="s">
        <v>579</v>
      </c>
      <c r="Q5290" s="3">
        <v>0</v>
      </c>
      <c r="R5290" s="23" t="s">
        <v>11933</v>
      </c>
      <c r="S5290" s="23" t="s">
        <v>5849</v>
      </c>
      <c r="T5290" s="23" t="s">
        <v>4866</v>
      </c>
      <c r="U5290" s="3">
        <v>35</v>
      </c>
      <c r="W5290" s="45" t="str">
        <f>HYPERLINK("http://ictvonline.org/taxonomy/p/taxonomy-history?taxnode_id=201902101","ICTVonline=201902101")</f>
        <v>ICTVonline=201902101</v>
      </c>
      <c r="AA5290" s="1">
        <v>201900000</v>
      </c>
      <c r="AB5290" s="1">
        <v>35</v>
      </c>
    </row>
    <row r="5291" spans="1:28" x14ac:dyDescent="0.2">
      <c r="A5291" s="1">
        <v>13758</v>
      </c>
      <c r="B5291" s="1" t="s">
        <v>6839</v>
      </c>
      <c r="D5291" s="1" t="s">
        <v>11735</v>
      </c>
      <c r="F5291" s="1" t="s">
        <v>14661</v>
      </c>
      <c r="H5291" s="1" t="s">
        <v>14783</v>
      </c>
      <c r="J5291" s="1" t="s">
        <v>1067</v>
      </c>
      <c r="L5291" s="1" t="s">
        <v>1986</v>
      </c>
      <c r="M5291" s="1" t="s">
        <v>1875</v>
      </c>
      <c r="N5291" s="1" t="s">
        <v>1874</v>
      </c>
      <c r="P5291" s="1" t="s">
        <v>580</v>
      </c>
      <c r="Q5291" s="3">
        <v>0</v>
      </c>
      <c r="R5291" s="23" t="s">
        <v>11933</v>
      </c>
      <c r="S5291" s="23" t="s">
        <v>5849</v>
      </c>
      <c r="T5291" s="23" t="s">
        <v>4866</v>
      </c>
      <c r="U5291" s="3">
        <v>35</v>
      </c>
      <c r="W5291" s="45" t="str">
        <f>HYPERLINK("http://ictvonline.org/taxonomy/p/taxonomy-history?taxnode_id=201902102","ICTVonline=201902102")</f>
        <v>ICTVonline=201902102</v>
      </c>
      <c r="Y5291" s="1" t="s">
        <v>15466</v>
      </c>
      <c r="Z5291" s="1" t="s">
        <v>15467</v>
      </c>
      <c r="AA5291" s="1">
        <v>201900000</v>
      </c>
      <c r="AB5291" s="1">
        <v>35</v>
      </c>
    </row>
    <row r="5292" spans="1:28" x14ac:dyDescent="0.2">
      <c r="A5292" s="1">
        <v>13760</v>
      </c>
      <c r="B5292" s="1" t="s">
        <v>6839</v>
      </c>
      <c r="D5292" s="1" t="s">
        <v>11735</v>
      </c>
      <c r="F5292" s="1" t="s">
        <v>14661</v>
      </c>
      <c r="H5292" s="1" t="s">
        <v>14783</v>
      </c>
      <c r="J5292" s="1" t="s">
        <v>1067</v>
      </c>
      <c r="L5292" s="1" t="s">
        <v>1986</v>
      </c>
      <c r="M5292" s="1" t="s">
        <v>1875</v>
      </c>
      <c r="N5292" s="1" t="s">
        <v>1874</v>
      </c>
      <c r="P5292" s="1" t="s">
        <v>581</v>
      </c>
      <c r="Q5292" s="3">
        <v>0</v>
      </c>
      <c r="R5292" s="23" t="s">
        <v>11933</v>
      </c>
      <c r="S5292" s="23" t="s">
        <v>5849</v>
      </c>
      <c r="T5292" s="23" t="s">
        <v>4866</v>
      </c>
      <c r="U5292" s="3">
        <v>35</v>
      </c>
      <c r="W5292" s="45" t="str">
        <f>HYPERLINK("http://ictvonline.org/taxonomy/p/taxonomy-history?taxnode_id=201902103","ICTVonline=201902103")</f>
        <v>ICTVonline=201902103</v>
      </c>
      <c r="Y5292" s="1" t="s">
        <v>15468</v>
      </c>
      <c r="Z5292" s="1" t="s">
        <v>15469</v>
      </c>
      <c r="AA5292" s="1">
        <v>201900000</v>
      </c>
      <c r="AB5292" s="1">
        <v>35</v>
      </c>
    </row>
    <row r="5293" spans="1:28" x14ac:dyDescent="0.2">
      <c r="A5293" s="1">
        <v>13762</v>
      </c>
      <c r="B5293" s="1" t="s">
        <v>6839</v>
      </c>
      <c r="D5293" s="1" t="s">
        <v>11735</v>
      </c>
      <c r="F5293" s="1" t="s">
        <v>14661</v>
      </c>
      <c r="H5293" s="1" t="s">
        <v>14783</v>
      </c>
      <c r="J5293" s="1" t="s">
        <v>1067</v>
      </c>
      <c r="L5293" s="1" t="s">
        <v>1986</v>
      </c>
      <c r="M5293" s="1" t="s">
        <v>1875</v>
      </c>
      <c r="N5293" s="1" t="s">
        <v>1874</v>
      </c>
      <c r="P5293" s="1" t="s">
        <v>2182</v>
      </c>
      <c r="Q5293" s="3">
        <v>0</v>
      </c>
      <c r="R5293" s="23" t="s">
        <v>11933</v>
      </c>
      <c r="S5293" s="23" t="s">
        <v>5849</v>
      </c>
      <c r="T5293" s="23" t="s">
        <v>4866</v>
      </c>
      <c r="U5293" s="3">
        <v>35</v>
      </c>
      <c r="W5293" s="45" t="str">
        <f>HYPERLINK("http://ictvonline.org/taxonomy/p/taxonomy-history?taxnode_id=201902104","ICTVonline=201902104")</f>
        <v>ICTVonline=201902104</v>
      </c>
      <c r="Y5293" s="1" t="s">
        <v>15470</v>
      </c>
      <c r="Z5293" s="1" t="s">
        <v>15471</v>
      </c>
      <c r="AA5293" s="1">
        <v>201900000</v>
      </c>
      <c r="AB5293" s="1">
        <v>35</v>
      </c>
    </row>
    <row r="5294" spans="1:28" x14ac:dyDescent="0.2">
      <c r="A5294" s="1">
        <v>13764</v>
      </c>
      <c r="B5294" s="1" t="s">
        <v>6839</v>
      </c>
      <c r="D5294" s="1" t="s">
        <v>11735</v>
      </c>
      <c r="F5294" s="1" t="s">
        <v>14661</v>
      </c>
      <c r="H5294" s="1" t="s">
        <v>14783</v>
      </c>
      <c r="J5294" s="1" t="s">
        <v>1067</v>
      </c>
      <c r="L5294" s="1" t="s">
        <v>1986</v>
      </c>
      <c r="M5294" s="1" t="s">
        <v>1875</v>
      </c>
      <c r="N5294" s="1" t="s">
        <v>1874</v>
      </c>
      <c r="P5294" s="1" t="s">
        <v>582</v>
      </c>
      <c r="Q5294" s="3">
        <v>0</v>
      </c>
      <c r="R5294" s="23" t="s">
        <v>11933</v>
      </c>
      <c r="S5294" s="23" t="s">
        <v>5849</v>
      </c>
      <c r="T5294" s="23" t="s">
        <v>4866</v>
      </c>
      <c r="U5294" s="3">
        <v>35</v>
      </c>
      <c r="W5294" s="45" t="str">
        <f>HYPERLINK("http://ictvonline.org/taxonomy/p/taxonomy-history?taxnode_id=201902105","ICTVonline=201902105")</f>
        <v>ICTVonline=201902105</v>
      </c>
      <c r="AA5294" s="1">
        <v>201900000</v>
      </c>
      <c r="AB5294" s="1">
        <v>35</v>
      </c>
    </row>
    <row r="5295" spans="1:28" x14ac:dyDescent="0.2">
      <c r="A5295" s="1">
        <v>13766</v>
      </c>
      <c r="B5295" s="1" t="s">
        <v>6839</v>
      </c>
      <c r="D5295" s="1" t="s">
        <v>11735</v>
      </c>
      <c r="F5295" s="1" t="s">
        <v>14661</v>
      </c>
      <c r="H5295" s="1" t="s">
        <v>14783</v>
      </c>
      <c r="J5295" s="1" t="s">
        <v>1067</v>
      </c>
      <c r="L5295" s="1" t="s">
        <v>1986</v>
      </c>
      <c r="M5295" s="1" t="s">
        <v>1875</v>
      </c>
      <c r="N5295" s="1" t="s">
        <v>1874</v>
      </c>
      <c r="P5295" s="1" t="s">
        <v>583</v>
      </c>
      <c r="Q5295" s="3">
        <v>0</v>
      </c>
      <c r="R5295" s="23" t="s">
        <v>11933</v>
      </c>
      <c r="S5295" s="23" t="s">
        <v>5849</v>
      </c>
      <c r="T5295" s="23" t="s">
        <v>4866</v>
      </c>
      <c r="U5295" s="3">
        <v>35</v>
      </c>
      <c r="W5295" s="45" t="str">
        <f>HYPERLINK("http://ictvonline.org/taxonomy/p/taxonomy-history?taxnode_id=201902106","ICTVonline=201902106")</f>
        <v>ICTVonline=201902106</v>
      </c>
      <c r="AA5295" s="1">
        <v>201900000</v>
      </c>
      <c r="AB5295" s="1">
        <v>35</v>
      </c>
    </row>
    <row r="5296" spans="1:28" x14ac:dyDescent="0.2">
      <c r="A5296" s="1">
        <v>13768</v>
      </c>
      <c r="B5296" s="1" t="s">
        <v>6839</v>
      </c>
      <c r="D5296" s="1" t="s">
        <v>11735</v>
      </c>
      <c r="F5296" s="1" t="s">
        <v>14661</v>
      </c>
      <c r="H5296" s="1" t="s">
        <v>14783</v>
      </c>
      <c r="J5296" s="1" t="s">
        <v>1067</v>
      </c>
      <c r="L5296" s="1" t="s">
        <v>1986</v>
      </c>
      <c r="M5296" s="1" t="s">
        <v>1875</v>
      </c>
      <c r="N5296" s="1" t="s">
        <v>1874</v>
      </c>
      <c r="P5296" s="1" t="s">
        <v>584</v>
      </c>
      <c r="Q5296" s="3">
        <v>0</v>
      </c>
      <c r="R5296" s="23" t="s">
        <v>11933</v>
      </c>
      <c r="S5296" s="23" t="s">
        <v>5849</v>
      </c>
      <c r="T5296" s="23" t="s">
        <v>4866</v>
      </c>
      <c r="U5296" s="3">
        <v>35</v>
      </c>
      <c r="W5296" s="45" t="str">
        <f>HYPERLINK("http://ictvonline.org/taxonomy/p/taxonomy-history?taxnode_id=201902107","ICTVonline=201902107")</f>
        <v>ICTVonline=201902107</v>
      </c>
      <c r="AA5296" s="1">
        <v>201900000</v>
      </c>
      <c r="AB5296" s="1">
        <v>35</v>
      </c>
    </row>
    <row r="5297" spans="1:28" x14ac:dyDescent="0.2">
      <c r="A5297" s="1">
        <v>13770</v>
      </c>
      <c r="B5297" s="1" t="s">
        <v>6839</v>
      </c>
      <c r="D5297" s="1" t="s">
        <v>11735</v>
      </c>
      <c r="F5297" s="1" t="s">
        <v>14661</v>
      </c>
      <c r="H5297" s="1" t="s">
        <v>14783</v>
      </c>
      <c r="J5297" s="1" t="s">
        <v>1067</v>
      </c>
      <c r="L5297" s="1" t="s">
        <v>1986</v>
      </c>
      <c r="M5297" s="1" t="s">
        <v>1875</v>
      </c>
      <c r="N5297" s="1" t="s">
        <v>1874</v>
      </c>
      <c r="P5297" s="1" t="s">
        <v>1715</v>
      </c>
      <c r="Q5297" s="3">
        <v>0</v>
      </c>
      <c r="R5297" s="23" t="s">
        <v>11933</v>
      </c>
      <c r="S5297" s="23" t="s">
        <v>5849</v>
      </c>
      <c r="T5297" s="23" t="s">
        <v>4866</v>
      </c>
      <c r="U5297" s="3">
        <v>35</v>
      </c>
      <c r="W5297" s="45" t="str">
        <f>HYPERLINK("http://ictvonline.org/taxonomy/p/taxonomy-history?taxnode_id=201902108","ICTVonline=201902108")</f>
        <v>ICTVonline=201902108</v>
      </c>
      <c r="Y5297" s="1" t="s">
        <v>15472</v>
      </c>
      <c r="Z5297" s="1" t="s">
        <v>15473</v>
      </c>
      <c r="AA5297" s="1">
        <v>201900000</v>
      </c>
      <c r="AB5297" s="1">
        <v>35</v>
      </c>
    </row>
    <row r="5298" spans="1:28" x14ac:dyDescent="0.2">
      <c r="A5298" s="1">
        <v>13772</v>
      </c>
      <c r="B5298" s="1" t="s">
        <v>6839</v>
      </c>
      <c r="D5298" s="1" t="s">
        <v>11735</v>
      </c>
      <c r="F5298" s="1" t="s">
        <v>14661</v>
      </c>
      <c r="H5298" s="1" t="s">
        <v>14783</v>
      </c>
      <c r="J5298" s="1" t="s">
        <v>1067</v>
      </c>
      <c r="L5298" s="1" t="s">
        <v>1986</v>
      </c>
      <c r="M5298" s="1" t="s">
        <v>1875</v>
      </c>
      <c r="N5298" s="1" t="s">
        <v>1874</v>
      </c>
      <c r="P5298" s="1" t="s">
        <v>1716</v>
      </c>
      <c r="Q5298" s="3">
        <v>0</v>
      </c>
      <c r="R5298" s="23" t="s">
        <v>11933</v>
      </c>
      <c r="S5298" s="23" t="s">
        <v>5849</v>
      </c>
      <c r="T5298" s="23" t="s">
        <v>4866</v>
      </c>
      <c r="U5298" s="3">
        <v>35</v>
      </c>
      <c r="W5298" s="45" t="str">
        <f>HYPERLINK("http://ictvonline.org/taxonomy/p/taxonomy-history?taxnode_id=201902109","ICTVonline=201902109")</f>
        <v>ICTVonline=201902109</v>
      </c>
      <c r="AA5298" s="1">
        <v>201900000</v>
      </c>
      <c r="AB5298" s="1">
        <v>35</v>
      </c>
    </row>
    <row r="5299" spans="1:28" x14ac:dyDescent="0.2">
      <c r="A5299" s="1">
        <v>13774</v>
      </c>
      <c r="B5299" s="1" t="s">
        <v>6839</v>
      </c>
      <c r="D5299" s="1" t="s">
        <v>11735</v>
      </c>
      <c r="F5299" s="1" t="s">
        <v>14661</v>
      </c>
      <c r="H5299" s="1" t="s">
        <v>14783</v>
      </c>
      <c r="J5299" s="1" t="s">
        <v>1067</v>
      </c>
      <c r="L5299" s="1" t="s">
        <v>1986</v>
      </c>
      <c r="M5299" s="1" t="s">
        <v>1875</v>
      </c>
      <c r="N5299" s="1" t="s">
        <v>1874</v>
      </c>
      <c r="P5299" s="1" t="s">
        <v>1717</v>
      </c>
      <c r="Q5299" s="3">
        <v>0</v>
      </c>
      <c r="R5299" s="23" t="s">
        <v>11933</v>
      </c>
      <c r="S5299" s="23" t="s">
        <v>5849</v>
      </c>
      <c r="T5299" s="23" t="s">
        <v>4866</v>
      </c>
      <c r="U5299" s="3">
        <v>35</v>
      </c>
      <c r="W5299" s="45" t="str">
        <f>HYPERLINK("http://ictvonline.org/taxonomy/p/taxonomy-history?taxnode_id=201902110","ICTVonline=201902110")</f>
        <v>ICTVonline=201902110</v>
      </c>
      <c r="AA5299" s="1">
        <v>201900000</v>
      </c>
      <c r="AB5299" s="1">
        <v>35</v>
      </c>
    </row>
    <row r="5300" spans="1:28" x14ac:dyDescent="0.2">
      <c r="A5300" s="1">
        <v>13776</v>
      </c>
      <c r="B5300" s="1" t="s">
        <v>6839</v>
      </c>
      <c r="D5300" s="1" t="s">
        <v>11735</v>
      </c>
      <c r="F5300" s="1" t="s">
        <v>14661</v>
      </c>
      <c r="H5300" s="1" t="s">
        <v>14783</v>
      </c>
      <c r="J5300" s="1" t="s">
        <v>1067</v>
      </c>
      <c r="L5300" s="1" t="s">
        <v>1986</v>
      </c>
      <c r="M5300" s="1" t="s">
        <v>1875</v>
      </c>
      <c r="N5300" s="1" t="s">
        <v>1874</v>
      </c>
      <c r="P5300" s="1" t="s">
        <v>1718</v>
      </c>
      <c r="Q5300" s="3">
        <v>0</v>
      </c>
      <c r="R5300" s="23" t="s">
        <v>11933</v>
      </c>
      <c r="S5300" s="23" t="s">
        <v>5849</v>
      </c>
      <c r="T5300" s="23" t="s">
        <v>4866</v>
      </c>
      <c r="U5300" s="3">
        <v>35</v>
      </c>
      <c r="W5300" s="45" t="str">
        <f>HYPERLINK("http://ictvonline.org/taxonomy/p/taxonomy-history?taxnode_id=201902111","ICTVonline=201902111")</f>
        <v>ICTVonline=201902111</v>
      </c>
      <c r="AA5300" s="1">
        <v>201900000</v>
      </c>
      <c r="AB5300" s="1">
        <v>35</v>
      </c>
    </row>
    <row r="5301" spans="1:28" x14ac:dyDescent="0.2">
      <c r="A5301" s="1">
        <v>13778</v>
      </c>
      <c r="B5301" s="1" t="s">
        <v>6839</v>
      </c>
      <c r="D5301" s="1" t="s">
        <v>11735</v>
      </c>
      <c r="F5301" s="1" t="s">
        <v>14661</v>
      </c>
      <c r="H5301" s="1" t="s">
        <v>14783</v>
      </c>
      <c r="J5301" s="1" t="s">
        <v>1067</v>
      </c>
      <c r="L5301" s="1" t="s">
        <v>1986</v>
      </c>
      <c r="M5301" s="1" t="s">
        <v>1875</v>
      </c>
      <c r="N5301" s="1" t="s">
        <v>1874</v>
      </c>
      <c r="P5301" s="1" t="s">
        <v>1719</v>
      </c>
      <c r="Q5301" s="3">
        <v>0</v>
      </c>
      <c r="R5301" s="23" t="s">
        <v>11933</v>
      </c>
      <c r="S5301" s="23" t="s">
        <v>5849</v>
      </c>
      <c r="T5301" s="23" t="s">
        <v>4866</v>
      </c>
      <c r="U5301" s="3">
        <v>35</v>
      </c>
      <c r="W5301" s="45" t="str">
        <f>HYPERLINK("http://ictvonline.org/taxonomy/p/taxonomy-history?taxnode_id=201902112","ICTVonline=201902112")</f>
        <v>ICTVonline=201902112</v>
      </c>
      <c r="Y5301" s="1" t="s">
        <v>15474</v>
      </c>
      <c r="Z5301" s="1" t="s">
        <v>15475</v>
      </c>
      <c r="AA5301" s="1">
        <v>201900000</v>
      </c>
      <c r="AB5301" s="1">
        <v>35</v>
      </c>
    </row>
    <row r="5302" spans="1:28" x14ac:dyDescent="0.2">
      <c r="A5302" s="1">
        <v>13780</v>
      </c>
      <c r="B5302" s="1" t="s">
        <v>6839</v>
      </c>
      <c r="D5302" s="1" t="s">
        <v>11735</v>
      </c>
      <c r="F5302" s="1" t="s">
        <v>14661</v>
      </c>
      <c r="H5302" s="1" t="s">
        <v>14783</v>
      </c>
      <c r="J5302" s="1" t="s">
        <v>1067</v>
      </c>
      <c r="L5302" s="1" t="s">
        <v>1986</v>
      </c>
      <c r="M5302" s="1" t="s">
        <v>1875</v>
      </c>
      <c r="N5302" s="1" t="s">
        <v>1874</v>
      </c>
      <c r="P5302" s="1" t="s">
        <v>1720</v>
      </c>
      <c r="Q5302" s="3">
        <v>0</v>
      </c>
      <c r="R5302" s="23" t="s">
        <v>11933</v>
      </c>
      <c r="S5302" s="23" t="s">
        <v>5849</v>
      </c>
      <c r="T5302" s="23" t="s">
        <v>4866</v>
      </c>
      <c r="U5302" s="3">
        <v>35</v>
      </c>
      <c r="W5302" s="45" t="str">
        <f>HYPERLINK("http://ictvonline.org/taxonomy/p/taxonomy-history?taxnode_id=201902113","ICTVonline=201902113")</f>
        <v>ICTVonline=201902113</v>
      </c>
      <c r="Y5302" s="1" t="s">
        <v>15476</v>
      </c>
      <c r="Z5302" s="1" t="s">
        <v>15477</v>
      </c>
      <c r="AA5302" s="1">
        <v>201900000</v>
      </c>
      <c r="AB5302" s="1">
        <v>35</v>
      </c>
    </row>
    <row r="5303" spans="1:28" x14ac:dyDescent="0.2">
      <c r="A5303" s="1">
        <v>13782</v>
      </c>
      <c r="B5303" s="1" t="s">
        <v>6839</v>
      </c>
      <c r="D5303" s="1" t="s">
        <v>11735</v>
      </c>
      <c r="F5303" s="1" t="s">
        <v>14661</v>
      </c>
      <c r="H5303" s="1" t="s">
        <v>14783</v>
      </c>
      <c r="J5303" s="1" t="s">
        <v>1067</v>
      </c>
      <c r="L5303" s="1" t="s">
        <v>1986</v>
      </c>
      <c r="M5303" s="1" t="s">
        <v>1875</v>
      </c>
      <c r="N5303" s="1" t="s">
        <v>1874</v>
      </c>
      <c r="P5303" s="1" t="s">
        <v>1721</v>
      </c>
      <c r="Q5303" s="3">
        <v>0</v>
      </c>
      <c r="R5303" s="23" t="s">
        <v>11933</v>
      </c>
      <c r="S5303" s="23" t="s">
        <v>5849</v>
      </c>
      <c r="T5303" s="23" t="s">
        <v>4866</v>
      </c>
      <c r="U5303" s="3">
        <v>35</v>
      </c>
      <c r="W5303" s="45" t="str">
        <f>HYPERLINK("http://ictvonline.org/taxonomy/p/taxonomy-history?taxnode_id=201902114","ICTVonline=201902114")</f>
        <v>ICTVonline=201902114</v>
      </c>
      <c r="Y5303" s="1" t="s">
        <v>15478</v>
      </c>
      <c r="Z5303" s="1" t="s">
        <v>15479</v>
      </c>
      <c r="AA5303" s="1">
        <v>201900000</v>
      </c>
      <c r="AB5303" s="1">
        <v>35</v>
      </c>
    </row>
    <row r="5304" spans="1:28" x14ac:dyDescent="0.2">
      <c r="A5304" s="1">
        <v>13784</v>
      </c>
      <c r="B5304" s="1" t="s">
        <v>6839</v>
      </c>
      <c r="D5304" s="1" t="s">
        <v>11735</v>
      </c>
      <c r="F5304" s="1" t="s">
        <v>14661</v>
      </c>
      <c r="H5304" s="1" t="s">
        <v>14783</v>
      </c>
      <c r="J5304" s="1" t="s">
        <v>1067</v>
      </c>
      <c r="L5304" s="1" t="s">
        <v>1986</v>
      </c>
      <c r="M5304" s="1" t="s">
        <v>1875</v>
      </c>
      <c r="N5304" s="1" t="s">
        <v>1874</v>
      </c>
      <c r="P5304" s="1" t="s">
        <v>1722</v>
      </c>
      <c r="Q5304" s="3">
        <v>0</v>
      </c>
      <c r="R5304" s="23" t="s">
        <v>11933</v>
      </c>
      <c r="S5304" s="23" t="s">
        <v>5849</v>
      </c>
      <c r="T5304" s="23" t="s">
        <v>4866</v>
      </c>
      <c r="U5304" s="3">
        <v>35</v>
      </c>
      <c r="W5304" s="45" t="str">
        <f>HYPERLINK("http://ictvonline.org/taxonomy/p/taxonomy-history?taxnode_id=201902115","ICTVonline=201902115")</f>
        <v>ICTVonline=201902115</v>
      </c>
      <c r="Y5304" s="1" t="s">
        <v>15480</v>
      </c>
      <c r="Z5304" s="1" t="s">
        <v>15481</v>
      </c>
      <c r="AA5304" s="1">
        <v>201900000</v>
      </c>
      <c r="AB5304" s="1">
        <v>35</v>
      </c>
    </row>
    <row r="5305" spans="1:28" x14ac:dyDescent="0.2">
      <c r="A5305" s="1">
        <v>13786</v>
      </c>
      <c r="B5305" s="1" t="s">
        <v>6839</v>
      </c>
      <c r="D5305" s="1" t="s">
        <v>11735</v>
      </c>
      <c r="F5305" s="1" t="s">
        <v>14661</v>
      </c>
      <c r="H5305" s="1" t="s">
        <v>14783</v>
      </c>
      <c r="J5305" s="1" t="s">
        <v>1067</v>
      </c>
      <c r="L5305" s="1" t="s">
        <v>1986</v>
      </c>
      <c r="M5305" s="1" t="s">
        <v>1875</v>
      </c>
      <c r="N5305" s="1" t="s">
        <v>1874</v>
      </c>
      <c r="P5305" s="1" t="s">
        <v>1723</v>
      </c>
      <c r="Q5305" s="3">
        <v>0</v>
      </c>
      <c r="R5305" s="23" t="s">
        <v>11933</v>
      </c>
      <c r="S5305" s="23" t="s">
        <v>5849</v>
      </c>
      <c r="T5305" s="23" t="s">
        <v>4866</v>
      </c>
      <c r="U5305" s="3">
        <v>35</v>
      </c>
      <c r="W5305" s="45" t="str">
        <f>HYPERLINK("http://ictvonline.org/taxonomy/p/taxonomy-history?taxnode_id=201902116","ICTVonline=201902116")</f>
        <v>ICTVonline=201902116</v>
      </c>
      <c r="Y5305" s="1" t="s">
        <v>15482</v>
      </c>
      <c r="Z5305" s="1" t="s">
        <v>15483</v>
      </c>
      <c r="AA5305" s="1">
        <v>201900000</v>
      </c>
      <c r="AB5305" s="1">
        <v>35</v>
      </c>
    </row>
    <row r="5306" spans="1:28" x14ac:dyDescent="0.2">
      <c r="A5306" s="1">
        <v>13788</v>
      </c>
      <c r="B5306" s="1" t="s">
        <v>6839</v>
      </c>
      <c r="D5306" s="1" t="s">
        <v>11735</v>
      </c>
      <c r="F5306" s="1" t="s">
        <v>14661</v>
      </c>
      <c r="H5306" s="1" t="s">
        <v>14783</v>
      </c>
      <c r="J5306" s="1" t="s">
        <v>1067</v>
      </c>
      <c r="L5306" s="1" t="s">
        <v>1986</v>
      </c>
      <c r="M5306" s="1" t="s">
        <v>1875</v>
      </c>
      <c r="N5306" s="1" t="s">
        <v>1874</v>
      </c>
      <c r="P5306" s="1" t="s">
        <v>1724</v>
      </c>
      <c r="Q5306" s="3">
        <v>0</v>
      </c>
      <c r="R5306" s="23" t="s">
        <v>11933</v>
      </c>
      <c r="S5306" s="23" t="s">
        <v>5849</v>
      </c>
      <c r="T5306" s="23" t="s">
        <v>4866</v>
      </c>
      <c r="U5306" s="3">
        <v>35</v>
      </c>
      <c r="W5306" s="45" t="str">
        <f>HYPERLINK("http://ictvonline.org/taxonomy/p/taxonomy-history?taxnode_id=201902117","ICTVonline=201902117")</f>
        <v>ICTVonline=201902117</v>
      </c>
      <c r="Y5306" s="1" t="s">
        <v>15484</v>
      </c>
      <c r="Z5306" s="1" t="s">
        <v>15485</v>
      </c>
      <c r="AA5306" s="1">
        <v>201900000</v>
      </c>
      <c r="AB5306" s="1">
        <v>35</v>
      </c>
    </row>
    <row r="5307" spans="1:28" x14ac:dyDescent="0.2">
      <c r="A5307" s="1">
        <v>13790</v>
      </c>
      <c r="B5307" s="1" t="s">
        <v>6839</v>
      </c>
      <c r="D5307" s="1" t="s">
        <v>11735</v>
      </c>
      <c r="F5307" s="1" t="s">
        <v>14661</v>
      </c>
      <c r="H5307" s="1" t="s">
        <v>14783</v>
      </c>
      <c r="J5307" s="1" t="s">
        <v>1067</v>
      </c>
      <c r="L5307" s="1" t="s">
        <v>1986</v>
      </c>
      <c r="M5307" s="1" t="s">
        <v>1875</v>
      </c>
      <c r="N5307" s="1" t="s">
        <v>1874</v>
      </c>
      <c r="P5307" s="1" t="s">
        <v>1725</v>
      </c>
      <c r="Q5307" s="3">
        <v>0</v>
      </c>
      <c r="R5307" s="23" t="s">
        <v>11933</v>
      </c>
      <c r="S5307" s="23" t="s">
        <v>5849</v>
      </c>
      <c r="T5307" s="23" t="s">
        <v>4866</v>
      </c>
      <c r="U5307" s="3">
        <v>35</v>
      </c>
      <c r="W5307" s="45" t="str">
        <f>HYPERLINK("http://ictvonline.org/taxonomy/p/taxonomy-history?taxnode_id=201902118","ICTVonline=201902118")</f>
        <v>ICTVonline=201902118</v>
      </c>
      <c r="AA5307" s="1">
        <v>201900000</v>
      </c>
      <c r="AB5307" s="1">
        <v>35</v>
      </c>
    </row>
    <row r="5308" spans="1:28" x14ac:dyDescent="0.2">
      <c r="A5308" s="1">
        <v>13792</v>
      </c>
      <c r="B5308" s="1" t="s">
        <v>6839</v>
      </c>
      <c r="D5308" s="1" t="s">
        <v>11735</v>
      </c>
      <c r="F5308" s="1" t="s">
        <v>14661</v>
      </c>
      <c r="H5308" s="1" t="s">
        <v>14783</v>
      </c>
      <c r="J5308" s="1" t="s">
        <v>1067</v>
      </c>
      <c r="L5308" s="1" t="s">
        <v>1986</v>
      </c>
      <c r="M5308" s="1" t="s">
        <v>1875</v>
      </c>
      <c r="N5308" s="1" t="s">
        <v>1874</v>
      </c>
      <c r="P5308" s="1" t="s">
        <v>1726</v>
      </c>
      <c r="Q5308" s="3">
        <v>0</v>
      </c>
      <c r="R5308" s="23" t="s">
        <v>11933</v>
      </c>
      <c r="S5308" s="23" t="s">
        <v>5849</v>
      </c>
      <c r="T5308" s="23" t="s">
        <v>4866</v>
      </c>
      <c r="U5308" s="3">
        <v>35</v>
      </c>
      <c r="W5308" s="45" t="str">
        <f>HYPERLINK("http://ictvonline.org/taxonomy/p/taxonomy-history?taxnode_id=201902119","ICTVonline=201902119")</f>
        <v>ICTVonline=201902119</v>
      </c>
      <c r="AA5308" s="1">
        <v>201900000</v>
      </c>
      <c r="AB5308" s="1">
        <v>35</v>
      </c>
    </row>
    <row r="5309" spans="1:28" x14ac:dyDescent="0.2">
      <c r="A5309" s="1">
        <v>13794</v>
      </c>
      <c r="B5309" s="1" t="s">
        <v>6839</v>
      </c>
      <c r="D5309" s="1" t="s">
        <v>11735</v>
      </c>
      <c r="F5309" s="1" t="s">
        <v>14661</v>
      </c>
      <c r="H5309" s="1" t="s">
        <v>14783</v>
      </c>
      <c r="J5309" s="1" t="s">
        <v>1067</v>
      </c>
      <c r="L5309" s="1" t="s">
        <v>1986</v>
      </c>
      <c r="M5309" s="1" t="s">
        <v>1875</v>
      </c>
      <c r="N5309" s="1" t="s">
        <v>1874</v>
      </c>
      <c r="P5309" s="1" t="s">
        <v>1727</v>
      </c>
      <c r="Q5309" s="3">
        <v>0</v>
      </c>
      <c r="R5309" s="23" t="s">
        <v>11933</v>
      </c>
      <c r="S5309" s="23" t="s">
        <v>5849</v>
      </c>
      <c r="T5309" s="23" t="s">
        <v>4866</v>
      </c>
      <c r="U5309" s="3">
        <v>35</v>
      </c>
      <c r="W5309" s="45" t="str">
        <f>HYPERLINK("http://ictvonline.org/taxonomy/p/taxonomy-history?taxnode_id=201902120","ICTVonline=201902120")</f>
        <v>ICTVonline=201902120</v>
      </c>
      <c r="AA5309" s="1">
        <v>201900000</v>
      </c>
      <c r="AB5309" s="1">
        <v>35</v>
      </c>
    </row>
    <row r="5310" spans="1:28" x14ac:dyDescent="0.2">
      <c r="A5310" s="1">
        <v>13796</v>
      </c>
      <c r="B5310" s="1" t="s">
        <v>6839</v>
      </c>
      <c r="D5310" s="1" t="s">
        <v>11735</v>
      </c>
      <c r="F5310" s="1" t="s">
        <v>14661</v>
      </c>
      <c r="H5310" s="1" t="s">
        <v>14783</v>
      </c>
      <c r="J5310" s="1" t="s">
        <v>1067</v>
      </c>
      <c r="L5310" s="1" t="s">
        <v>1986</v>
      </c>
      <c r="M5310" s="1" t="s">
        <v>1875</v>
      </c>
      <c r="N5310" s="1" t="s">
        <v>1874</v>
      </c>
      <c r="P5310" s="1" t="s">
        <v>5</v>
      </c>
      <c r="Q5310" s="3">
        <v>0</v>
      </c>
      <c r="R5310" s="23" t="s">
        <v>11933</v>
      </c>
      <c r="S5310" s="23" t="s">
        <v>5849</v>
      </c>
      <c r="T5310" s="23" t="s">
        <v>4866</v>
      </c>
      <c r="U5310" s="3">
        <v>35</v>
      </c>
      <c r="W5310" s="45" t="str">
        <f>HYPERLINK("http://ictvonline.org/taxonomy/p/taxonomy-history?taxnode_id=201902121","ICTVonline=201902121")</f>
        <v>ICTVonline=201902121</v>
      </c>
      <c r="Y5310" s="1" t="s">
        <v>15486</v>
      </c>
      <c r="Z5310" s="1" t="s">
        <v>15487</v>
      </c>
      <c r="AA5310" s="1">
        <v>201900000</v>
      </c>
      <c r="AB5310" s="1">
        <v>35</v>
      </c>
    </row>
    <row r="5311" spans="1:28" x14ac:dyDescent="0.2">
      <c r="A5311" s="1">
        <v>13798</v>
      </c>
      <c r="B5311" s="1" t="s">
        <v>6839</v>
      </c>
      <c r="D5311" s="1" t="s">
        <v>11735</v>
      </c>
      <c r="F5311" s="1" t="s">
        <v>14661</v>
      </c>
      <c r="H5311" s="1" t="s">
        <v>14783</v>
      </c>
      <c r="J5311" s="1" t="s">
        <v>1067</v>
      </c>
      <c r="L5311" s="1" t="s">
        <v>1986</v>
      </c>
      <c r="M5311" s="1" t="s">
        <v>1875</v>
      </c>
      <c r="N5311" s="1" t="s">
        <v>1874</v>
      </c>
      <c r="P5311" s="1" t="s">
        <v>3599</v>
      </c>
      <c r="Q5311" s="3">
        <v>0</v>
      </c>
      <c r="R5311" s="23" t="s">
        <v>11933</v>
      </c>
      <c r="S5311" s="23" t="s">
        <v>5849</v>
      </c>
      <c r="T5311" s="23" t="s">
        <v>4866</v>
      </c>
      <c r="U5311" s="3">
        <v>35</v>
      </c>
      <c r="W5311" s="45" t="str">
        <f>HYPERLINK("http://ictvonline.org/taxonomy/p/taxonomy-history?taxnode_id=201902122","ICTVonline=201902122")</f>
        <v>ICTVonline=201902122</v>
      </c>
      <c r="Y5311" s="1" t="s">
        <v>15488</v>
      </c>
      <c r="Z5311" s="1" t="s">
        <v>15489</v>
      </c>
      <c r="AA5311" s="1">
        <v>201900000</v>
      </c>
      <c r="AB5311" s="1">
        <v>35</v>
      </c>
    </row>
    <row r="5312" spans="1:28" x14ac:dyDescent="0.2">
      <c r="A5312" s="1">
        <v>13800</v>
      </c>
      <c r="B5312" s="1" t="s">
        <v>6839</v>
      </c>
      <c r="D5312" s="1" t="s">
        <v>11735</v>
      </c>
      <c r="F5312" s="1" t="s">
        <v>14661</v>
      </c>
      <c r="H5312" s="1" t="s">
        <v>14783</v>
      </c>
      <c r="J5312" s="1" t="s">
        <v>1067</v>
      </c>
      <c r="L5312" s="1" t="s">
        <v>1986</v>
      </c>
      <c r="M5312" s="1" t="s">
        <v>1875</v>
      </c>
      <c r="N5312" s="1" t="s">
        <v>1874</v>
      </c>
      <c r="P5312" s="1" t="s">
        <v>1728</v>
      </c>
      <c r="Q5312" s="3">
        <v>0</v>
      </c>
      <c r="R5312" s="23" t="s">
        <v>11933</v>
      </c>
      <c r="S5312" s="23" t="s">
        <v>5849</v>
      </c>
      <c r="T5312" s="23" t="s">
        <v>4866</v>
      </c>
      <c r="U5312" s="3">
        <v>35</v>
      </c>
      <c r="W5312" s="45" t="str">
        <f>HYPERLINK("http://ictvonline.org/taxonomy/p/taxonomy-history?taxnode_id=201902123","ICTVonline=201902123")</f>
        <v>ICTVonline=201902123</v>
      </c>
      <c r="AA5312" s="1">
        <v>201900000</v>
      </c>
      <c r="AB5312" s="1">
        <v>35</v>
      </c>
    </row>
    <row r="5313" spans="1:28" x14ac:dyDescent="0.2">
      <c r="A5313" s="1">
        <v>13802</v>
      </c>
      <c r="B5313" s="1" t="s">
        <v>6839</v>
      </c>
      <c r="D5313" s="1" t="s">
        <v>11735</v>
      </c>
      <c r="F5313" s="1" t="s">
        <v>14661</v>
      </c>
      <c r="H5313" s="1" t="s">
        <v>14783</v>
      </c>
      <c r="J5313" s="1" t="s">
        <v>1067</v>
      </c>
      <c r="L5313" s="1" t="s">
        <v>1986</v>
      </c>
      <c r="M5313" s="1" t="s">
        <v>1875</v>
      </c>
      <c r="N5313" s="1" t="s">
        <v>1874</v>
      </c>
      <c r="P5313" s="1" t="s">
        <v>1729</v>
      </c>
      <c r="Q5313" s="3">
        <v>0</v>
      </c>
      <c r="R5313" s="23" t="s">
        <v>11933</v>
      </c>
      <c r="S5313" s="23" t="s">
        <v>5849</v>
      </c>
      <c r="T5313" s="23" t="s">
        <v>4866</v>
      </c>
      <c r="U5313" s="3">
        <v>35</v>
      </c>
      <c r="W5313" s="45" t="str">
        <f>HYPERLINK("http://ictvonline.org/taxonomy/p/taxonomy-history?taxnode_id=201902124","ICTVonline=201902124")</f>
        <v>ICTVonline=201902124</v>
      </c>
      <c r="AA5313" s="1">
        <v>201900000</v>
      </c>
      <c r="AB5313" s="1">
        <v>35</v>
      </c>
    </row>
    <row r="5314" spans="1:28" x14ac:dyDescent="0.2">
      <c r="A5314" s="1">
        <v>13804</v>
      </c>
      <c r="B5314" s="1" t="s">
        <v>6839</v>
      </c>
      <c r="D5314" s="1" t="s">
        <v>11735</v>
      </c>
      <c r="F5314" s="1" t="s">
        <v>14661</v>
      </c>
      <c r="H5314" s="1" t="s">
        <v>14783</v>
      </c>
      <c r="J5314" s="1" t="s">
        <v>1067</v>
      </c>
      <c r="L5314" s="1" t="s">
        <v>1986</v>
      </c>
      <c r="M5314" s="1" t="s">
        <v>1875</v>
      </c>
      <c r="N5314" s="1" t="s">
        <v>1874</v>
      </c>
      <c r="P5314" s="1" t="s">
        <v>1406</v>
      </c>
      <c r="Q5314" s="3">
        <v>0</v>
      </c>
      <c r="R5314" s="23" t="s">
        <v>11933</v>
      </c>
      <c r="S5314" s="23" t="s">
        <v>5849</v>
      </c>
      <c r="T5314" s="23" t="s">
        <v>4866</v>
      </c>
      <c r="U5314" s="3">
        <v>35</v>
      </c>
      <c r="W5314" s="45" t="str">
        <f>HYPERLINK("http://ictvonline.org/taxonomy/p/taxonomy-history?taxnode_id=201902125","ICTVonline=201902125")</f>
        <v>ICTVonline=201902125</v>
      </c>
      <c r="Y5314" s="1" t="s">
        <v>15490</v>
      </c>
      <c r="Z5314" s="1" t="s">
        <v>11898</v>
      </c>
      <c r="AA5314" s="1">
        <v>201900000</v>
      </c>
      <c r="AB5314" s="1">
        <v>35</v>
      </c>
    </row>
    <row r="5315" spans="1:28" x14ac:dyDescent="0.2">
      <c r="A5315" s="1">
        <v>13806</v>
      </c>
      <c r="B5315" s="1" t="s">
        <v>6839</v>
      </c>
      <c r="D5315" s="1" t="s">
        <v>11735</v>
      </c>
      <c r="F5315" s="1" t="s">
        <v>14661</v>
      </c>
      <c r="H5315" s="1" t="s">
        <v>14783</v>
      </c>
      <c r="J5315" s="1" t="s">
        <v>1067</v>
      </c>
      <c r="L5315" s="1" t="s">
        <v>1986</v>
      </c>
      <c r="M5315" s="1" t="s">
        <v>1875</v>
      </c>
      <c r="N5315" s="1" t="s">
        <v>1874</v>
      </c>
      <c r="P5315" s="1" t="s">
        <v>1407</v>
      </c>
      <c r="Q5315" s="3">
        <v>0</v>
      </c>
      <c r="R5315" s="23" t="s">
        <v>11933</v>
      </c>
      <c r="S5315" s="23" t="s">
        <v>5849</v>
      </c>
      <c r="T5315" s="23" t="s">
        <v>4866</v>
      </c>
      <c r="U5315" s="3">
        <v>35</v>
      </c>
      <c r="W5315" s="45" t="str">
        <f>HYPERLINK("http://ictvonline.org/taxonomy/p/taxonomy-history?taxnode_id=201902126","ICTVonline=201902126")</f>
        <v>ICTVonline=201902126</v>
      </c>
      <c r="Y5315" s="1" t="s">
        <v>15491</v>
      </c>
      <c r="Z5315" s="1" t="s">
        <v>15492</v>
      </c>
      <c r="AA5315" s="1">
        <v>201900000</v>
      </c>
      <c r="AB5315" s="1">
        <v>35</v>
      </c>
    </row>
    <row r="5316" spans="1:28" x14ac:dyDescent="0.2">
      <c r="A5316" s="1">
        <v>13808</v>
      </c>
      <c r="B5316" s="1" t="s">
        <v>6839</v>
      </c>
      <c r="D5316" s="1" t="s">
        <v>11735</v>
      </c>
      <c r="F5316" s="1" t="s">
        <v>14661</v>
      </c>
      <c r="H5316" s="1" t="s">
        <v>14783</v>
      </c>
      <c r="J5316" s="1" t="s">
        <v>1067</v>
      </c>
      <c r="L5316" s="1" t="s">
        <v>1986</v>
      </c>
      <c r="M5316" s="1" t="s">
        <v>1875</v>
      </c>
      <c r="N5316" s="1" t="s">
        <v>1874</v>
      </c>
      <c r="P5316" s="1" t="s">
        <v>1408</v>
      </c>
      <c r="Q5316" s="3">
        <v>0</v>
      </c>
      <c r="R5316" s="23" t="s">
        <v>11933</v>
      </c>
      <c r="S5316" s="23" t="s">
        <v>5849</v>
      </c>
      <c r="T5316" s="23" t="s">
        <v>4866</v>
      </c>
      <c r="U5316" s="3">
        <v>35</v>
      </c>
      <c r="W5316" s="45" t="str">
        <f>HYPERLINK("http://ictvonline.org/taxonomy/p/taxonomy-history?taxnode_id=201902127","ICTVonline=201902127")</f>
        <v>ICTVonline=201902127</v>
      </c>
      <c r="Y5316" s="1" t="s">
        <v>15493</v>
      </c>
      <c r="Z5316" s="1" t="s">
        <v>15494</v>
      </c>
      <c r="AA5316" s="1">
        <v>201900000</v>
      </c>
      <c r="AB5316" s="1">
        <v>35</v>
      </c>
    </row>
    <row r="5317" spans="1:28" x14ac:dyDescent="0.2">
      <c r="A5317" s="1">
        <v>13810</v>
      </c>
      <c r="B5317" s="1" t="s">
        <v>6839</v>
      </c>
      <c r="D5317" s="1" t="s">
        <v>11735</v>
      </c>
      <c r="F5317" s="1" t="s">
        <v>14661</v>
      </c>
      <c r="H5317" s="1" t="s">
        <v>14783</v>
      </c>
      <c r="J5317" s="1" t="s">
        <v>1067</v>
      </c>
      <c r="L5317" s="1" t="s">
        <v>1986</v>
      </c>
      <c r="M5317" s="1" t="s">
        <v>1875</v>
      </c>
      <c r="N5317" s="1" t="s">
        <v>1874</v>
      </c>
      <c r="P5317" s="1" t="s">
        <v>5124</v>
      </c>
      <c r="Q5317" s="3">
        <v>0</v>
      </c>
      <c r="R5317" s="23" t="s">
        <v>11933</v>
      </c>
      <c r="S5317" s="23" t="s">
        <v>5849</v>
      </c>
      <c r="T5317" s="23" t="s">
        <v>4866</v>
      </c>
      <c r="U5317" s="3">
        <v>35</v>
      </c>
      <c r="W5317" s="45" t="str">
        <f>HYPERLINK("http://ictvonline.org/taxonomy/p/taxonomy-history?taxnode_id=201905628","ICTVonline=201905628")</f>
        <v>ICTVonline=201905628</v>
      </c>
      <c r="AA5317" s="1">
        <v>201900000</v>
      </c>
      <c r="AB5317" s="1">
        <v>35</v>
      </c>
    </row>
    <row r="5318" spans="1:28" x14ac:dyDescent="0.2">
      <c r="A5318" s="1">
        <v>13812</v>
      </c>
      <c r="B5318" s="1" t="s">
        <v>6839</v>
      </c>
      <c r="D5318" s="1" t="s">
        <v>11735</v>
      </c>
      <c r="F5318" s="1" t="s">
        <v>14661</v>
      </c>
      <c r="H5318" s="1" t="s">
        <v>14783</v>
      </c>
      <c r="J5318" s="1" t="s">
        <v>1067</v>
      </c>
      <c r="L5318" s="1" t="s">
        <v>1986</v>
      </c>
      <c r="M5318" s="1" t="s">
        <v>1875</v>
      </c>
      <c r="N5318" s="1" t="s">
        <v>1874</v>
      </c>
      <c r="P5318" s="1" t="s">
        <v>1409</v>
      </c>
      <c r="Q5318" s="3">
        <v>0</v>
      </c>
      <c r="R5318" s="23" t="s">
        <v>11933</v>
      </c>
      <c r="S5318" s="23" t="s">
        <v>5849</v>
      </c>
      <c r="T5318" s="23" t="s">
        <v>4866</v>
      </c>
      <c r="U5318" s="3">
        <v>35</v>
      </c>
      <c r="W5318" s="45" t="str">
        <f>HYPERLINK("http://ictvonline.org/taxonomy/p/taxonomy-history?taxnode_id=201902128","ICTVonline=201902128")</f>
        <v>ICTVonline=201902128</v>
      </c>
      <c r="AA5318" s="1">
        <v>201900000</v>
      </c>
      <c r="AB5318" s="1">
        <v>35</v>
      </c>
    </row>
    <row r="5319" spans="1:28" x14ac:dyDescent="0.2">
      <c r="A5319" s="1">
        <v>13814</v>
      </c>
      <c r="B5319" s="1" t="s">
        <v>6839</v>
      </c>
      <c r="D5319" s="1" t="s">
        <v>11735</v>
      </c>
      <c r="F5319" s="1" t="s">
        <v>14661</v>
      </c>
      <c r="H5319" s="1" t="s">
        <v>14783</v>
      </c>
      <c r="J5319" s="1" t="s">
        <v>1067</v>
      </c>
      <c r="L5319" s="1" t="s">
        <v>1986</v>
      </c>
      <c r="M5319" s="1" t="s">
        <v>1875</v>
      </c>
      <c r="N5319" s="1" t="s">
        <v>1874</v>
      </c>
      <c r="P5319" s="1" t="s">
        <v>1410</v>
      </c>
      <c r="Q5319" s="3">
        <v>0</v>
      </c>
      <c r="R5319" s="23" t="s">
        <v>11933</v>
      </c>
      <c r="S5319" s="23" t="s">
        <v>5849</v>
      </c>
      <c r="T5319" s="23" t="s">
        <v>4866</v>
      </c>
      <c r="U5319" s="3">
        <v>35</v>
      </c>
      <c r="W5319" s="45" t="str">
        <f>HYPERLINK("http://ictvonline.org/taxonomy/p/taxonomy-history?taxnode_id=201902129","ICTVonline=201902129")</f>
        <v>ICTVonline=201902129</v>
      </c>
      <c r="Y5319" s="1" t="s">
        <v>15495</v>
      </c>
      <c r="Z5319" s="1" t="s">
        <v>12839</v>
      </c>
      <c r="AA5319" s="1">
        <v>201900000</v>
      </c>
      <c r="AB5319" s="1">
        <v>35</v>
      </c>
    </row>
    <row r="5320" spans="1:28" x14ac:dyDescent="0.2">
      <c r="A5320" s="1">
        <v>13816</v>
      </c>
      <c r="B5320" s="1" t="s">
        <v>6839</v>
      </c>
      <c r="D5320" s="1" t="s">
        <v>11735</v>
      </c>
      <c r="F5320" s="1" t="s">
        <v>14661</v>
      </c>
      <c r="H5320" s="1" t="s">
        <v>14783</v>
      </c>
      <c r="J5320" s="1" t="s">
        <v>1067</v>
      </c>
      <c r="L5320" s="1" t="s">
        <v>1986</v>
      </c>
      <c r="M5320" s="1" t="s">
        <v>1875</v>
      </c>
      <c r="N5320" s="1" t="s">
        <v>1874</v>
      </c>
      <c r="P5320" s="1" t="s">
        <v>5125</v>
      </c>
      <c r="Q5320" s="3">
        <v>0</v>
      </c>
      <c r="R5320" s="23" t="s">
        <v>11933</v>
      </c>
      <c r="S5320" s="23" t="s">
        <v>5849</v>
      </c>
      <c r="T5320" s="23" t="s">
        <v>4866</v>
      </c>
      <c r="U5320" s="3">
        <v>35</v>
      </c>
      <c r="W5320" s="45" t="str">
        <f>HYPERLINK("http://ictvonline.org/taxonomy/p/taxonomy-history?taxnode_id=201905629","ICTVonline=201905629")</f>
        <v>ICTVonline=201905629</v>
      </c>
      <c r="AA5320" s="1">
        <v>201900000</v>
      </c>
      <c r="AB5320" s="1">
        <v>35</v>
      </c>
    </row>
    <row r="5321" spans="1:28" x14ac:dyDescent="0.2">
      <c r="A5321" s="1">
        <v>13818</v>
      </c>
      <c r="B5321" s="1" t="s">
        <v>6839</v>
      </c>
      <c r="D5321" s="1" t="s">
        <v>11735</v>
      </c>
      <c r="F5321" s="1" t="s">
        <v>14661</v>
      </c>
      <c r="H5321" s="1" t="s">
        <v>14783</v>
      </c>
      <c r="J5321" s="1" t="s">
        <v>1067</v>
      </c>
      <c r="L5321" s="1" t="s">
        <v>1986</v>
      </c>
      <c r="M5321" s="1" t="s">
        <v>1875</v>
      </c>
      <c r="N5321" s="1" t="s">
        <v>1874</v>
      </c>
      <c r="P5321" s="1" t="s">
        <v>1414</v>
      </c>
      <c r="Q5321" s="3">
        <v>1</v>
      </c>
      <c r="R5321" s="23" t="s">
        <v>11933</v>
      </c>
      <c r="S5321" s="23" t="s">
        <v>5849</v>
      </c>
      <c r="T5321" s="23" t="s">
        <v>4866</v>
      </c>
      <c r="U5321" s="3">
        <v>35</v>
      </c>
      <c r="W5321" s="45" t="str">
        <f>HYPERLINK("http://ictvonline.org/taxonomy/p/taxonomy-history?taxnode_id=201902130","ICTVonline=201902130")</f>
        <v>ICTVonline=201902130</v>
      </c>
      <c r="Y5321" s="1" t="s">
        <v>15496</v>
      </c>
      <c r="Z5321" s="1" t="s">
        <v>15497</v>
      </c>
      <c r="AA5321" s="1">
        <v>201900000</v>
      </c>
      <c r="AB5321" s="1">
        <v>35</v>
      </c>
    </row>
    <row r="5322" spans="1:28" x14ac:dyDescent="0.2">
      <c r="A5322" s="1">
        <v>13820</v>
      </c>
      <c r="B5322" s="1" t="s">
        <v>6839</v>
      </c>
      <c r="D5322" s="1" t="s">
        <v>11735</v>
      </c>
      <c r="F5322" s="1" t="s">
        <v>14661</v>
      </c>
      <c r="H5322" s="1" t="s">
        <v>14783</v>
      </c>
      <c r="J5322" s="1" t="s">
        <v>1067</v>
      </c>
      <c r="L5322" s="1" t="s">
        <v>1986</v>
      </c>
      <c r="M5322" s="1" t="s">
        <v>1875</v>
      </c>
      <c r="N5322" s="1" t="s">
        <v>1874</v>
      </c>
      <c r="P5322" s="1" t="s">
        <v>1415</v>
      </c>
      <c r="Q5322" s="3">
        <v>0</v>
      </c>
      <c r="R5322" s="23" t="s">
        <v>11933</v>
      </c>
      <c r="S5322" s="23" t="s">
        <v>5849</v>
      </c>
      <c r="T5322" s="23" t="s">
        <v>4866</v>
      </c>
      <c r="U5322" s="3">
        <v>35</v>
      </c>
      <c r="W5322" s="45" t="str">
        <f>HYPERLINK("http://ictvonline.org/taxonomy/p/taxonomy-history?taxnode_id=201902131","ICTVonline=201902131")</f>
        <v>ICTVonline=201902131</v>
      </c>
      <c r="Y5322" s="1" t="s">
        <v>15498</v>
      </c>
      <c r="Z5322" s="1" t="s">
        <v>15499</v>
      </c>
      <c r="AA5322" s="1">
        <v>201900000</v>
      </c>
      <c r="AB5322" s="1">
        <v>35</v>
      </c>
    </row>
    <row r="5323" spans="1:28" x14ac:dyDescent="0.2">
      <c r="A5323" s="1">
        <v>13822</v>
      </c>
      <c r="B5323" s="1" t="s">
        <v>6839</v>
      </c>
      <c r="D5323" s="1" t="s">
        <v>11735</v>
      </c>
      <c r="F5323" s="1" t="s">
        <v>14661</v>
      </c>
      <c r="H5323" s="1" t="s">
        <v>14783</v>
      </c>
      <c r="J5323" s="1" t="s">
        <v>1067</v>
      </c>
      <c r="L5323" s="1" t="s">
        <v>1986</v>
      </c>
      <c r="M5323" s="1" t="s">
        <v>1875</v>
      </c>
      <c r="N5323" s="1" t="s">
        <v>1874</v>
      </c>
      <c r="P5323" s="1" t="s">
        <v>1416</v>
      </c>
      <c r="Q5323" s="3">
        <v>0</v>
      </c>
      <c r="R5323" s="23" t="s">
        <v>11933</v>
      </c>
      <c r="S5323" s="23" t="s">
        <v>5849</v>
      </c>
      <c r="T5323" s="23" t="s">
        <v>4866</v>
      </c>
      <c r="U5323" s="3">
        <v>35</v>
      </c>
      <c r="W5323" s="45" t="str">
        <f>HYPERLINK("http://ictvonline.org/taxonomy/p/taxonomy-history?taxnode_id=201902132","ICTVonline=201902132")</f>
        <v>ICTVonline=201902132</v>
      </c>
      <c r="Y5323" s="1" t="s">
        <v>15500</v>
      </c>
      <c r="Z5323" s="1" t="s">
        <v>15501</v>
      </c>
      <c r="AA5323" s="1">
        <v>201900000</v>
      </c>
      <c r="AB5323" s="1">
        <v>35</v>
      </c>
    </row>
    <row r="5324" spans="1:28" x14ac:dyDescent="0.2">
      <c r="A5324" s="1">
        <v>13827</v>
      </c>
      <c r="B5324" s="1" t="s">
        <v>6839</v>
      </c>
      <c r="D5324" s="1" t="s">
        <v>11735</v>
      </c>
      <c r="F5324" s="1" t="s">
        <v>14661</v>
      </c>
      <c r="H5324" s="1" t="s">
        <v>14783</v>
      </c>
      <c r="J5324" s="1" t="s">
        <v>1067</v>
      </c>
      <c r="L5324" s="1" t="s">
        <v>1986</v>
      </c>
      <c r="N5324" s="1" t="s">
        <v>635</v>
      </c>
      <c r="P5324" s="1" t="s">
        <v>636</v>
      </c>
      <c r="Q5324" s="3">
        <v>0</v>
      </c>
      <c r="R5324" s="23" t="s">
        <v>11933</v>
      </c>
      <c r="S5324" s="23" t="s">
        <v>5849</v>
      </c>
      <c r="T5324" s="23" t="s">
        <v>4866</v>
      </c>
      <c r="U5324" s="3">
        <v>35</v>
      </c>
      <c r="W5324" s="45" t="str">
        <f>HYPERLINK("http://ictvonline.org/taxonomy/p/taxonomy-history?taxnode_id=201902135","ICTVonline=201902135")</f>
        <v>ICTVonline=201902135</v>
      </c>
      <c r="Y5324" s="1" t="s">
        <v>15502</v>
      </c>
      <c r="Z5324" s="1" t="s">
        <v>12494</v>
      </c>
      <c r="AA5324" s="1">
        <v>201900000</v>
      </c>
      <c r="AB5324" s="1">
        <v>35</v>
      </c>
    </row>
    <row r="5325" spans="1:28" x14ac:dyDescent="0.2">
      <c r="A5325" s="1">
        <v>13829</v>
      </c>
      <c r="B5325" s="1" t="s">
        <v>6839</v>
      </c>
      <c r="D5325" s="1" t="s">
        <v>11735</v>
      </c>
      <c r="F5325" s="1" t="s">
        <v>14661</v>
      </c>
      <c r="H5325" s="1" t="s">
        <v>14783</v>
      </c>
      <c r="J5325" s="1" t="s">
        <v>1067</v>
      </c>
      <c r="L5325" s="1" t="s">
        <v>1986</v>
      </c>
      <c r="N5325" s="1" t="s">
        <v>635</v>
      </c>
      <c r="P5325" s="1" t="s">
        <v>2308</v>
      </c>
      <c r="Q5325" s="3">
        <v>0</v>
      </c>
      <c r="R5325" s="23" t="s">
        <v>11933</v>
      </c>
      <c r="S5325" s="23" t="s">
        <v>5849</v>
      </c>
      <c r="T5325" s="23" t="s">
        <v>4866</v>
      </c>
      <c r="U5325" s="3">
        <v>35</v>
      </c>
      <c r="W5325" s="45" t="str">
        <f>HYPERLINK("http://ictvonline.org/taxonomy/p/taxonomy-history?taxnode_id=201902136","ICTVonline=201902136")</f>
        <v>ICTVonline=201902136</v>
      </c>
      <c r="Y5325" s="1" t="s">
        <v>15503</v>
      </c>
      <c r="Z5325" s="1" t="s">
        <v>15504</v>
      </c>
      <c r="AA5325" s="1">
        <v>201900000</v>
      </c>
      <c r="AB5325" s="1">
        <v>35</v>
      </c>
    </row>
    <row r="5326" spans="1:28" x14ac:dyDescent="0.2">
      <c r="A5326" s="1">
        <v>13831</v>
      </c>
      <c r="B5326" s="1" t="s">
        <v>6839</v>
      </c>
      <c r="D5326" s="1" t="s">
        <v>11735</v>
      </c>
      <c r="F5326" s="1" t="s">
        <v>14661</v>
      </c>
      <c r="H5326" s="1" t="s">
        <v>14783</v>
      </c>
      <c r="J5326" s="1" t="s">
        <v>1067</v>
      </c>
      <c r="L5326" s="1" t="s">
        <v>1986</v>
      </c>
      <c r="N5326" s="1" t="s">
        <v>635</v>
      </c>
      <c r="P5326" s="1" t="s">
        <v>637</v>
      </c>
      <c r="Q5326" s="3">
        <v>1</v>
      </c>
      <c r="R5326" s="23" t="s">
        <v>11933</v>
      </c>
      <c r="S5326" s="23" t="s">
        <v>5849</v>
      </c>
      <c r="T5326" s="23" t="s">
        <v>4866</v>
      </c>
      <c r="U5326" s="3">
        <v>35</v>
      </c>
      <c r="W5326" s="45" t="str">
        <f>HYPERLINK("http://ictvonline.org/taxonomy/p/taxonomy-history?taxnode_id=201902137","ICTVonline=201902137")</f>
        <v>ICTVonline=201902137</v>
      </c>
      <c r="Y5326" s="1" t="s">
        <v>15505</v>
      </c>
      <c r="Z5326" s="1" t="s">
        <v>11977</v>
      </c>
      <c r="AA5326" s="1">
        <v>201900000</v>
      </c>
      <c r="AB5326" s="1">
        <v>35</v>
      </c>
    </row>
    <row r="5327" spans="1:28" x14ac:dyDescent="0.2">
      <c r="A5327" s="1">
        <v>13833</v>
      </c>
      <c r="B5327" s="1" t="s">
        <v>6839</v>
      </c>
      <c r="D5327" s="1" t="s">
        <v>11735</v>
      </c>
      <c r="F5327" s="1" t="s">
        <v>14661</v>
      </c>
      <c r="H5327" s="1" t="s">
        <v>14783</v>
      </c>
      <c r="J5327" s="1" t="s">
        <v>1067</v>
      </c>
      <c r="L5327" s="1" t="s">
        <v>1986</v>
      </c>
      <c r="N5327" s="1" t="s">
        <v>635</v>
      </c>
      <c r="P5327" s="1" t="s">
        <v>4552</v>
      </c>
      <c r="Q5327" s="3">
        <v>0</v>
      </c>
      <c r="R5327" s="23" t="s">
        <v>11933</v>
      </c>
      <c r="S5327" s="23" t="s">
        <v>5849</v>
      </c>
      <c r="T5327" s="23" t="s">
        <v>4866</v>
      </c>
      <c r="U5327" s="3">
        <v>35</v>
      </c>
      <c r="W5327" s="45" t="str">
        <f>HYPERLINK("http://ictvonline.org/taxonomy/p/taxonomy-history?taxnode_id=201902138","ICTVonline=201902138")</f>
        <v>ICTVonline=201902138</v>
      </c>
      <c r="Y5327" s="1" t="s">
        <v>15506</v>
      </c>
      <c r="Z5327" s="1" t="s">
        <v>15507</v>
      </c>
      <c r="AA5327" s="1">
        <v>201900000</v>
      </c>
      <c r="AB5327" s="1">
        <v>35</v>
      </c>
    </row>
    <row r="5328" spans="1:28" x14ac:dyDescent="0.2">
      <c r="A5328" s="1">
        <v>13835</v>
      </c>
      <c r="B5328" s="1" t="s">
        <v>6839</v>
      </c>
      <c r="D5328" s="1" t="s">
        <v>11735</v>
      </c>
      <c r="F5328" s="1" t="s">
        <v>14661</v>
      </c>
      <c r="H5328" s="1" t="s">
        <v>14783</v>
      </c>
      <c r="J5328" s="1" t="s">
        <v>1067</v>
      </c>
      <c r="L5328" s="1" t="s">
        <v>1986</v>
      </c>
      <c r="N5328" s="1" t="s">
        <v>635</v>
      </c>
      <c r="P5328" s="1" t="s">
        <v>638</v>
      </c>
      <c r="Q5328" s="3">
        <v>0</v>
      </c>
      <c r="R5328" s="23" t="s">
        <v>11933</v>
      </c>
      <c r="S5328" s="23" t="s">
        <v>5849</v>
      </c>
      <c r="T5328" s="23" t="s">
        <v>4866</v>
      </c>
      <c r="U5328" s="3">
        <v>35</v>
      </c>
      <c r="W5328" s="45" t="str">
        <f>HYPERLINK("http://ictvonline.org/taxonomy/p/taxonomy-history?taxnode_id=201902139","ICTVonline=201902139")</f>
        <v>ICTVonline=201902139</v>
      </c>
      <c r="AA5328" s="1">
        <v>201900000</v>
      </c>
      <c r="AB5328" s="1">
        <v>35</v>
      </c>
    </row>
    <row r="5329" spans="1:28" x14ac:dyDescent="0.2">
      <c r="A5329" s="1">
        <v>13840</v>
      </c>
      <c r="B5329" s="1" t="s">
        <v>6839</v>
      </c>
      <c r="D5329" s="1" t="s">
        <v>11735</v>
      </c>
      <c r="F5329" s="1" t="s">
        <v>14661</v>
      </c>
      <c r="H5329" s="1" t="s">
        <v>14783</v>
      </c>
      <c r="J5329" s="1" t="s">
        <v>1067</v>
      </c>
      <c r="L5329" s="1" t="s">
        <v>1986</v>
      </c>
      <c r="N5329" s="1" t="s">
        <v>1765</v>
      </c>
      <c r="O5329" s="1" t="s">
        <v>15508</v>
      </c>
      <c r="P5329" s="1" t="s">
        <v>4554</v>
      </c>
      <c r="Q5329" s="3">
        <v>1</v>
      </c>
      <c r="R5329" s="23" t="s">
        <v>11933</v>
      </c>
      <c r="S5329" s="23" t="s">
        <v>5849</v>
      </c>
      <c r="T5329" s="23" t="s">
        <v>6395</v>
      </c>
      <c r="U5329" s="3">
        <v>35</v>
      </c>
      <c r="V5329" s="3" t="s">
        <v>15509</v>
      </c>
      <c r="W5329" s="45" t="str">
        <f>HYPERLINK("http://ictvonline.org/taxonomy/p/taxonomy-history?taxnode_id=201902155","ICTVonline=201902155")</f>
        <v>ICTVonline=201902155</v>
      </c>
      <c r="X5329" s="1" t="s">
        <v>15510</v>
      </c>
      <c r="Y5329" s="1" t="s">
        <v>15511</v>
      </c>
      <c r="Z5329" s="1" t="s">
        <v>15512</v>
      </c>
      <c r="AA5329" s="1">
        <v>201900000</v>
      </c>
      <c r="AB5329" s="1">
        <v>35</v>
      </c>
    </row>
    <row r="5330" spans="1:28" x14ac:dyDescent="0.2">
      <c r="A5330" s="1">
        <v>13842</v>
      </c>
      <c r="B5330" s="1" t="s">
        <v>6839</v>
      </c>
      <c r="D5330" s="1" t="s">
        <v>11735</v>
      </c>
      <c r="F5330" s="1" t="s">
        <v>14661</v>
      </c>
      <c r="H5330" s="1" t="s">
        <v>14783</v>
      </c>
      <c r="J5330" s="1" t="s">
        <v>1067</v>
      </c>
      <c r="L5330" s="1" t="s">
        <v>1986</v>
      </c>
      <c r="N5330" s="1" t="s">
        <v>1765</v>
      </c>
      <c r="O5330" s="1" t="s">
        <v>15508</v>
      </c>
      <c r="P5330" s="1" t="s">
        <v>5126</v>
      </c>
      <c r="Q5330" s="3">
        <v>0</v>
      </c>
      <c r="R5330" s="23" t="s">
        <v>11933</v>
      </c>
      <c r="S5330" s="23" t="s">
        <v>5849</v>
      </c>
      <c r="T5330" s="23" t="s">
        <v>4866</v>
      </c>
      <c r="U5330" s="3">
        <v>35</v>
      </c>
      <c r="V5330" s="3" t="s">
        <v>15509</v>
      </c>
      <c r="W5330" s="45" t="str">
        <f>HYPERLINK("http://ictvonline.org/taxonomy/p/taxonomy-history?taxnode_id=201905630","ICTVonline=201905630")</f>
        <v>ICTVonline=201905630</v>
      </c>
      <c r="X5330" s="1" t="s">
        <v>15513</v>
      </c>
      <c r="Y5330" s="1" t="s">
        <v>15514</v>
      </c>
      <c r="Z5330" s="1" t="s">
        <v>15515</v>
      </c>
      <c r="AA5330" s="1">
        <v>201900000</v>
      </c>
      <c r="AB5330" s="1">
        <v>35</v>
      </c>
    </row>
    <row r="5331" spans="1:28" x14ac:dyDescent="0.2">
      <c r="A5331" s="1">
        <v>13846</v>
      </c>
      <c r="B5331" s="1" t="s">
        <v>6839</v>
      </c>
      <c r="D5331" s="1" t="s">
        <v>11735</v>
      </c>
      <c r="F5331" s="1" t="s">
        <v>14661</v>
      </c>
      <c r="H5331" s="1" t="s">
        <v>14783</v>
      </c>
      <c r="J5331" s="1" t="s">
        <v>1067</v>
      </c>
      <c r="L5331" s="1" t="s">
        <v>1986</v>
      </c>
      <c r="N5331" s="1" t="s">
        <v>1765</v>
      </c>
      <c r="O5331" s="1" t="s">
        <v>15516</v>
      </c>
      <c r="P5331" s="1" t="s">
        <v>1766</v>
      </c>
      <c r="Q5331" s="3">
        <v>1</v>
      </c>
      <c r="R5331" s="23" t="s">
        <v>11933</v>
      </c>
      <c r="S5331" s="23" t="s">
        <v>5849</v>
      </c>
      <c r="T5331" s="23" t="s">
        <v>4866</v>
      </c>
      <c r="U5331" s="3">
        <v>35</v>
      </c>
      <c r="V5331" s="3" t="s">
        <v>15509</v>
      </c>
      <c r="W5331" s="45" t="str">
        <f>HYPERLINK("http://ictvonline.org/taxonomy/p/taxonomy-history?taxnode_id=201902141","ICTVonline=201902141")</f>
        <v>ICTVonline=201902141</v>
      </c>
      <c r="X5331" s="1" t="s">
        <v>15517</v>
      </c>
      <c r="Y5331" s="1" t="s">
        <v>15518</v>
      </c>
      <c r="Z5331" s="1" t="s">
        <v>15519</v>
      </c>
      <c r="AA5331" s="1">
        <v>201900000</v>
      </c>
      <c r="AB5331" s="1">
        <v>35</v>
      </c>
    </row>
    <row r="5332" spans="1:28" x14ac:dyDescent="0.2">
      <c r="A5332" s="1">
        <v>13850</v>
      </c>
      <c r="B5332" s="1" t="s">
        <v>6839</v>
      </c>
      <c r="D5332" s="1" t="s">
        <v>11735</v>
      </c>
      <c r="F5332" s="1" t="s">
        <v>14661</v>
      </c>
      <c r="H5332" s="1" t="s">
        <v>14783</v>
      </c>
      <c r="J5332" s="1" t="s">
        <v>1067</v>
      </c>
      <c r="L5332" s="1" t="s">
        <v>1986</v>
      </c>
      <c r="N5332" s="1" t="s">
        <v>1765</v>
      </c>
      <c r="O5332" s="1" t="s">
        <v>15520</v>
      </c>
      <c r="P5332" s="1" t="s">
        <v>2132</v>
      </c>
      <c r="Q5332" s="3">
        <v>0</v>
      </c>
      <c r="R5332" s="23" t="s">
        <v>11933</v>
      </c>
      <c r="S5332" s="23" t="s">
        <v>5849</v>
      </c>
      <c r="T5332" s="23" t="s">
        <v>4866</v>
      </c>
      <c r="U5332" s="3">
        <v>35</v>
      </c>
      <c r="V5332" s="3" t="s">
        <v>15509</v>
      </c>
      <c r="W5332" s="45" t="str">
        <f>HYPERLINK("http://ictvonline.org/taxonomy/p/taxonomy-history?taxnode_id=201902154","ICTVonline=201902154")</f>
        <v>ICTVonline=201902154</v>
      </c>
      <c r="X5332" s="1" t="s">
        <v>13889</v>
      </c>
      <c r="Y5332" s="1" t="s">
        <v>15521</v>
      </c>
      <c r="Z5332" s="1" t="s">
        <v>15522</v>
      </c>
      <c r="AA5332" s="1">
        <v>201900000</v>
      </c>
      <c r="AB5332" s="1">
        <v>35</v>
      </c>
    </row>
    <row r="5333" spans="1:28" x14ac:dyDescent="0.2">
      <c r="A5333" s="1">
        <v>13852</v>
      </c>
      <c r="B5333" s="1" t="s">
        <v>6839</v>
      </c>
      <c r="D5333" s="1" t="s">
        <v>11735</v>
      </c>
      <c r="F5333" s="1" t="s">
        <v>14661</v>
      </c>
      <c r="H5333" s="1" t="s">
        <v>14783</v>
      </c>
      <c r="J5333" s="1" t="s">
        <v>1067</v>
      </c>
      <c r="L5333" s="1" t="s">
        <v>1986</v>
      </c>
      <c r="N5333" s="1" t="s">
        <v>1765</v>
      </c>
      <c r="O5333" s="1" t="s">
        <v>15520</v>
      </c>
      <c r="P5333" s="1" t="s">
        <v>1768</v>
      </c>
      <c r="Q5333" s="3">
        <v>1</v>
      </c>
      <c r="R5333" s="23" t="s">
        <v>11933</v>
      </c>
      <c r="S5333" s="23" t="s">
        <v>5849</v>
      </c>
      <c r="T5333" s="23" t="s">
        <v>6395</v>
      </c>
      <c r="U5333" s="3">
        <v>35</v>
      </c>
      <c r="V5333" s="3" t="s">
        <v>15509</v>
      </c>
      <c r="W5333" s="45" t="str">
        <f>HYPERLINK("http://ictvonline.org/taxonomy/p/taxonomy-history?taxnode_id=201902157","ICTVonline=201902157")</f>
        <v>ICTVonline=201902157</v>
      </c>
      <c r="X5333" s="1" t="s">
        <v>15523</v>
      </c>
      <c r="Y5333" s="1" t="s">
        <v>15524</v>
      </c>
      <c r="Z5333" s="1" t="s">
        <v>15525</v>
      </c>
      <c r="AA5333" s="1">
        <v>201900000</v>
      </c>
      <c r="AB5333" s="1">
        <v>35</v>
      </c>
    </row>
    <row r="5334" spans="1:28" x14ac:dyDescent="0.2">
      <c r="A5334" s="1">
        <v>13857</v>
      </c>
      <c r="B5334" s="1" t="s">
        <v>6839</v>
      </c>
      <c r="D5334" s="1" t="s">
        <v>11735</v>
      </c>
      <c r="F5334" s="1" t="s">
        <v>14661</v>
      </c>
      <c r="H5334" s="1" t="s">
        <v>14783</v>
      </c>
      <c r="J5334" s="1" t="s">
        <v>1067</v>
      </c>
      <c r="L5334" s="1" t="s">
        <v>1986</v>
      </c>
      <c r="N5334" s="1" t="s">
        <v>631</v>
      </c>
      <c r="P5334" s="1" t="s">
        <v>2131</v>
      </c>
      <c r="Q5334" s="3">
        <v>0</v>
      </c>
      <c r="R5334" s="23" t="s">
        <v>11933</v>
      </c>
      <c r="S5334" s="23" t="s">
        <v>5849</v>
      </c>
      <c r="T5334" s="23" t="s">
        <v>4866</v>
      </c>
      <c r="U5334" s="3">
        <v>35</v>
      </c>
      <c r="W5334" s="45" t="str">
        <f>HYPERLINK("http://ictvonline.org/taxonomy/p/taxonomy-history?taxnode_id=201902143","ICTVonline=201902143")</f>
        <v>ICTVonline=201902143</v>
      </c>
      <c r="Y5334" s="1" t="s">
        <v>15526</v>
      </c>
      <c r="Z5334" s="1" t="s">
        <v>15527</v>
      </c>
      <c r="AA5334" s="1">
        <v>201900000</v>
      </c>
      <c r="AB5334" s="1">
        <v>35</v>
      </c>
    </row>
    <row r="5335" spans="1:28" x14ac:dyDescent="0.2">
      <c r="A5335" s="1">
        <v>13859</v>
      </c>
      <c r="B5335" s="1" t="s">
        <v>6839</v>
      </c>
      <c r="D5335" s="1" t="s">
        <v>11735</v>
      </c>
      <c r="F5335" s="1" t="s">
        <v>14661</v>
      </c>
      <c r="H5335" s="1" t="s">
        <v>14783</v>
      </c>
      <c r="J5335" s="1" t="s">
        <v>1067</v>
      </c>
      <c r="L5335" s="1" t="s">
        <v>1986</v>
      </c>
      <c r="N5335" s="1" t="s">
        <v>631</v>
      </c>
      <c r="P5335" s="1" t="s">
        <v>632</v>
      </c>
      <c r="Q5335" s="3">
        <v>0</v>
      </c>
      <c r="R5335" s="23" t="s">
        <v>11933</v>
      </c>
      <c r="S5335" s="23" t="s">
        <v>5849</v>
      </c>
      <c r="T5335" s="23" t="s">
        <v>4866</v>
      </c>
      <c r="U5335" s="3">
        <v>35</v>
      </c>
      <c r="W5335" s="45" t="str">
        <f>HYPERLINK("http://ictvonline.org/taxonomy/p/taxonomy-history?taxnode_id=201902144","ICTVonline=201902144")</f>
        <v>ICTVonline=201902144</v>
      </c>
      <c r="AA5335" s="1">
        <v>201900000</v>
      </c>
      <c r="AB5335" s="1">
        <v>35</v>
      </c>
    </row>
    <row r="5336" spans="1:28" x14ac:dyDescent="0.2">
      <c r="A5336" s="1">
        <v>13861</v>
      </c>
      <c r="B5336" s="1" t="s">
        <v>6839</v>
      </c>
      <c r="D5336" s="1" t="s">
        <v>11735</v>
      </c>
      <c r="F5336" s="1" t="s">
        <v>14661</v>
      </c>
      <c r="H5336" s="1" t="s">
        <v>14783</v>
      </c>
      <c r="J5336" s="1" t="s">
        <v>1067</v>
      </c>
      <c r="L5336" s="1" t="s">
        <v>1986</v>
      </c>
      <c r="N5336" s="1" t="s">
        <v>631</v>
      </c>
      <c r="P5336" s="1" t="s">
        <v>1499</v>
      </c>
      <c r="Q5336" s="3">
        <v>1</v>
      </c>
      <c r="R5336" s="23" t="s">
        <v>11933</v>
      </c>
      <c r="S5336" s="23" t="s">
        <v>5849</v>
      </c>
      <c r="T5336" s="23" t="s">
        <v>4866</v>
      </c>
      <c r="U5336" s="3">
        <v>35</v>
      </c>
      <c r="W5336" s="45" t="str">
        <f>HYPERLINK("http://ictvonline.org/taxonomy/p/taxonomy-history?taxnode_id=201902145","ICTVonline=201902145")</f>
        <v>ICTVonline=201902145</v>
      </c>
      <c r="Y5336" s="1" t="s">
        <v>15528</v>
      </c>
      <c r="Z5336" s="1" t="s">
        <v>15529</v>
      </c>
      <c r="AA5336" s="1">
        <v>201900000</v>
      </c>
      <c r="AB5336" s="1">
        <v>35</v>
      </c>
    </row>
    <row r="5337" spans="1:28" x14ac:dyDescent="0.2">
      <c r="A5337" s="1">
        <v>13865</v>
      </c>
      <c r="B5337" s="1" t="s">
        <v>6839</v>
      </c>
      <c r="D5337" s="1" t="s">
        <v>11735</v>
      </c>
      <c r="F5337" s="1" t="s">
        <v>14661</v>
      </c>
      <c r="H5337" s="1" t="s">
        <v>14783</v>
      </c>
      <c r="J5337" s="1" t="s">
        <v>1067</v>
      </c>
      <c r="L5337" s="1" t="s">
        <v>1986</v>
      </c>
      <c r="N5337" s="1" t="s">
        <v>1983</v>
      </c>
      <c r="P5337" s="1" t="s">
        <v>3600</v>
      </c>
      <c r="Q5337" s="3">
        <v>0</v>
      </c>
      <c r="R5337" s="23" t="s">
        <v>11933</v>
      </c>
      <c r="S5337" s="23" t="s">
        <v>5849</v>
      </c>
      <c r="T5337" s="23" t="s">
        <v>4866</v>
      </c>
      <c r="U5337" s="3">
        <v>35</v>
      </c>
      <c r="W5337" s="45" t="str">
        <f>HYPERLINK("http://ictvonline.org/taxonomy/p/taxonomy-history?taxnode_id=201902147","ICTVonline=201902147")</f>
        <v>ICTVonline=201902147</v>
      </c>
      <c r="Y5337" s="1" t="s">
        <v>15530</v>
      </c>
      <c r="Z5337" s="1" t="s">
        <v>15531</v>
      </c>
      <c r="AA5337" s="1">
        <v>201900000</v>
      </c>
      <c r="AB5337" s="1">
        <v>35</v>
      </c>
    </row>
    <row r="5338" spans="1:28" x14ac:dyDescent="0.2">
      <c r="A5338" s="1">
        <v>13867</v>
      </c>
      <c r="B5338" s="1" t="s">
        <v>6839</v>
      </c>
      <c r="D5338" s="1" t="s">
        <v>11735</v>
      </c>
      <c r="F5338" s="1" t="s">
        <v>14661</v>
      </c>
      <c r="H5338" s="1" t="s">
        <v>14783</v>
      </c>
      <c r="J5338" s="1" t="s">
        <v>1067</v>
      </c>
      <c r="L5338" s="1" t="s">
        <v>1986</v>
      </c>
      <c r="N5338" s="1" t="s">
        <v>1983</v>
      </c>
      <c r="P5338" s="1" t="s">
        <v>2621</v>
      </c>
      <c r="Q5338" s="3">
        <v>0</v>
      </c>
      <c r="R5338" s="23" t="s">
        <v>11933</v>
      </c>
      <c r="S5338" s="23" t="s">
        <v>5849</v>
      </c>
      <c r="T5338" s="23" t="s">
        <v>4866</v>
      </c>
      <c r="U5338" s="3">
        <v>35</v>
      </c>
      <c r="W5338" s="45" t="str">
        <f>HYPERLINK("http://ictvonline.org/taxonomy/p/taxonomy-history?taxnode_id=201902148","ICTVonline=201902148")</f>
        <v>ICTVonline=201902148</v>
      </c>
      <c r="X5338" s="1" t="s">
        <v>15532</v>
      </c>
      <c r="Y5338" s="1" t="s">
        <v>15533</v>
      </c>
      <c r="Z5338" s="1">
        <v>5317015</v>
      </c>
      <c r="AA5338" s="1">
        <v>201900000</v>
      </c>
      <c r="AB5338" s="1">
        <v>35</v>
      </c>
    </row>
    <row r="5339" spans="1:28" x14ac:dyDescent="0.2">
      <c r="A5339" s="1">
        <v>13869</v>
      </c>
      <c r="B5339" s="1" t="s">
        <v>6839</v>
      </c>
      <c r="D5339" s="1" t="s">
        <v>11735</v>
      </c>
      <c r="F5339" s="1" t="s">
        <v>14661</v>
      </c>
      <c r="H5339" s="1" t="s">
        <v>14783</v>
      </c>
      <c r="J5339" s="1" t="s">
        <v>1067</v>
      </c>
      <c r="L5339" s="1" t="s">
        <v>1986</v>
      </c>
      <c r="N5339" s="1" t="s">
        <v>1983</v>
      </c>
      <c r="P5339" s="1" t="s">
        <v>3601</v>
      </c>
      <c r="Q5339" s="3">
        <v>0</v>
      </c>
      <c r="R5339" s="23" t="s">
        <v>11933</v>
      </c>
      <c r="S5339" s="23" t="s">
        <v>5849</v>
      </c>
      <c r="T5339" s="23" t="s">
        <v>4866</v>
      </c>
      <c r="U5339" s="3">
        <v>35</v>
      </c>
      <c r="W5339" s="45" t="str">
        <f>HYPERLINK("http://ictvonline.org/taxonomy/p/taxonomy-history?taxnode_id=201902149","ICTVonline=201902149")</f>
        <v>ICTVonline=201902149</v>
      </c>
      <c r="Y5339" s="1" t="s">
        <v>15534</v>
      </c>
      <c r="Z5339" s="1" t="s">
        <v>15535</v>
      </c>
      <c r="AA5339" s="1">
        <v>201900000</v>
      </c>
      <c r="AB5339" s="1">
        <v>35</v>
      </c>
    </row>
    <row r="5340" spans="1:28" x14ac:dyDescent="0.2">
      <c r="A5340" s="1">
        <v>13871</v>
      </c>
      <c r="B5340" s="1" t="s">
        <v>6839</v>
      </c>
      <c r="D5340" s="1" t="s">
        <v>11735</v>
      </c>
      <c r="F5340" s="1" t="s">
        <v>14661</v>
      </c>
      <c r="H5340" s="1" t="s">
        <v>14783</v>
      </c>
      <c r="J5340" s="1" t="s">
        <v>1067</v>
      </c>
      <c r="L5340" s="1" t="s">
        <v>1986</v>
      </c>
      <c r="N5340" s="1" t="s">
        <v>1983</v>
      </c>
      <c r="P5340" s="1" t="s">
        <v>4553</v>
      </c>
      <c r="Q5340" s="3">
        <v>0</v>
      </c>
      <c r="R5340" s="23" t="s">
        <v>11933</v>
      </c>
      <c r="S5340" s="23" t="s">
        <v>5849</v>
      </c>
      <c r="T5340" s="23" t="s">
        <v>4866</v>
      </c>
      <c r="U5340" s="3">
        <v>35</v>
      </c>
      <c r="W5340" s="45" t="str">
        <f>HYPERLINK("http://ictvonline.org/taxonomy/p/taxonomy-history?taxnode_id=201902150","ICTVonline=201902150")</f>
        <v>ICTVonline=201902150</v>
      </c>
      <c r="Y5340" s="1" t="s">
        <v>15536</v>
      </c>
      <c r="Z5340" s="1" t="s">
        <v>15537</v>
      </c>
      <c r="AA5340" s="1">
        <v>201900000</v>
      </c>
      <c r="AB5340" s="1">
        <v>35</v>
      </c>
    </row>
    <row r="5341" spans="1:28" x14ac:dyDescent="0.2">
      <c r="A5341" s="1">
        <v>13873</v>
      </c>
      <c r="B5341" s="1" t="s">
        <v>6839</v>
      </c>
      <c r="D5341" s="1" t="s">
        <v>11735</v>
      </c>
      <c r="F5341" s="1" t="s">
        <v>14661</v>
      </c>
      <c r="H5341" s="1" t="s">
        <v>14783</v>
      </c>
      <c r="J5341" s="1" t="s">
        <v>1067</v>
      </c>
      <c r="L5341" s="1" t="s">
        <v>1986</v>
      </c>
      <c r="N5341" s="1" t="s">
        <v>1983</v>
      </c>
      <c r="P5341" s="1" t="s">
        <v>1985</v>
      </c>
      <c r="Q5341" s="3">
        <v>0</v>
      </c>
      <c r="R5341" s="23" t="s">
        <v>11933</v>
      </c>
      <c r="S5341" s="23" t="s">
        <v>5849</v>
      </c>
      <c r="T5341" s="23" t="s">
        <v>4866</v>
      </c>
      <c r="U5341" s="3">
        <v>35</v>
      </c>
      <c r="W5341" s="45" t="str">
        <f>HYPERLINK("http://ictvonline.org/taxonomy/p/taxonomy-history?taxnode_id=201902151","ICTVonline=201902151")</f>
        <v>ICTVonline=201902151</v>
      </c>
      <c r="Y5341" s="1" t="s">
        <v>15538</v>
      </c>
      <c r="Z5341" s="1" t="s">
        <v>15539</v>
      </c>
      <c r="AA5341" s="1">
        <v>201900000</v>
      </c>
      <c r="AB5341" s="1">
        <v>35</v>
      </c>
    </row>
    <row r="5342" spans="1:28" x14ac:dyDescent="0.2">
      <c r="A5342" s="1">
        <v>13875</v>
      </c>
      <c r="B5342" s="1" t="s">
        <v>6839</v>
      </c>
      <c r="D5342" s="1" t="s">
        <v>11735</v>
      </c>
      <c r="F5342" s="1" t="s">
        <v>14661</v>
      </c>
      <c r="H5342" s="1" t="s">
        <v>14783</v>
      </c>
      <c r="J5342" s="1" t="s">
        <v>1067</v>
      </c>
      <c r="L5342" s="1" t="s">
        <v>1986</v>
      </c>
      <c r="N5342" s="1" t="s">
        <v>1983</v>
      </c>
      <c r="P5342" s="1" t="s">
        <v>1984</v>
      </c>
      <c r="Q5342" s="3">
        <v>1</v>
      </c>
      <c r="R5342" s="23" t="s">
        <v>11933</v>
      </c>
      <c r="S5342" s="23" t="s">
        <v>5849</v>
      </c>
      <c r="T5342" s="23" t="s">
        <v>4866</v>
      </c>
      <c r="U5342" s="3">
        <v>35</v>
      </c>
      <c r="W5342" s="45" t="str">
        <f>HYPERLINK("http://ictvonline.org/taxonomy/p/taxonomy-history?taxnode_id=201902152","ICTVonline=201902152")</f>
        <v>ICTVonline=201902152</v>
      </c>
      <c r="Y5342" s="1" t="s">
        <v>15540</v>
      </c>
      <c r="Z5342" s="1" t="s">
        <v>15541</v>
      </c>
      <c r="AA5342" s="1">
        <v>201900000</v>
      </c>
      <c r="AB5342" s="1">
        <v>35</v>
      </c>
    </row>
    <row r="5343" spans="1:28" x14ac:dyDescent="0.2">
      <c r="A5343" s="1">
        <v>13879</v>
      </c>
      <c r="B5343" s="1" t="s">
        <v>6839</v>
      </c>
      <c r="D5343" s="1" t="s">
        <v>11735</v>
      </c>
      <c r="F5343" s="1" t="s">
        <v>14661</v>
      </c>
      <c r="H5343" s="1" t="s">
        <v>14783</v>
      </c>
      <c r="J5343" s="1" t="s">
        <v>1067</v>
      </c>
      <c r="L5343" s="1" t="s">
        <v>1986</v>
      </c>
      <c r="N5343" s="1" t="s">
        <v>1871</v>
      </c>
      <c r="P5343" s="1" t="s">
        <v>633</v>
      </c>
      <c r="Q5343" s="3">
        <v>0</v>
      </c>
      <c r="R5343" s="23" t="s">
        <v>11933</v>
      </c>
      <c r="S5343" s="23" t="s">
        <v>5849</v>
      </c>
      <c r="T5343" s="23" t="s">
        <v>4866</v>
      </c>
      <c r="U5343" s="3">
        <v>35</v>
      </c>
      <c r="W5343" s="45" t="str">
        <f>HYPERLINK("http://ictvonline.org/taxonomy/p/taxonomy-history?taxnode_id=201902159","ICTVonline=201902159")</f>
        <v>ICTVonline=201902159</v>
      </c>
      <c r="AA5343" s="1">
        <v>201900000</v>
      </c>
      <c r="AB5343" s="1">
        <v>35</v>
      </c>
    </row>
    <row r="5344" spans="1:28" x14ac:dyDescent="0.2">
      <c r="A5344" s="1">
        <v>13881</v>
      </c>
      <c r="B5344" s="1" t="s">
        <v>6839</v>
      </c>
      <c r="D5344" s="1" t="s">
        <v>11735</v>
      </c>
      <c r="F5344" s="1" t="s">
        <v>14661</v>
      </c>
      <c r="H5344" s="1" t="s">
        <v>14783</v>
      </c>
      <c r="J5344" s="1" t="s">
        <v>1067</v>
      </c>
      <c r="L5344" s="1" t="s">
        <v>1986</v>
      </c>
      <c r="N5344" s="1" t="s">
        <v>1871</v>
      </c>
      <c r="P5344" s="1" t="s">
        <v>4555</v>
      </c>
      <c r="Q5344" s="3">
        <v>0</v>
      </c>
      <c r="R5344" s="23" t="s">
        <v>11933</v>
      </c>
      <c r="S5344" s="23" t="s">
        <v>5849</v>
      </c>
      <c r="T5344" s="23" t="s">
        <v>4866</v>
      </c>
      <c r="U5344" s="3">
        <v>35</v>
      </c>
      <c r="W5344" s="45" t="str">
        <f>HYPERLINK("http://ictvonline.org/taxonomy/p/taxonomy-history?taxnode_id=201902160","ICTVonline=201902160")</f>
        <v>ICTVonline=201902160</v>
      </c>
      <c r="Y5344" s="1" t="s">
        <v>15542</v>
      </c>
      <c r="Z5344" s="1" t="s">
        <v>15543</v>
      </c>
      <c r="AA5344" s="1">
        <v>201900000</v>
      </c>
      <c r="AB5344" s="1">
        <v>35</v>
      </c>
    </row>
    <row r="5345" spans="1:28" x14ac:dyDescent="0.2">
      <c r="A5345" s="1">
        <v>13883</v>
      </c>
      <c r="B5345" s="1" t="s">
        <v>6839</v>
      </c>
      <c r="D5345" s="1" t="s">
        <v>11735</v>
      </c>
      <c r="F5345" s="1" t="s">
        <v>14661</v>
      </c>
      <c r="H5345" s="1" t="s">
        <v>14783</v>
      </c>
      <c r="J5345" s="1" t="s">
        <v>1067</v>
      </c>
      <c r="L5345" s="1" t="s">
        <v>1986</v>
      </c>
      <c r="N5345" s="1" t="s">
        <v>1871</v>
      </c>
      <c r="P5345" s="1" t="s">
        <v>634</v>
      </c>
      <c r="Q5345" s="3">
        <v>0</v>
      </c>
      <c r="R5345" s="23" t="s">
        <v>11933</v>
      </c>
      <c r="S5345" s="23" t="s">
        <v>5849</v>
      </c>
      <c r="T5345" s="23" t="s">
        <v>4866</v>
      </c>
      <c r="U5345" s="3">
        <v>35</v>
      </c>
      <c r="W5345" s="45" t="str">
        <f>HYPERLINK("http://ictvonline.org/taxonomy/p/taxonomy-history?taxnode_id=201902161","ICTVonline=201902161")</f>
        <v>ICTVonline=201902161</v>
      </c>
      <c r="Y5345" s="1" t="s">
        <v>15544</v>
      </c>
      <c r="Z5345" s="1" t="s">
        <v>14229</v>
      </c>
      <c r="AA5345" s="1">
        <v>201900000</v>
      </c>
      <c r="AB5345" s="1">
        <v>35</v>
      </c>
    </row>
    <row r="5346" spans="1:28" x14ac:dyDescent="0.2">
      <c r="A5346" s="1">
        <v>13885</v>
      </c>
      <c r="B5346" s="1" t="s">
        <v>6839</v>
      </c>
      <c r="D5346" s="1" t="s">
        <v>11735</v>
      </c>
      <c r="F5346" s="1" t="s">
        <v>14661</v>
      </c>
      <c r="H5346" s="1" t="s">
        <v>14783</v>
      </c>
      <c r="J5346" s="1" t="s">
        <v>1067</v>
      </c>
      <c r="L5346" s="1" t="s">
        <v>1986</v>
      </c>
      <c r="N5346" s="1" t="s">
        <v>1871</v>
      </c>
      <c r="P5346" s="1" t="s">
        <v>1500</v>
      </c>
      <c r="Q5346" s="3">
        <v>1</v>
      </c>
      <c r="R5346" s="23" t="s">
        <v>11933</v>
      </c>
      <c r="S5346" s="23" t="s">
        <v>5849</v>
      </c>
      <c r="T5346" s="23" t="s">
        <v>4866</v>
      </c>
      <c r="U5346" s="3">
        <v>35</v>
      </c>
      <c r="W5346" s="45" t="str">
        <f>HYPERLINK("http://ictvonline.org/taxonomy/p/taxonomy-history?taxnode_id=201902162","ICTVonline=201902162")</f>
        <v>ICTVonline=201902162</v>
      </c>
      <c r="Y5346" s="1" t="s">
        <v>15545</v>
      </c>
      <c r="Z5346" s="1" t="s">
        <v>15546</v>
      </c>
      <c r="AA5346" s="1">
        <v>201900000</v>
      </c>
      <c r="AB5346" s="1">
        <v>35</v>
      </c>
    </row>
    <row r="5347" spans="1:28" x14ac:dyDescent="0.2">
      <c r="A5347" s="1">
        <v>13888</v>
      </c>
      <c r="B5347" s="1" t="s">
        <v>6839</v>
      </c>
      <c r="D5347" s="1" t="s">
        <v>11735</v>
      </c>
      <c r="F5347" s="1" t="s">
        <v>14661</v>
      </c>
      <c r="H5347" s="1" t="s">
        <v>14783</v>
      </c>
      <c r="J5347" s="1" t="s">
        <v>1067</v>
      </c>
      <c r="L5347" s="1" t="s">
        <v>1986</v>
      </c>
      <c r="P5347" s="1" t="s">
        <v>1767</v>
      </c>
      <c r="Q5347" s="3">
        <v>0</v>
      </c>
      <c r="R5347" s="23" t="s">
        <v>11933</v>
      </c>
      <c r="S5347" s="23" t="s">
        <v>5849</v>
      </c>
      <c r="T5347" s="23" t="s">
        <v>4866</v>
      </c>
      <c r="U5347" s="3">
        <v>35</v>
      </c>
      <c r="W5347" s="45" t="str">
        <f>HYPERLINK("http://ictvonline.org/taxonomy/p/taxonomy-history?taxnode_id=201902156","ICTVonline=201902156")</f>
        <v>ICTVonline=201902156</v>
      </c>
      <c r="Y5347" s="1" t="s">
        <v>15547</v>
      </c>
      <c r="Z5347" s="1" t="s">
        <v>15548</v>
      </c>
      <c r="AA5347" s="1">
        <v>201900000</v>
      </c>
      <c r="AB5347" s="1">
        <v>35</v>
      </c>
    </row>
    <row r="5348" spans="1:28" x14ac:dyDescent="0.2">
      <c r="A5348" s="1">
        <v>13893</v>
      </c>
      <c r="B5348" s="1" t="s">
        <v>6839</v>
      </c>
      <c r="D5348" s="1" t="s">
        <v>11735</v>
      </c>
      <c r="F5348" s="1" t="s">
        <v>14661</v>
      </c>
      <c r="H5348" s="1" t="s">
        <v>14783</v>
      </c>
      <c r="J5348" s="1" t="s">
        <v>1067</v>
      </c>
      <c r="L5348" s="1" t="s">
        <v>4772</v>
      </c>
      <c r="N5348" s="1" t="s">
        <v>4773</v>
      </c>
      <c r="P5348" s="1" t="s">
        <v>4774</v>
      </c>
      <c r="Q5348" s="3">
        <v>1</v>
      </c>
      <c r="R5348" s="23" t="s">
        <v>11933</v>
      </c>
      <c r="S5348" s="23" t="s">
        <v>5849</v>
      </c>
      <c r="T5348" s="23" t="s">
        <v>4866</v>
      </c>
      <c r="U5348" s="3">
        <v>35</v>
      </c>
      <c r="W5348" s="45" t="str">
        <f>HYPERLINK("http://ictvonline.org/taxonomy/p/taxonomy-history?taxnode_id=201905051","ICTVonline=201905051")</f>
        <v>ICTVonline=201905051</v>
      </c>
      <c r="Y5348" s="1" t="s">
        <v>15549</v>
      </c>
      <c r="Z5348" s="1" t="s">
        <v>15550</v>
      </c>
      <c r="AA5348" s="1">
        <v>201900000</v>
      </c>
      <c r="AB5348" s="1">
        <v>35</v>
      </c>
    </row>
    <row r="5349" spans="1:28" x14ac:dyDescent="0.2">
      <c r="A5349" s="1">
        <v>13897</v>
      </c>
      <c r="B5349" s="1" t="s">
        <v>6839</v>
      </c>
      <c r="D5349" s="1" t="s">
        <v>11735</v>
      </c>
      <c r="F5349" s="1" t="s">
        <v>14661</v>
      </c>
      <c r="H5349" s="1" t="s">
        <v>14783</v>
      </c>
      <c r="J5349" s="1" t="s">
        <v>1067</v>
      </c>
      <c r="L5349" s="1" t="s">
        <v>4772</v>
      </c>
      <c r="N5349" s="1" t="s">
        <v>4775</v>
      </c>
      <c r="P5349" s="1" t="s">
        <v>4776</v>
      </c>
      <c r="Q5349" s="3">
        <v>1</v>
      </c>
      <c r="R5349" s="23" t="s">
        <v>11933</v>
      </c>
      <c r="S5349" s="23" t="s">
        <v>5849</v>
      </c>
      <c r="T5349" s="23" t="s">
        <v>4866</v>
      </c>
      <c r="U5349" s="3">
        <v>35</v>
      </c>
      <c r="W5349" s="45" t="str">
        <f>HYPERLINK("http://ictvonline.org/taxonomy/p/taxonomy-history?taxnode_id=201905053","ICTVonline=201905053")</f>
        <v>ICTVonline=201905053</v>
      </c>
      <c r="Y5349" s="1" t="s">
        <v>15551</v>
      </c>
      <c r="Z5349" s="1" t="s">
        <v>15552</v>
      </c>
      <c r="AA5349" s="1">
        <v>201900000</v>
      </c>
      <c r="AB5349" s="1">
        <v>35</v>
      </c>
    </row>
    <row r="5350" spans="1:28" x14ac:dyDescent="0.2">
      <c r="A5350" s="1">
        <v>13905</v>
      </c>
      <c r="B5350" s="1" t="s">
        <v>6839</v>
      </c>
      <c r="D5350" s="1" t="s">
        <v>11735</v>
      </c>
      <c r="F5350" s="1" t="s">
        <v>14661</v>
      </c>
      <c r="H5350" s="1" t="s">
        <v>14783</v>
      </c>
      <c r="J5350" s="1" t="s">
        <v>15553</v>
      </c>
      <c r="L5350" s="1" t="s">
        <v>19</v>
      </c>
      <c r="N5350" s="1" t="s">
        <v>20</v>
      </c>
      <c r="P5350" s="1" t="s">
        <v>21</v>
      </c>
      <c r="Q5350" s="3">
        <v>1</v>
      </c>
      <c r="R5350" s="23" t="s">
        <v>11933</v>
      </c>
      <c r="S5350" s="23" t="s">
        <v>5849</v>
      </c>
      <c r="T5350" s="23" t="s">
        <v>4866</v>
      </c>
      <c r="U5350" s="3">
        <v>35</v>
      </c>
      <c r="W5350" s="45" t="str">
        <f>HYPERLINK("http://ictvonline.org/taxonomy/p/taxonomy-history?taxnode_id=201902473","ICTVonline=201902473")</f>
        <v>ICTVonline=201902473</v>
      </c>
      <c r="Y5350" s="1" t="s">
        <v>15554</v>
      </c>
      <c r="Z5350" s="1" t="s">
        <v>15555</v>
      </c>
      <c r="AA5350" s="1">
        <v>201900000</v>
      </c>
      <c r="AB5350" s="1">
        <v>35</v>
      </c>
    </row>
    <row r="5351" spans="1:28" x14ac:dyDescent="0.2">
      <c r="A5351" s="1">
        <v>13911</v>
      </c>
      <c r="B5351" s="1" t="s">
        <v>6839</v>
      </c>
      <c r="D5351" s="1" t="s">
        <v>11735</v>
      </c>
      <c r="F5351" s="1" t="s">
        <v>14661</v>
      </c>
      <c r="H5351" s="1" t="s">
        <v>14783</v>
      </c>
      <c r="J5351" s="1" t="s">
        <v>15553</v>
      </c>
      <c r="L5351" s="1" t="s">
        <v>1754</v>
      </c>
      <c r="N5351" s="1" t="s">
        <v>1755</v>
      </c>
      <c r="P5351" s="1" t="s">
        <v>1756</v>
      </c>
      <c r="Q5351" s="3">
        <v>1</v>
      </c>
      <c r="R5351" s="23" t="s">
        <v>11933</v>
      </c>
      <c r="S5351" s="23" t="s">
        <v>5849</v>
      </c>
      <c r="T5351" s="23" t="s">
        <v>4866</v>
      </c>
      <c r="U5351" s="3">
        <v>35</v>
      </c>
      <c r="W5351" s="45" t="str">
        <f>HYPERLINK("http://ictvonline.org/taxonomy/p/taxonomy-history?taxnode_id=201902729","ICTVonline=201902729")</f>
        <v>ICTVonline=201902729</v>
      </c>
      <c r="Y5351" s="1" t="s">
        <v>15556</v>
      </c>
      <c r="Z5351" s="1" t="s">
        <v>15557</v>
      </c>
      <c r="AA5351" s="1">
        <v>201900000</v>
      </c>
      <c r="AB5351" s="1">
        <v>35</v>
      </c>
    </row>
    <row r="5352" spans="1:28" x14ac:dyDescent="0.2">
      <c r="A5352" s="1">
        <v>13917</v>
      </c>
      <c r="B5352" s="1" t="s">
        <v>6839</v>
      </c>
      <c r="D5352" s="1" t="s">
        <v>11735</v>
      </c>
      <c r="F5352" s="1" t="s">
        <v>14661</v>
      </c>
      <c r="H5352" s="1" t="s">
        <v>14783</v>
      </c>
      <c r="J5352" s="1" t="s">
        <v>15553</v>
      </c>
      <c r="L5352" s="1" t="s">
        <v>5516</v>
      </c>
      <c r="N5352" s="1" t="s">
        <v>395</v>
      </c>
      <c r="P5352" s="1" t="s">
        <v>396</v>
      </c>
      <c r="Q5352" s="3">
        <v>1</v>
      </c>
      <c r="R5352" s="23" t="s">
        <v>11933</v>
      </c>
      <c r="S5352" s="23" t="s">
        <v>5849</v>
      </c>
      <c r="T5352" s="23" t="s">
        <v>4866</v>
      </c>
      <c r="U5352" s="3">
        <v>35</v>
      </c>
      <c r="W5352" s="45" t="str">
        <f>HYPERLINK("http://ictvonline.org/taxonomy/p/taxonomy-history?taxnode_id=201905362","ICTVonline=201905362")</f>
        <v>ICTVonline=201905362</v>
      </c>
      <c r="Y5352" s="1" t="s">
        <v>15558</v>
      </c>
      <c r="Z5352" s="1" t="s">
        <v>12453</v>
      </c>
      <c r="AA5352" s="1">
        <v>201900000</v>
      </c>
      <c r="AB5352" s="1">
        <v>35</v>
      </c>
    </row>
    <row r="5353" spans="1:28" x14ac:dyDescent="0.2">
      <c r="A5353" s="1">
        <v>13921</v>
      </c>
      <c r="B5353" s="1" t="s">
        <v>6839</v>
      </c>
      <c r="D5353" s="1" t="s">
        <v>11735</v>
      </c>
      <c r="F5353" s="1" t="s">
        <v>14661</v>
      </c>
      <c r="H5353" s="1" t="s">
        <v>14783</v>
      </c>
      <c r="J5353" s="1" t="s">
        <v>15553</v>
      </c>
      <c r="L5353" s="1" t="s">
        <v>5516</v>
      </c>
      <c r="N5353" s="1" t="s">
        <v>1002</v>
      </c>
      <c r="P5353" s="1" t="s">
        <v>3975</v>
      </c>
      <c r="Q5353" s="3">
        <v>0</v>
      </c>
      <c r="R5353" s="23" t="s">
        <v>11933</v>
      </c>
      <c r="S5353" s="23" t="s">
        <v>5849</v>
      </c>
      <c r="T5353" s="23" t="s">
        <v>4866</v>
      </c>
      <c r="U5353" s="3">
        <v>35</v>
      </c>
      <c r="W5353" s="45" t="str">
        <f>HYPERLINK("http://ictvonline.org/taxonomy/p/taxonomy-history?taxnode_id=201905371","ICTVonline=201905371")</f>
        <v>ICTVonline=201905371</v>
      </c>
      <c r="Y5353" s="1" t="s">
        <v>15559</v>
      </c>
      <c r="Z5353" s="1" t="s">
        <v>15560</v>
      </c>
      <c r="AA5353" s="1">
        <v>201900000</v>
      </c>
      <c r="AB5353" s="1">
        <v>35</v>
      </c>
    </row>
    <row r="5354" spans="1:28" x14ac:dyDescent="0.2">
      <c r="A5354" s="1">
        <v>13923</v>
      </c>
      <c r="B5354" s="1" t="s">
        <v>6839</v>
      </c>
      <c r="D5354" s="1" t="s">
        <v>11735</v>
      </c>
      <c r="F5354" s="1" t="s">
        <v>14661</v>
      </c>
      <c r="H5354" s="1" t="s">
        <v>14783</v>
      </c>
      <c r="J5354" s="1" t="s">
        <v>15553</v>
      </c>
      <c r="L5354" s="1" t="s">
        <v>5516</v>
      </c>
      <c r="N5354" s="1" t="s">
        <v>1002</v>
      </c>
      <c r="P5354" s="1" t="s">
        <v>1003</v>
      </c>
      <c r="Q5354" s="3">
        <v>0</v>
      </c>
      <c r="R5354" s="23" t="s">
        <v>11933</v>
      </c>
      <c r="S5354" s="23" t="s">
        <v>5849</v>
      </c>
      <c r="T5354" s="23" t="s">
        <v>4866</v>
      </c>
      <c r="U5354" s="3">
        <v>35</v>
      </c>
      <c r="W5354" s="45" t="str">
        <f>HYPERLINK("http://ictvonline.org/taxonomy/p/taxonomy-history?taxnode_id=201905372","ICTVonline=201905372")</f>
        <v>ICTVonline=201905372</v>
      </c>
      <c r="AA5354" s="1">
        <v>201900000</v>
      </c>
      <c r="AB5354" s="1">
        <v>35</v>
      </c>
    </row>
    <row r="5355" spans="1:28" x14ac:dyDescent="0.2">
      <c r="A5355" s="1">
        <v>13925</v>
      </c>
      <c r="B5355" s="1" t="s">
        <v>6839</v>
      </c>
      <c r="D5355" s="1" t="s">
        <v>11735</v>
      </c>
      <c r="F5355" s="1" t="s">
        <v>14661</v>
      </c>
      <c r="H5355" s="1" t="s">
        <v>14783</v>
      </c>
      <c r="J5355" s="1" t="s">
        <v>15553</v>
      </c>
      <c r="L5355" s="1" t="s">
        <v>5516</v>
      </c>
      <c r="N5355" s="1" t="s">
        <v>1002</v>
      </c>
      <c r="P5355" s="1" t="s">
        <v>1004</v>
      </c>
      <c r="Q5355" s="3">
        <v>0</v>
      </c>
      <c r="R5355" s="23" t="s">
        <v>11933</v>
      </c>
      <c r="S5355" s="23" t="s">
        <v>5849</v>
      </c>
      <c r="T5355" s="23" t="s">
        <v>4866</v>
      </c>
      <c r="U5355" s="3">
        <v>35</v>
      </c>
      <c r="W5355" s="45" t="str">
        <f>HYPERLINK("http://ictvonline.org/taxonomy/p/taxonomy-history?taxnode_id=201905373","ICTVonline=201905373")</f>
        <v>ICTVonline=201905373</v>
      </c>
      <c r="Y5355" s="1" t="s">
        <v>15561</v>
      </c>
      <c r="Z5355" s="1" t="s">
        <v>15562</v>
      </c>
      <c r="AA5355" s="1">
        <v>201900000</v>
      </c>
      <c r="AB5355" s="1">
        <v>35</v>
      </c>
    </row>
    <row r="5356" spans="1:28" x14ac:dyDescent="0.2">
      <c r="A5356" s="1">
        <v>13927</v>
      </c>
      <c r="B5356" s="1" t="s">
        <v>6839</v>
      </c>
      <c r="D5356" s="1" t="s">
        <v>11735</v>
      </c>
      <c r="F5356" s="1" t="s">
        <v>14661</v>
      </c>
      <c r="H5356" s="1" t="s">
        <v>14783</v>
      </c>
      <c r="J5356" s="1" t="s">
        <v>15553</v>
      </c>
      <c r="L5356" s="1" t="s">
        <v>5516</v>
      </c>
      <c r="N5356" s="1" t="s">
        <v>1002</v>
      </c>
      <c r="P5356" s="1" t="s">
        <v>3976</v>
      </c>
      <c r="Q5356" s="3">
        <v>0</v>
      </c>
      <c r="R5356" s="23" t="s">
        <v>11933</v>
      </c>
      <c r="S5356" s="23" t="s">
        <v>5849</v>
      </c>
      <c r="T5356" s="23" t="s">
        <v>4866</v>
      </c>
      <c r="U5356" s="3">
        <v>35</v>
      </c>
      <c r="W5356" s="45" t="str">
        <f>HYPERLINK("http://ictvonline.org/taxonomy/p/taxonomy-history?taxnode_id=201905374","ICTVonline=201905374")</f>
        <v>ICTVonline=201905374</v>
      </c>
      <c r="Y5356" s="1" t="s">
        <v>15563</v>
      </c>
      <c r="Z5356" s="1" t="s">
        <v>15564</v>
      </c>
      <c r="AA5356" s="1">
        <v>201900000</v>
      </c>
      <c r="AB5356" s="1">
        <v>35</v>
      </c>
    </row>
    <row r="5357" spans="1:28" x14ac:dyDescent="0.2">
      <c r="A5357" s="1">
        <v>13929</v>
      </c>
      <c r="B5357" s="1" t="s">
        <v>6839</v>
      </c>
      <c r="D5357" s="1" t="s">
        <v>11735</v>
      </c>
      <c r="F5357" s="1" t="s">
        <v>14661</v>
      </c>
      <c r="H5357" s="1" t="s">
        <v>14783</v>
      </c>
      <c r="J5357" s="1" t="s">
        <v>15553</v>
      </c>
      <c r="L5357" s="1" t="s">
        <v>5516</v>
      </c>
      <c r="N5357" s="1" t="s">
        <v>1002</v>
      </c>
      <c r="P5357" s="1" t="s">
        <v>213</v>
      </c>
      <c r="Q5357" s="3">
        <v>0</v>
      </c>
      <c r="R5357" s="23" t="s">
        <v>11933</v>
      </c>
      <c r="S5357" s="23" t="s">
        <v>5849</v>
      </c>
      <c r="T5357" s="23" t="s">
        <v>4866</v>
      </c>
      <c r="U5357" s="3">
        <v>35</v>
      </c>
      <c r="W5357" s="45" t="str">
        <f>HYPERLINK("http://ictvonline.org/taxonomy/p/taxonomy-history?taxnode_id=201905375","ICTVonline=201905375")</f>
        <v>ICTVonline=201905375</v>
      </c>
      <c r="Y5357" s="1" t="s">
        <v>15565</v>
      </c>
      <c r="Z5357" s="1" t="s">
        <v>15566</v>
      </c>
      <c r="AA5357" s="1">
        <v>201900000</v>
      </c>
      <c r="AB5357" s="1">
        <v>35</v>
      </c>
    </row>
    <row r="5358" spans="1:28" x14ac:dyDescent="0.2">
      <c r="A5358" s="1">
        <v>13931</v>
      </c>
      <c r="B5358" s="1" t="s">
        <v>6839</v>
      </c>
      <c r="D5358" s="1" t="s">
        <v>11735</v>
      </c>
      <c r="F5358" s="1" t="s">
        <v>14661</v>
      </c>
      <c r="H5358" s="1" t="s">
        <v>14783</v>
      </c>
      <c r="J5358" s="1" t="s">
        <v>15553</v>
      </c>
      <c r="L5358" s="1" t="s">
        <v>5516</v>
      </c>
      <c r="N5358" s="1" t="s">
        <v>1002</v>
      </c>
      <c r="P5358" s="1" t="s">
        <v>1005</v>
      </c>
      <c r="Q5358" s="3">
        <v>0</v>
      </c>
      <c r="R5358" s="23" t="s">
        <v>11933</v>
      </c>
      <c r="S5358" s="23" t="s">
        <v>5849</v>
      </c>
      <c r="T5358" s="23" t="s">
        <v>4866</v>
      </c>
      <c r="U5358" s="3">
        <v>35</v>
      </c>
      <c r="W5358" s="45" t="str">
        <f>HYPERLINK("http://ictvonline.org/taxonomy/p/taxonomy-history?taxnode_id=201905376","ICTVonline=201905376")</f>
        <v>ICTVonline=201905376</v>
      </c>
      <c r="Y5358" s="1" t="s">
        <v>15567</v>
      </c>
      <c r="Z5358" s="1" t="s">
        <v>15568</v>
      </c>
      <c r="AA5358" s="1">
        <v>201900000</v>
      </c>
      <c r="AB5358" s="1">
        <v>35</v>
      </c>
    </row>
    <row r="5359" spans="1:28" x14ac:dyDescent="0.2">
      <c r="A5359" s="1">
        <v>13933</v>
      </c>
      <c r="B5359" s="1" t="s">
        <v>6839</v>
      </c>
      <c r="D5359" s="1" t="s">
        <v>11735</v>
      </c>
      <c r="F5359" s="1" t="s">
        <v>14661</v>
      </c>
      <c r="H5359" s="1" t="s">
        <v>14783</v>
      </c>
      <c r="J5359" s="1" t="s">
        <v>15553</v>
      </c>
      <c r="L5359" s="1" t="s">
        <v>5516</v>
      </c>
      <c r="N5359" s="1" t="s">
        <v>1002</v>
      </c>
      <c r="P5359" s="1" t="s">
        <v>3977</v>
      </c>
      <c r="Q5359" s="3">
        <v>0</v>
      </c>
      <c r="R5359" s="23" t="s">
        <v>11933</v>
      </c>
      <c r="S5359" s="23" t="s">
        <v>5849</v>
      </c>
      <c r="T5359" s="23" t="s">
        <v>4866</v>
      </c>
      <c r="U5359" s="3">
        <v>35</v>
      </c>
      <c r="W5359" s="45" t="str">
        <f>HYPERLINK("http://ictvonline.org/taxonomy/p/taxonomy-history?taxnode_id=201905377","ICTVonline=201905377")</f>
        <v>ICTVonline=201905377</v>
      </c>
      <c r="Y5359" s="1" t="s">
        <v>15569</v>
      </c>
      <c r="Z5359" s="1">
        <v>26</v>
      </c>
      <c r="AA5359" s="1">
        <v>201900000</v>
      </c>
      <c r="AB5359" s="1">
        <v>35</v>
      </c>
    </row>
    <row r="5360" spans="1:28" x14ac:dyDescent="0.2">
      <c r="A5360" s="1">
        <v>13935</v>
      </c>
      <c r="B5360" s="1" t="s">
        <v>6839</v>
      </c>
      <c r="D5360" s="1" t="s">
        <v>11735</v>
      </c>
      <c r="F5360" s="1" t="s">
        <v>14661</v>
      </c>
      <c r="H5360" s="1" t="s">
        <v>14783</v>
      </c>
      <c r="J5360" s="1" t="s">
        <v>15553</v>
      </c>
      <c r="L5360" s="1" t="s">
        <v>5516</v>
      </c>
      <c r="N5360" s="1" t="s">
        <v>1002</v>
      </c>
      <c r="P5360" s="1" t="s">
        <v>1006</v>
      </c>
      <c r="Q5360" s="3">
        <v>0</v>
      </c>
      <c r="R5360" s="23" t="s">
        <v>11933</v>
      </c>
      <c r="S5360" s="23" t="s">
        <v>5849</v>
      </c>
      <c r="T5360" s="23" t="s">
        <v>4866</v>
      </c>
      <c r="U5360" s="3">
        <v>35</v>
      </c>
      <c r="W5360" s="45" t="str">
        <f>HYPERLINK("http://ictvonline.org/taxonomy/p/taxonomy-history?taxnode_id=201905378","ICTVonline=201905378")</f>
        <v>ICTVonline=201905378</v>
      </c>
      <c r="Y5360" s="1" t="s">
        <v>15570</v>
      </c>
      <c r="Z5360" s="1" t="s">
        <v>15571</v>
      </c>
      <c r="AA5360" s="1">
        <v>201900000</v>
      </c>
      <c r="AB5360" s="1">
        <v>35</v>
      </c>
    </row>
    <row r="5361" spans="1:28" x14ac:dyDescent="0.2">
      <c r="A5361" s="1">
        <v>13937</v>
      </c>
      <c r="B5361" s="1" t="s">
        <v>6839</v>
      </c>
      <c r="D5361" s="1" t="s">
        <v>11735</v>
      </c>
      <c r="F5361" s="1" t="s">
        <v>14661</v>
      </c>
      <c r="H5361" s="1" t="s">
        <v>14783</v>
      </c>
      <c r="J5361" s="1" t="s">
        <v>15553</v>
      </c>
      <c r="L5361" s="1" t="s">
        <v>5516</v>
      </c>
      <c r="N5361" s="1" t="s">
        <v>1002</v>
      </c>
      <c r="P5361" s="1" t="s">
        <v>3978</v>
      </c>
      <c r="Q5361" s="3">
        <v>0</v>
      </c>
      <c r="R5361" s="23" t="s">
        <v>11933</v>
      </c>
      <c r="S5361" s="23" t="s">
        <v>5849</v>
      </c>
      <c r="T5361" s="23" t="s">
        <v>4866</v>
      </c>
      <c r="U5361" s="3">
        <v>35</v>
      </c>
      <c r="W5361" s="45" t="str">
        <f>HYPERLINK("http://ictvonline.org/taxonomy/p/taxonomy-history?taxnode_id=201905379","ICTVonline=201905379")</f>
        <v>ICTVonline=201905379</v>
      </c>
      <c r="Y5361" s="1" t="s">
        <v>15572</v>
      </c>
      <c r="Z5361" s="1" t="s">
        <v>15573</v>
      </c>
      <c r="AA5361" s="1">
        <v>201900000</v>
      </c>
      <c r="AB5361" s="1">
        <v>35</v>
      </c>
    </row>
    <row r="5362" spans="1:28" x14ac:dyDescent="0.2">
      <c r="A5362" s="1">
        <v>13939</v>
      </c>
      <c r="B5362" s="1" t="s">
        <v>6839</v>
      </c>
      <c r="D5362" s="1" t="s">
        <v>11735</v>
      </c>
      <c r="F5362" s="1" t="s">
        <v>14661</v>
      </c>
      <c r="H5362" s="1" t="s">
        <v>14783</v>
      </c>
      <c r="J5362" s="1" t="s">
        <v>15553</v>
      </c>
      <c r="L5362" s="1" t="s">
        <v>5516</v>
      </c>
      <c r="N5362" s="1" t="s">
        <v>1002</v>
      </c>
      <c r="P5362" s="1" t="s">
        <v>1007</v>
      </c>
      <c r="Q5362" s="3">
        <v>0</v>
      </c>
      <c r="R5362" s="23" t="s">
        <v>11933</v>
      </c>
      <c r="S5362" s="23" t="s">
        <v>5849</v>
      </c>
      <c r="T5362" s="23" t="s">
        <v>4866</v>
      </c>
      <c r="U5362" s="3">
        <v>35</v>
      </c>
      <c r="W5362" s="45" t="str">
        <f>HYPERLINK("http://ictvonline.org/taxonomy/p/taxonomy-history?taxnode_id=201905380","ICTVonline=201905380")</f>
        <v>ICTVonline=201905380</v>
      </c>
      <c r="Y5362" s="1" t="s">
        <v>15574</v>
      </c>
      <c r="Z5362" s="1" t="s">
        <v>12238</v>
      </c>
      <c r="AA5362" s="1">
        <v>201900000</v>
      </c>
      <c r="AB5362" s="1">
        <v>35</v>
      </c>
    </row>
    <row r="5363" spans="1:28" x14ac:dyDescent="0.2">
      <c r="A5363" s="1">
        <v>13941</v>
      </c>
      <c r="B5363" s="1" t="s">
        <v>6839</v>
      </c>
      <c r="D5363" s="1" t="s">
        <v>11735</v>
      </c>
      <c r="F5363" s="1" t="s">
        <v>14661</v>
      </c>
      <c r="H5363" s="1" t="s">
        <v>14783</v>
      </c>
      <c r="J5363" s="1" t="s">
        <v>15553</v>
      </c>
      <c r="L5363" s="1" t="s">
        <v>5516</v>
      </c>
      <c r="N5363" s="1" t="s">
        <v>1002</v>
      </c>
      <c r="P5363" s="1" t="s">
        <v>1402</v>
      </c>
      <c r="Q5363" s="3">
        <v>0</v>
      </c>
      <c r="R5363" s="23" t="s">
        <v>11933</v>
      </c>
      <c r="S5363" s="23" t="s">
        <v>5849</v>
      </c>
      <c r="T5363" s="23" t="s">
        <v>4866</v>
      </c>
      <c r="U5363" s="3">
        <v>35</v>
      </c>
      <c r="W5363" s="45" t="str">
        <f>HYPERLINK("http://ictvonline.org/taxonomy/p/taxonomy-history?taxnode_id=201905381","ICTVonline=201905381")</f>
        <v>ICTVonline=201905381</v>
      </c>
      <c r="Y5363" s="1" t="s">
        <v>15575</v>
      </c>
      <c r="Z5363" s="1" t="s">
        <v>15576</v>
      </c>
      <c r="AA5363" s="1">
        <v>201900000</v>
      </c>
      <c r="AB5363" s="1">
        <v>35</v>
      </c>
    </row>
    <row r="5364" spans="1:28" x14ac:dyDescent="0.2">
      <c r="A5364" s="1">
        <v>13943</v>
      </c>
      <c r="B5364" s="1" t="s">
        <v>6839</v>
      </c>
      <c r="D5364" s="1" t="s">
        <v>11735</v>
      </c>
      <c r="F5364" s="1" t="s">
        <v>14661</v>
      </c>
      <c r="H5364" s="1" t="s">
        <v>14783</v>
      </c>
      <c r="J5364" s="1" t="s">
        <v>15553</v>
      </c>
      <c r="L5364" s="1" t="s">
        <v>5516</v>
      </c>
      <c r="N5364" s="1" t="s">
        <v>1002</v>
      </c>
      <c r="P5364" s="1" t="s">
        <v>1403</v>
      </c>
      <c r="Q5364" s="3">
        <v>0</v>
      </c>
      <c r="R5364" s="23" t="s">
        <v>11933</v>
      </c>
      <c r="S5364" s="23" t="s">
        <v>5849</v>
      </c>
      <c r="T5364" s="23" t="s">
        <v>4866</v>
      </c>
      <c r="U5364" s="3">
        <v>35</v>
      </c>
      <c r="W5364" s="45" t="str">
        <f>HYPERLINK("http://ictvonline.org/taxonomy/p/taxonomy-history?taxnode_id=201905382","ICTVonline=201905382")</f>
        <v>ICTVonline=201905382</v>
      </c>
      <c r="AA5364" s="1">
        <v>201900000</v>
      </c>
      <c r="AB5364" s="1">
        <v>35</v>
      </c>
    </row>
    <row r="5365" spans="1:28" x14ac:dyDescent="0.2">
      <c r="A5365" s="1">
        <v>13945</v>
      </c>
      <c r="B5365" s="1" t="s">
        <v>6839</v>
      </c>
      <c r="D5365" s="1" t="s">
        <v>11735</v>
      </c>
      <c r="F5365" s="1" t="s">
        <v>14661</v>
      </c>
      <c r="H5365" s="1" t="s">
        <v>14783</v>
      </c>
      <c r="J5365" s="1" t="s">
        <v>15553</v>
      </c>
      <c r="L5365" s="1" t="s">
        <v>5516</v>
      </c>
      <c r="N5365" s="1" t="s">
        <v>1002</v>
      </c>
      <c r="P5365" s="1" t="s">
        <v>1404</v>
      </c>
      <c r="Q5365" s="3">
        <v>1</v>
      </c>
      <c r="R5365" s="23" t="s">
        <v>11933</v>
      </c>
      <c r="S5365" s="23" t="s">
        <v>5849</v>
      </c>
      <c r="T5365" s="23" t="s">
        <v>4866</v>
      </c>
      <c r="U5365" s="3">
        <v>35</v>
      </c>
      <c r="W5365" s="45" t="str">
        <f>HYPERLINK("http://ictvonline.org/taxonomy/p/taxonomy-history?taxnode_id=201905383","ICTVonline=201905383")</f>
        <v>ICTVonline=201905383</v>
      </c>
      <c r="Y5365" s="1" t="s">
        <v>15577</v>
      </c>
      <c r="Z5365" s="1" t="s">
        <v>15578</v>
      </c>
      <c r="AA5365" s="1">
        <v>201900000</v>
      </c>
      <c r="AB5365" s="1">
        <v>35</v>
      </c>
    </row>
    <row r="5366" spans="1:28" x14ac:dyDescent="0.2">
      <c r="A5366" s="1">
        <v>13947</v>
      </c>
      <c r="B5366" s="1" t="s">
        <v>6839</v>
      </c>
      <c r="D5366" s="1" t="s">
        <v>11735</v>
      </c>
      <c r="F5366" s="1" t="s">
        <v>14661</v>
      </c>
      <c r="H5366" s="1" t="s">
        <v>14783</v>
      </c>
      <c r="J5366" s="1" t="s">
        <v>15553</v>
      </c>
      <c r="L5366" s="1" t="s">
        <v>5516</v>
      </c>
      <c r="N5366" s="1" t="s">
        <v>1002</v>
      </c>
      <c r="P5366" s="1" t="s">
        <v>1405</v>
      </c>
      <c r="Q5366" s="3">
        <v>0</v>
      </c>
      <c r="R5366" s="23" t="s">
        <v>11933</v>
      </c>
      <c r="S5366" s="23" t="s">
        <v>5849</v>
      </c>
      <c r="T5366" s="23" t="s">
        <v>4866</v>
      </c>
      <c r="U5366" s="3">
        <v>35</v>
      </c>
      <c r="W5366" s="45" t="str">
        <f>HYPERLINK("http://ictvonline.org/taxonomy/p/taxonomy-history?taxnode_id=201905384","ICTVonline=201905384")</f>
        <v>ICTVonline=201905384</v>
      </c>
      <c r="Y5366" s="1" t="s">
        <v>15579</v>
      </c>
      <c r="Z5366" s="1" t="s">
        <v>15580</v>
      </c>
      <c r="AA5366" s="1">
        <v>201900000</v>
      </c>
      <c r="AB5366" s="1">
        <v>35</v>
      </c>
    </row>
    <row r="5367" spans="1:28" x14ac:dyDescent="0.2">
      <c r="A5367" s="1">
        <v>13949</v>
      </c>
      <c r="B5367" s="1" t="s">
        <v>6839</v>
      </c>
      <c r="D5367" s="1" t="s">
        <v>11735</v>
      </c>
      <c r="F5367" s="1" t="s">
        <v>14661</v>
      </c>
      <c r="H5367" s="1" t="s">
        <v>14783</v>
      </c>
      <c r="J5367" s="1" t="s">
        <v>15553</v>
      </c>
      <c r="L5367" s="1" t="s">
        <v>5516</v>
      </c>
      <c r="N5367" s="1" t="s">
        <v>1002</v>
      </c>
      <c r="P5367" s="1" t="s">
        <v>1074</v>
      </c>
      <c r="Q5367" s="3">
        <v>0</v>
      </c>
      <c r="R5367" s="23" t="s">
        <v>11933</v>
      </c>
      <c r="S5367" s="23" t="s">
        <v>5849</v>
      </c>
      <c r="T5367" s="23" t="s">
        <v>4866</v>
      </c>
      <c r="U5367" s="3">
        <v>35</v>
      </c>
      <c r="W5367" s="45" t="str">
        <f>HYPERLINK("http://ictvonline.org/taxonomy/p/taxonomy-history?taxnode_id=201905385","ICTVonline=201905385")</f>
        <v>ICTVonline=201905385</v>
      </c>
      <c r="Y5367" s="1" t="s">
        <v>15581</v>
      </c>
      <c r="Z5367" s="1" t="s">
        <v>15582</v>
      </c>
      <c r="AA5367" s="1">
        <v>201900000</v>
      </c>
      <c r="AB5367" s="1">
        <v>35</v>
      </c>
    </row>
    <row r="5368" spans="1:28" x14ac:dyDescent="0.2">
      <c r="A5368" s="1">
        <v>13951</v>
      </c>
      <c r="B5368" s="1" t="s">
        <v>6839</v>
      </c>
      <c r="D5368" s="1" t="s">
        <v>11735</v>
      </c>
      <c r="F5368" s="1" t="s">
        <v>14661</v>
      </c>
      <c r="H5368" s="1" t="s">
        <v>14783</v>
      </c>
      <c r="J5368" s="1" t="s">
        <v>15553</v>
      </c>
      <c r="L5368" s="1" t="s">
        <v>5516</v>
      </c>
      <c r="N5368" s="1" t="s">
        <v>1002</v>
      </c>
      <c r="P5368" s="1" t="s">
        <v>3979</v>
      </c>
      <c r="Q5368" s="3">
        <v>0</v>
      </c>
      <c r="R5368" s="23" t="s">
        <v>11933</v>
      </c>
      <c r="S5368" s="23" t="s">
        <v>5849</v>
      </c>
      <c r="T5368" s="23" t="s">
        <v>4866</v>
      </c>
      <c r="U5368" s="3">
        <v>35</v>
      </c>
      <c r="W5368" s="45" t="str">
        <f>HYPERLINK("http://ictvonline.org/taxonomy/p/taxonomy-history?taxnode_id=201905386","ICTVonline=201905386")</f>
        <v>ICTVonline=201905386</v>
      </c>
      <c r="Y5368" s="1" t="s">
        <v>15583</v>
      </c>
      <c r="Z5368" s="1" t="s">
        <v>12387</v>
      </c>
      <c r="AA5368" s="1">
        <v>201900000</v>
      </c>
      <c r="AB5368" s="1">
        <v>35</v>
      </c>
    </row>
    <row r="5369" spans="1:28" x14ac:dyDescent="0.2">
      <c r="A5369" s="1">
        <v>13953</v>
      </c>
      <c r="B5369" s="1" t="s">
        <v>6839</v>
      </c>
      <c r="D5369" s="1" t="s">
        <v>11735</v>
      </c>
      <c r="F5369" s="1" t="s">
        <v>14661</v>
      </c>
      <c r="H5369" s="1" t="s">
        <v>14783</v>
      </c>
      <c r="J5369" s="1" t="s">
        <v>15553</v>
      </c>
      <c r="L5369" s="1" t="s">
        <v>5516</v>
      </c>
      <c r="N5369" s="1" t="s">
        <v>1002</v>
      </c>
      <c r="P5369" s="1" t="s">
        <v>1075</v>
      </c>
      <c r="Q5369" s="3">
        <v>0</v>
      </c>
      <c r="R5369" s="23" t="s">
        <v>11933</v>
      </c>
      <c r="S5369" s="23" t="s">
        <v>5849</v>
      </c>
      <c r="T5369" s="23" t="s">
        <v>4866</v>
      </c>
      <c r="U5369" s="3">
        <v>35</v>
      </c>
      <c r="W5369" s="45" t="str">
        <f>HYPERLINK("http://ictvonline.org/taxonomy/p/taxonomy-history?taxnode_id=201905387","ICTVonline=201905387")</f>
        <v>ICTVonline=201905387</v>
      </c>
      <c r="Y5369" s="1" t="s">
        <v>15584</v>
      </c>
      <c r="Z5369" s="1" t="s">
        <v>15585</v>
      </c>
      <c r="AA5369" s="1">
        <v>201900000</v>
      </c>
      <c r="AB5369" s="1">
        <v>35</v>
      </c>
    </row>
    <row r="5370" spans="1:28" x14ac:dyDescent="0.2">
      <c r="A5370" s="1">
        <v>13955</v>
      </c>
      <c r="B5370" s="1" t="s">
        <v>6839</v>
      </c>
      <c r="D5370" s="1" t="s">
        <v>11735</v>
      </c>
      <c r="F5370" s="1" t="s">
        <v>14661</v>
      </c>
      <c r="H5370" s="1" t="s">
        <v>14783</v>
      </c>
      <c r="J5370" s="1" t="s">
        <v>15553</v>
      </c>
      <c r="L5370" s="1" t="s">
        <v>5516</v>
      </c>
      <c r="N5370" s="1" t="s">
        <v>1002</v>
      </c>
      <c r="P5370" s="1" t="s">
        <v>1076</v>
      </c>
      <c r="Q5370" s="3">
        <v>0</v>
      </c>
      <c r="R5370" s="23" t="s">
        <v>11933</v>
      </c>
      <c r="S5370" s="23" t="s">
        <v>5849</v>
      </c>
      <c r="T5370" s="23" t="s">
        <v>4866</v>
      </c>
      <c r="U5370" s="3">
        <v>35</v>
      </c>
      <c r="W5370" s="45" t="str">
        <f>HYPERLINK("http://ictvonline.org/taxonomy/p/taxonomy-history?taxnode_id=201905388","ICTVonline=201905388")</f>
        <v>ICTVonline=201905388</v>
      </c>
      <c r="Y5370" s="1" t="s">
        <v>15586</v>
      </c>
      <c r="Z5370" s="1" t="s">
        <v>15587</v>
      </c>
      <c r="AA5370" s="1">
        <v>201900000</v>
      </c>
      <c r="AB5370" s="1">
        <v>35</v>
      </c>
    </row>
    <row r="5371" spans="1:28" x14ac:dyDescent="0.2">
      <c r="A5371" s="1">
        <v>13957</v>
      </c>
      <c r="B5371" s="1" t="s">
        <v>6839</v>
      </c>
      <c r="D5371" s="1" t="s">
        <v>11735</v>
      </c>
      <c r="F5371" s="1" t="s">
        <v>14661</v>
      </c>
      <c r="H5371" s="1" t="s">
        <v>14783</v>
      </c>
      <c r="J5371" s="1" t="s">
        <v>15553</v>
      </c>
      <c r="L5371" s="1" t="s">
        <v>5516</v>
      </c>
      <c r="N5371" s="1" t="s">
        <v>1002</v>
      </c>
      <c r="P5371" s="1" t="s">
        <v>1077</v>
      </c>
      <c r="Q5371" s="3">
        <v>0</v>
      </c>
      <c r="R5371" s="23" t="s">
        <v>11933</v>
      </c>
      <c r="S5371" s="23" t="s">
        <v>5849</v>
      </c>
      <c r="T5371" s="23" t="s">
        <v>4866</v>
      </c>
      <c r="U5371" s="3">
        <v>35</v>
      </c>
      <c r="W5371" s="45" t="str">
        <f>HYPERLINK("http://ictvonline.org/taxonomy/p/taxonomy-history?taxnode_id=201905389","ICTVonline=201905389")</f>
        <v>ICTVonline=201905389</v>
      </c>
      <c r="Y5371" s="1" t="s">
        <v>15588</v>
      </c>
      <c r="Z5371" s="1" t="s">
        <v>15589</v>
      </c>
      <c r="AA5371" s="1">
        <v>201900000</v>
      </c>
      <c r="AB5371" s="1">
        <v>35</v>
      </c>
    </row>
    <row r="5372" spans="1:28" x14ac:dyDescent="0.2">
      <c r="A5372" s="1">
        <v>13967</v>
      </c>
      <c r="B5372" s="1" t="s">
        <v>6839</v>
      </c>
      <c r="D5372" s="1" t="s">
        <v>11735</v>
      </c>
      <c r="F5372" s="1" t="s">
        <v>14661</v>
      </c>
      <c r="H5372" s="1" t="s">
        <v>15590</v>
      </c>
      <c r="J5372" s="1" t="s">
        <v>15591</v>
      </c>
      <c r="L5372" s="1" t="s">
        <v>479</v>
      </c>
      <c r="N5372" s="1" t="s">
        <v>15592</v>
      </c>
      <c r="P5372" s="1" t="s">
        <v>15593</v>
      </c>
      <c r="Q5372" s="3">
        <v>0</v>
      </c>
      <c r="R5372" s="23" t="s">
        <v>11933</v>
      </c>
      <c r="S5372" s="23" t="s">
        <v>5849</v>
      </c>
      <c r="T5372" s="23" t="s">
        <v>4864</v>
      </c>
      <c r="U5372" s="3">
        <v>35</v>
      </c>
      <c r="V5372" s="3" t="s">
        <v>15594</v>
      </c>
      <c r="W5372" s="45" t="str">
        <f>HYPERLINK("http://ictvonline.org/taxonomy/p/taxonomy-history?taxnode_id=201907457","ICTVonline=201907457")</f>
        <v>ICTVonline=201907457</v>
      </c>
      <c r="X5372" s="1" t="s">
        <v>15595</v>
      </c>
      <c r="Y5372" s="1" t="s">
        <v>15596</v>
      </c>
      <c r="Z5372" s="1" t="s">
        <v>15597</v>
      </c>
      <c r="AA5372" s="1">
        <v>201900000</v>
      </c>
      <c r="AB5372" s="1">
        <v>35</v>
      </c>
    </row>
    <row r="5373" spans="1:28" x14ac:dyDescent="0.2">
      <c r="A5373" s="1">
        <v>13969</v>
      </c>
      <c r="B5373" s="1" t="s">
        <v>6839</v>
      </c>
      <c r="D5373" s="1" t="s">
        <v>11735</v>
      </c>
      <c r="F5373" s="1" t="s">
        <v>14661</v>
      </c>
      <c r="H5373" s="1" t="s">
        <v>15590</v>
      </c>
      <c r="J5373" s="1" t="s">
        <v>15591</v>
      </c>
      <c r="L5373" s="1" t="s">
        <v>479</v>
      </c>
      <c r="N5373" s="1" t="s">
        <v>15592</v>
      </c>
      <c r="P5373" s="1" t="s">
        <v>15598</v>
      </c>
      <c r="Q5373" s="3">
        <v>1</v>
      </c>
      <c r="R5373" s="23" t="s">
        <v>11933</v>
      </c>
      <c r="S5373" s="23" t="s">
        <v>5849</v>
      </c>
      <c r="T5373" s="23" t="s">
        <v>4864</v>
      </c>
      <c r="U5373" s="3">
        <v>35</v>
      </c>
      <c r="V5373" s="3" t="s">
        <v>15594</v>
      </c>
      <c r="W5373" s="45" t="str">
        <f>HYPERLINK("http://ictvonline.org/taxonomy/p/taxonomy-history?taxnode_id=201907456","ICTVonline=201907456")</f>
        <v>ICTVonline=201907456</v>
      </c>
      <c r="X5373" s="1" t="s">
        <v>15599</v>
      </c>
      <c r="Y5373" s="1" t="s">
        <v>15600</v>
      </c>
      <c r="Z5373" s="1" t="s">
        <v>15601</v>
      </c>
      <c r="AA5373" s="1">
        <v>201900000</v>
      </c>
      <c r="AB5373" s="1">
        <v>35</v>
      </c>
    </row>
    <row r="5374" spans="1:28" x14ac:dyDescent="0.2">
      <c r="A5374" s="1">
        <v>13973</v>
      </c>
      <c r="B5374" s="1" t="s">
        <v>6839</v>
      </c>
      <c r="D5374" s="1" t="s">
        <v>11735</v>
      </c>
      <c r="F5374" s="1" t="s">
        <v>14661</v>
      </c>
      <c r="H5374" s="1" t="s">
        <v>15590</v>
      </c>
      <c r="J5374" s="1" t="s">
        <v>15591</v>
      </c>
      <c r="L5374" s="1" t="s">
        <v>479</v>
      </c>
      <c r="N5374" s="1" t="s">
        <v>5451</v>
      </c>
      <c r="P5374" s="1" t="s">
        <v>5452</v>
      </c>
      <c r="Q5374" s="3">
        <v>1</v>
      </c>
      <c r="R5374" s="23" t="s">
        <v>11933</v>
      </c>
      <c r="S5374" s="23" t="s">
        <v>5849</v>
      </c>
      <c r="T5374" s="23" t="s">
        <v>4866</v>
      </c>
      <c r="U5374" s="3">
        <v>35</v>
      </c>
      <c r="W5374" s="45" t="str">
        <f>HYPERLINK("http://ictvonline.org/taxonomy/p/taxonomy-history?taxnode_id=201905915","ICTVonline=201905915")</f>
        <v>ICTVonline=201905915</v>
      </c>
      <c r="AA5374" s="1">
        <v>201900000</v>
      </c>
      <c r="AB5374" s="1">
        <v>35</v>
      </c>
    </row>
    <row r="5375" spans="1:28" x14ac:dyDescent="0.2">
      <c r="A5375" s="1">
        <v>13977</v>
      </c>
      <c r="B5375" s="1" t="s">
        <v>6839</v>
      </c>
      <c r="D5375" s="1" t="s">
        <v>11735</v>
      </c>
      <c r="F5375" s="1" t="s">
        <v>14661</v>
      </c>
      <c r="H5375" s="1" t="s">
        <v>15590</v>
      </c>
      <c r="J5375" s="1" t="s">
        <v>15591</v>
      </c>
      <c r="L5375" s="1" t="s">
        <v>479</v>
      </c>
      <c r="N5375" s="1" t="s">
        <v>547</v>
      </c>
      <c r="P5375" s="1" t="s">
        <v>548</v>
      </c>
      <c r="Q5375" s="3">
        <v>1</v>
      </c>
      <c r="R5375" s="23" t="s">
        <v>11933</v>
      </c>
      <c r="S5375" s="23" t="s">
        <v>5849</v>
      </c>
      <c r="T5375" s="23" t="s">
        <v>4866</v>
      </c>
      <c r="U5375" s="3">
        <v>35</v>
      </c>
      <c r="W5375" s="45" t="str">
        <f>HYPERLINK("http://ictvonline.org/taxonomy/p/taxonomy-history?taxnode_id=201904534","ICTVonline=201904534")</f>
        <v>ICTVonline=201904534</v>
      </c>
      <c r="Y5375" s="1" t="s">
        <v>15602</v>
      </c>
      <c r="Z5375" s="1" t="s">
        <v>15603</v>
      </c>
      <c r="AA5375" s="1">
        <v>201900000</v>
      </c>
      <c r="AB5375" s="1">
        <v>35</v>
      </c>
    </row>
    <row r="5376" spans="1:28" x14ac:dyDescent="0.2">
      <c r="A5376" s="1">
        <v>13981</v>
      </c>
      <c r="B5376" s="1" t="s">
        <v>6839</v>
      </c>
      <c r="D5376" s="1" t="s">
        <v>11735</v>
      </c>
      <c r="F5376" s="1" t="s">
        <v>14661</v>
      </c>
      <c r="H5376" s="1" t="s">
        <v>15590</v>
      </c>
      <c r="J5376" s="1" t="s">
        <v>15591</v>
      </c>
      <c r="L5376" s="1" t="s">
        <v>479</v>
      </c>
      <c r="N5376" s="1" t="s">
        <v>480</v>
      </c>
      <c r="P5376" s="1" t="s">
        <v>481</v>
      </c>
      <c r="Q5376" s="3">
        <v>0</v>
      </c>
      <c r="R5376" s="23" t="s">
        <v>11933</v>
      </c>
      <c r="S5376" s="23" t="s">
        <v>5849</v>
      </c>
      <c r="T5376" s="23" t="s">
        <v>4866</v>
      </c>
      <c r="U5376" s="3">
        <v>35</v>
      </c>
      <c r="W5376" s="45" t="str">
        <f>HYPERLINK("http://ictvonline.org/taxonomy/p/taxonomy-history?taxnode_id=201904536","ICTVonline=201904536")</f>
        <v>ICTVonline=201904536</v>
      </c>
      <c r="Y5376" s="1" t="s">
        <v>15604</v>
      </c>
      <c r="Z5376" s="1" t="s">
        <v>15605</v>
      </c>
      <c r="AA5376" s="1">
        <v>201900000</v>
      </c>
      <c r="AB5376" s="1">
        <v>35</v>
      </c>
    </row>
    <row r="5377" spans="1:28" x14ac:dyDescent="0.2">
      <c r="A5377" s="1">
        <v>13983</v>
      </c>
      <c r="B5377" s="1" t="s">
        <v>6839</v>
      </c>
      <c r="D5377" s="1" t="s">
        <v>11735</v>
      </c>
      <c r="F5377" s="1" t="s">
        <v>14661</v>
      </c>
      <c r="H5377" s="1" t="s">
        <v>15590</v>
      </c>
      <c r="J5377" s="1" t="s">
        <v>15591</v>
      </c>
      <c r="L5377" s="1" t="s">
        <v>479</v>
      </c>
      <c r="N5377" s="1" t="s">
        <v>480</v>
      </c>
      <c r="P5377" s="1" t="s">
        <v>482</v>
      </c>
      <c r="Q5377" s="3">
        <v>1</v>
      </c>
      <c r="R5377" s="23" t="s">
        <v>11933</v>
      </c>
      <c r="S5377" s="23" t="s">
        <v>5849</v>
      </c>
      <c r="T5377" s="23" t="s">
        <v>4866</v>
      </c>
      <c r="U5377" s="3">
        <v>35</v>
      </c>
      <c r="W5377" s="45" t="str">
        <f>HYPERLINK("http://ictvonline.org/taxonomy/p/taxonomy-history?taxnode_id=201904537","ICTVonline=201904537")</f>
        <v>ICTVonline=201904537</v>
      </c>
      <c r="Y5377" s="1" t="s">
        <v>15606</v>
      </c>
      <c r="Z5377" s="1" t="s">
        <v>15607</v>
      </c>
      <c r="AA5377" s="1">
        <v>201900000</v>
      </c>
      <c r="AB5377" s="1">
        <v>35</v>
      </c>
    </row>
    <row r="5378" spans="1:28" x14ac:dyDescent="0.2">
      <c r="A5378" s="1">
        <v>13985</v>
      </c>
      <c r="B5378" s="1" t="s">
        <v>6839</v>
      </c>
      <c r="D5378" s="1" t="s">
        <v>11735</v>
      </c>
      <c r="F5378" s="1" t="s">
        <v>14661</v>
      </c>
      <c r="H5378" s="1" t="s">
        <v>15590</v>
      </c>
      <c r="J5378" s="1" t="s">
        <v>15591</v>
      </c>
      <c r="L5378" s="1" t="s">
        <v>479</v>
      </c>
      <c r="N5378" s="1" t="s">
        <v>480</v>
      </c>
      <c r="P5378" s="1" t="s">
        <v>1538</v>
      </c>
      <c r="Q5378" s="3">
        <v>0</v>
      </c>
      <c r="R5378" s="23" t="s">
        <v>11933</v>
      </c>
      <c r="S5378" s="23" t="s">
        <v>5849</v>
      </c>
      <c r="T5378" s="23" t="s">
        <v>4866</v>
      </c>
      <c r="U5378" s="3">
        <v>35</v>
      </c>
      <c r="W5378" s="45" t="str">
        <f>HYPERLINK("http://ictvonline.org/taxonomy/p/taxonomy-history?taxnode_id=201904538","ICTVonline=201904538")</f>
        <v>ICTVonline=201904538</v>
      </c>
      <c r="Y5378" s="1" t="s">
        <v>15608</v>
      </c>
      <c r="Z5378" s="1" t="s">
        <v>15609</v>
      </c>
      <c r="AA5378" s="1">
        <v>201900000</v>
      </c>
      <c r="AB5378" s="1">
        <v>35</v>
      </c>
    </row>
    <row r="5379" spans="1:28" x14ac:dyDescent="0.2">
      <c r="A5379" s="1">
        <v>13987</v>
      </c>
      <c r="B5379" s="1" t="s">
        <v>6839</v>
      </c>
      <c r="D5379" s="1" t="s">
        <v>11735</v>
      </c>
      <c r="F5379" s="1" t="s">
        <v>14661</v>
      </c>
      <c r="H5379" s="1" t="s">
        <v>15590</v>
      </c>
      <c r="J5379" s="1" t="s">
        <v>15591</v>
      </c>
      <c r="L5379" s="1" t="s">
        <v>479</v>
      </c>
      <c r="N5379" s="1" t="s">
        <v>480</v>
      </c>
      <c r="P5379" s="1" t="s">
        <v>909</v>
      </c>
      <c r="Q5379" s="3">
        <v>0</v>
      </c>
      <c r="R5379" s="23" t="s">
        <v>11933</v>
      </c>
      <c r="S5379" s="23" t="s">
        <v>5849</v>
      </c>
      <c r="T5379" s="23" t="s">
        <v>4866</v>
      </c>
      <c r="U5379" s="3">
        <v>35</v>
      </c>
      <c r="W5379" s="45" t="str">
        <f>HYPERLINK("http://ictvonline.org/taxonomy/p/taxonomy-history?taxnode_id=201904539","ICTVonline=201904539")</f>
        <v>ICTVonline=201904539</v>
      </c>
      <c r="AA5379" s="1">
        <v>201900000</v>
      </c>
      <c r="AB5379" s="1">
        <v>35</v>
      </c>
    </row>
    <row r="5380" spans="1:28" x14ac:dyDescent="0.2">
      <c r="A5380" s="1">
        <v>13989</v>
      </c>
      <c r="B5380" s="1" t="s">
        <v>6839</v>
      </c>
      <c r="D5380" s="1" t="s">
        <v>11735</v>
      </c>
      <c r="F5380" s="1" t="s">
        <v>14661</v>
      </c>
      <c r="H5380" s="1" t="s">
        <v>15590</v>
      </c>
      <c r="J5380" s="1" t="s">
        <v>15591</v>
      </c>
      <c r="L5380" s="1" t="s">
        <v>479</v>
      </c>
      <c r="N5380" s="1" t="s">
        <v>480</v>
      </c>
      <c r="P5380" s="1" t="s">
        <v>833</v>
      </c>
      <c r="Q5380" s="3">
        <v>0</v>
      </c>
      <c r="R5380" s="23" t="s">
        <v>11933</v>
      </c>
      <c r="S5380" s="23" t="s">
        <v>5849</v>
      </c>
      <c r="T5380" s="23" t="s">
        <v>4866</v>
      </c>
      <c r="U5380" s="3">
        <v>35</v>
      </c>
      <c r="W5380" s="45" t="str">
        <f>HYPERLINK("http://ictvonline.org/taxonomy/p/taxonomy-history?taxnode_id=201904540","ICTVonline=201904540")</f>
        <v>ICTVonline=201904540</v>
      </c>
      <c r="AA5380" s="1">
        <v>201900000</v>
      </c>
      <c r="AB5380" s="1">
        <v>35</v>
      </c>
    </row>
    <row r="5381" spans="1:28" x14ac:dyDescent="0.2">
      <c r="A5381" s="1">
        <v>13991</v>
      </c>
      <c r="B5381" s="1" t="s">
        <v>6839</v>
      </c>
      <c r="D5381" s="1" t="s">
        <v>11735</v>
      </c>
      <c r="F5381" s="1" t="s">
        <v>14661</v>
      </c>
      <c r="H5381" s="1" t="s">
        <v>15590</v>
      </c>
      <c r="J5381" s="1" t="s">
        <v>15591</v>
      </c>
      <c r="L5381" s="1" t="s">
        <v>479</v>
      </c>
      <c r="N5381" s="1" t="s">
        <v>480</v>
      </c>
      <c r="P5381" s="1" t="s">
        <v>834</v>
      </c>
      <c r="Q5381" s="3">
        <v>0</v>
      </c>
      <c r="R5381" s="23" t="s">
        <v>11933</v>
      </c>
      <c r="S5381" s="23" t="s">
        <v>5849</v>
      </c>
      <c r="T5381" s="23" t="s">
        <v>4866</v>
      </c>
      <c r="U5381" s="3">
        <v>35</v>
      </c>
      <c r="W5381" s="45" t="str">
        <f>HYPERLINK("http://ictvonline.org/taxonomy/p/taxonomy-history?taxnode_id=201904541","ICTVonline=201904541")</f>
        <v>ICTVonline=201904541</v>
      </c>
      <c r="Y5381" s="1" t="s">
        <v>15610</v>
      </c>
      <c r="Z5381" s="1" t="s">
        <v>12335</v>
      </c>
      <c r="AA5381" s="1">
        <v>201900000</v>
      </c>
      <c r="AB5381" s="1">
        <v>35</v>
      </c>
    </row>
    <row r="5382" spans="1:28" x14ac:dyDescent="0.2">
      <c r="A5382" s="1">
        <v>13995</v>
      </c>
      <c r="B5382" s="1" t="s">
        <v>6839</v>
      </c>
      <c r="D5382" s="1" t="s">
        <v>11735</v>
      </c>
      <c r="F5382" s="1" t="s">
        <v>14661</v>
      </c>
      <c r="H5382" s="1" t="s">
        <v>15590</v>
      </c>
      <c r="J5382" s="1" t="s">
        <v>15591</v>
      </c>
      <c r="L5382" s="1" t="s">
        <v>479</v>
      </c>
      <c r="N5382" s="1" t="s">
        <v>15611</v>
      </c>
      <c r="P5382" s="1" t="s">
        <v>15612</v>
      </c>
      <c r="Q5382" s="3">
        <v>1</v>
      </c>
      <c r="R5382" s="23" t="s">
        <v>11933</v>
      </c>
      <c r="S5382" s="23" t="s">
        <v>5849</v>
      </c>
      <c r="T5382" s="23" t="s">
        <v>4864</v>
      </c>
      <c r="U5382" s="3">
        <v>35</v>
      </c>
      <c r="V5382" s="3" t="s">
        <v>15613</v>
      </c>
      <c r="W5382" s="45" t="str">
        <f>HYPERLINK("http://ictvonline.org/taxonomy/p/taxonomy-history?taxnode_id=201907463","ICTVonline=201907463")</f>
        <v>ICTVonline=201907463</v>
      </c>
      <c r="X5382" s="1" t="s">
        <v>15614</v>
      </c>
      <c r="Y5382" s="1" t="s">
        <v>15615</v>
      </c>
      <c r="Z5382" s="1" t="s">
        <v>15616</v>
      </c>
      <c r="AA5382" s="1">
        <v>201900000</v>
      </c>
      <c r="AB5382" s="1">
        <v>35</v>
      </c>
    </row>
    <row r="5383" spans="1:28" x14ac:dyDescent="0.2">
      <c r="A5383" s="1">
        <v>13999</v>
      </c>
      <c r="B5383" s="1" t="s">
        <v>6839</v>
      </c>
      <c r="D5383" s="1" t="s">
        <v>11735</v>
      </c>
      <c r="F5383" s="1" t="s">
        <v>14661</v>
      </c>
      <c r="H5383" s="1" t="s">
        <v>15590</v>
      </c>
      <c r="J5383" s="1" t="s">
        <v>15591</v>
      </c>
      <c r="L5383" s="1" t="s">
        <v>479</v>
      </c>
      <c r="N5383" s="1" t="s">
        <v>835</v>
      </c>
      <c r="P5383" s="1" t="s">
        <v>914</v>
      </c>
      <c r="Q5383" s="3">
        <v>0</v>
      </c>
      <c r="R5383" s="23" t="s">
        <v>11933</v>
      </c>
      <c r="S5383" s="23" t="s">
        <v>5849</v>
      </c>
      <c r="T5383" s="23" t="s">
        <v>4866</v>
      </c>
      <c r="U5383" s="3">
        <v>35</v>
      </c>
      <c r="W5383" s="45" t="str">
        <f>HYPERLINK("http://ictvonline.org/taxonomy/p/taxonomy-history?taxnode_id=201904543","ICTVonline=201904543")</f>
        <v>ICTVonline=201904543</v>
      </c>
      <c r="Y5383" s="1" t="s">
        <v>15617</v>
      </c>
      <c r="Z5383" s="1" t="s">
        <v>15618</v>
      </c>
      <c r="AA5383" s="1">
        <v>201900000</v>
      </c>
      <c r="AB5383" s="1">
        <v>35</v>
      </c>
    </row>
    <row r="5384" spans="1:28" x14ac:dyDescent="0.2">
      <c r="A5384" s="1">
        <v>14001</v>
      </c>
      <c r="B5384" s="1" t="s">
        <v>6839</v>
      </c>
      <c r="D5384" s="1" t="s">
        <v>11735</v>
      </c>
      <c r="F5384" s="1" t="s">
        <v>14661</v>
      </c>
      <c r="H5384" s="1" t="s">
        <v>15590</v>
      </c>
      <c r="J5384" s="1" t="s">
        <v>15591</v>
      </c>
      <c r="L5384" s="1" t="s">
        <v>479</v>
      </c>
      <c r="N5384" s="1" t="s">
        <v>835</v>
      </c>
      <c r="P5384" s="1" t="s">
        <v>5453</v>
      </c>
      <c r="Q5384" s="3">
        <v>0</v>
      </c>
      <c r="R5384" s="23" t="s">
        <v>11933</v>
      </c>
      <c r="S5384" s="23" t="s">
        <v>5849</v>
      </c>
      <c r="T5384" s="23" t="s">
        <v>4866</v>
      </c>
      <c r="U5384" s="3">
        <v>35</v>
      </c>
      <c r="W5384" s="45" t="str">
        <f>HYPERLINK("http://ictvonline.org/taxonomy/p/taxonomy-history?taxnode_id=201905917","ICTVonline=201905917")</f>
        <v>ICTVonline=201905917</v>
      </c>
      <c r="AA5384" s="1">
        <v>201900000</v>
      </c>
      <c r="AB5384" s="1">
        <v>35</v>
      </c>
    </row>
    <row r="5385" spans="1:28" x14ac:dyDescent="0.2">
      <c r="A5385" s="1">
        <v>14003</v>
      </c>
      <c r="B5385" s="1" t="s">
        <v>6839</v>
      </c>
      <c r="D5385" s="1" t="s">
        <v>11735</v>
      </c>
      <c r="F5385" s="1" t="s">
        <v>14661</v>
      </c>
      <c r="H5385" s="1" t="s">
        <v>15590</v>
      </c>
      <c r="J5385" s="1" t="s">
        <v>15591</v>
      </c>
      <c r="L5385" s="1" t="s">
        <v>479</v>
      </c>
      <c r="N5385" s="1" t="s">
        <v>835</v>
      </c>
      <c r="P5385" s="1" t="s">
        <v>915</v>
      </c>
      <c r="Q5385" s="3">
        <v>0</v>
      </c>
      <c r="R5385" s="23" t="s">
        <v>11933</v>
      </c>
      <c r="S5385" s="23" t="s">
        <v>5849</v>
      </c>
      <c r="T5385" s="23" t="s">
        <v>4866</v>
      </c>
      <c r="U5385" s="3">
        <v>35</v>
      </c>
      <c r="W5385" s="45" t="str">
        <f>HYPERLINK("http://ictvonline.org/taxonomy/p/taxonomy-history?taxnode_id=201904544","ICTVonline=201904544")</f>
        <v>ICTVonline=201904544</v>
      </c>
      <c r="Y5385" s="1" t="s">
        <v>15619</v>
      </c>
      <c r="Z5385" s="1" t="s">
        <v>15620</v>
      </c>
      <c r="AA5385" s="1">
        <v>201900000</v>
      </c>
      <c r="AB5385" s="1">
        <v>35</v>
      </c>
    </row>
    <row r="5386" spans="1:28" x14ac:dyDescent="0.2">
      <c r="A5386" s="1">
        <v>14005</v>
      </c>
      <c r="B5386" s="1" t="s">
        <v>6839</v>
      </c>
      <c r="D5386" s="1" t="s">
        <v>11735</v>
      </c>
      <c r="F5386" s="1" t="s">
        <v>14661</v>
      </c>
      <c r="H5386" s="1" t="s">
        <v>15590</v>
      </c>
      <c r="J5386" s="1" t="s">
        <v>15591</v>
      </c>
      <c r="L5386" s="1" t="s">
        <v>479</v>
      </c>
      <c r="N5386" s="1" t="s">
        <v>835</v>
      </c>
      <c r="P5386" s="1" t="s">
        <v>916</v>
      </c>
      <c r="Q5386" s="3">
        <v>0</v>
      </c>
      <c r="R5386" s="23" t="s">
        <v>11933</v>
      </c>
      <c r="S5386" s="23" t="s">
        <v>5849</v>
      </c>
      <c r="T5386" s="23" t="s">
        <v>4866</v>
      </c>
      <c r="U5386" s="3">
        <v>35</v>
      </c>
      <c r="W5386" s="45" t="str">
        <f>HYPERLINK("http://ictvonline.org/taxonomy/p/taxonomy-history?taxnode_id=201904545","ICTVonline=201904545")</f>
        <v>ICTVonline=201904545</v>
      </c>
      <c r="Y5386" s="1" t="s">
        <v>15621</v>
      </c>
      <c r="Z5386" s="1" t="s">
        <v>15622</v>
      </c>
      <c r="AA5386" s="1">
        <v>201900000</v>
      </c>
      <c r="AB5386" s="1">
        <v>35</v>
      </c>
    </row>
    <row r="5387" spans="1:28" x14ac:dyDescent="0.2">
      <c r="A5387" s="1">
        <v>14007</v>
      </c>
      <c r="B5387" s="1" t="s">
        <v>6839</v>
      </c>
      <c r="D5387" s="1" t="s">
        <v>11735</v>
      </c>
      <c r="F5387" s="1" t="s">
        <v>14661</v>
      </c>
      <c r="H5387" s="1" t="s">
        <v>15590</v>
      </c>
      <c r="J5387" s="1" t="s">
        <v>15591</v>
      </c>
      <c r="L5387" s="1" t="s">
        <v>479</v>
      </c>
      <c r="N5387" s="1" t="s">
        <v>835</v>
      </c>
      <c r="P5387" s="1" t="s">
        <v>917</v>
      </c>
      <c r="Q5387" s="3">
        <v>1</v>
      </c>
      <c r="R5387" s="23" t="s">
        <v>11933</v>
      </c>
      <c r="S5387" s="23" t="s">
        <v>5849</v>
      </c>
      <c r="T5387" s="23" t="s">
        <v>4866</v>
      </c>
      <c r="U5387" s="3">
        <v>35</v>
      </c>
      <c r="W5387" s="45" t="str">
        <f>HYPERLINK("http://ictvonline.org/taxonomy/p/taxonomy-history?taxnode_id=201904546","ICTVonline=201904546")</f>
        <v>ICTVonline=201904546</v>
      </c>
      <c r="Y5387" s="1" t="s">
        <v>15623</v>
      </c>
      <c r="Z5387" s="1" t="s">
        <v>15624</v>
      </c>
      <c r="AA5387" s="1">
        <v>201900000</v>
      </c>
      <c r="AB5387" s="1">
        <v>35</v>
      </c>
    </row>
    <row r="5388" spans="1:28" x14ac:dyDescent="0.2">
      <c r="A5388" s="1">
        <v>14009</v>
      </c>
      <c r="B5388" s="1" t="s">
        <v>6839</v>
      </c>
      <c r="D5388" s="1" t="s">
        <v>11735</v>
      </c>
      <c r="F5388" s="1" t="s">
        <v>14661</v>
      </c>
      <c r="H5388" s="1" t="s">
        <v>15590</v>
      </c>
      <c r="J5388" s="1" t="s">
        <v>15591</v>
      </c>
      <c r="L5388" s="1" t="s">
        <v>479</v>
      </c>
      <c r="N5388" s="1" t="s">
        <v>835</v>
      </c>
      <c r="P5388" s="1" t="s">
        <v>2065</v>
      </c>
      <c r="Q5388" s="3">
        <v>0</v>
      </c>
      <c r="R5388" s="23" t="s">
        <v>11933</v>
      </c>
      <c r="S5388" s="23" t="s">
        <v>5849</v>
      </c>
      <c r="T5388" s="23" t="s">
        <v>4866</v>
      </c>
      <c r="U5388" s="3">
        <v>35</v>
      </c>
      <c r="W5388" s="45" t="str">
        <f>HYPERLINK("http://ictvonline.org/taxonomy/p/taxonomy-history?taxnode_id=201904547","ICTVonline=201904547")</f>
        <v>ICTVonline=201904547</v>
      </c>
      <c r="Y5388" s="1" t="s">
        <v>15625</v>
      </c>
      <c r="Z5388" s="1" t="s">
        <v>15626</v>
      </c>
      <c r="AA5388" s="1">
        <v>201900000</v>
      </c>
      <c r="AB5388" s="1">
        <v>35</v>
      </c>
    </row>
    <row r="5389" spans="1:28" x14ac:dyDescent="0.2">
      <c r="A5389" s="1">
        <v>14011</v>
      </c>
      <c r="B5389" s="1" t="s">
        <v>6839</v>
      </c>
      <c r="D5389" s="1" t="s">
        <v>11735</v>
      </c>
      <c r="F5389" s="1" t="s">
        <v>14661</v>
      </c>
      <c r="H5389" s="1" t="s">
        <v>15590</v>
      </c>
      <c r="J5389" s="1" t="s">
        <v>15591</v>
      </c>
      <c r="L5389" s="1" t="s">
        <v>479</v>
      </c>
      <c r="N5389" s="1" t="s">
        <v>835</v>
      </c>
      <c r="P5389" s="1" t="s">
        <v>192</v>
      </c>
      <c r="Q5389" s="3">
        <v>0</v>
      </c>
      <c r="R5389" s="23" t="s">
        <v>11933</v>
      </c>
      <c r="S5389" s="23" t="s">
        <v>5849</v>
      </c>
      <c r="T5389" s="23" t="s">
        <v>4866</v>
      </c>
      <c r="U5389" s="3">
        <v>35</v>
      </c>
      <c r="W5389" s="45" t="str">
        <f>HYPERLINK("http://ictvonline.org/taxonomy/p/taxonomy-history?taxnode_id=201904548","ICTVonline=201904548")</f>
        <v>ICTVonline=201904548</v>
      </c>
      <c r="Y5389" s="1" t="s">
        <v>15627</v>
      </c>
      <c r="Z5389" s="1" t="s">
        <v>15628</v>
      </c>
      <c r="AA5389" s="1">
        <v>201900000</v>
      </c>
      <c r="AB5389" s="1">
        <v>35</v>
      </c>
    </row>
    <row r="5390" spans="1:28" x14ac:dyDescent="0.2">
      <c r="A5390" s="1">
        <v>14015</v>
      </c>
      <c r="B5390" s="1" t="s">
        <v>6839</v>
      </c>
      <c r="D5390" s="1" t="s">
        <v>11735</v>
      </c>
      <c r="F5390" s="1" t="s">
        <v>14661</v>
      </c>
      <c r="H5390" s="1" t="s">
        <v>15590</v>
      </c>
      <c r="J5390" s="1" t="s">
        <v>15591</v>
      </c>
      <c r="L5390" s="1" t="s">
        <v>479</v>
      </c>
      <c r="N5390" s="1" t="s">
        <v>918</v>
      </c>
      <c r="P5390" s="1" t="s">
        <v>919</v>
      </c>
      <c r="Q5390" s="3">
        <v>0</v>
      </c>
      <c r="R5390" s="23" t="s">
        <v>11933</v>
      </c>
      <c r="S5390" s="23" t="s">
        <v>5849</v>
      </c>
      <c r="T5390" s="23" t="s">
        <v>4866</v>
      </c>
      <c r="U5390" s="3">
        <v>35</v>
      </c>
      <c r="W5390" s="45" t="str">
        <f>HYPERLINK("http://ictvonline.org/taxonomy/p/taxonomy-history?taxnode_id=201904550","ICTVonline=201904550")</f>
        <v>ICTVonline=201904550</v>
      </c>
      <c r="AA5390" s="1">
        <v>201900000</v>
      </c>
      <c r="AB5390" s="1">
        <v>35</v>
      </c>
    </row>
    <row r="5391" spans="1:28" x14ac:dyDescent="0.2">
      <c r="A5391" s="1">
        <v>14017</v>
      </c>
      <c r="B5391" s="1" t="s">
        <v>6839</v>
      </c>
      <c r="D5391" s="1" t="s">
        <v>11735</v>
      </c>
      <c r="F5391" s="1" t="s">
        <v>14661</v>
      </c>
      <c r="H5391" s="1" t="s">
        <v>15590</v>
      </c>
      <c r="J5391" s="1" t="s">
        <v>15591</v>
      </c>
      <c r="L5391" s="1" t="s">
        <v>479</v>
      </c>
      <c r="N5391" s="1" t="s">
        <v>918</v>
      </c>
      <c r="P5391" s="1" t="s">
        <v>15629</v>
      </c>
      <c r="Q5391" s="3">
        <v>0</v>
      </c>
      <c r="R5391" s="23" t="s">
        <v>11933</v>
      </c>
      <c r="S5391" s="23" t="s">
        <v>5849</v>
      </c>
      <c r="T5391" s="23" t="s">
        <v>4864</v>
      </c>
      <c r="U5391" s="3">
        <v>35</v>
      </c>
      <c r="V5391" s="3" t="s">
        <v>15630</v>
      </c>
      <c r="W5391" s="45" t="str">
        <f>HYPERLINK("http://ictvonline.org/taxonomy/p/taxonomy-history?taxnode_id=201907443","ICTVonline=201907443")</f>
        <v>ICTVonline=201907443</v>
      </c>
      <c r="X5391" s="1" t="s">
        <v>15631</v>
      </c>
      <c r="Y5391" s="1" t="s">
        <v>15632</v>
      </c>
      <c r="Z5391" s="1" t="s">
        <v>15633</v>
      </c>
      <c r="AA5391" s="1">
        <v>201900000</v>
      </c>
      <c r="AB5391" s="1">
        <v>35</v>
      </c>
    </row>
    <row r="5392" spans="1:28" x14ac:dyDescent="0.2">
      <c r="A5392" s="1">
        <v>14019</v>
      </c>
      <c r="B5392" s="1" t="s">
        <v>6839</v>
      </c>
      <c r="D5392" s="1" t="s">
        <v>11735</v>
      </c>
      <c r="F5392" s="1" t="s">
        <v>14661</v>
      </c>
      <c r="H5392" s="1" t="s">
        <v>15590</v>
      </c>
      <c r="J5392" s="1" t="s">
        <v>15591</v>
      </c>
      <c r="L5392" s="1" t="s">
        <v>479</v>
      </c>
      <c r="N5392" s="1" t="s">
        <v>918</v>
      </c>
      <c r="P5392" s="1" t="s">
        <v>593</v>
      </c>
      <c r="Q5392" s="3">
        <v>0</v>
      </c>
      <c r="R5392" s="23" t="s">
        <v>11933</v>
      </c>
      <c r="S5392" s="23" t="s">
        <v>5849</v>
      </c>
      <c r="T5392" s="23" t="s">
        <v>4866</v>
      </c>
      <c r="U5392" s="3">
        <v>35</v>
      </c>
      <c r="W5392" s="45" t="str">
        <f>HYPERLINK("http://ictvonline.org/taxonomy/p/taxonomy-history?taxnode_id=201904551","ICTVonline=201904551")</f>
        <v>ICTVonline=201904551</v>
      </c>
      <c r="AA5392" s="1">
        <v>201900000</v>
      </c>
      <c r="AB5392" s="1">
        <v>35</v>
      </c>
    </row>
    <row r="5393" spans="1:28" x14ac:dyDescent="0.2">
      <c r="A5393" s="1">
        <v>14021</v>
      </c>
      <c r="B5393" s="1" t="s">
        <v>6839</v>
      </c>
      <c r="D5393" s="1" t="s">
        <v>11735</v>
      </c>
      <c r="F5393" s="1" t="s">
        <v>14661</v>
      </c>
      <c r="H5393" s="1" t="s">
        <v>15590</v>
      </c>
      <c r="J5393" s="1" t="s">
        <v>15591</v>
      </c>
      <c r="L5393" s="1" t="s">
        <v>479</v>
      </c>
      <c r="N5393" s="1" t="s">
        <v>918</v>
      </c>
      <c r="P5393" s="1" t="s">
        <v>4761</v>
      </c>
      <c r="Q5393" s="3">
        <v>0</v>
      </c>
      <c r="R5393" s="23" t="s">
        <v>11933</v>
      </c>
      <c r="S5393" s="23" t="s">
        <v>5849</v>
      </c>
      <c r="T5393" s="23" t="s">
        <v>4866</v>
      </c>
      <c r="U5393" s="3">
        <v>35</v>
      </c>
      <c r="W5393" s="45" t="str">
        <f>HYPERLINK("http://ictvonline.org/taxonomy/p/taxonomy-history?taxnode_id=201904552","ICTVonline=201904552")</f>
        <v>ICTVonline=201904552</v>
      </c>
      <c r="Y5393" s="1" t="s">
        <v>15634</v>
      </c>
      <c r="Z5393" s="1" t="s">
        <v>15635</v>
      </c>
      <c r="AA5393" s="1">
        <v>201900000</v>
      </c>
      <c r="AB5393" s="1">
        <v>35</v>
      </c>
    </row>
    <row r="5394" spans="1:28" x14ac:dyDescent="0.2">
      <c r="A5394" s="1">
        <v>14023</v>
      </c>
      <c r="B5394" s="1" t="s">
        <v>6839</v>
      </c>
      <c r="D5394" s="1" t="s">
        <v>11735</v>
      </c>
      <c r="F5394" s="1" t="s">
        <v>14661</v>
      </c>
      <c r="H5394" s="1" t="s">
        <v>15590</v>
      </c>
      <c r="J5394" s="1" t="s">
        <v>15591</v>
      </c>
      <c r="L5394" s="1" t="s">
        <v>479</v>
      </c>
      <c r="N5394" s="1" t="s">
        <v>918</v>
      </c>
      <c r="P5394" s="1" t="s">
        <v>920</v>
      </c>
      <c r="Q5394" s="3">
        <v>0</v>
      </c>
      <c r="R5394" s="23" t="s">
        <v>11933</v>
      </c>
      <c r="S5394" s="23" t="s">
        <v>5849</v>
      </c>
      <c r="T5394" s="23" t="s">
        <v>4866</v>
      </c>
      <c r="U5394" s="3">
        <v>35</v>
      </c>
      <c r="W5394" s="45" t="str">
        <f>HYPERLINK("http://ictvonline.org/taxonomy/p/taxonomy-history?taxnode_id=201904553","ICTVonline=201904553")</f>
        <v>ICTVonline=201904553</v>
      </c>
      <c r="AA5394" s="1">
        <v>201900000</v>
      </c>
      <c r="AB5394" s="1">
        <v>35</v>
      </c>
    </row>
    <row r="5395" spans="1:28" x14ac:dyDescent="0.2">
      <c r="A5395" s="1">
        <v>14025</v>
      </c>
      <c r="B5395" s="1" t="s">
        <v>6839</v>
      </c>
      <c r="D5395" s="1" t="s">
        <v>11735</v>
      </c>
      <c r="F5395" s="1" t="s">
        <v>14661</v>
      </c>
      <c r="H5395" s="1" t="s">
        <v>15590</v>
      </c>
      <c r="J5395" s="1" t="s">
        <v>15591</v>
      </c>
      <c r="L5395" s="1" t="s">
        <v>479</v>
      </c>
      <c r="N5395" s="1" t="s">
        <v>918</v>
      </c>
      <c r="P5395" s="1" t="s">
        <v>921</v>
      </c>
      <c r="Q5395" s="3">
        <v>0</v>
      </c>
      <c r="R5395" s="23" t="s">
        <v>11933</v>
      </c>
      <c r="S5395" s="23" t="s">
        <v>5849</v>
      </c>
      <c r="T5395" s="23" t="s">
        <v>4866</v>
      </c>
      <c r="U5395" s="3">
        <v>35</v>
      </c>
      <c r="W5395" s="45" t="str">
        <f>HYPERLINK("http://ictvonline.org/taxonomy/p/taxonomy-history?taxnode_id=201904554","ICTVonline=201904554")</f>
        <v>ICTVonline=201904554</v>
      </c>
      <c r="Y5395" s="1" t="s">
        <v>15636</v>
      </c>
      <c r="Z5395" s="1" t="s">
        <v>15637</v>
      </c>
      <c r="AA5395" s="1">
        <v>201900000</v>
      </c>
      <c r="AB5395" s="1">
        <v>35</v>
      </c>
    </row>
    <row r="5396" spans="1:28" x14ac:dyDescent="0.2">
      <c r="A5396" s="1">
        <v>14027</v>
      </c>
      <c r="B5396" s="1" t="s">
        <v>6839</v>
      </c>
      <c r="D5396" s="1" t="s">
        <v>11735</v>
      </c>
      <c r="F5396" s="1" t="s">
        <v>14661</v>
      </c>
      <c r="H5396" s="1" t="s">
        <v>15590</v>
      </c>
      <c r="J5396" s="1" t="s">
        <v>15591</v>
      </c>
      <c r="L5396" s="1" t="s">
        <v>479</v>
      </c>
      <c r="N5396" s="1" t="s">
        <v>918</v>
      </c>
      <c r="P5396" s="1" t="s">
        <v>585</v>
      </c>
      <c r="Q5396" s="3">
        <v>1</v>
      </c>
      <c r="R5396" s="23" t="s">
        <v>11933</v>
      </c>
      <c r="S5396" s="23" t="s">
        <v>5849</v>
      </c>
      <c r="T5396" s="23" t="s">
        <v>4866</v>
      </c>
      <c r="U5396" s="3">
        <v>35</v>
      </c>
      <c r="W5396" s="45" t="str">
        <f>HYPERLINK("http://ictvonline.org/taxonomy/p/taxonomy-history?taxnode_id=201904555","ICTVonline=201904555")</f>
        <v>ICTVonline=201904555</v>
      </c>
      <c r="AA5396" s="1">
        <v>201900000</v>
      </c>
      <c r="AB5396" s="1">
        <v>35</v>
      </c>
    </row>
    <row r="5397" spans="1:28" x14ac:dyDescent="0.2">
      <c r="A5397" s="1">
        <v>14029</v>
      </c>
      <c r="B5397" s="1" t="s">
        <v>6839</v>
      </c>
      <c r="D5397" s="1" t="s">
        <v>11735</v>
      </c>
      <c r="F5397" s="1" t="s">
        <v>14661</v>
      </c>
      <c r="H5397" s="1" t="s">
        <v>15590</v>
      </c>
      <c r="J5397" s="1" t="s">
        <v>15591</v>
      </c>
      <c r="L5397" s="1" t="s">
        <v>479</v>
      </c>
      <c r="N5397" s="1" t="s">
        <v>918</v>
      </c>
      <c r="P5397" s="1" t="s">
        <v>586</v>
      </c>
      <c r="Q5397" s="3">
        <v>0</v>
      </c>
      <c r="R5397" s="23" t="s">
        <v>11933</v>
      </c>
      <c r="S5397" s="23" t="s">
        <v>5849</v>
      </c>
      <c r="T5397" s="23" t="s">
        <v>4866</v>
      </c>
      <c r="U5397" s="3">
        <v>35</v>
      </c>
      <c r="W5397" s="45" t="str">
        <f>HYPERLINK("http://ictvonline.org/taxonomy/p/taxonomy-history?taxnode_id=201904556","ICTVonline=201904556")</f>
        <v>ICTVonline=201904556</v>
      </c>
      <c r="AA5397" s="1">
        <v>201900000</v>
      </c>
      <c r="AB5397" s="1">
        <v>35</v>
      </c>
    </row>
    <row r="5398" spans="1:28" x14ac:dyDescent="0.2">
      <c r="A5398" s="1">
        <v>14031</v>
      </c>
      <c r="B5398" s="1" t="s">
        <v>6839</v>
      </c>
      <c r="D5398" s="1" t="s">
        <v>11735</v>
      </c>
      <c r="F5398" s="1" t="s">
        <v>14661</v>
      </c>
      <c r="H5398" s="1" t="s">
        <v>15590</v>
      </c>
      <c r="J5398" s="1" t="s">
        <v>15591</v>
      </c>
      <c r="L5398" s="1" t="s">
        <v>479</v>
      </c>
      <c r="N5398" s="1" t="s">
        <v>918</v>
      </c>
      <c r="P5398" s="1" t="s">
        <v>4762</v>
      </c>
      <c r="Q5398" s="3">
        <v>0</v>
      </c>
      <c r="R5398" s="23" t="s">
        <v>11933</v>
      </c>
      <c r="S5398" s="23" t="s">
        <v>5849</v>
      </c>
      <c r="T5398" s="23" t="s">
        <v>4866</v>
      </c>
      <c r="U5398" s="3">
        <v>35</v>
      </c>
      <c r="W5398" s="45" t="str">
        <f>HYPERLINK("http://ictvonline.org/taxonomy/p/taxonomy-history?taxnode_id=201904557","ICTVonline=201904557")</f>
        <v>ICTVonline=201904557</v>
      </c>
      <c r="Y5398" s="1" t="s">
        <v>15638</v>
      </c>
      <c r="Z5398" s="1" t="s">
        <v>15639</v>
      </c>
      <c r="AA5398" s="1">
        <v>201900000</v>
      </c>
      <c r="AB5398" s="1">
        <v>35</v>
      </c>
    </row>
    <row r="5399" spans="1:28" x14ac:dyDescent="0.2">
      <c r="A5399" s="1">
        <v>14033</v>
      </c>
      <c r="B5399" s="1" t="s">
        <v>6839</v>
      </c>
      <c r="D5399" s="1" t="s">
        <v>11735</v>
      </c>
      <c r="F5399" s="1" t="s">
        <v>14661</v>
      </c>
      <c r="H5399" s="1" t="s">
        <v>15590</v>
      </c>
      <c r="J5399" s="1" t="s">
        <v>15591</v>
      </c>
      <c r="L5399" s="1" t="s">
        <v>479</v>
      </c>
      <c r="N5399" s="1" t="s">
        <v>918</v>
      </c>
      <c r="P5399" s="1" t="s">
        <v>15640</v>
      </c>
      <c r="Q5399" s="3">
        <v>0</v>
      </c>
      <c r="R5399" s="23" t="s">
        <v>11933</v>
      </c>
      <c r="S5399" s="23" t="s">
        <v>5849</v>
      </c>
      <c r="T5399" s="23" t="s">
        <v>4864</v>
      </c>
      <c r="U5399" s="3">
        <v>35</v>
      </c>
      <c r="V5399" s="3" t="s">
        <v>15630</v>
      </c>
      <c r="W5399" s="45" t="str">
        <f>HYPERLINK("http://ictvonline.org/taxonomy/p/taxonomy-history?taxnode_id=201907444","ICTVonline=201907444")</f>
        <v>ICTVonline=201907444</v>
      </c>
      <c r="X5399" s="1" t="s">
        <v>15641</v>
      </c>
      <c r="Y5399" s="1" t="s">
        <v>15642</v>
      </c>
      <c r="Z5399" s="1" t="s">
        <v>15643</v>
      </c>
      <c r="AA5399" s="1">
        <v>201900000</v>
      </c>
      <c r="AB5399" s="1">
        <v>35</v>
      </c>
    </row>
    <row r="5400" spans="1:28" x14ac:dyDescent="0.2">
      <c r="A5400" s="1">
        <v>14037</v>
      </c>
      <c r="B5400" s="1" t="s">
        <v>6839</v>
      </c>
      <c r="D5400" s="1" t="s">
        <v>11735</v>
      </c>
      <c r="F5400" s="1" t="s">
        <v>14661</v>
      </c>
      <c r="H5400" s="1" t="s">
        <v>15590</v>
      </c>
      <c r="J5400" s="1" t="s">
        <v>15591</v>
      </c>
      <c r="L5400" s="1" t="s">
        <v>479</v>
      </c>
      <c r="N5400" s="1" t="s">
        <v>193</v>
      </c>
      <c r="P5400" s="1" t="s">
        <v>3942</v>
      </c>
      <c r="Q5400" s="3">
        <v>0</v>
      </c>
      <c r="R5400" s="23" t="s">
        <v>11933</v>
      </c>
      <c r="S5400" s="23" t="s">
        <v>5849</v>
      </c>
      <c r="T5400" s="23" t="s">
        <v>4866</v>
      </c>
      <c r="U5400" s="3">
        <v>35</v>
      </c>
      <c r="W5400" s="45" t="str">
        <f>HYPERLINK("http://ictvonline.org/taxonomy/p/taxonomy-history?taxnode_id=201904559","ICTVonline=201904559")</f>
        <v>ICTVonline=201904559</v>
      </c>
      <c r="Y5400" s="1" t="s">
        <v>15644</v>
      </c>
      <c r="Z5400" s="1" t="s">
        <v>15645</v>
      </c>
      <c r="AA5400" s="1">
        <v>201900000</v>
      </c>
      <c r="AB5400" s="1">
        <v>35</v>
      </c>
    </row>
    <row r="5401" spans="1:28" x14ac:dyDescent="0.2">
      <c r="A5401" s="1">
        <v>14039</v>
      </c>
      <c r="B5401" s="1" t="s">
        <v>6839</v>
      </c>
      <c r="D5401" s="1" t="s">
        <v>11735</v>
      </c>
      <c r="F5401" s="1" t="s">
        <v>14661</v>
      </c>
      <c r="H5401" s="1" t="s">
        <v>15590</v>
      </c>
      <c r="J5401" s="1" t="s">
        <v>15591</v>
      </c>
      <c r="L5401" s="1" t="s">
        <v>479</v>
      </c>
      <c r="N5401" s="1" t="s">
        <v>193</v>
      </c>
      <c r="P5401" s="1" t="s">
        <v>493</v>
      </c>
      <c r="Q5401" s="3">
        <v>0</v>
      </c>
      <c r="R5401" s="23" t="s">
        <v>11933</v>
      </c>
      <c r="S5401" s="23" t="s">
        <v>5849</v>
      </c>
      <c r="T5401" s="23" t="s">
        <v>4866</v>
      </c>
      <c r="U5401" s="3">
        <v>35</v>
      </c>
      <c r="W5401" s="45" t="str">
        <f>HYPERLINK("http://ictvonline.org/taxonomy/p/taxonomy-history?taxnode_id=201904560","ICTVonline=201904560")</f>
        <v>ICTVonline=201904560</v>
      </c>
      <c r="Y5401" s="1" t="s">
        <v>15646</v>
      </c>
      <c r="Z5401" s="1" t="s">
        <v>15647</v>
      </c>
      <c r="AA5401" s="1">
        <v>201900000</v>
      </c>
      <c r="AB5401" s="1">
        <v>35</v>
      </c>
    </row>
    <row r="5402" spans="1:28" x14ac:dyDescent="0.2">
      <c r="A5402" s="1">
        <v>14041</v>
      </c>
      <c r="B5402" s="1" t="s">
        <v>6839</v>
      </c>
      <c r="D5402" s="1" t="s">
        <v>11735</v>
      </c>
      <c r="F5402" s="1" t="s">
        <v>14661</v>
      </c>
      <c r="H5402" s="1" t="s">
        <v>15590</v>
      </c>
      <c r="J5402" s="1" t="s">
        <v>15591</v>
      </c>
      <c r="L5402" s="1" t="s">
        <v>479</v>
      </c>
      <c r="N5402" s="1" t="s">
        <v>193</v>
      </c>
      <c r="P5402" s="1" t="s">
        <v>194</v>
      </c>
      <c r="Q5402" s="3">
        <v>1</v>
      </c>
      <c r="R5402" s="23" t="s">
        <v>11933</v>
      </c>
      <c r="S5402" s="23" t="s">
        <v>5849</v>
      </c>
      <c r="T5402" s="23" t="s">
        <v>4866</v>
      </c>
      <c r="U5402" s="3">
        <v>35</v>
      </c>
      <c r="W5402" s="45" t="str">
        <f>HYPERLINK("http://ictvonline.org/taxonomy/p/taxonomy-history?taxnode_id=201904561","ICTVonline=201904561")</f>
        <v>ICTVonline=201904561</v>
      </c>
      <c r="Y5402" s="1" t="s">
        <v>15648</v>
      </c>
      <c r="Z5402" s="1" t="s">
        <v>15649</v>
      </c>
      <c r="AA5402" s="1">
        <v>201900000</v>
      </c>
      <c r="AB5402" s="1">
        <v>35</v>
      </c>
    </row>
    <row r="5403" spans="1:28" x14ac:dyDescent="0.2">
      <c r="A5403" s="1">
        <v>14045</v>
      </c>
      <c r="B5403" s="1" t="s">
        <v>6839</v>
      </c>
      <c r="D5403" s="1" t="s">
        <v>11735</v>
      </c>
      <c r="F5403" s="1" t="s">
        <v>14661</v>
      </c>
      <c r="H5403" s="1" t="s">
        <v>15590</v>
      </c>
      <c r="J5403" s="1" t="s">
        <v>15591</v>
      </c>
      <c r="L5403" s="1" t="s">
        <v>479</v>
      </c>
      <c r="N5403" s="1" t="s">
        <v>587</v>
      </c>
      <c r="P5403" s="1" t="s">
        <v>6821</v>
      </c>
      <c r="Q5403" s="3">
        <v>0</v>
      </c>
      <c r="R5403" s="23" t="s">
        <v>11933</v>
      </c>
      <c r="S5403" s="23" t="s">
        <v>5849</v>
      </c>
      <c r="T5403" s="23" t="s">
        <v>4866</v>
      </c>
      <c r="U5403" s="3">
        <v>35</v>
      </c>
      <c r="W5403" s="45" t="str">
        <f>HYPERLINK("http://ictvonline.org/taxonomy/p/taxonomy-history?taxnode_id=201906671","ICTVonline=201906671")</f>
        <v>ICTVonline=201906671</v>
      </c>
      <c r="X5403" s="1" t="s">
        <v>15650</v>
      </c>
      <c r="Y5403" s="1" t="s">
        <v>15651</v>
      </c>
      <c r="Z5403" s="1" t="s">
        <v>15652</v>
      </c>
      <c r="AA5403" s="1">
        <v>201900000</v>
      </c>
      <c r="AB5403" s="1">
        <v>35</v>
      </c>
    </row>
    <row r="5404" spans="1:28" x14ac:dyDescent="0.2">
      <c r="A5404" s="1">
        <v>14047</v>
      </c>
      <c r="B5404" s="1" t="s">
        <v>6839</v>
      </c>
      <c r="D5404" s="1" t="s">
        <v>11735</v>
      </c>
      <c r="F5404" s="1" t="s">
        <v>14661</v>
      </c>
      <c r="H5404" s="1" t="s">
        <v>15590</v>
      </c>
      <c r="J5404" s="1" t="s">
        <v>15591</v>
      </c>
      <c r="L5404" s="1" t="s">
        <v>479</v>
      </c>
      <c r="N5404" s="1" t="s">
        <v>587</v>
      </c>
      <c r="P5404" s="1" t="s">
        <v>2096</v>
      </c>
      <c r="Q5404" s="3">
        <v>0</v>
      </c>
      <c r="R5404" s="23" t="s">
        <v>11933</v>
      </c>
      <c r="S5404" s="23" t="s">
        <v>5849</v>
      </c>
      <c r="T5404" s="23" t="s">
        <v>4866</v>
      </c>
      <c r="U5404" s="3">
        <v>35</v>
      </c>
      <c r="W5404" s="45" t="str">
        <f>HYPERLINK("http://ictvonline.org/taxonomy/p/taxonomy-history?taxnode_id=201904563","ICTVonline=201904563")</f>
        <v>ICTVonline=201904563</v>
      </c>
      <c r="Y5404" s="1" t="s">
        <v>15653</v>
      </c>
      <c r="Z5404" s="1" t="s">
        <v>15654</v>
      </c>
      <c r="AA5404" s="1">
        <v>201900000</v>
      </c>
      <c r="AB5404" s="1">
        <v>35</v>
      </c>
    </row>
    <row r="5405" spans="1:28" x14ac:dyDescent="0.2">
      <c r="A5405" s="1">
        <v>14049</v>
      </c>
      <c r="B5405" s="1" t="s">
        <v>6839</v>
      </c>
      <c r="D5405" s="1" t="s">
        <v>11735</v>
      </c>
      <c r="F5405" s="1" t="s">
        <v>14661</v>
      </c>
      <c r="H5405" s="1" t="s">
        <v>15590</v>
      </c>
      <c r="J5405" s="1" t="s">
        <v>15591</v>
      </c>
      <c r="L5405" s="1" t="s">
        <v>479</v>
      </c>
      <c r="N5405" s="1" t="s">
        <v>587</v>
      </c>
      <c r="P5405" s="1" t="s">
        <v>588</v>
      </c>
      <c r="Q5405" s="3">
        <v>0</v>
      </c>
      <c r="R5405" s="23" t="s">
        <v>11933</v>
      </c>
      <c r="S5405" s="23" t="s">
        <v>5849</v>
      </c>
      <c r="T5405" s="23" t="s">
        <v>4866</v>
      </c>
      <c r="U5405" s="3">
        <v>35</v>
      </c>
      <c r="W5405" s="45" t="str">
        <f>HYPERLINK("http://ictvonline.org/taxonomy/p/taxonomy-history?taxnode_id=201904564","ICTVonline=201904564")</f>
        <v>ICTVonline=201904564</v>
      </c>
      <c r="AA5405" s="1">
        <v>201900000</v>
      </c>
      <c r="AB5405" s="1">
        <v>35</v>
      </c>
    </row>
    <row r="5406" spans="1:28" x14ac:dyDescent="0.2">
      <c r="A5406" s="1">
        <v>14051</v>
      </c>
      <c r="B5406" s="1" t="s">
        <v>6839</v>
      </c>
      <c r="D5406" s="1" t="s">
        <v>11735</v>
      </c>
      <c r="F5406" s="1" t="s">
        <v>14661</v>
      </c>
      <c r="H5406" s="1" t="s">
        <v>15590</v>
      </c>
      <c r="J5406" s="1" t="s">
        <v>15591</v>
      </c>
      <c r="L5406" s="1" t="s">
        <v>479</v>
      </c>
      <c r="N5406" s="1" t="s">
        <v>587</v>
      </c>
      <c r="P5406" s="1" t="s">
        <v>2097</v>
      </c>
      <c r="Q5406" s="3">
        <v>0</v>
      </c>
      <c r="R5406" s="23" t="s">
        <v>11933</v>
      </c>
      <c r="S5406" s="23" t="s">
        <v>5849</v>
      </c>
      <c r="T5406" s="23" t="s">
        <v>4866</v>
      </c>
      <c r="U5406" s="3">
        <v>35</v>
      </c>
      <c r="W5406" s="45" t="str">
        <f>HYPERLINK("http://ictvonline.org/taxonomy/p/taxonomy-history?taxnode_id=201904565","ICTVonline=201904565")</f>
        <v>ICTVonline=201904565</v>
      </c>
      <c r="AA5406" s="1">
        <v>201900000</v>
      </c>
      <c r="AB5406" s="1">
        <v>35</v>
      </c>
    </row>
    <row r="5407" spans="1:28" x14ac:dyDescent="0.2">
      <c r="A5407" s="1">
        <v>14053</v>
      </c>
      <c r="B5407" s="1" t="s">
        <v>6839</v>
      </c>
      <c r="D5407" s="1" t="s">
        <v>11735</v>
      </c>
      <c r="F5407" s="1" t="s">
        <v>14661</v>
      </c>
      <c r="H5407" s="1" t="s">
        <v>15590</v>
      </c>
      <c r="J5407" s="1" t="s">
        <v>15591</v>
      </c>
      <c r="L5407" s="1" t="s">
        <v>479</v>
      </c>
      <c r="N5407" s="1" t="s">
        <v>587</v>
      </c>
      <c r="P5407" s="1" t="s">
        <v>589</v>
      </c>
      <c r="Q5407" s="3">
        <v>0</v>
      </c>
      <c r="R5407" s="23" t="s">
        <v>11933</v>
      </c>
      <c r="S5407" s="23" t="s">
        <v>5849</v>
      </c>
      <c r="T5407" s="23" t="s">
        <v>4866</v>
      </c>
      <c r="U5407" s="3">
        <v>35</v>
      </c>
      <c r="W5407" s="45" t="str">
        <f>HYPERLINK("http://ictvonline.org/taxonomy/p/taxonomy-history?taxnode_id=201904566","ICTVonline=201904566")</f>
        <v>ICTVonline=201904566</v>
      </c>
      <c r="AA5407" s="1">
        <v>201900000</v>
      </c>
      <c r="AB5407" s="1">
        <v>35</v>
      </c>
    </row>
    <row r="5408" spans="1:28" x14ac:dyDescent="0.2">
      <c r="A5408" s="1">
        <v>14055</v>
      </c>
      <c r="B5408" s="1" t="s">
        <v>6839</v>
      </c>
      <c r="D5408" s="1" t="s">
        <v>11735</v>
      </c>
      <c r="F5408" s="1" t="s">
        <v>14661</v>
      </c>
      <c r="H5408" s="1" t="s">
        <v>15590</v>
      </c>
      <c r="J5408" s="1" t="s">
        <v>15591</v>
      </c>
      <c r="L5408" s="1" t="s">
        <v>479</v>
      </c>
      <c r="N5408" s="1" t="s">
        <v>587</v>
      </c>
      <c r="P5408" s="1" t="s">
        <v>590</v>
      </c>
      <c r="Q5408" s="3">
        <v>0</v>
      </c>
      <c r="R5408" s="23" t="s">
        <v>11933</v>
      </c>
      <c r="S5408" s="23" t="s">
        <v>5849</v>
      </c>
      <c r="T5408" s="23" t="s">
        <v>4866</v>
      </c>
      <c r="U5408" s="3">
        <v>35</v>
      </c>
      <c r="W5408" s="45" t="str">
        <f>HYPERLINK("http://ictvonline.org/taxonomy/p/taxonomy-history?taxnode_id=201904567","ICTVonline=201904567")</f>
        <v>ICTVonline=201904567</v>
      </c>
      <c r="AA5408" s="1">
        <v>201900000</v>
      </c>
      <c r="AB5408" s="1">
        <v>35</v>
      </c>
    </row>
    <row r="5409" spans="1:28" x14ac:dyDescent="0.2">
      <c r="A5409" s="1">
        <v>14057</v>
      </c>
      <c r="B5409" s="1" t="s">
        <v>6839</v>
      </c>
      <c r="D5409" s="1" t="s">
        <v>11735</v>
      </c>
      <c r="F5409" s="1" t="s">
        <v>14661</v>
      </c>
      <c r="H5409" s="1" t="s">
        <v>15590</v>
      </c>
      <c r="J5409" s="1" t="s">
        <v>15591</v>
      </c>
      <c r="L5409" s="1" t="s">
        <v>479</v>
      </c>
      <c r="N5409" s="1" t="s">
        <v>587</v>
      </c>
      <c r="P5409" s="1" t="s">
        <v>2098</v>
      </c>
      <c r="Q5409" s="3">
        <v>0</v>
      </c>
      <c r="R5409" s="23" t="s">
        <v>11933</v>
      </c>
      <c r="S5409" s="23" t="s">
        <v>5849</v>
      </c>
      <c r="T5409" s="23" t="s">
        <v>4866</v>
      </c>
      <c r="U5409" s="3">
        <v>35</v>
      </c>
      <c r="W5409" s="45" t="str">
        <f>HYPERLINK("http://ictvonline.org/taxonomy/p/taxonomy-history?taxnode_id=201904568","ICTVonline=201904568")</f>
        <v>ICTVonline=201904568</v>
      </c>
      <c r="AA5409" s="1">
        <v>201900000</v>
      </c>
      <c r="AB5409" s="1">
        <v>35</v>
      </c>
    </row>
    <row r="5410" spans="1:28" x14ac:dyDescent="0.2">
      <c r="A5410" s="1">
        <v>14059</v>
      </c>
      <c r="B5410" s="1" t="s">
        <v>6839</v>
      </c>
      <c r="D5410" s="1" t="s">
        <v>11735</v>
      </c>
      <c r="F5410" s="1" t="s">
        <v>14661</v>
      </c>
      <c r="H5410" s="1" t="s">
        <v>15590</v>
      </c>
      <c r="J5410" s="1" t="s">
        <v>15591</v>
      </c>
      <c r="L5410" s="1" t="s">
        <v>479</v>
      </c>
      <c r="N5410" s="1" t="s">
        <v>587</v>
      </c>
      <c r="P5410" s="1" t="s">
        <v>591</v>
      </c>
      <c r="Q5410" s="3">
        <v>0</v>
      </c>
      <c r="R5410" s="23" t="s">
        <v>11933</v>
      </c>
      <c r="S5410" s="23" t="s">
        <v>5849</v>
      </c>
      <c r="T5410" s="23" t="s">
        <v>4866</v>
      </c>
      <c r="U5410" s="3">
        <v>35</v>
      </c>
      <c r="W5410" s="45" t="str">
        <f>HYPERLINK("http://ictvonline.org/taxonomy/p/taxonomy-history?taxnode_id=201904569","ICTVonline=201904569")</f>
        <v>ICTVonline=201904569</v>
      </c>
      <c r="Y5410" s="1" t="s">
        <v>15655</v>
      </c>
      <c r="Z5410" s="1" t="s">
        <v>15656</v>
      </c>
      <c r="AA5410" s="1">
        <v>201900000</v>
      </c>
      <c r="AB5410" s="1">
        <v>35</v>
      </c>
    </row>
    <row r="5411" spans="1:28" x14ac:dyDescent="0.2">
      <c r="A5411" s="1">
        <v>14061</v>
      </c>
      <c r="B5411" s="1" t="s">
        <v>6839</v>
      </c>
      <c r="D5411" s="1" t="s">
        <v>11735</v>
      </c>
      <c r="F5411" s="1" t="s">
        <v>14661</v>
      </c>
      <c r="H5411" s="1" t="s">
        <v>15590</v>
      </c>
      <c r="J5411" s="1" t="s">
        <v>15591</v>
      </c>
      <c r="L5411" s="1" t="s">
        <v>479</v>
      </c>
      <c r="N5411" s="1" t="s">
        <v>587</v>
      </c>
      <c r="P5411" s="1" t="s">
        <v>592</v>
      </c>
      <c r="Q5411" s="3">
        <v>0</v>
      </c>
      <c r="R5411" s="23" t="s">
        <v>11933</v>
      </c>
      <c r="S5411" s="23" t="s">
        <v>5849</v>
      </c>
      <c r="T5411" s="23" t="s">
        <v>4866</v>
      </c>
      <c r="U5411" s="3">
        <v>35</v>
      </c>
      <c r="W5411" s="45" t="str">
        <f>HYPERLINK("http://ictvonline.org/taxonomy/p/taxonomy-history?taxnode_id=201904570","ICTVonline=201904570")</f>
        <v>ICTVonline=201904570</v>
      </c>
      <c r="AA5411" s="1">
        <v>201900000</v>
      </c>
      <c r="AB5411" s="1">
        <v>35</v>
      </c>
    </row>
    <row r="5412" spans="1:28" x14ac:dyDescent="0.2">
      <c r="A5412" s="1">
        <v>14063</v>
      </c>
      <c r="B5412" s="1" t="s">
        <v>6839</v>
      </c>
      <c r="D5412" s="1" t="s">
        <v>11735</v>
      </c>
      <c r="F5412" s="1" t="s">
        <v>14661</v>
      </c>
      <c r="H5412" s="1" t="s">
        <v>15590</v>
      </c>
      <c r="J5412" s="1" t="s">
        <v>15591</v>
      </c>
      <c r="L5412" s="1" t="s">
        <v>479</v>
      </c>
      <c r="N5412" s="1" t="s">
        <v>587</v>
      </c>
      <c r="P5412" s="1" t="s">
        <v>2122</v>
      </c>
      <c r="Q5412" s="3">
        <v>0</v>
      </c>
      <c r="R5412" s="23" t="s">
        <v>11933</v>
      </c>
      <c r="S5412" s="23" t="s">
        <v>5849</v>
      </c>
      <c r="T5412" s="23" t="s">
        <v>4866</v>
      </c>
      <c r="U5412" s="3">
        <v>35</v>
      </c>
      <c r="W5412" s="45" t="str">
        <f>HYPERLINK("http://ictvonline.org/taxonomy/p/taxonomy-history?taxnode_id=201904571","ICTVonline=201904571")</f>
        <v>ICTVonline=201904571</v>
      </c>
      <c r="Y5412" s="1" t="s">
        <v>15657</v>
      </c>
      <c r="Z5412" s="1" t="s">
        <v>15658</v>
      </c>
      <c r="AA5412" s="1">
        <v>201900000</v>
      </c>
      <c r="AB5412" s="1">
        <v>35</v>
      </c>
    </row>
    <row r="5413" spans="1:28" x14ac:dyDescent="0.2">
      <c r="A5413" s="1">
        <v>14065</v>
      </c>
      <c r="B5413" s="1" t="s">
        <v>6839</v>
      </c>
      <c r="D5413" s="1" t="s">
        <v>11735</v>
      </c>
      <c r="F5413" s="1" t="s">
        <v>14661</v>
      </c>
      <c r="H5413" s="1" t="s">
        <v>15590</v>
      </c>
      <c r="J5413" s="1" t="s">
        <v>15591</v>
      </c>
      <c r="L5413" s="1" t="s">
        <v>479</v>
      </c>
      <c r="N5413" s="1" t="s">
        <v>587</v>
      </c>
      <c r="P5413" s="1" t="s">
        <v>594</v>
      </c>
      <c r="Q5413" s="3">
        <v>0</v>
      </c>
      <c r="R5413" s="23" t="s">
        <v>11933</v>
      </c>
      <c r="S5413" s="23" t="s">
        <v>5849</v>
      </c>
      <c r="T5413" s="23" t="s">
        <v>4866</v>
      </c>
      <c r="U5413" s="3">
        <v>35</v>
      </c>
      <c r="W5413" s="45" t="str">
        <f>HYPERLINK("http://ictvonline.org/taxonomy/p/taxonomy-history?taxnode_id=201904572","ICTVonline=201904572")</f>
        <v>ICTVonline=201904572</v>
      </c>
      <c r="Y5413" s="1" t="s">
        <v>15659</v>
      </c>
      <c r="Z5413" s="1" t="s">
        <v>15660</v>
      </c>
      <c r="AA5413" s="1">
        <v>201900000</v>
      </c>
      <c r="AB5413" s="1">
        <v>35</v>
      </c>
    </row>
    <row r="5414" spans="1:28" x14ac:dyDescent="0.2">
      <c r="A5414" s="1">
        <v>14067</v>
      </c>
      <c r="B5414" s="1" t="s">
        <v>6839</v>
      </c>
      <c r="D5414" s="1" t="s">
        <v>11735</v>
      </c>
      <c r="F5414" s="1" t="s">
        <v>14661</v>
      </c>
      <c r="H5414" s="1" t="s">
        <v>15590</v>
      </c>
      <c r="J5414" s="1" t="s">
        <v>15591</v>
      </c>
      <c r="L5414" s="1" t="s">
        <v>479</v>
      </c>
      <c r="N5414" s="1" t="s">
        <v>587</v>
      </c>
      <c r="P5414" s="1" t="s">
        <v>595</v>
      </c>
      <c r="Q5414" s="3">
        <v>0</v>
      </c>
      <c r="R5414" s="23" t="s">
        <v>11933</v>
      </c>
      <c r="S5414" s="23" t="s">
        <v>5849</v>
      </c>
      <c r="T5414" s="23" t="s">
        <v>4866</v>
      </c>
      <c r="U5414" s="3">
        <v>35</v>
      </c>
      <c r="W5414" s="45" t="str">
        <f>HYPERLINK("http://ictvonline.org/taxonomy/p/taxonomy-history?taxnode_id=201904573","ICTVonline=201904573")</f>
        <v>ICTVonline=201904573</v>
      </c>
      <c r="Y5414" s="1" t="s">
        <v>15661</v>
      </c>
      <c r="Z5414" s="1" t="s">
        <v>15662</v>
      </c>
      <c r="AA5414" s="1">
        <v>201900000</v>
      </c>
      <c r="AB5414" s="1">
        <v>35</v>
      </c>
    </row>
    <row r="5415" spans="1:28" x14ac:dyDescent="0.2">
      <c r="A5415" s="1">
        <v>14069</v>
      </c>
      <c r="B5415" s="1" t="s">
        <v>6839</v>
      </c>
      <c r="D5415" s="1" t="s">
        <v>11735</v>
      </c>
      <c r="F5415" s="1" t="s">
        <v>14661</v>
      </c>
      <c r="H5415" s="1" t="s">
        <v>15590</v>
      </c>
      <c r="J5415" s="1" t="s">
        <v>15591</v>
      </c>
      <c r="L5415" s="1" t="s">
        <v>479</v>
      </c>
      <c r="N5415" s="1" t="s">
        <v>587</v>
      </c>
      <c r="P5415" s="1" t="s">
        <v>5454</v>
      </c>
      <c r="Q5415" s="3">
        <v>0</v>
      </c>
      <c r="R5415" s="23" t="s">
        <v>11933</v>
      </c>
      <c r="S5415" s="23" t="s">
        <v>5849</v>
      </c>
      <c r="T5415" s="23" t="s">
        <v>4866</v>
      </c>
      <c r="U5415" s="3">
        <v>35</v>
      </c>
      <c r="W5415" s="45" t="str">
        <f>HYPERLINK("http://ictvonline.org/taxonomy/p/taxonomy-history?taxnode_id=201905918","ICTVonline=201905918")</f>
        <v>ICTVonline=201905918</v>
      </c>
      <c r="AA5415" s="1">
        <v>201900000</v>
      </c>
      <c r="AB5415" s="1">
        <v>35</v>
      </c>
    </row>
    <row r="5416" spans="1:28" x14ac:dyDescent="0.2">
      <c r="A5416" s="1">
        <v>14071</v>
      </c>
      <c r="B5416" s="1" t="s">
        <v>6839</v>
      </c>
      <c r="D5416" s="1" t="s">
        <v>11735</v>
      </c>
      <c r="F5416" s="1" t="s">
        <v>14661</v>
      </c>
      <c r="H5416" s="1" t="s">
        <v>15590</v>
      </c>
      <c r="J5416" s="1" t="s">
        <v>15591</v>
      </c>
      <c r="L5416" s="1" t="s">
        <v>479</v>
      </c>
      <c r="N5416" s="1" t="s">
        <v>587</v>
      </c>
      <c r="P5416" s="1" t="s">
        <v>596</v>
      </c>
      <c r="Q5416" s="3">
        <v>0</v>
      </c>
      <c r="R5416" s="23" t="s">
        <v>11933</v>
      </c>
      <c r="S5416" s="23" t="s">
        <v>5849</v>
      </c>
      <c r="T5416" s="23" t="s">
        <v>4866</v>
      </c>
      <c r="U5416" s="3">
        <v>35</v>
      </c>
      <c r="W5416" s="45" t="str">
        <f>HYPERLINK("http://ictvonline.org/taxonomy/p/taxonomy-history?taxnode_id=201904574","ICTVonline=201904574")</f>
        <v>ICTVonline=201904574</v>
      </c>
      <c r="Y5416" s="1" t="s">
        <v>15663</v>
      </c>
      <c r="Z5416" s="1" t="s">
        <v>15664</v>
      </c>
      <c r="AA5416" s="1">
        <v>201900000</v>
      </c>
      <c r="AB5416" s="1">
        <v>35</v>
      </c>
    </row>
    <row r="5417" spans="1:28" x14ac:dyDescent="0.2">
      <c r="A5417" s="1">
        <v>14073</v>
      </c>
      <c r="B5417" s="1" t="s">
        <v>6839</v>
      </c>
      <c r="D5417" s="1" t="s">
        <v>11735</v>
      </c>
      <c r="F5417" s="1" t="s">
        <v>14661</v>
      </c>
      <c r="H5417" s="1" t="s">
        <v>15590</v>
      </c>
      <c r="J5417" s="1" t="s">
        <v>15591</v>
      </c>
      <c r="L5417" s="1" t="s">
        <v>479</v>
      </c>
      <c r="N5417" s="1" t="s">
        <v>587</v>
      </c>
      <c r="P5417" s="1" t="s">
        <v>597</v>
      </c>
      <c r="Q5417" s="3">
        <v>0</v>
      </c>
      <c r="R5417" s="23" t="s">
        <v>11933</v>
      </c>
      <c r="S5417" s="23" t="s">
        <v>5849</v>
      </c>
      <c r="T5417" s="23" t="s">
        <v>4866</v>
      </c>
      <c r="U5417" s="3">
        <v>35</v>
      </c>
      <c r="W5417" s="45" t="str">
        <f>HYPERLINK("http://ictvonline.org/taxonomy/p/taxonomy-history?taxnode_id=201904575","ICTVonline=201904575")</f>
        <v>ICTVonline=201904575</v>
      </c>
      <c r="Y5417" s="1" t="s">
        <v>15665</v>
      </c>
      <c r="Z5417" s="1" t="s">
        <v>15666</v>
      </c>
      <c r="AA5417" s="1">
        <v>201900000</v>
      </c>
      <c r="AB5417" s="1">
        <v>35</v>
      </c>
    </row>
    <row r="5418" spans="1:28" x14ac:dyDescent="0.2">
      <c r="A5418" s="1">
        <v>14075</v>
      </c>
      <c r="B5418" s="1" t="s">
        <v>6839</v>
      </c>
      <c r="D5418" s="1" t="s">
        <v>11735</v>
      </c>
      <c r="F5418" s="1" t="s">
        <v>14661</v>
      </c>
      <c r="H5418" s="1" t="s">
        <v>15590</v>
      </c>
      <c r="J5418" s="1" t="s">
        <v>15591</v>
      </c>
      <c r="L5418" s="1" t="s">
        <v>479</v>
      </c>
      <c r="N5418" s="1" t="s">
        <v>587</v>
      </c>
      <c r="P5418" s="1" t="s">
        <v>598</v>
      </c>
      <c r="Q5418" s="3">
        <v>0</v>
      </c>
      <c r="R5418" s="23" t="s">
        <v>11933</v>
      </c>
      <c r="S5418" s="23" t="s">
        <v>5849</v>
      </c>
      <c r="T5418" s="23" t="s">
        <v>4866</v>
      </c>
      <c r="U5418" s="3">
        <v>35</v>
      </c>
      <c r="W5418" s="45" t="str">
        <f>HYPERLINK("http://ictvonline.org/taxonomy/p/taxonomy-history?taxnode_id=201904576","ICTVonline=201904576")</f>
        <v>ICTVonline=201904576</v>
      </c>
      <c r="Y5418" s="1" t="s">
        <v>15667</v>
      </c>
      <c r="Z5418" s="1" t="s">
        <v>15668</v>
      </c>
      <c r="AA5418" s="1">
        <v>201900000</v>
      </c>
      <c r="AB5418" s="1">
        <v>35</v>
      </c>
    </row>
    <row r="5419" spans="1:28" x14ac:dyDescent="0.2">
      <c r="A5419" s="1">
        <v>14077</v>
      </c>
      <c r="B5419" s="1" t="s">
        <v>6839</v>
      </c>
      <c r="D5419" s="1" t="s">
        <v>11735</v>
      </c>
      <c r="F5419" s="1" t="s">
        <v>14661</v>
      </c>
      <c r="H5419" s="1" t="s">
        <v>15590</v>
      </c>
      <c r="J5419" s="1" t="s">
        <v>15591</v>
      </c>
      <c r="L5419" s="1" t="s">
        <v>479</v>
      </c>
      <c r="N5419" s="1" t="s">
        <v>587</v>
      </c>
      <c r="P5419" s="1" t="s">
        <v>599</v>
      </c>
      <c r="Q5419" s="3">
        <v>0</v>
      </c>
      <c r="R5419" s="23" t="s">
        <v>11933</v>
      </c>
      <c r="S5419" s="23" t="s">
        <v>5849</v>
      </c>
      <c r="T5419" s="23" t="s">
        <v>4866</v>
      </c>
      <c r="U5419" s="3">
        <v>35</v>
      </c>
      <c r="W5419" s="45" t="str">
        <f>HYPERLINK("http://ictvonline.org/taxonomy/p/taxonomy-history?taxnode_id=201904577","ICTVonline=201904577")</f>
        <v>ICTVonline=201904577</v>
      </c>
      <c r="Y5419" s="1" t="s">
        <v>15669</v>
      </c>
      <c r="Z5419" s="1" t="s">
        <v>11935</v>
      </c>
      <c r="AA5419" s="1">
        <v>201900000</v>
      </c>
      <c r="AB5419" s="1">
        <v>35</v>
      </c>
    </row>
    <row r="5420" spans="1:28" x14ac:dyDescent="0.2">
      <c r="A5420" s="1">
        <v>14079</v>
      </c>
      <c r="B5420" s="1" t="s">
        <v>6839</v>
      </c>
      <c r="D5420" s="1" t="s">
        <v>11735</v>
      </c>
      <c r="F5420" s="1" t="s">
        <v>14661</v>
      </c>
      <c r="H5420" s="1" t="s">
        <v>15590</v>
      </c>
      <c r="J5420" s="1" t="s">
        <v>15591</v>
      </c>
      <c r="L5420" s="1" t="s">
        <v>479</v>
      </c>
      <c r="N5420" s="1" t="s">
        <v>587</v>
      </c>
      <c r="P5420" s="1" t="s">
        <v>600</v>
      </c>
      <c r="Q5420" s="3">
        <v>0</v>
      </c>
      <c r="R5420" s="23" t="s">
        <v>11933</v>
      </c>
      <c r="S5420" s="23" t="s">
        <v>5849</v>
      </c>
      <c r="T5420" s="23" t="s">
        <v>4866</v>
      </c>
      <c r="U5420" s="3">
        <v>35</v>
      </c>
      <c r="W5420" s="45" t="str">
        <f>HYPERLINK("http://ictvonline.org/taxonomy/p/taxonomy-history?taxnode_id=201904578","ICTVonline=201904578")</f>
        <v>ICTVonline=201904578</v>
      </c>
      <c r="Y5420" s="1" t="s">
        <v>15670</v>
      </c>
      <c r="Z5420" s="1" t="s">
        <v>15671</v>
      </c>
      <c r="AA5420" s="1">
        <v>201900000</v>
      </c>
      <c r="AB5420" s="1">
        <v>35</v>
      </c>
    </row>
    <row r="5421" spans="1:28" x14ac:dyDescent="0.2">
      <c r="A5421" s="1">
        <v>14081</v>
      </c>
      <c r="B5421" s="1" t="s">
        <v>6839</v>
      </c>
      <c r="D5421" s="1" t="s">
        <v>11735</v>
      </c>
      <c r="F5421" s="1" t="s">
        <v>14661</v>
      </c>
      <c r="H5421" s="1" t="s">
        <v>15590</v>
      </c>
      <c r="J5421" s="1" t="s">
        <v>15591</v>
      </c>
      <c r="L5421" s="1" t="s">
        <v>479</v>
      </c>
      <c r="N5421" s="1" t="s">
        <v>587</v>
      </c>
      <c r="P5421" s="1" t="s">
        <v>2670</v>
      </c>
      <c r="Q5421" s="3">
        <v>0</v>
      </c>
      <c r="R5421" s="23" t="s">
        <v>11933</v>
      </c>
      <c r="S5421" s="23" t="s">
        <v>5849</v>
      </c>
      <c r="T5421" s="23" t="s">
        <v>4866</v>
      </c>
      <c r="U5421" s="3">
        <v>35</v>
      </c>
      <c r="W5421" s="45" t="str">
        <f>HYPERLINK("http://ictvonline.org/taxonomy/p/taxonomy-history?taxnode_id=201904579","ICTVonline=201904579")</f>
        <v>ICTVonline=201904579</v>
      </c>
      <c r="Y5421" s="1" t="s">
        <v>15672</v>
      </c>
      <c r="Z5421" s="1" t="s">
        <v>15673</v>
      </c>
      <c r="AA5421" s="1">
        <v>201900000</v>
      </c>
      <c r="AB5421" s="1">
        <v>35</v>
      </c>
    </row>
    <row r="5422" spans="1:28" x14ac:dyDescent="0.2">
      <c r="A5422" s="1">
        <v>14083</v>
      </c>
      <c r="B5422" s="1" t="s">
        <v>6839</v>
      </c>
      <c r="D5422" s="1" t="s">
        <v>11735</v>
      </c>
      <c r="F5422" s="1" t="s">
        <v>14661</v>
      </c>
      <c r="H5422" s="1" t="s">
        <v>15590</v>
      </c>
      <c r="J5422" s="1" t="s">
        <v>15591</v>
      </c>
      <c r="L5422" s="1" t="s">
        <v>479</v>
      </c>
      <c r="N5422" s="1" t="s">
        <v>587</v>
      </c>
      <c r="P5422" s="1" t="s">
        <v>601</v>
      </c>
      <c r="Q5422" s="3">
        <v>0</v>
      </c>
      <c r="R5422" s="23" t="s">
        <v>11933</v>
      </c>
      <c r="S5422" s="23" t="s">
        <v>5849</v>
      </c>
      <c r="T5422" s="23" t="s">
        <v>4866</v>
      </c>
      <c r="U5422" s="3">
        <v>35</v>
      </c>
      <c r="W5422" s="45" t="str">
        <f>HYPERLINK("http://ictvonline.org/taxonomy/p/taxonomy-history?taxnode_id=201904580","ICTVonline=201904580")</f>
        <v>ICTVonline=201904580</v>
      </c>
      <c r="Y5422" s="1" t="s">
        <v>15674</v>
      </c>
      <c r="Z5422" s="1" t="s">
        <v>15675</v>
      </c>
      <c r="AA5422" s="1">
        <v>201900000</v>
      </c>
      <c r="AB5422" s="1">
        <v>35</v>
      </c>
    </row>
    <row r="5423" spans="1:28" x14ac:dyDescent="0.2">
      <c r="A5423" s="1">
        <v>14085</v>
      </c>
      <c r="B5423" s="1" t="s">
        <v>6839</v>
      </c>
      <c r="D5423" s="1" t="s">
        <v>11735</v>
      </c>
      <c r="F5423" s="1" t="s">
        <v>14661</v>
      </c>
      <c r="H5423" s="1" t="s">
        <v>15590</v>
      </c>
      <c r="J5423" s="1" t="s">
        <v>15591</v>
      </c>
      <c r="L5423" s="1" t="s">
        <v>479</v>
      </c>
      <c r="N5423" s="1" t="s">
        <v>587</v>
      </c>
      <c r="P5423" s="1" t="s">
        <v>2671</v>
      </c>
      <c r="Q5423" s="3">
        <v>0</v>
      </c>
      <c r="R5423" s="23" t="s">
        <v>11933</v>
      </c>
      <c r="S5423" s="23" t="s">
        <v>5849</v>
      </c>
      <c r="T5423" s="23" t="s">
        <v>4866</v>
      </c>
      <c r="U5423" s="3">
        <v>35</v>
      </c>
      <c r="W5423" s="45" t="str">
        <f>HYPERLINK("http://ictvonline.org/taxonomy/p/taxonomy-history?taxnode_id=201904581","ICTVonline=201904581")</f>
        <v>ICTVonline=201904581</v>
      </c>
      <c r="Y5423" s="1" t="s">
        <v>15676</v>
      </c>
      <c r="Z5423" s="1" t="s">
        <v>15645</v>
      </c>
      <c r="AA5423" s="1">
        <v>201900000</v>
      </c>
      <c r="AB5423" s="1">
        <v>35</v>
      </c>
    </row>
    <row r="5424" spans="1:28" x14ac:dyDescent="0.2">
      <c r="A5424" s="1">
        <v>14087</v>
      </c>
      <c r="B5424" s="1" t="s">
        <v>6839</v>
      </c>
      <c r="D5424" s="1" t="s">
        <v>11735</v>
      </c>
      <c r="F5424" s="1" t="s">
        <v>14661</v>
      </c>
      <c r="H5424" s="1" t="s">
        <v>15590</v>
      </c>
      <c r="J5424" s="1" t="s">
        <v>15591</v>
      </c>
      <c r="L5424" s="1" t="s">
        <v>479</v>
      </c>
      <c r="N5424" s="1" t="s">
        <v>587</v>
      </c>
      <c r="P5424" s="1" t="s">
        <v>2672</v>
      </c>
      <c r="Q5424" s="3">
        <v>0</v>
      </c>
      <c r="R5424" s="23" t="s">
        <v>11933</v>
      </c>
      <c r="S5424" s="23" t="s">
        <v>5849</v>
      </c>
      <c r="T5424" s="23" t="s">
        <v>4866</v>
      </c>
      <c r="U5424" s="3">
        <v>35</v>
      </c>
      <c r="W5424" s="45" t="str">
        <f>HYPERLINK("http://ictvonline.org/taxonomy/p/taxonomy-history?taxnode_id=201904582","ICTVonline=201904582")</f>
        <v>ICTVonline=201904582</v>
      </c>
      <c r="Y5424" s="1" t="s">
        <v>15677</v>
      </c>
      <c r="Z5424" s="1" t="s">
        <v>15678</v>
      </c>
      <c r="AA5424" s="1">
        <v>201900000</v>
      </c>
      <c r="AB5424" s="1">
        <v>35</v>
      </c>
    </row>
    <row r="5425" spans="1:28" x14ac:dyDescent="0.2">
      <c r="A5425" s="1">
        <v>14089</v>
      </c>
      <c r="B5425" s="1" t="s">
        <v>6839</v>
      </c>
      <c r="D5425" s="1" t="s">
        <v>11735</v>
      </c>
      <c r="F5425" s="1" t="s">
        <v>14661</v>
      </c>
      <c r="H5425" s="1" t="s">
        <v>15590</v>
      </c>
      <c r="J5425" s="1" t="s">
        <v>15591</v>
      </c>
      <c r="L5425" s="1" t="s">
        <v>479</v>
      </c>
      <c r="N5425" s="1" t="s">
        <v>587</v>
      </c>
      <c r="P5425" s="1" t="s">
        <v>2123</v>
      </c>
      <c r="Q5425" s="3">
        <v>0</v>
      </c>
      <c r="R5425" s="23" t="s">
        <v>11933</v>
      </c>
      <c r="S5425" s="23" t="s">
        <v>5849</v>
      </c>
      <c r="T5425" s="23" t="s">
        <v>4866</v>
      </c>
      <c r="U5425" s="3">
        <v>35</v>
      </c>
      <c r="W5425" s="45" t="str">
        <f>HYPERLINK("http://ictvonline.org/taxonomy/p/taxonomy-history?taxnode_id=201904583","ICTVonline=201904583")</f>
        <v>ICTVonline=201904583</v>
      </c>
      <c r="Y5425" s="1" t="s">
        <v>15679</v>
      </c>
      <c r="Z5425" s="1" t="s">
        <v>15680</v>
      </c>
      <c r="AA5425" s="1">
        <v>201900000</v>
      </c>
      <c r="AB5425" s="1">
        <v>35</v>
      </c>
    </row>
    <row r="5426" spans="1:28" x14ac:dyDescent="0.2">
      <c r="A5426" s="1">
        <v>14091</v>
      </c>
      <c r="B5426" s="1" t="s">
        <v>6839</v>
      </c>
      <c r="D5426" s="1" t="s">
        <v>11735</v>
      </c>
      <c r="F5426" s="1" t="s">
        <v>14661</v>
      </c>
      <c r="H5426" s="1" t="s">
        <v>15590</v>
      </c>
      <c r="J5426" s="1" t="s">
        <v>15591</v>
      </c>
      <c r="L5426" s="1" t="s">
        <v>479</v>
      </c>
      <c r="N5426" s="1" t="s">
        <v>587</v>
      </c>
      <c r="P5426" s="1" t="s">
        <v>2099</v>
      </c>
      <c r="Q5426" s="3">
        <v>0</v>
      </c>
      <c r="R5426" s="23" t="s">
        <v>11933</v>
      </c>
      <c r="S5426" s="23" t="s">
        <v>5849</v>
      </c>
      <c r="T5426" s="23" t="s">
        <v>4866</v>
      </c>
      <c r="U5426" s="3">
        <v>35</v>
      </c>
      <c r="W5426" s="45" t="str">
        <f>HYPERLINK("http://ictvonline.org/taxonomy/p/taxonomy-history?taxnode_id=201904584","ICTVonline=201904584")</f>
        <v>ICTVonline=201904584</v>
      </c>
      <c r="AA5426" s="1">
        <v>201900000</v>
      </c>
      <c r="AB5426" s="1">
        <v>35</v>
      </c>
    </row>
    <row r="5427" spans="1:28" x14ac:dyDescent="0.2">
      <c r="A5427" s="1">
        <v>14093</v>
      </c>
      <c r="B5427" s="1" t="s">
        <v>6839</v>
      </c>
      <c r="D5427" s="1" t="s">
        <v>11735</v>
      </c>
      <c r="F5427" s="1" t="s">
        <v>14661</v>
      </c>
      <c r="H5427" s="1" t="s">
        <v>15590</v>
      </c>
      <c r="J5427" s="1" t="s">
        <v>15591</v>
      </c>
      <c r="L5427" s="1" t="s">
        <v>479</v>
      </c>
      <c r="N5427" s="1" t="s">
        <v>587</v>
      </c>
      <c r="P5427" s="1" t="s">
        <v>1563</v>
      </c>
      <c r="Q5427" s="3">
        <v>0</v>
      </c>
      <c r="R5427" s="23" t="s">
        <v>11933</v>
      </c>
      <c r="S5427" s="23" t="s">
        <v>5849</v>
      </c>
      <c r="T5427" s="23" t="s">
        <v>4866</v>
      </c>
      <c r="U5427" s="3">
        <v>35</v>
      </c>
      <c r="W5427" s="45" t="str">
        <f>HYPERLINK("http://ictvonline.org/taxonomy/p/taxonomy-history?taxnode_id=201904585","ICTVonline=201904585")</f>
        <v>ICTVonline=201904585</v>
      </c>
      <c r="AA5427" s="1">
        <v>201900000</v>
      </c>
      <c r="AB5427" s="1">
        <v>35</v>
      </c>
    </row>
    <row r="5428" spans="1:28" x14ac:dyDescent="0.2">
      <c r="A5428" s="1">
        <v>14095</v>
      </c>
      <c r="B5428" s="1" t="s">
        <v>6839</v>
      </c>
      <c r="D5428" s="1" t="s">
        <v>11735</v>
      </c>
      <c r="F5428" s="1" t="s">
        <v>14661</v>
      </c>
      <c r="H5428" s="1" t="s">
        <v>15590</v>
      </c>
      <c r="J5428" s="1" t="s">
        <v>15591</v>
      </c>
      <c r="L5428" s="1" t="s">
        <v>479</v>
      </c>
      <c r="N5428" s="1" t="s">
        <v>587</v>
      </c>
      <c r="P5428" s="1" t="s">
        <v>2673</v>
      </c>
      <c r="Q5428" s="3">
        <v>0</v>
      </c>
      <c r="R5428" s="23" t="s">
        <v>11933</v>
      </c>
      <c r="S5428" s="23" t="s">
        <v>5849</v>
      </c>
      <c r="T5428" s="23" t="s">
        <v>4866</v>
      </c>
      <c r="U5428" s="3">
        <v>35</v>
      </c>
      <c r="W5428" s="45" t="str">
        <f>HYPERLINK("http://ictvonline.org/taxonomy/p/taxonomy-history?taxnode_id=201904586","ICTVonline=201904586")</f>
        <v>ICTVonline=201904586</v>
      </c>
      <c r="Y5428" s="1" t="s">
        <v>15681</v>
      </c>
      <c r="Z5428" s="1" t="s">
        <v>15682</v>
      </c>
      <c r="AA5428" s="1">
        <v>201900000</v>
      </c>
      <c r="AB5428" s="1">
        <v>35</v>
      </c>
    </row>
    <row r="5429" spans="1:28" x14ac:dyDescent="0.2">
      <c r="A5429" s="1">
        <v>14097</v>
      </c>
      <c r="B5429" s="1" t="s">
        <v>6839</v>
      </c>
      <c r="D5429" s="1" t="s">
        <v>11735</v>
      </c>
      <c r="F5429" s="1" t="s">
        <v>14661</v>
      </c>
      <c r="H5429" s="1" t="s">
        <v>15590</v>
      </c>
      <c r="J5429" s="1" t="s">
        <v>15591</v>
      </c>
      <c r="L5429" s="1" t="s">
        <v>479</v>
      </c>
      <c r="N5429" s="1" t="s">
        <v>587</v>
      </c>
      <c r="P5429" s="1" t="s">
        <v>5455</v>
      </c>
      <c r="Q5429" s="3">
        <v>0</v>
      </c>
      <c r="R5429" s="23" t="s">
        <v>11933</v>
      </c>
      <c r="S5429" s="23" t="s">
        <v>5849</v>
      </c>
      <c r="T5429" s="23" t="s">
        <v>4866</v>
      </c>
      <c r="U5429" s="3">
        <v>35</v>
      </c>
      <c r="W5429" s="45" t="str">
        <f>HYPERLINK("http://ictvonline.org/taxonomy/p/taxonomy-history?taxnode_id=201905919","ICTVonline=201905919")</f>
        <v>ICTVonline=201905919</v>
      </c>
      <c r="AA5429" s="1">
        <v>201900000</v>
      </c>
      <c r="AB5429" s="1">
        <v>35</v>
      </c>
    </row>
    <row r="5430" spans="1:28" x14ac:dyDescent="0.2">
      <c r="A5430" s="1">
        <v>14099</v>
      </c>
      <c r="B5430" s="1" t="s">
        <v>6839</v>
      </c>
      <c r="D5430" s="1" t="s">
        <v>11735</v>
      </c>
      <c r="F5430" s="1" t="s">
        <v>14661</v>
      </c>
      <c r="H5430" s="1" t="s">
        <v>15590</v>
      </c>
      <c r="J5430" s="1" t="s">
        <v>15591</v>
      </c>
      <c r="L5430" s="1" t="s">
        <v>479</v>
      </c>
      <c r="N5430" s="1" t="s">
        <v>587</v>
      </c>
      <c r="P5430" s="1" t="s">
        <v>2100</v>
      </c>
      <c r="Q5430" s="3">
        <v>0</v>
      </c>
      <c r="R5430" s="23" t="s">
        <v>11933</v>
      </c>
      <c r="S5430" s="23" t="s">
        <v>5849</v>
      </c>
      <c r="T5430" s="23" t="s">
        <v>4866</v>
      </c>
      <c r="U5430" s="3">
        <v>35</v>
      </c>
      <c r="W5430" s="45" t="str">
        <f>HYPERLINK("http://ictvonline.org/taxonomy/p/taxonomy-history?taxnode_id=201904587","ICTVonline=201904587")</f>
        <v>ICTVonline=201904587</v>
      </c>
      <c r="Y5430" s="1" t="s">
        <v>15683</v>
      </c>
      <c r="Z5430" s="1" t="s">
        <v>11979</v>
      </c>
      <c r="AA5430" s="1">
        <v>201900000</v>
      </c>
      <c r="AB5430" s="1">
        <v>35</v>
      </c>
    </row>
    <row r="5431" spans="1:28" x14ac:dyDescent="0.2">
      <c r="A5431" s="1">
        <v>14101</v>
      </c>
      <c r="B5431" s="1" t="s">
        <v>6839</v>
      </c>
      <c r="D5431" s="1" t="s">
        <v>11735</v>
      </c>
      <c r="F5431" s="1" t="s">
        <v>14661</v>
      </c>
      <c r="H5431" s="1" t="s">
        <v>15590</v>
      </c>
      <c r="J5431" s="1" t="s">
        <v>15591</v>
      </c>
      <c r="L5431" s="1" t="s">
        <v>479</v>
      </c>
      <c r="N5431" s="1" t="s">
        <v>587</v>
      </c>
      <c r="P5431" s="1" t="s">
        <v>1564</v>
      </c>
      <c r="Q5431" s="3">
        <v>0</v>
      </c>
      <c r="R5431" s="23" t="s">
        <v>11933</v>
      </c>
      <c r="S5431" s="23" t="s">
        <v>5849</v>
      </c>
      <c r="T5431" s="23" t="s">
        <v>4866</v>
      </c>
      <c r="U5431" s="3">
        <v>35</v>
      </c>
      <c r="W5431" s="45" t="str">
        <f>HYPERLINK("http://ictvonline.org/taxonomy/p/taxonomy-history?taxnode_id=201904588","ICTVonline=201904588")</f>
        <v>ICTVonline=201904588</v>
      </c>
      <c r="AA5431" s="1">
        <v>201900000</v>
      </c>
      <c r="AB5431" s="1">
        <v>35</v>
      </c>
    </row>
    <row r="5432" spans="1:28" x14ac:dyDescent="0.2">
      <c r="A5432" s="1">
        <v>14103</v>
      </c>
      <c r="B5432" s="1" t="s">
        <v>6839</v>
      </c>
      <c r="D5432" s="1" t="s">
        <v>11735</v>
      </c>
      <c r="F5432" s="1" t="s">
        <v>14661</v>
      </c>
      <c r="H5432" s="1" t="s">
        <v>15590</v>
      </c>
      <c r="J5432" s="1" t="s">
        <v>15591</v>
      </c>
      <c r="L5432" s="1" t="s">
        <v>479</v>
      </c>
      <c r="N5432" s="1" t="s">
        <v>587</v>
      </c>
      <c r="P5432" s="1" t="s">
        <v>1565</v>
      </c>
      <c r="Q5432" s="3">
        <v>0</v>
      </c>
      <c r="R5432" s="23" t="s">
        <v>11933</v>
      </c>
      <c r="S5432" s="23" t="s">
        <v>5849</v>
      </c>
      <c r="T5432" s="23" t="s">
        <v>4866</v>
      </c>
      <c r="U5432" s="3">
        <v>35</v>
      </c>
      <c r="W5432" s="45" t="str">
        <f>HYPERLINK("http://ictvonline.org/taxonomy/p/taxonomy-history?taxnode_id=201904589","ICTVonline=201904589")</f>
        <v>ICTVonline=201904589</v>
      </c>
      <c r="Y5432" s="1" t="s">
        <v>15684</v>
      </c>
      <c r="Z5432" s="1" t="s">
        <v>15685</v>
      </c>
      <c r="AA5432" s="1">
        <v>201900000</v>
      </c>
      <c r="AB5432" s="1">
        <v>35</v>
      </c>
    </row>
    <row r="5433" spans="1:28" x14ac:dyDescent="0.2">
      <c r="A5433" s="1">
        <v>14105</v>
      </c>
      <c r="B5433" s="1" t="s">
        <v>6839</v>
      </c>
      <c r="D5433" s="1" t="s">
        <v>11735</v>
      </c>
      <c r="F5433" s="1" t="s">
        <v>14661</v>
      </c>
      <c r="H5433" s="1" t="s">
        <v>15590</v>
      </c>
      <c r="J5433" s="1" t="s">
        <v>15591</v>
      </c>
      <c r="L5433" s="1" t="s">
        <v>479</v>
      </c>
      <c r="N5433" s="1" t="s">
        <v>587</v>
      </c>
      <c r="P5433" s="1" t="s">
        <v>1566</v>
      </c>
      <c r="Q5433" s="3">
        <v>0</v>
      </c>
      <c r="R5433" s="23" t="s">
        <v>11933</v>
      </c>
      <c r="S5433" s="23" t="s">
        <v>5849</v>
      </c>
      <c r="T5433" s="23" t="s">
        <v>4866</v>
      </c>
      <c r="U5433" s="3">
        <v>35</v>
      </c>
      <c r="W5433" s="45" t="str">
        <f>HYPERLINK("http://ictvonline.org/taxonomy/p/taxonomy-history?taxnode_id=201904590","ICTVonline=201904590")</f>
        <v>ICTVonline=201904590</v>
      </c>
      <c r="AA5433" s="1">
        <v>201900000</v>
      </c>
      <c r="AB5433" s="1">
        <v>35</v>
      </c>
    </row>
    <row r="5434" spans="1:28" x14ac:dyDescent="0.2">
      <c r="A5434" s="1">
        <v>14107</v>
      </c>
      <c r="B5434" s="1" t="s">
        <v>6839</v>
      </c>
      <c r="D5434" s="1" t="s">
        <v>11735</v>
      </c>
      <c r="F5434" s="1" t="s">
        <v>14661</v>
      </c>
      <c r="H5434" s="1" t="s">
        <v>15590</v>
      </c>
      <c r="J5434" s="1" t="s">
        <v>15591</v>
      </c>
      <c r="L5434" s="1" t="s">
        <v>479</v>
      </c>
      <c r="N5434" s="1" t="s">
        <v>587</v>
      </c>
      <c r="P5434" s="1" t="s">
        <v>3943</v>
      </c>
      <c r="Q5434" s="3">
        <v>0</v>
      </c>
      <c r="R5434" s="23" t="s">
        <v>11933</v>
      </c>
      <c r="S5434" s="23" t="s">
        <v>5849</v>
      </c>
      <c r="T5434" s="23" t="s">
        <v>4866</v>
      </c>
      <c r="U5434" s="3">
        <v>35</v>
      </c>
      <c r="W5434" s="45" t="str">
        <f>HYPERLINK("http://ictvonline.org/taxonomy/p/taxonomy-history?taxnode_id=201904591","ICTVonline=201904591")</f>
        <v>ICTVonline=201904591</v>
      </c>
      <c r="Y5434" s="1" t="s">
        <v>15686</v>
      </c>
      <c r="Z5434" s="1" t="s">
        <v>15687</v>
      </c>
      <c r="AA5434" s="1">
        <v>201900000</v>
      </c>
      <c r="AB5434" s="1">
        <v>35</v>
      </c>
    </row>
    <row r="5435" spans="1:28" x14ac:dyDescent="0.2">
      <c r="A5435" s="1">
        <v>14109</v>
      </c>
      <c r="B5435" s="1" t="s">
        <v>6839</v>
      </c>
      <c r="D5435" s="1" t="s">
        <v>11735</v>
      </c>
      <c r="F5435" s="1" t="s">
        <v>14661</v>
      </c>
      <c r="H5435" s="1" t="s">
        <v>15590</v>
      </c>
      <c r="J5435" s="1" t="s">
        <v>15591</v>
      </c>
      <c r="L5435" s="1" t="s">
        <v>479</v>
      </c>
      <c r="N5435" s="1" t="s">
        <v>587</v>
      </c>
      <c r="P5435" s="1" t="s">
        <v>1567</v>
      </c>
      <c r="Q5435" s="3">
        <v>0</v>
      </c>
      <c r="R5435" s="23" t="s">
        <v>11933</v>
      </c>
      <c r="S5435" s="23" t="s">
        <v>5849</v>
      </c>
      <c r="T5435" s="23" t="s">
        <v>4866</v>
      </c>
      <c r="U5435" s="3">
        <v>35</v>
      </c>
      <c r="W5435" s="45" t="str">
        <f>HYPERLINK("http://ictvonline.org/taxonomy/p/taxonomy-history?taxnode_id=201904592","ICTVonline=201904592")</f>
        <v>ICTVonline=201904592</v>
      </c>
      <c r="Y5435" s="1" t="s">
        <v>15688</v>
      </c>
      <c r="Z5435" s="1" t="s">
        <v>12068</v>
      </c>
      <c r="AA5435" s="1">
        <v>201900000</v>
      </c>
      <c r="AB5435" s="1">
        <v>35</v>
      </c>
    </row>
    <row r="5436" spans="1:28" x14ac:dyDescent="0.2">
      <c r="A5436" s="1">
        <v>14111</v>
      </c>
      <c r="B5436" s="1" t="s">
        <v>6839</v>
      </c>
      <c r="D5436" s="1" t="s">
        <v>11735</v>
      </c>
      <c r="F5436" s="1" t="s">
        <v>14661</v>
      </c>
      <c r="H5436" s="1" t="s">
        <v>15590</v>
      </c>
      <c r="J5436" s="1" t="s">
        <v>15591</v>
      </c>
      <c r="L5436" s="1" t="s">
        <v>479</v>
      </c>
      <c r="N5436" s="1" t="s">
        <v>587</v>
      </c>
      <c r="P5436" s="1" t="s">
        <v>1568</v>
      </c>
      <c r="Q5436" s="3">
        <v>0</v>
      </c>
      <c r="R5436" s="23" t="s">
        <v>11933</v>
      </c>
      <c r="S5436" s="23" t="s">
        <v>5849</v>
      </c>
      <c r="T5436" s="23" t="s">
        <v>4866</v>
      </c>
      <c r="U5436" s="3">
        <v>35</v>
      </c>
      <c r="W5436" s="45" t="str">
        <f>HYPERLINK("http://ictvonline.org/taxonomy/p/taxonomy-history?taxnode_id=201904593","ICTVonline=201904593")</f>
        <v>ICTVonline=201904593</v>
      </c>
      <c r="AA5436" s="1">
        <v>201900000</v>
      </c>
      <c r="AB5436" s="1">
        <v>35</v>
      </c>
    </row>
    <row r="5437" spans="1:28" x14ac:dyDescent="0.2">
      <c r="A5437" s="1">
        <v>14113</v>
      </c>
      <c r="B5437" s="1" t="s">
        <v>6839</v>
      </c>
      <c r="D5437" s="1" t="s">
        <v>11735</v>
      </c>
      <c r="F5437" s="1" t="s">
        <v>14661</v>
      </c>
      <c r="H5437" s="1" t="s">
        <v>15590</v>
      </c>
      <c r="J5437" s="1" t="s">
        <v>15591</v>
      </c>
      <c r="L5437" s="1" t="s">
        <v>479</v>
      </c>
      <c r="N5437" s="1" t="s">
        <v>587</v>
      </c>
      <c r="P5437" s="1" t="s">
        <v>2124</v>
      </c>
      <c r="Q5437" s="3">
        <v>0</v>
      </c>
      <c r="R5437" s="23" t="s">
        <v>11933</v>
      </c>
      <c r="S5437" s="23" t="s">
        <v>5849</v>
      </c>
      <c r="T5437" s="23" t="s">
        <v>4866</v>
      </c>
      <c r="U5437" s="3">
        <v>35</v>
      </c>
      <c r="W5437" s="45" t="str">
        <f>HYPERLINK("http://ictvonline.org/taxonomy/p/taxonomy-history?taxnode_id=201904594","ICTVonline=201904594")</f>
        <v>ICTVonline=201904594</v>
      </c>
      <c r="Y5437" s="1" t="s">
        <v>15689</v>
      </c>
      <c r="Z5437" s="1" t="s">
        <v>15690</v>
      </c>
      <c r="AA5437" s="1">
        <v>201900000</v>
      </c>
      <c r="AB5437" s="1">
        <v>35</v>
      </c>
    </row>
    <row r="5438" spans="1:28" x14ac:dyDescent="0.2">
      <c r="A5438" s="1">
        <v>14115</v>
      </c>
      <c r="B5438" s="1" t="s">
        <v>6839</v>
      </c>
      <c r="D5438" s="1" t="s">
        <v>11735</v>
      </c>
      <c r="F5438" s="1" t="s">
        <v>14661</v>
      </c>
      <c r="H5438" s="1" t="s">
        <v>15590</v>
      </c>
      <c r="J5438" s="1" t="s">
        <v>15591</v>
      </c>
      <c r="L5438" s="1" t="s">
        <v>479</v>
      </c>
      <c r="N5438" s="1" t="s">
        <v>587</v>
      </c>
      <c r="P5438" s="1" t="s">
        <v>1569</v>
      </c>
      <c r="Q5438" s="3">
        <v>0</v>
      </c>
      <c r="R5438" s="23" t="s">
        <v>11933</v>
      </c>
      <c r="S5438" s="23" t="s">
        <v>5849</v>
      </c>
      <c r="T5438" s="23" t="s">
        <v>4866</v>
      </c>
      <c r="U5438" s="3">
        <v>35</v>
      </c>
      <c r="W5438" s="45" t="str">
        <f>HYPERLINK("http://ictvonline.org/taxonomy/p/taxonomy-history?taxnode_id=201904595","ICTVonline=201904595")</f>
        <v>ICTVonline=201904595</v>
      </c>
      <c r="Y5438" s="1" t="s">
        <v>15691</v>
      </c>
      <c r="Z5438" s="1" t="s">
        <v>15692</v>
      </c>
      <c r="AA5438" s="1">
        <v>201900000</v>
      </c>
      <c r="AB5438" s="1">
        <v>35</v>
      </c>
    </row>
    <row r="5439" spans="1:28" x14ac:dyDescent="0.2">
      <c r="A5439" s="1">
        <v>14117</v>
      </c>
      <c r="B5439" s="1" t="s">
        <v>6839</v>
      </c>
      <c r="D5439" s="1" t="s">
        <v>11735</v>
      </c>
      <c r="F5439" s="1" t="s">
        <v>14661</v>
      </c>
      <c r="H5439" s="1" t="s">
        <v>15590</v>
      </c>
      <c r="J5439" s="1" t="s">
        <v>15591</v>
      </c>
      <c r="L5439" s="1" t="s">
        <v>479</v>
      </c>
      <c r="N5439" s="1" t="s">
        <v>587</v>
      </c>
      <c r="P5439" s="1" t="s">
        <v>1570</v>
      </c>
      <c r="Q5439" s="3">
        <v>0</v>
      </c>
      <c r="R5439" s="23" t="s">
        <v>11933</v>
      </c>
      <c r="S5439" s="23" t="s">
        <v>5849</v>
      </c>
      <c r="T5439" s="23" t="s">
        <v>4866</v>
      </c>
      <c r="U5439" s="3">
        <v>35</v>
      </c>
      <c r="W5439" s="45" t="str">
        <f>HYPERLINK("http://ictvonline.org/taxonomy/p/taxonomy-history?taxnode_id=201904596","ICTVonline=201904596")</f>
        <v>ICTVonline=201904596</v>
      </c>
      <c r="AA5439" s="1">
        <v>201900000</v>
      </c>
      <c r="AB5439" s="1">
        <v>35</v>
      </c>
    </row>
    <row r="5440" spans="1:28" x14ac:dyDescent="0.2">
      <c r="A5440" s="1">
        <v>14119</v>
      </c>
      <c r="B5440" s="1" t="s">
        <v>6839</v>
      </c>
      <c r="D5440" s="1" t="s">
        <v>11735</v>
      </c>
      <c r="F5440" s="1" t="s">
        <v>14661</v>
      </c>
      <c r="H5440" s="1" t="s">
        <v>15590</v>
      </c>
      <c r="J5440" s="1" t="s">
        <v>15591</v>
      </c>
      <c r="L5440" s="1" t="s">
        <v>479</v>
      </c>
      <c r="N5440" s="1" t="s">
        <v>587</v>
      </c>
      <c r="P5440" s="1" t="s">
        <v>1571</v>
      </c>
      <c r="Q5440" s="3">
        <v>0</v>
      </c>
      <c r="R5440" s="23" t="s">
        <v>11933</v>
      </c>
      <c r="S5440" s="23" t="s">
        <v>5849</v>
      </c>
      <c r="T5440" s="23" t="s">
        <v>4866</v>
      </c>
      <c r="U5440" s="3">
        <v>35</v>
      </c>
      <c r="W5440" s="45" t="str">
        <f>HYPERLINK("http://ictvonline.org/taxonomy/p/taxonomy-history?taxnode_id=201904597","ICTVonline=201904597")</f>
        <v>ICTVonline=201904597</v>
      </c>
      <c r="AA5440" s="1">
        <v>201900000</v>
      </c>
      <c r="AB5440" s="1">
        <v>35</v>
      </c>
    </row>
    <row r="5441" spans="1:28" x14ac:dyDescent="0.2">
      <c r="A5441" s="1">
        <v>14121</v>
      </c>
      <c r="B5441" s="1" t="s">
        <v>6839</v>
      </c>
      <c r="D5441" s="1" t="s">
        <v>11735</v>
      </c>
      <c r="F5441" s="1" t="s">
        <v>14661</v>
      </c>
      <c r="H5441" s="1" t="s">
        <v>15590</v>
      </c>
      <c r="J5441" s="1" t="s">
        <v>15591</v>
      </c>
      <c r="L5441" s="1" t="s">
        <v>479</v>
      </c>
      <c r="N5441" s="1" t="s">
        <v>587</v>
      </c>
      <c r="P5441" s="1" t="s">
        <v>1572</v>
      </c>
      <c r="Q5441" s="3">
        <v>0</v>
      </c>
      <c r="R5441" s="23" t="s">
        <v>11933</v>
      </c>
      <c r="S5441" s="23" t="s">
        <v>5849</v>
      </c>
      <c r="T5441" s="23" t="s">
        <v>4866</v>
      </c>
      <c r="U5441" s="3">
        <v>35</v>
      </c>
      <c r="W5441" s="45" t="str">
        <f>HYPERLINK("http://ictvonline.org/taxonomy/p/taxonomy-history?taxnode_id=201904598","ICTVonline=201904598")</f>
        <v>ICTVonline=201904598</v>
      </c>
      <c r="Y5441" s="1" t="s">
        <v>15693</v>
      </c>
      <c r="Z5441" s="1">
        <v>30</v>
      </c>
      <c r="AA5441" s="1">
        <v>201900000</v>
      </c>
      <c r="AB5441" s="1">
        <v>35</v>
      </c>
    </row>
    <row r="5442" spans="1:28" x14ac:dyDescent="0.2">
      <c r="A5442" s="1">
        <v>14123</v>
      </c>
      <c r="B5442" s="1" t="s">
        <v>6839</v>
      </c>
      <c r="D5442" s="1" t="s">
        <v>11735</v>
      </c>
      <c r="F5442" s="1" t="s">
        <v>14661</v>
      </c>
      <c r="H5442" s="1" t="s">
        <v>15590</v>
      </c>
      <c r="J5442" s="1" t="s">
        <v>15591</v>
      </c>
      <c r="L5442" s="1" t="s">
        <v>479</v>
      </c>
      <c r="N5442" s="1" t="s">
        <v>587</v>
      </c>
      <c r="P5442" s="1" t="s">
        <v>2081</v>
      </c>
      <c r="Q5442" s="3">
        <v>0</v>
      </c>
      <c r="R5442" s="23" t="s">
        <v>11933</v>
      </c>
      <c r="S5442" s="23" t="s">
        <v>5849</v>
      </c>
      <c r="T5442" s="23" t="s">
        <v>4866</v>
      </c>
      <c r="U5442" s="3">
        <v>35</v>
      </c>
      <c r="W5442" s="45" t="str">
        <f>HYPERLINK("http://ictvonline.org/taxonomy/p/taxonomy-history?taxnode_id=201904599","ICTVonline=201904599")</f>
        <v>ICTVonline=201904599</v>
      </c>
      <c r="Y5442" s="1" t="s">
        <v>15694</v>
      </c>
      <c r="Z5442" s="1" t="s">
        <v>15695</v>
      </c>
      <c r="AA5442" s="1">
        <v>201900000</v>
      </c>
      <c r="AB5442" s="1">
        <v>35</v>
      </c>
    </row>
    <row r="5443" spans="1:28" x14ac:dyDescent="0.2">
      <c r="A5443" s="1">
        <v>14125</v>
      </c>
      <c r="B5443" s="1" t="s">
        <v>6839</v>
      </c>
      <c r="D5443" s="1" t="s">
        <v>11735</v>
      </c>
      <c r="F5443" s="1" t="s">
        <v>14661</v>
      </c>
      <c r="H5443" s="1" t="s">
        <v>15590</v>
      </c>
      <c r="J5443" s="1" t="s">
        <v>15591</v>
      </c>
      <c r="L5443" s="1" t="s">
        <v>479</v>
      </c>
      <c r="N5443" s="1" t="s">
        <v>587</v>
      </c>
      <c r="P5443" s="1" t="s">
        <v>2082</v>
      </c>
      <c r="Q5443" s="3">
        <v>0</v>
      </c>
      <c r="R5443" s="23" t="s">
        <v>11933</v>
      </c>
      <c r="S5443" s="23" t="s">
        <v>5849</v>
      </c>
      <c r="T5443" s="23" t="s">
        <v>4866</v>
      </c>
      <c r="U5443" s="3">
        <v>35</v>
      </c>
      <c r="W5443" s="45" t="str">
        <f>HYPERLINK("http://ictvonline.org/taxonomy/p/taxonomy-history?taxnode_id=201904600","ICTVonline=201904600")</f>
        <v>ICTVonline=201904600</v>
      </c>
      <c r="Y5443" s="1" t="s">
        <v>15696</v>
      </c>
      <c r="Z5443" s="1" t="s">
        <v>11979</v>
      </c>
      <c r="AA5443" s="1">
        <v>201900000</v>
      </c>
      <c r="AB5443" s="1">
        <v>35</v>
      </c>
    </row>
    <row r="5444" spans="1:28" x14ac:dyDescent="0.2">
      <c r="A5444" s="1">
        <v>14127</v>
      </c>
      <c r="B5444" s="1" t="s">
        <v>6839</v>
      </c>
      <c r="D5444" s="1" t="s">
        <v>11735</v>
      </c>
      <c r="F5444" s="1" t="s">
        <v>14661</v>
      </c>
      <c r="H5444" s="1" t="s">
        <v>15590</v>
      </c>
      <c r="J5444" s="1" t="s">
        <v>15591</v>
      </c>
      <c r="L5444" s="1" t="s">
        <v>479</v>
      </c>
      <c r="N5444" s="1" t="s">
        <v>587</v>
      </c>
      <c r="P5444" s="1" t="s">
        <v>2083</v>
      </c>
      <c r="Q5444" s="3">
        <v>0</v>
      </c>
      <c r="R5444" s="23" t="s">
        <v>11933</v>
      </c>
      <c r="S5444" s="23" t="s">
        <v>5849</v>
      </c>
      <c r="T5444" s="23" t="s">
        <v>4866</v>
      </c>
      <c r="U5444" s="3">
        <v>35</v>
      </c>
      <c r="W5444" s="45" t="str">
        <f>HYPERLINK("http://ictvonline.org/taxonomy/p/taxonomy-history?taxnode_id=201904601","ICTVonline=201904601")</f>
        <v>ICTVonline=201904601</v>
      </c>
      <c r="AA5444" s="1">
        <v>201900000</v>
      </c>
      <c r="AB5444" s="1">
        <v>35</v>
      </c>
    </row>
    <row r="5445" spans="1:28" x14ac:dyDescent="0.2">
      <c r="A5445" s="1">
        <v>14129</v>
      </c>
      <c r="B5445" s="1" t="s">
        <v>6839</v>
      </c>
      <c r="D5445" s="1" t="s">
        <v>11735</v>
      </c>
      <c r="F5445" s="1" t="s">
        <v>14661</v>
      </c>
      <c r="H5445" s="1" t="s">
        <v>15590</v>
      </c>
      <c r="J5445" s="1" t="s">
        <v>15591</v>
      </c>
      <c r="L5445" s="1" t="s">
        <v>479</v>
      </c>
      <c r="N5445" s="1" t="s">
        <v>587</v>
      </c>
      <c r="P5445" s="1" t="s">
        <v>2084</v>
      </c>
      <c r="Q5445" s="3">
        <v>0</v>
      </c>
      <c r="R5445" s="23" t="s">
        <v>11933</v>
      </c>
      <c r="S5445" s="23" t="s">
        <v>5849</v>
      </c>
      <c r="T5445" s="23" t="s">
        <v>4866</v>
      </c>
      <c r="U5445" s="3">
        <v>35</v>
      </c>
      <c r="W5445" s="45" t="str">
        <f>HYPERLINK("http://ictvonline.org/taxonomy/p/taxonomy-history?taxnode_id=201904602","ICTVonline=201904602")</f>
        <v>ICTVonline=201904602</v>
      </c>
      <c r="Y5445" s="1" t="s">
        <v>15697</v>
      </c>
      <c r="Z5445" s="1" t="s">
        <v>15698</v>
      </c>
      <c r="AA5445" s="1">
        <v>201900000</v>
      </c>
      <c r="AB5445" s="1">
        <v>35</v>
      </c>
    </row>
    <row r="5446" spans="1:28" x14ac:dyDescent="0.2">
      <c r="A5446" s="1">
        <v>14131</v>
      </c>
      <c r="B5446" s="1" t="s">
        <v>6839</v>
      </c>
      <c r="D5446" s="1" t="s">
        <v>11735</v>
      </c>
      <c r="F5446" s="1" t="s">
        <v>14661</v>
      </c>
      <c r="H5446" s="1" t="s">
        <v>15590</v>
      </c>
      <c r="J5446" s="1" t="s">
        <v>15591</v>
      </c>
      <c r="L5446" s="1" t="s">
        <v>479</v>
      </c>
      <c r="N5446" s="1" t="s">
        <v>587</v>
      </c>
      <c r="P5446" s="1" t="s">
        <v>6822</v>
      </c>
      <c r="Q5446" s="3">
        <v>0</v>
      </c>
      <c r="R5446" s="23" t="s">
        <v>11933</v>
      </c>
      <c r="S5446" s="23" t="s">
        <v>5849</v>
      </c>
      <c r="T5446" s="23" t="s">
        <v>4866</v>
      </c>
      <c r="U5446" s="3">
        <v>35</v>
      </c>
      <c r="W5446" s="45" t="str">
        <f>HYPERLINK("http://ictvonline.org/taxonomy/p/taxonomy-history?taxnode_id=201906672","ICTVonline=201906672")</f>
        <v>ICTVonline=201906672</v>
      </c>
      <c r="X5446" s="1" t="s">
        <v>15699</v>
      </c>
      <c r="Y5446" s="1" t="s">
        <v>15700</v>
      </c>
      <c r="Z5446" s="1" t="s">
        <v>15701</v>
      </c>
      <c r="AA5446" s="1">
        <v>201900000</v>
      </c>
      <c r="AB5446" s="1">
        <v>35</v>
      </c>
    </row>
    <row r="5447" spans="1:28" x14ac:dyDescent="0.2">
      <c r="A5447" s="1">
        <v>14133</v>
      </c>
      <c r="B5447" s="1" t="s">
        <v>6839</v>
      </c>
      <c r="D5447" s="1" t="s">
        <v>11735</v>
      </c>
      <c r="F5447" s="1" t="s">
        <v>14661</v>
      </c>
      <c r="H5447" s="1" t="s">
        <v>15590</v>
      </c>
      <c r="J5447" s="1" t="s">
        <v>15591</v>
      </c>
      <c r="L5447" s="1" t="s">
        <v>479</v>
      </c>
      <c r="N5447" s="1" t="s">
        <v>587</v>
      </c>
      <c r="P5447" s="1" t="s">
        <v>2085</v>
      </c>
      <c r="Q5447" s="3">
        <v>0</v>
      </c>
      <c r="R5447" s="23" t="s">
        <v>11933</v>
      </c>
      <c r="S5447" s="23" t="s">
        <v>5849</v>
      </c>
      <c r="T5447" s="23" t="s">
        <v>4866</v>
      </c>
      <c r="U5447" s="3">
        <v>35</v>
      </c>
      <c r="W5447" s="45" t="str">
        <f>HYPERLINK("http://ictvonline.org/taxonomy/p/taxonomy-history?taxnode_id=201904603","ICTVonline=201904603")</f>
        <v>ICTVonline=201904603</v>
      </c>
      <c r="AA5447" s="1">
        <v>201900000</v>
      </c>
      <c r="AB5447" s="1">
        <v>35</v>
      </c>
    </row>
    <row r="5448" spans="1:28" x14ac:dyDescent="0.2">
      <c r="A5448" s="1">
        <v>14135</v>
      </c>
      <c r="B5448" s="1" t="s">
        <v>6839</v>
      </c>
      <c r="D5448" s="1" t="s">
        <v>11735</v>
      </c>
      <c r="F5448" s="1" t="s">
        <v>14661</v>
      </c>
      <c r="H5448" s="1" t="s">
        <v>15590</v>
      </c>
      <c r="J5448" s="1" t="s">
        <v>15591</v>
      </c>
      <c r="L5448" s="1" t="s">
        <v>479</v>
      </c>
      <c r="N5448" s="1" t="s">
        <v>587</v>
      </c>
      <c r="P5448" s="1" t="s">
        <v>2674</v>
      </c>
      <c r="Q5448" s="3">
        <v>0</v>
      </c>
      <c r="R5448" s="23" t="s">
        <v>11933</v>
      </c>
      <c r="S5448" s="23" t="s">
        <v>5849</v>
      </c>
      <c r="T5448" s="23" t="s">
        <v>4866</v>
      </c>
      <c r="U5448" s="3">
        <v>35</v>
      </c>
      <c r="W5448" s="45" t="str">
        <f>HYPERLINK("http://ictvonline.org/taxonomy/p/taxonomy-history?taxnode_id=201904604","ICTVonline=201904604")</f>
        <v>ICTVonline=201904604</v>
      </c>
      <c r="Y5448" s="1" t="s">
        <v>15702</v>
      </c>
      <c r="Z5448" s="1" t="s">
        <v>15703</v>
      </c>
      <c r="AA5448" s="1">
        <v>201900000</v>
      </c>
      <c r="AB5448" s="1">
        <v>35</v>
      </c>
    </row>
    <row r="5449" spans="1:28" x14ac:dyDescent="0.2">
      <c r="A5449" s="1">
        <v>14137</v>
      </c>
      <c r="B5449" s="1" t="s">
        <v>6839</v>
      </c>
      <c r="D5449" s="1" t="s">
        <v>11735</v>
      </c>
      <c r="F5449" s="1" t="s">
        <v>14661</v>
      </c>
      <c r="H5449" s="1" t="s">
        <v>15590</v>
      </c>
      <c r="J5449" s="1" t="s">
        <v>15591</v>
      </c>
      <c r="L5449" s="1" t="s">
        <v>479</v>
      </c>
      <c r="N5449" s="1" t="s">
        <v>587</v>
      </c>
      <c r="P5449" s="1" t="s">
        <v>2086</v>
      </c>
      <c r="Q5449" s="3">
        <v>0</v>
      </c>
      <c r="R5449" s="23" t="s">
        <v>11933</v>
      </c>
      <c r="S5449" s="23" t="s">
        <v>5849</v>
      </c>
      <c r="T5449" s="23" t="s">
        <v>4866</v>
      </c>
      <c r="U5449" s="3">
        <v>35</v>
      </c>
      <c r="W5449" s="45" t="str">
        <f>HYPERLINK("http://ictvonline.org/taxonomy/p/taxonomy-history?taxnode_id=201904605","ICTVonline=201904605")</f>
        <v>ICTVonline=201904605</v>
      </c>
      <c r="Y5449" s="1" t="s">
        <v>15704</v>
      </c>
      <c r="Z5449" s="1" t="s">
        <v>15705</v>
      </c>
      <c r="AA5449" s="1">
        <v>201900000</v>
      </c>
      <c r="AB5449" s="1">
        <v>35</v>
      </c>
    </row>
    <row r="5450" spans="1:28" x14ac:dyDescent="0.2">
      <c r="A5450" s="1">
        <v>14139</v>
      </c>
      <c r="B5450" s="1" t="s">
        <v>6839</v>
      </c>
      <c r="D5450" s="1" t="s">
        <v>11735</v>
      </c>
      <c r="F5450" s="1" t="s">
        <v>14661</v>
      </c>
      <c r="H5450" s="1" t="s">
        <v>15590</v>
      </c>
      <c r="J5450" s="1" t="s">
        <v>15591</v>
      </c>
      <c r="L5450" s="1" t="s">
        <v>479</v>
      </c>
      <c r="N5450" s="1" t="s">
        <v>587</v>
      </c>
      <c r="P5450" s="1" t="s">
        <v>5456</v>
      </c>
      <c r="Q5450" s="3">
        <v>0</v>
      </c>
      <c r="R5450" s="23" t="s">
        <v>11933</v>
      </c>
      <c r="S5450" s="23" t="s">
        <v>5849</v>
      </c>
      <c r="T5450" s="23" t="s">
        <v>4866</v>
      </c>
      <c r="U5450" s="3">
        <v>35</v>
      </c>
      <c r="W5450" s="45" t="str">
        <f>HYPERLINK("http://ictvonline.org/taxonomy/p/taxonomy-history?taxnode_id=201905920","ICTVonline=201905920")</f>
        <v>ICTVonline=201905920</v>
      </c>
      <c r="AA5450" s="1">
        <v>201900000</v>
      </c>
      <c r="AB5450" s="1">
        <v>35</v>
      </c>
    </row>
    <row r="5451" spans="1:28" x14ac:dyDescent="0.2">
      <c r="A5451" s="1">
        <v>14141</v>
      </c>
      <c r="B5451" s="1" t="s">
        <v>6839</v>
      </c>
      <c r="D5451" s="1" t="s">
        <v>11735</v>
      </c>
      <c r="F5451" s="1" t="s">
        <v>14661</v>
      </c>
      <c r="H5451" s="1" t="s">
        <v>15590</v>
      </c>
      <c r="J5451" s="1" t="s">
        <v>15591</v>
      </c>
      <c r="L5451" s="1" t="s">
        <v>479</v>
      </c>
      <c r="N5451" s="1" t="s">
        <v>587</v>
      </c>
      <c r="P5451" s="1" t="s">
        <v>2087</v>
      </c>
      <c r="Q5451" s="3">
        <v>0</v>
      </c>
      <c r="R5451" s="23" t="s">
        <v>11933</v>
      </c>
      <c r="S5451" s="23" t="s">
        <v>5849</v>
      </c>
      <c r="T5451" s="23" t="s">
        <v>4866</v>
      </c>
      <c r="U5451" s="3">
        <v>35</v>
      </c>
      <c r="W5451" s="45" t="str">
        <f>HYPERLINK("http://ictvonline.org/taxonomy/p/taxonomy-history?taxnode_id=201904606","ICTVonline=201904606")</f>
        <v>ICTVonline=201904606</v>
      </c>
      <c r="Y5451" s="1" t="s">
        <v>15706</v>
      </c>
      <c r="Z5451" s="1" t="s">
        <v>15707</v>
      </c>
      <c r="AA5451" s="1">
        <v>201900000</v>
      </c>
      <c r="AB5451" s="1">
        <v>35</v>
      </c>
    </row>
    <row r="5452" spans="1:28" x14ac:dyDescent="0.2">
      <c r="A5452" s="1">
        <v>14143</v>
      </c>
      <c r="B5452" s="1" t="s">
        <v>6839</v>
      </c>
      <c r="D5452" s="1" t="s">
        <v>11735</v>
      </c>
      <c r="F5452" s="1" t="s">
        <v>14661</v>
      </c>
      <c r="H5452" s="1" t="s">
        <v>15590</v>
      </c>
      <c r="J5452" s="1" t="s">
        <v>15591</v>
      </c>
      <c r="L5452" s="1" t="s">
        <v>479</v>
      </c>
      <c r="N5452" s="1" t="s">
        <v>587</v>
      </c>
      <c r="P5452" s="1" t="s">
        <v>2088</v>
      </c>
      <c r="Q5452" s="3">
        <v>0</v>
      </c>
      <c r="R5452" s="23" t="s">
        <v>11933</v>
      </c>
      <c r="S5452" s="23" t="s">
        <v>5849</v>
      </c>
      <c r="T5452" s="23" t="s">
        <v>4866</v>
      </c>
      <c r="U5452" s="3">
        <v>35</v>
      </c>
      <c r="W5452" s="45" t="str">
        <f>HYPERLINK("http://ictvonline.org/taxonomy/p/taxonomy-history?taxnode_id=201904607","ICTVonline=201904607")</f>
        <v>ICTVonline=201904607</v>
      </c>
      <c r="AA5452" s="1">
        <v>201900000</v>
      </c>
      <c r="AB5452" s="1">
        <v>35</v>
      </c>
    </row>
    <row r="5453" spans="1:28" x14ac:dyDescent="0.2">
      <c r="A5453" s="1">
        <v>14145</v>
      </c>
      <c r="B5453" s="1" t="s">
        <v>6839</v>
      </c>
      <c r="D5453" s="1" t="s">
        <v>11735</v>
      </c>
      <c r="F5453" s="1" t="s">
        <v>14661</v>
      </c>
      <c r="H5453" s="1" t="s">
        <v>15590</v>
      </c>
      <c r="J5453" s="1" t="s">
        <v>15591</v>
      </c>
      <c r="L5453" s="1" t="s">
        <v>479</v>
      </c>
      <c r="N5453" s="1" t="s">
        <v>587</v>
      </c>
      <c r="P5453" s="1" t="s">
        <v>15708</v>
      </c>
      <c r="Q5453" s="3">
        <v>0</v>
      </c>
      <c r="R5453" s="23" t="s">
        <v>11933</v>
      </c>
      <c r="S5453" s="23" t="s">
        <v>5849</v>
      </c>
      <c r="T5453" s="23" t="s">
        <v>4864</v>
      </c>
      <c r="U5453" s="3">
        <v>35</v>
      </c>
      <c r="V5453" s="3" t="s">
        <v>15709</v>
      </c>
      <c r="W5453" s="45" t="str">
        <f>HYPERLINK("http://ictvonline.org/taxonomy/p/taxonomy-history?taxnode_id=201907431","ICTVonline=201907431")</f>
        <v>ICTVonline=201907431</v>
      </c>
      <c r="X5453" s="1" t="s">
        <v>15710</v>
      </c>
      <c r="Y5453" s="1" t="s">
        <v>15711</v>
      </c>
      <c r="Z5453" s="1" t="s">
        <v>15712</v>
      </c>
      <c r="AA5453" s="1">
        <v>201900000</v>
      </c>
      <c r="AB5453" s="1">
        <v>35</v>
      </c>
    </row>
    <row r="5454" spans="1:28" x14ac:dyDescent="0.2">
      <c r="A5454" s="1">
        <v>14147</v>
      </c>
      <c r="B5454" s="1" t="s">
        <v>6839</v>
      </c>
      <c r="D5454" s="1" t="s">
        <v>11735</v>
      </c>
      <c r="F5454" s="1" t="s">
        <v>14661</v>
      </c>
      <c r="H5454" s="1" t="s">
        <v>15590</v>
      </c>
      <c r="J5454" s="1" t="s">
        <v>15591</v>
      </c>
      <c r="L5454" s="1" t="s">
        <v>479</v>
      </c>
      <c r="N5454" s="1" t="s">
        <v>587</v>
      </c>
      <c r="P5454" s="1" t="s">
        <v>15713</v>
      </c>
      <c r="Q5454" s="3">
        <v>0</v>
      </c>
      <c r="R5454" s="23" t="s">
        <v>11933</v>
      </c>
      <c r="S5454" s="23" t="s">
        <v>5849</v>
      </c>
      <c r="T5454" s="23" t="s">
        <v>4864</v>
      </c>
      <c r="U5454" s="3">
        <v>35</v>
      </c>
      <c r="V5454" s="3" t="s">
        <v>15709</v>
      </c>
      <c r="W5454" s="45" t="str">
        <f>HYPERLINK("http://ictvonline.org/taxonomy/p/taxonomy-history?taxnode_id=201907432","ICTVonline=201907432")</f>
        <v>ICTVonline=201907432</v>
      </c>
      <c r="X5454" s="1" t="s">
        <v>15714</v>
      </c>
      <c r="Y5454" s="1" t="s">
        <v>15715</v>
      </c>
      <c r="Z5454" s="1" t="s">
        <v>15716</v>
      </c>
      <c r="AA5454" s="1">
        <v>201900000</v>
      </c>
      <c r="AB5454" s="1">
        <v>35</v>
      </c>
    </row>
    <row r="5455" spans="1:28" x14ac:dyDescent="0.2">
      <c r="A5455" s="1">
        <v>14149</v>
      </c>
      <c r="B5455" s="1" t="s">
        <v>6839</v>
      </c>
      <c r="D5455" s="1" t="s">
        <v>11735</v>
      </c>
      <c r="F5455" s="1" t="s">
        <v>14661</v>
      </c>
      <c r="H5455" s="1" t="s">
        <v>15590</v>
      </c>
      <c r="J5455" s="1" t="s">
        <v>15591</v>
      </c>
      <c r="L5455" s="1" t="s">
        <v>479</v>
      </c>
      <c r="N5455" s="1" t="s">
        <v>587</v>
      </c>
      <c r="P5455" s="1" t="s">
        <v>2089</v>
      </c>
      <c r="Q5455" s="3">
        <v>0</v>
      </c>
      <c r="R5455" s="23" t="s">
        <v>11933</v>
      </c>
      <c r="S5455" s="23" t="s">
        <v>5849</v>
      </c>
      <c r="T5455" s="23" t="s">
        <v>4866</v>
      </c>
      <c r="U5455" s="3">
        <v>35</v>
      </c>
      <c r="W5455" s="45" t="str">
        <f>HYPERLINK("http://ictvonline.org/taxonomy/p/taxonomy-history?taxnode_id=201904608","ICTVonline=201904608")</f>
        <v>ICTVonline=201904608</v>
      </c>
      <c r="AA5455" s="1">
        <v>201900000</v>
      </c>
      <c r="AB5455" s="1">
        <v>35</v>
      </c>
    </row>
    <row r="5456" spans="1:28" x14ac:dyDescent="0.2">
      <c r="A5456" s="1">
        <v>14151</v>
      </c>
      <c r="B5456" s="1" t="s">
        <v>6839</v>
      </c>
      <c r="D5456" s="1" t="s">
        <v>11735</v>
      </c>
      <c r="F5456" s="1" t="s">
        <v>14661</v>
      </c>
      <c r="H5456" s="1" t="s">
        <v>15590</v>
      </c>
      <c r="J5456" s="1" t="s">
        <v>15591</v>
      </c>
      <c r="L5456" s="1" t="s">
        <v>479</v>
      </c>
      <c r="N5456" s="1" t="s">
        <v>587</v>
      </c>
      <c r="P5456" s="1" t="s">
        <v>3944</v>
      </c>
      <c r="Q5456" s="3">
        <v>0</v>
      </c>
      <c r="R5456" s="23" t="s">
        <v>11933</v>
      </c>
      <c r="S5456" s="23" t="s">
        <v>5849</v>
      </c>
      <c r="T5456" s="23" t="s">
        <v>4866</v>
      </c>
      <c r="U5456" s="3">
        <v>35</v>
      </c>
      <c r="W5456" s="45" t="str">
        <f>HYPERLINK("http://ictvonline.org/taxonomy/p/taxonomy-history?taxnode_id=201904609","ICTVonline=201904609")</f>
        <v>ICTVonline=201904609</v>
      </c>
      <c r="Y5456" s="1" t="s">
        <v>15717</v>
      </c>
      <c r="Z5456" s="1" t="s">
        <v>15718</v>
      </c>
      <c r="AA5456" s="1">
        <v>201900000</v>
      </c>
      <c r="AB5456" s="1">
        <v>35</v>
      </c>
    </row>
    <row r="5457" spans="1:28" x14ac:dyDescent="0.2">
      <c r="A5457" s="1">
        <v>14153</v>
      </c>
      <c r="B5457" s="1" t="s">
        <v>6839</v>
      </c>
      <c r="D5457" s="1" t="s">
        <v>11735</v>
      </c>
      <c r="F5457" s="1" t="s">
        <v>14661</v>
      </c>
      <c r="H5457" s="1" t="s">
        <v>15590</v>
      </c>
      <c r="J5457" s="1" t="s">
        <v>15591</v>
      </c>
      <c r="L5457" s="1" t="s">
        <v>479</v>
      </c>
      <c r="N5457" s="1" t="s">
        <v>587</v>
      </c>
      <c r="P5457" s="1" t="s">
        <v>15719</v>
      </c>
      <c r="Q5457" s="3">
        <v>0</v>
      </c>
      <c r="R5457" s="23" t="s">
        <v>11933</v>
      </c>
      <c r="S5457" s="23" t="s">
        <v>5849</v>
      </c>
      <c r="T5457" s="23" t="s">
        <v>4864</v>
      </c>
      <c r="U5457" s="3">
        <v>35</v>
      </c>
      <c r="V5457" s="3" t="s">
        <v>15709</v>
      </c>
      <c r="W5457" s="45" t="str">
        <f>HYPERLINK("http://ictvonline.org/taxonomy/p/taxonomy-history?taxnode_id=201907433","ICTVonline=201907433")</f>
        <v>ICTVonline=201907433</v>
      </c>
      <c r="X5457" s="1" t="s">
        <v>15720</v>
      </c>
      <c r="Y5457" s="1" t="s">
        <v>15721</v>
      </c>
      <c r="Z5457" s="1" t="s">
        <v>15722</v>
      </c>
      <c r="AA5457" s="1">
        <v>201900000</v>
      </c>
      <c r="AB5457" s="1">
        <v>35</v>
      </c>
    </row>
    <row r="5458" spans="1:28" x14ac:dyDescent="0.2">
      <c r="A5458" s="1">
        <v>14155</v>
      </c>
      <c r="B5458" s="1" t="s">
        <v>6839</v>
      </c>
      <c r="D5458" s="1" t="s">
        <v>11735</v>
      </c>
      <c r="F5458" s="1" t="s">
        <v>14661</v>
      </c>
      <c r="H5458" s="1" t="s">
        <v>15590</v>
      </c>
      <c r="J5458" s="1" t="s">
        <v>15591</v>
      </c>
      <c r="L5458" s="1" t="s">
        <v>479</v>
      </c>
      <c r="N5458" s="1" t="s">
        <v>587</v>
      </c>
      <c r="P5458" s="1" t="s">
        <v>2090</v>
      </c>
      <c r="Q5458" s="3">
        <v>0</v>
      </c>
      <c r="R5458" s="23" t="s">
        <v>11933</v>
      </c>
      <c r="S5458" s="23" t="s">
        <v>5849</v>
      </c>
      <c r="T5458" s="23" t="s">
        <v>4866</v>
      </c>
      <c r="U5458" s="3">
        <v>35</v>
      </c>
      <c r="W5458" s="45" t="str">
        <f>HYPERLINK("http://ictvonline.org/taxonomy/p/taxonomy-history?taxnode_id=201904610","ICTVonline=201904610")</f>
        <v>ICTVonline=201904610</v>
      </c>
      <c r="Y5458" s="1" t="s">
        <v>15723</v>
      </c>
      <c r="Z5458" s="1" t="s">
        <v>15724</v>
      </c>
      <c r="AA5458" s="1">
        <v>201900000</v>
      </c>
      <c r="AB5458" s="1">
        <v>35</v>
      </c>
    </row>
    <row r="5459" spans="1:28" x14ac:dyDescent="0.2">
      <c r="A5459" s="1">
        <v>14157</v>
      </c>
      <c r="B5459" s="1" t="s">
        <v>6839</v>
      </c>
      <c r="D5459" s="1" t="s">
        <v>11735</v>
      </c>
      <c r="F5459" s="1" t="s">
        <v>14661</v>
      </c>
      <c r="H5459" s="1" t="s">
        <v>15590</v>
      </c>
      <c r="J5459" s="1" t="s">
        <v>15591</v>
      </c>
      <c r="L5459" s="1" t="s">
        <v>479</v>
      </c>
      <c r="N5459" s="1" t="s">
        <v>587</v>
      </c>
      <c r="P5459" s="1" t="s">
        <v>2091</v>
      </c>
      <c r="Q5459" s="3">
        <v>0</v>
      </c>
      <c r="R5459" s="23" t="s">
        <v>11933</v>
      </c>
      <c r="S5459" s="23" t="s">
        <v>5849</v>
      </c>
      <c r="T5459" s="23" t="s">
        <v>4866</v>
      </c>
      <c r="U5459" s="3">
        <v>35</v>
      </c>
      <c r="W5459" s="45" t="str">
        <f>HYPERLINK("http://ictvonline.org/taxonomy/p/taxonomy-history?taxnode_id=201904611","ICTVonline=201904611")</f>
        <v>ICTVonline=201904611</v>
      </c>
      <c r="AA5459" s="1">
        <v>201900000</v>
      </c>
      <c r="AB5459" s="1">
        <v>35</v>
      </c>
    </row>
    <row r="5460" spans="1:28" x14ac:dyDescent="0.2">
      <c r="A5460" s="1">
        <v>14159</v>
      </c>
      <c r="B5460" s="1" t="s">
        <v>6839</v>
      </c>
      <c r="D5460" s="1" t="s">
        <v>11735</v>
      </c>
      <c r="F5460" s="1" t="s">
        <v>14661</v>
      </c>
      <c r="H5460" s="1" t="s">
        <v>15590</v>
      </c>
      <c r="J5460" s="1" t="s">
        <v>15591</v>
      </c>
      <c r="L5460" s="1" t="s">
        <v>479</v>
      </c>
      <c r="N5460" s="1" t="s">
        <v>587</v>
      </c>
      <c r="P5460" s="1" t="s">
        <v>2092</v>
      </c>
      <c r="Q5460" s="3">
        <v>0</v>
      </c>
      <c r="R5460" s="23" t="s">
        <v>11933</v>
      </c>
      <c r="S5460" s="23" t="s">
        <v>5849</v>
      </c>
      <c r="T5460" s="23" t="s">
        <v>4866</v>
      </c>
      <c r="U5460" s="3">
        <v>35</v>
      </c>
      <c r="W5460" s="45" t="str">
        <f>HYPERLINK("http://ictvonline.org/taxonomy/p/taxonomy-history?taxnode_id=201904612","ICTVonline=201904612")</f>
        <v>ICTVonline=201904612</v>
      </c>
      <c r="AA5460" s="1">
        <v>201900000</v>
      </c>
      <c r="AB5460" s="1">
        <v>35</v>
      </c>
    </row>
    <row r="5461" spans="1:28" x14ac:dyDescent="0.2">
      <c r="A5461" s="1">
        <v>14161</v>
      </c>
      <c r="B5461" s="1" t="s">
        <v>6839</v>
      </c>
      <c r="D5461" s="1" t="s">
        <v>11735</v>
      </c>
      <c r="F5461" s="1" t="s">
        <v>14661</v>
      </c>
      <c r="H5461" s="1" t="s">
        <v>15590</v>
      </c>
      <c r="J5461" s="1" t="s">
        <v>15591</v>
      </c>
      <c r="L5461" s="1" t="s">
        <v>479</v>
      </c>
      <c r="N5461" s="1" t="s">
        <v>587</v>
      </c>
      <c r="P5461" s="1" t="s">
        <v>2093</v>
      </c>
      <c r="Q5461" s="3">
        <v>0</v>
      </c>
      <c r="R5461" s="23" t="s">
        <v>11933</v>
      </c>
      <c r="S5461" s="23" t="s">
        <v>5849</v>
      </c>
      <c r="T5461" s="23" t="s">
        <v>4866</v>
      </c>
      <c r="U5461" s="3">
        <v>35</v>
      </c>
      <c r="W5461" s="45" t="str">
        <f>HYPERLINK("http://ictvonline.org/taxonomy/p/taxonomy-history?taxnode_id=201904613","ICTVonline=201904613")</f>
        <v>ICTVonline=201904613</v>
      </c>
      <c r="Y5461" s="1" t="s">
        <v>15725</v>
      </c>
      <c r="Z5461" s="1" t="s">
        <v>12387</v>
      </c>
      <c r="AA5461" s="1">
        <v>201900000</v>
      </c>
      <c r="AB5461" s="1">
        <v>35</v>
      </c>
    </row>
    <row r="5462" spans="1:28" x14ac:dyDescent="0.2">
      <c r="A5462" s="1">
        <v>14163</v>
      </c>
      <c r="B5462" s="1" t="s">
        <v>6839</v>
      </c>
      <c r="D5462" s="1" t="s">
        <v>11735</v>
      </c>
      <c r="F5462" s="1" t="s">
        <v>14661</v>
      </c>
      <c r="H5462" s="1" t="s">
        <v>15590</v>
      </c>
      <c r="J5462" s="1" t="s">
        <v>15591</v>
      </c>
      <c r="L5462" s="1" t="s">
        <v>479</v>
      </c>
      <c r="N5462" s="1" t="s">
        <v>587</v>
      </c>
      <c r="P5462" s="1" t="s">
        <v>2094</v>
      </c>
      <c r="Q5462" s="3">
        <v>0</v>
      </c>
      <c r="R5462" s="23" t="s">
        <v>11933</v>
      </c>
      <c r="S5462" s="23" t="s">
        <v>5849</v>
      </c>
      <c r="T5462" s="23" t="s">
        <v>4866</v>
      </c>
      <c r="U5462" s="3">
        <v>35</v>
      </c>
      <c r="W5462" s="45" t="str">
        <f>HYPERLINK("http://ictvonline.org/taxonomy/p/taxonomy-history?taxnode_id=201904614","ICTVonline=201904614")</f>
        <v>ICTVonline=201904614</v>
      </c>
      <c r="Y5462" s="1" t="s">
        <v>15726</v>
      </c>
      <c r="Z5462" s="1" t="s">
        <v>15727</v>
      </c>
      <c r="AA5462" s="1">
        <v>201900000</v>
      </c>
      <c r="AB5462" s="1">
        <v>35</v>
      </c>
    </row>
    <row r="5463" spans="1:28" x14ac:dyDescent="0.2">
      <c r="A5463" s="1">
        <v>14165</v>
      </c>
      <c r="B5463" s="1" t="s">
        <v>6839</v>
      </c>
      <c r="D5463" s="1" t="s">
        <v>11735</v>
      </c>
      <c r="F5463" s="1" t="s">
        <v>14661</v>
      </c>
      <c r="H5463" s="1" t="s">
        <v>15590</v>
      </c>
      <c r="J5463" s="1" t="s">
        <v>15591</v>
      </c>
      <c r="L5463" s="1" t="s">
        <v>479</v>
      </c>
      <c r="N5463" s="1" t="s">
        <v>587</v>
      </c>
      <c r="P5463" s="1" t="s">
        <v>2095</v>
      </c>
      <c r="Q5463" s="3">
        <v>0</v>
      </c>
      <c r="R5463" s="23" t="s">
        <v>11933</v>
      </c>
      <c r="S5463" s="23" t="s">
        <v>5849</v>
      </c>
      <c r="T5463" s="23" t="s">
        <v>4866</v>
      </c>
      <c r="U5463" s="3">
        <v>35</v>
      </c>
      <c r="W5463" s="45" t="str">
        <f>HYPERLINK("http://ictvonline.org/taxonomy/p/taxonomy-history?taxnode_id=201904615","ICTVonline=201904615")</f>
        <v>ICTVonline=201904615</v>
      </c>
      <c r="Y5463" s="1" t="s">
        <v>15728</v>
      </c>
      <c r="Z5463" s="1" t="s">
        <v>15729</v>
      </c>
      <c r="AA5463" s="1">
        <v>201900000</v>
      </c>
      <c r="AB5463" s="1">
        <v>35</v>
      </c>
    </row>
    <row r="5464" spans="1:28" x14ac:dyDescent="0.2">
      <c r="A5464" s="1">
        <v>14167</v>
      </c>
      <c r="B5464" s="1" t="s">
        <v>6839</v>
      </c>
      <c r="D5464" s="1" t="s">
        <v>11735</v>
      </c>
      <c r="F5464" s="1" t="s">
        <v>14661</v>
      </c>
      <c r="H5464" s="1" t="s">
        <v>15590</v>
      </c>
      <c r="J5464" s="1" t="s">
        <v>15591</v>
      </c>
      <c r="L5464" s="1" t="s">
        <v>479</v>
      </c>
      <c r="N5464" s="1" t="s">
        <v>587</v>
      </c>
      <c r="P5464" s="1" t="s">
        <v>15730</v>
      </c>
      <c r="Q5464" s="3">
        <v>0</v>
      </c>
      <c r="R5464" s="23" t="s">
        <v>11933</v>
      </c>
      <c r="S5464" s="23" t="s">
        <v>5849</v>
      </c>
      <c r="T5464" s="23" t="s">
        <v>4864</v>
      </c>
      <c r="U5464" s="3">
        <v>35</v>
      </c>
      <c r="V5464" s="3" t="s">
        <v>15709</v>
      </c>
      <c r="W5464" s="45" t="str">
        <f>HYPERLINK("http://ictvonline.org/taxonomy/p/taxonomy-history?taxnode_id=201907434","ICTVonline=201907434")</f>
        <v>ICTVonline=201907434</v>
      </c>
      <c r="X5464" s="1" t="s">
        <v>15731</v>
      </c>
      <c r="Y5464" s="1" t="s">
        <v>15732</v>
      </c>
      <c r="Z5464" s="1" t="s">
        <v>15733</v>
      </c>
      <c r="AA5464" s="1">
        <v>201900000</v>
      </c>
      <c r="AB5464" s="1">
        <v>35</v>
      </c>
    </row>
    <row r="5465" spans="1:28" x14ac:dyDescent="0.2">
      <c r="A5465" s="1">
        <v>14169</v>
      </c>
      <c r="B5465" s="1" t="s">
        <v>6839</v>
      </c>
      <c r="D5465" s="1" t="s">
        <v>11735</v>
      </c>
      <c r="F5465" s="1" t="s">
        <v>14661</v>
      </c>
      <c r="H5465" s="1" t="s">
        <v>15590</v>
      </c>
      <c r="J5465" s="1" t="s">
        <v>15591</v>
      </c>
      <c r="L5465" s="1" t="s">
        <v>479</v>
      </c>
      <c r="N5465" s="1" t="s">
        <v>587</v>
      </c>
      <c r="P5465" s="1" t="s">
        <v>2675</v>
      </c>
      <c r="Q5465" s="3">
        <v>0</v>
      </c>
      <c r="R5465" s="23" t="s">
        <v>11933</v>
      </c>
      <c r="S5465" s="23" t="s">
        <v>5849</v>
      </c>
      <c r="T5465" s="23" t="s">
        <v>4866</v>
      </c>
      <c r="U5465" s="3">
        <v>35</v>
      </c>
      <c r="W5465" s="45" t="str">
        <f>HYPERLINK("http://ictvonline.org/taxonomy/p/taxonomy-history?taxnode_id=201904616","ICTVonline=201904616")</f>
        <v>ICTVonline=201904616</v>
      </c>
      <c r="Y5465" s="1" t="s">
        <v>15734</v>
      </c>
      <c r="Z5465" s="1" t="s">
        <v>15735</v>
      </c>
      <c r="AA5465" s="1">
        <v>201900000</v>
      </c>
      <c r="AB5465" s="1">
        <v>35</v>
      </c>
    </row>
    <row r="5466" spans="1:28" x14ac:dyDescent="0.2">
      <c r="A5466" s="1">
        <v>14171</v>
      </c>
      <c r="B5466" s="1" t="s">
        <v>6839</v>
      </c>
      <c r="D5466" s="1" t="s">
        <v>11735</v>
      </c>
      <c r="F5466" s="1" t="s">
        <v>14661</v>
      </c>
      <c r="H5466" s="1" t="s">
        <v>15590</v>
      </c>
      <c r="J5466" s="1" t="s">
        <v>15591</v>
      </c>
      <c r="L5466" s="1" t="s">
        <v>479</v>
      </c>
      <c r="N5466" s="1" t="s">
        <v>587</v>
      </c>
      <c r="P5466" s="1" t="s">
        <v>2101</v>
      </c>
      <c r="Q5466" s="3">
        <v>0</v>
      </c>
      <c r="R5466" s="23" t="s">
        <v>11933</v>
      </c>
      <c r="S5466" s="23" t="s">
        <v>5849</v>
      </c>
      <c r="T5466" s="23" t="s">
        <v>4866</v>
      </c>
      <c r="U5466" s="3">
        <v>35</v>
      </c>
      <c r="W5466" s="45" t="str">
        <f>HYPERLINK("http://ictvonline.org/taxonomy/p/taxonomy-history?taxnode_id=201904617","ICTVonline=201904617")</f>
        <v>ICTVonline=201904617</v>
      </c>
      <c r="Y5466" s="1" t="s">
        <v>15736</v>
      </c>
      <c r="Z5466" s="1" t="s">
        <v>15737</v>
      </c>
      <c r="AA5466" s="1">
        <v>201900000</v>
      </c>
      <c r="AB5466" s="1">
        <v>35</v>
      </c>
    </row>
    <row r="5467" spans="1:28" x14ac:dyDescent="0.2">
      <c r="A5467" s="1">
        <v>14173</v>
      </c>
      <c r="B5467" s="1" t="s">
        <v>6839</v>
      </c>
      <c r="D5467" s="1" t="s">
        <v>11735</v>
      </c>
      <c r="F5467" s="1" t="s">
        <v>14661</v>
      </c>
      <c r="H5467" s="1" t="s">
        <v>15590</v>
      </c>
      <c r="J5467" s="1" t="s">
        <v>15591</v>
      </c>
      <c r="L5467" s="1" t="s">
        <v>479</v>
      </c>
      <c r="N5467" s="1" t="s">
        <v>587</v>
      </c>
      <c r="P5467" s="1" t="s">
        <v>528</v>
      </c>
      <c r="Q5467" s="3">
        <v>0</v>
      </c>
      <c r="R5467" s="23" t="s">
        <v>11933</v>
      </c>
      <c r="S5467" s="23" t="s">
        <v>5849</v>
      </c>
      <c r="T5467" s="23" t="s">
        <v>4866</v>
      </c>
      <c r="U5467" s="3">
        <v>35</v>
      </c>
      <c r="W5467" s="45" t="str">
        <f>HYPERLINK("http://ictvonline.org/taxonomy/p/taxonomy-history?taxnode_id=201904618","ICTVonline=201904618")</f>
        <v>ICTVonline=201904618</v>
      </c>
      <c r="AA5467" s="1">
        <v>201900000</v>
      </c>
      <c r="AB5467" s="1">
        <v>35</v>
      </c>
    </row>
    <row r="5468" spans="1:28" x14ac:dyDescent="0.2">
      <c r="A5468" s="1">
        <v>14175</v>
      </c>
      <c r="B5468" s="1" t="s">
        <v>6839</v>
      </c>
      <c r="D5468" s="1" t="s">
        <v>11735</v>
      </c>
      <c r="F5468" s="1" t="s">
        <v>14661</v>
      </c>
      <c r="H5468" s="1" t="s">
        <v>15590</v>
      </c>
      <c r="J5468" s="1" t="s">
        <v>15591</v>
      </c>
      <c r="L5468" s="1" t="s">
        <v>479</v>
      </c>
      <c r="N5468" s="1" t="s">
        <v>587</v>
      </c>
      <c r="P5468" s="1" t="s">
        <v>529</v>
      </c>
      <c r="Q5468" s="3">
        <v>0</v>
      </c>
      <c r="R5468" s="23" t="s">
        <v>11933</v>
      </c>
      <c r="S5468" s="23" t="s">
        <v>5849</v>
      </c>
      <c r="T5468" s="23" t="s">
        <v>4866</v>
      </c>
      <c r="U5468" s="3">
        <v>35</v>
      </c>
      <c r="W5468" s="45" t="str">
        <f>HYPERLINK("http://ictvonline.org/taxonomy/p/taxonomy-history?taxnode_id=201904619","ICTVonline=201904619")</f>
        <v>ICTVonline=201904619</v>
      </c>
      <c r="AA5468" s="1">
        <v>201900000</v>
      </c>
      <c r="AB5468" s="1">
        <v>35</v>
      </c>
    </row>
    <row r="5469" spans="1:28" x14ac:dyDescent="0.2">
      <c r="A5469" s="1">
        <v>14177</v>
      </c>
      <c r="B5469" s="1" t="s">
        <v>6839</v>
      </c>
      <c r="D5469" s="1" t="s">
        <v>11735</v>
      </c>
      <c r="F5469" s="1" t="s">
        <v>14661</v>
      </c>
      <c r="H5469" s="1" t="s">
        <v>15590</v>
      </c>
      <c r="J5469" s="1" t="s">
        <v>15591</v>
      </c>
      <c r="L5469" s="1" t="s">
        <v>479</v>
      </c>
      <c r="N5469" s="1" t="s">
        <v>587</v>
      </c>
      <c r="P5469" s="1" t="s">
        <v>530</v>
      </c>
      <c r="Q5469" s="3">
        <v>0</v>
      </c>
      <c r="R5469" s="23" t="s">
        <v>11933</v>
      </c>
      <c r="S5469" s="23" t="s">
        <v>5849</v>
      </c>
      <c r="T5469" s="23" t="s">
        <v>4866</v>
      </c>
      <c r="U5469" s="3">
        <v>35</v>
      </c>
      <c r="W5469" s="45" t="str">
        <f>HYPERLINK("http://ictvonline.org/taxonomy/p/taxonomy-history?taxnode_id=201904620","ICTVonline=201904620")</f>
        <v>ICTVonline=201904620</v>
      </c>
      <c r="Y5469" s="1" t="s">
        <v>15738</v>
      </c>
      <c r="Z5469" s="1" t="s">
        <v>15739</v>
      </c>
      <c r="AA5469" s="1">
        <v>201900000</v>
      </c>
      <c r="AB5469" s="1">
        <v>35</v>
      </c>
    </row>
    <row r="5470" spans="1:28" x14ac:dyDescent="0.2">
      <c r="A5470" s="1">
        <v>14179</v>
      </c>
      <c r="B5470" s="1" t="s">
        <v>6839</v>
      </c>
      <c r="D5470" s="1" t="s">
        <v>11735</v>
      </c>
      <c r="F5470" s="1" t="s">
        <v>14661</v>
      </c>
      <c r="H5470" s="1" t="s">
        <v>15590</v>
      </c>
      <c r="J5470" s="1" t="s">
        <v>15591</v>
      </c>
      <c r="L5470" s="1" t="s">
        <v>479</v>
      </c>
      <c r="N5470" s="1" t="s">
        <v>587</v>
      </c>
      <c r="P5470" s="1" t="s">
        <v>531</v>
      </c>
      <c r="Q5470" s="3">
        <v>0</v>
      </c>
      <c r="R5470" s="23" t="s">
        <v>11933</v>
      </c>
      <c r="S5470" s="23" t="s">
        <v>5849</v>
      </c>
      <c r="T5470" s="23" t="s">
        <v>4866</v>
      </c>
      <c r="U5470" s="3">
        <v>35</v>
      </c>
      <c r="W5470" s="45" t="str">
        <f>HYPERLINK("http://ictvonline.org/taxonomy/p/taxonomy-history?taxnode_id=201904621","ICTVonline=201904621")</f>
        <v>ICTVonline=201904621</v>
      </c>
      <c r="AA5470" s="1">
        <v>201900000</v>
      </c>
      <c r="AB5470" s="1">
        <v>35</v>
      </c>
    </row>
    <row r="5471" spans="1:28" x14ac:dyDescent="0.2">
      <c r="A5471" s="1">
        <v>14181</v>
      </c>
      <c r="B5471" s="1" t="s">
        <v>6839</v>
      </c>
      <c r="D5471" s="1" t="s">
        <v>11735</v>
      </c>
      <c r="F5471" s="1" t="s">
        <v>14661</v>
      </c>
      <c r="H5471" s="1" t="s">
        <v>15590</v>
      </c>
      <c r="J5471" s="1" t="s">
        <v>15591</v>
      </c>
      <c r="L5471" s="1" t="s">
        <v>479</v>
      </c>
      <c r="N5471" s="1" t="s">
        <v>587</v>
      </c>
      <c r="P5471" s="1" t="s">
        <v>5457</v>
      </c>
      <c r="Q5471" s="3">
        <v>0</v>
      </c>
      <c r="R5471" s="23" t="s">
        <v>11933</v>
      </c>
      <c r="S5471" s="23" t="s">
        <v>5849</v>
      </c>
      <c r="T5471" s="23" t="s">
        <v>4866</v>
      </c>
      <c r="U5471" s="3">
        <v>35</v>
      </c>
      <c r="W5471" s="45" t="str">
        <f>HYPERLINK("http://ictvonline.org/taxonomy/p/taxonomy-history?taxnode_id=201905921","ICTVonline=201905921")</f>
        <v>ICTVonline=201905921</v>
      </c>
      <c r="AA5471" s="1">
        <v>201900000</v>
      </c>
      <c r="AB5471" s="1">
        <v>35</v>
      </c>
    </row>
    <row r="5472" spans="1:28" x14ac:dyDescent="0.2">
      <c r="A5472" s="1">
        <v>14183</v>
      </c>
      <c r="B5472" s="1" t="s">
        <v>6839</v>
      </c>
      <c r="D5472" s="1" t="s">
        <v>11735</v>
      </c>
      <c r="F5472" s="1" t="s">
        <v>14661</v>
      </c>
      <c r="H5472" s="1" t="s">
        <v>15590</v>
      </c>
      <c r="J5472" s="1" t="s">
        <v>15591</v>
      </c>
      <c r="L5472" s="1" t="s">
        <v>479</v>
      </c>
      <c r="N5472" s="1" t="s">
        <v>587</v>
      </c>
      <c r="P5472" s="1" t="s">
        <v>532</v>
      </c>
      <c r="Q5472" s="3">
        <v>0</v>
      </c>
      <c r="R5472" s="23" t="s">
        <v>11933</v>
      </c>
      <c r="S5472" s="23" t="s">
        <v>5849</v>
      </c>
      <c r="T5472" s="23" t="s">
        <v>4866</v>
      </c>
      <c r="U5472" s="3">
        <v>35</v>
      </c>
      <c r="W5472" s="45" t="str">
        <f>HYPERLINK("http://ictvonline.org/taxonomy/p/taxonomy-history?taxnode_id=201904622","ICTVonline=201904622")</f>
        <v>ICTVonline=201904622</v>
      </c>
      <c r="AA5472" s="1">
        <v>201900000</v>
      </c>
      <c r="AB5472" s="1">
        <v>35</v>
      </c>
    </row>
    <row r="5473" spans="1:28" x14ac:dyDescent="0.2">
      <c r="A5473" s="1">
        <v>14185</v>
      </c>
      <c r="B5473" s="1" t="s">
        <v>6839</v>
      </c>
      <c r="D5473" s="1" t="s">
        <v>11735</v>
      </c>
      <c r="F5473" s="1" t="s">
        <v>14661</v>
      </c>
      <c r="H5473" s="1" t="s">
        <v>15590</v>
      </c>
      <c r="J5473" s="1" t="s">
        <v>15591</v>
      </c>
      <c r="L5473" s="1" t="s">
        <v>479</v>
      </c>
      <c r="N5473" s="1" t="s">
        <v>587</v>
      </c>
      <c r="P5473" s="1" t="s">
        <v>533</v>
      </c>
      <c r="Q5473" s="3">
        <v>0</v>
      </c>
      <c r="R5473" s="23" t="s">
        <v>11933</v>
      </c>
      <c r="S5473" s="23" t="s">
        <v>5849</v>
      </c>
      <c r="T5473" s="23" t="s">
        <v>4866</v>
      </c>
      <c r="U5473" s="3">
        <v>35</v>
      </c>
      <c r="W5473" s="45" t="str">
        <f>HYPERLINK("http://ictvonline.org/taxonomy/p/taxonomy-history?taxnode_id=201904623","ICTVonline=201904623")</f>
        <v>ICTVonline=201904623</v>
      </c>
      <c r="AA5473" s="1">
        <v>201900000</v>
      </c>
      <c r="AB5473" s="1">
        <v>35</v>
      </c>
    </row>
    <row r="5474" spans="1:28" x14ac:dyDescent="0.2">
      <c r="A5474" s="1">
        <v>14187</v>
      </c>
      <c r="B5474" s="1" t="s">
        <v>6839</v>
      </c>
      <c r="D5474" s="1" t="s">
        <v>11735</v>
      </c>
      <c r="F5474" s="1" t="s">
        <v>14661</v>
      </c>
      <c r="H5474" s="1" t="s">
        <v>15590</v>
      </c>
      <c r="J5474" s="1" t="s">
        <v>15591</v>
      </c>
      <c r="L5474" s="1" t="s">
        <v>479</v>
      </c>
      <c r="N5474" s="1" t="s">
        <v>587</v>
      </c>
      <c r="P5474" s="1" t="s">
        <v>534</v>
      </c>
      <c r="Q5474" s="3">
        <v>0</v>
      </c>
      <c r="R5474" s="23" t="s">
        <v>11933</v>
      </c>
      <c r="S5474" s="23" t="s">
        <v>5849</v>
      </c>
      <c r="T5474" s="23" t="s">
        <v>4866</v>
      </c>
      <c r="U5474" s="3">
        <v>35</v>
      </c>
      <c r="W5474" s="45" t="str">
        <f>HYPERLINK("http://ictvonline.org/taxonomy/p/taxonomy-history?taxnode_id=201904624","ICTVonline=201904624")</f>
        <v>ICTVonline=201904624</v>
      </c>
      <c r="AA5474" s="1">
        <v>201900000</v>
      </c>
      <c r="AB5474" s="1">
        <v>35</v>
      </c>
    </row>
    <row r="5475" spans="1:28" x14ac:dyDescent="0.2">
      <c r="A5475" s="1">
        <v>14189</v>
      </c>
      <c r="B5475" s="1" t="s">
        <v>6839</v>
      </c>
      <c r="D5475" s="1" t="s">
        <v>11735</v>
      </c>
      <c r="F5475" s="1" t="s">
        <v>14661</v>
      </c>
      <c r="H5475" s="1" t="s">
        <v>15590</v>
      </c>
      <c r="J5475" s="1" t="s">
        <v>15591</v>
      </c>
      <c r="L5475" s="1" t="s">
        <v>479</v>
      </c>
      <c r="N5475" s="1" t="s">
        <v>587</v>
      </c>
      <c r="P5475" s="1" t="s">
        <v>535</v>
      </c>
      <c r="Q5475" s="3">
        <v>0</v>
      </c>
      <c r="R5475" s="23" t="s">
        <v>11933</v>
      </c>
      <c r="S5475" s="23" t="s">
        <v>5849</v>
      </c>
      <c r="T5475" s="23" t="s">
        <v>4866</v>
      </c>
      <c r="U5475" s="3">
        <v>35</v>
      </c>
      <c r="W5475" s="45" t="str">
        <f>HYPERLINK("http://ictvonline.org/taxonomy/p/taxonomy-history?taxnode_id=201904625","ICTVonline=201904625")</f>
        <v>ICTVonline=201904625</v>
      </c>
      <c r="Y5475" s="1" t="s">
        <v>15740</v>
      </c>
      <c r="Z5475" s="1">
        <v>1</v>
      </c>
      <c r="AA5475" s="1">
        <v>201900000</v>
      </c>
      <c r="AB5475" s="1">
        <v>35</v>
      </c>
    </row>
    <row r="5476" spans="1:28" x14ac:dyDescent="0.2">
      <c r="A5476" s="1">
        <v>14191</v>
      </c>
      <c r="B5476" s="1" t="s">
        <v>6839</v>
      </c>
      <c r="D5476" s="1" t="s">
        <v>11735</v>
      </c>
      <c r="F5476" s="1" t="s">
        <v>14661</v>
      </c>
      <c r="H5476" s="1" t="s">
        <v>15590</v>
      </c>
      <c r="J5476" s="1" t="s">
        <v>15591</v>
      </c>
      <c r="L5476" s="1" t="s">
        <v>479</v>
      </c>
      <c r="N5476" s="1" t="s">
        <v>587</v>
      </c>
      <c r="P5476" s="1" t="s">
        <v>4763</v>
      </c>
      <c r="Q5476" s="3">
        <v>0</v>
      </c>
      <c r="R5476" s="23" t="s">
        <v>11933</v>
      </c>
      <c r="S5476" s="23" t="s">
        <v>5849</v>
      </c>
      <c r="T5476" s="23" t="s">
        <v>4866</v>
      </c>
      <c r="U5476" s="3">
        <v>35</v>
      </c>
      <c r="W5476" s="45" t="str">
        <f>HYPERLINK("http://ictvonline.org/taxonomy/p/taxonomy-history?taxnode_id=201904626","ICTVonline=201904626")</f>
        <v>ICTVonline=201904626</v>
      </c>
      <c r="Y5476" s="1" t="s">
        <v>15741</v>
      </c>
      <c r="Z5476" s="1" t="s">
        <v>15742</v>
      </c>
      <c r="AA5476" s="1">
        <v>201900000</v>
      </c>
      <c r="AB5476" s="1">
        <v>35</v>
      </c>
    </row>
    <row r="5477" spans="1:28" x14ac:dyDescent="0.2">
      <c r="A5477" s="1">
        <v>14193</v>
      </c>
      <c r="B5477" s="1" t="s">
        <v>6839</v>
      </c>
      <c r="D5477" s="1" t="s">
        <v>11735</v>
      </c>
      <c r="F5477" s="1" t="s">
        <v>14661</v>
      </c>
      <c r="H5477" s="1" t="s">
        <v>15590</v>
      </c>
      <c r="J5477" s="1" t="s">
        <v>15591</v>
      </c>
      <c r="L5477" s="1" t="s">
        <v>479</v>
      </c>
      <c r="N5477" s="1" t="s">
        <v>587</v>
      </c>
      <c r="P5477" s="1" t="s">
        <v>536</v>
      </c>
      <c r="Q5477" s="3">
        <v>0</v>
      </c>
      <c r="R5477" s="23" t="s">
        <v>11933</v>
      </c>
      <c r="S5477" s="23" t="s">
        <v>5849</v>
      </c>
      <c r="T5477" s="23" t="s">
        <v>4866</v>
      </c>
      <c r="U5477" s="3">
        <v>35</v>
      </c>
      <c r="W5477" s="45" t="str">
        <f>HYPERLINK("http://ictvonline.org/taxonomy/p/taxonomy-history?taxnode_id=201904627","ICTVonline=201904627")</f>
        <v>ICTVonline=201904627</v>
      </c>
      <c r="Y5477" s="1" t="s">
        <v>15743</v>
      </c>
      <c r="Z5477" s="1" t="s">
        <v>15744</v>
      </c>
      <c r="AA5477" s="1">
        <v>201900000</v>
      </c>
      <c r="AB5477" s="1">
        <v>35</v>
      </c>
    </row>
    <row r="5478" spans="1:28" x14ac:dyDescent="0.2">
      <c r="A5478" s="1">
        <v>14195</v>
      </c>
      <c r="B5478" s="1" t="s">
        <v>6839</v>
      </c>
      <c r="D5478" s="1" t="s">
        <v>11735</v>
      </c>
      <c r="F5478" s="1" t="s">
        <v>14661</v>
      </c>
      <c r="H5478" s="1" t="s">
        <v>15590</v>
      </c>
      <c r="J5478" s="1" t="s">
        <v>15591</v>
      </c>
      <c r="L5478" s="1" t="s">
        <v>479</v>
      </c>
      <c r="N5478" s="1" t="s">
        <v>587</v>
      </c>
      <c r="P5478" s="1" t="s">
        <v>5458</v>
      </c>
      <c r="Q5478" s="3">
        <v>0</v>
      </c>
      <c r="R5478" s="23" t="s">
        <v>11933</v>
      </c>
      <c r="S5478" s="23" t="s">
        <v>5849</v>
      </c>
      <c r="T5478" s="23" t="s">
        <v>4866</v>
      </c>
      <c r="U5478" s="3">
        <v>35</v>
      </c>
      <c r="W5478" s="45" t="str">
        <f>HYPERLINK("http://ictvonline.org/taxonomy/p/taxonomy-history?taxnode_id=201904628","ICTVonline=201904628")</f>
        <v>ICTVonline=201904628</v>
      </c>
      <c r="AA5478" s="1">
        <v>201900000</v>
      </c>
      <c r="AB5478" s="1">
        <v>35</v>
      </c>
    </row>
    <row r="5479" spans="1:28" x14ac:dyDescent="0.2">
      <c r="A5479" s="1">
        <v>14197</v>
      </c>
      <c r="B5479" s="1" t="s">
        <v>6839</v>
      </c>
      <c r="D5479" s="1" t="s">
        <v>11735</v>
      </c>
      <c r="F5479" s="1" t="s">
        <v>14661</v>
      </c>
      <c r="H5479" s="1" t="s">
        <v>15590</v>
      </c>
      <c r="J5479" s="1" t="s">
        <v>15591</v>
      </c>
      <c r="L5479" s="1" t="s">
        <v>479</v>
      </c>
      <c r="N5479" s="1" t="s">
        <v>587</v>
      </c>
      <c r="P5479" s="1" t="s">
        <v>2676</v>
      </c>
      <c r="Q5479" s="3">
        <v>0</v>
      </c>
      <c r="R5479" s="23" t="s">
        <v>11933</v>
      </c>
      <c r="S5479" s="23" t="s">
        <v>5849</v>
      </c>
      <c r="T5479" s="23" t="s">
        <v>4866</v>
      </c>
      <c r="U5479" s="3">
        <v>35</v>
      </c>
      <c r="W5479" s="45" t="str">
        <f>HYPERLINK("http://ictvonline.org/taxonomy/p/taxonomy-history?taxnode_id=201904629","ICTVonline=201904629")</f>
        <v>ICTVonline=201904629</v>
      </c>
      <c r="Y5479" s="1" t="s">
        <v>15745</v>
      </c>
      <c r="Z5479" s="1" t="s">
        <v>15746</v>
      </c>
      <c r="AA5479" s="1">
        <v>201900000</v>
      </c>
      <c r="AB5479" s="1">
        <v>35</v>
      </c>
    </row>
    <row r="5480" spans="1:28" x14ac:dyDescent="0.2">
      <c r="A5480" s="1">
        <v>14199</v>
      </c>
      <c r="B5480" s="1" t="s">
        <v>6839</v>
      </c>
      <c r="D5480" s="1" t="s">
        <v>11735</v>
      </c>
      <c r="F5480" s="1" t="s">
        <v>14661</v>
      </c>
      <c r="H5480" s="1" t="s">
        <v>15590</v>
      </c>
      <c r="J5480" s="1" t="s">
        <v>15591</v>
      </c>
      <c r="L5480" s="1" t="s">
        <v>479</v>
      </c>
      <c r="N5480" s="1" t="s">
        <v>587</v>
      </c>
      <c r="P5480" s="1" t="s">
        <v>537</v>
      </c>
      <c r="Q5480" s="3">
        <v>0</v>
      </c>
      <c r="R5480" s="23" t="s">
        <v>11933</v>
      </c>
      <c r="S5480" s="23" t="s">
        <v>5849</v>
      </c>
      <c r="T5480" s="23" t="s">
        <v>4866</v>
      </c>
      <c r="U5480" s="3">
        <v>35</v>
      </c>
      <c r="W5480" s="45" t="str">
        <f>HYPERLINK("http://ictvonline.org/taxonomy/p/taxonomy-history?taxnode_id=201904630","ICTVonline=201904630")</f>
        <v>ICTVonline=201904630</v>
      </c>
      <c r="Y5480" s="1" t="s">
        <v>15747</v>
      </c>
      <c r="Z5480" s="1" t="s">
        <v>15748</v>
      </c>
      <c r="AA5480" s="1">
        <v>201900000</v>
      </c>
      <c r="AB5480" s="1">
        <v>35</v>
      </c>
    </row>
    <row r="5481" spans="1:28" x14ac:dyDescent="0.2">
      <c r="A5481" s="1">
        <v>14201</v>
      </c>
      <c r="B5481" s="1" t="s">
        <v>6839</v>
      </c>
      <c r="D5481" s="1" t="s">
        <v>11735</v>
      </c>
      <c r="F5481" s="1" t="s">
        <v>14661</v>
      </c>
      <c r="H5481" s="1" t="s">
        <v>15590</v>
      </c>
      <c r="J5481" s="1" t="s">
        <v>15591</v>
      </c>
      <c r="L5481" s="1" t="s">
        <v>479</v>
      </c>
      <c r="N5481" s="1" t="s">
        <v>587</v>
      </c>
      <c r="P5481" s="1" t="s">
        <v>538</v>
      </c>
      <c r="Q5481" s="3">
        <v>0</v>
      </c>
      <c r="R5481" s="23" t="s">
        <v>11933</v>
      </c>
      <c r="S5481" s="23" t="s">
        <v>5849</v>
      </c>
      <c r="T5481" s="23" t="s">
        <v>4866</v>
      </c>
      <c r="U5481" s="3">
        <v>35</v>
      </c>
      <c r="W5481" s="45" t="str">
        <f>HYPERLINK("http://ictvonline.org/taxonomy/p/taxonomy-history?taxnode_id=201904631","ICTVonline=201904631")</f>
        <v>ICTVonline=201904631</v>
      </c>
      <c r="Y5481" s="1" t="s">
        <v>15749</v>
      </c>
      <c r="Z5481" s="1" t="s">
        <v>15750</v>
      </c>
      <c r="AA5481" s="1">
        <v>201900000</v>
      </c>
      <c r="AB5481" s="1">
        <v>35</v>
      </c>
    </row>
    <row r="5482" spans="1:28" x14ac:dyDescent="0.2">
      <c r="A5482" s="1">
        <v>14203</v>
      </c>
      <c r="B5482" s="1" t="s">
        <v>6839</v>
      </c>
      <c r="D5482" s="1" t="s">
        <v>11735</v>
      </c>
      <c r="F5482" s="1" t="s">
        <v>14661</v>
      </c>
      <c r="H5482" s="1" t="s">
        <v>15590</v>
      </c>
      <c r="J5482" s="1" t="s">
        <v>15591</v>
      </c>
      <c r="L5482" s="1" t="s">
        <v>479</v>
      </c>
      <c r="N5482" s="1" t="s">
        <v>587</v>
      </c>
      <c r="P5482" s="1" t="s">
        <v>4764</v>
      </c>
      <c r="Q5482" s="3">
        <v>0</v>
      </c>
      <c r="R5482" s="23" t="s">
        <v>11933</v>
      </c>
      <c r="S5482" s="23" t="s">
        <v>5849</v>
      </c>
      <c r="T5482" s="23" t="s">
        <v>4866</v>
      </c>
      <c r="U5482" s="3">
        <v>35</v>
      </c>
      <c r="W5482" s="45" t="str">
        <f>HYPERLINK("http://ictvonline.org/taxonomy/p/taxonomy-history?taxnode_id=201904632","ICTVonline=201904632")</f>
        <v>ICTVonline=201904632</v>
      </c>
      <c r="Y5482" s="1" t="s">
        <v>15751</v>
      </c>
      <c r="Z5482" s="1" t="s">
        <v>15752</v>
      </c>
      <c r="AA5482" s="1">
        <v>201900000</v>
      </c>
      <c r="AB5482" s="1">
        <v>35</v>
      </c>
    </row>
    <row r="5483" spans="1:28" x14ac:dyDescent="0.2">
      <c r="A5483" s="1">
        <v>14205</v>
      </c>
      <c r="B5483" s="1" t="s">
        <v>6839</v>
      </c>
      <c r="D5483" s="1" t="s">
        <v>11735</v>
      </c>
      <c r="F5483" s="1" t="s">
        <v>14661</v>
      </c>
      <c r="H5483" s="1" t="s">
        <v>15590</v>
      </c>
      <c r="J5483" s="1" t="s">
        <v>15591</v>
      </c>
      <c r="L5483" s="1" t="s">
        <v>479</v>
      </c>
      <c r="N5483" s="1" t="s">
        <v>587</v>
      </c>
      <c r="P5483" s="1" t="s">
        <v>539</v>
      </c>
      <c r="Q5483" s="3">
        <v>0</v>
      </c>
      <c r="R5483" s="23" t="s">
        <v>11933</v>
      </c>
      <c r="S5483" s="23" t="s">
        <v>5849</v>
      </c>
      <c r="T5483" s="23" t="s">
        <v>4866</v>
      </c>
      <c r="U5483" s="3">
        <v>35</v>
      </c>
      <c r="W5483" s="45" t="str">
        <f>HYPERLINK("http://ictvonline.org/taxonomy/p/taxonomy-history?taxnode_id=201904633","ICTVonline=201904633")</f>
        <v>ICTVonline=201904633</v>
      </c>
      <c r="Y5483" s="1" t="s">
        <v>15753</v>
      </c>
      <c r="Z5483" s="1" t="s">
        <v>12310</v>
      </c>
      <c r="AA5483" s="1">
        <v>201900000</v>
      </c>
      <c r="AB5483" s="1">
        <v>35</v>
      </c>
    </row>
    <row r="5484" spans="1:28" x14ac:dyDescent="0.2">
      <c r="A5484" s="1">
        <v>14207</v>
      </c>
      <c r="B5484" s="1" t="s">
        <v>6839</v>
      </c>
      <c r="D5484" s="1" t="s">
        <v>11735</v>
      </c>
      <c r="F5484" s="1" t="s">
        <v>14661</v>
      </c>
      <c r="H5484" s="1" t="s">
        <v>15590</v>
      </c>
      <c r="J5484" s="1" t="s">
        <v>15591</v>
      </c>
      <c r="L5484" s="1" t="s">
        <v>479</v>
      </c>
      <c r="N5484" s="1" t="s">
        <v>587</v>
      </c>
      <c r="P5484" s="1" t="s">
        <v>540</v>
      </c>
      <c r="Q5484" s="3">
        <v>0</v>
      </c>
      <c r="R5484" s="23" t="s">
        <v>11933</v>
      </c>
      <c r="S5484" s="23" t="s">
        <v>5849</v>
      </c>
      <c r="T5484" s="23" t="s">
        <v>4866</v>
      </c>
      <c r="U5484" s="3">
        <v>35</v>
      </c>
      <c r="W5484" s="45" t="str">
        <f>HYPERLINK("http://ictvonline.org/taxonomy/p/taxonomy-history?taxnode_id=201904634","ICTVonline=201904634")</f>
        <v>ICTVonline=201904634</v>
      </c>
      <c r="Y5484" s="1" t="s">
        <v>15754</v>
      </c>
      <c r="Z5484" s="1" t="s">
        <v>15755</v>
      </c>
      <c r="AA5484" s="1">
        <v>201900000</v>
      </c>
      <c r="AB5484" s="1">
        <v>35</v>
      </c>
    </row>
    <row r="5485" spans="1:28" x14ac:dyDescent="0.2">
      <c r="A5485" s="1">
        <v>14209</v>
      </c>
      <c r="B5485" s="1" t="s">
        <v>6839</v>
      </c>
      <c r="D5485" s="1" t="s">
        <v>11735</v>
      </c>
      <c r="F5485" s="1" t="s">
        <v>14661</v>
      </c>
      <c r="H5485" s="1" t="s">
        <v>15590</v>
      </c>
      <c r="J5485" s="1" t="s">
        <v>15591</v>
      </c>
      <c r="L5485" s="1" t="s">
        <v>479</v>
      </c>
      <c r="N5485" s="1" t="s">
        <v>587</v>
      </c>
      <c r="P5485" s="1" t="s">
        <v>15756</v>
      </c>
      <c r="Q5485" s="3">
        <v>0</v>
      </c>
      <c r="R5485" s="23" t="s">
        <v>11933</v>
      </c>
      <c r="S5485" s="23" t="s">
        <v>5849</v>
      </c>
      <c r="T5485" s="23" t="s">
        <v>4864</v>
      </c>
      <c r="U5485" s="3">
        <v>35</v>
      </c>
      <c r="V5485" s="3" t="s">
        <v>15709</v>
      </c>
      <c r="W5485" s="45" t="str">
        <f>HYPERLINK("http://ictvonline.org/taxonomy/p/taxonomy-history?taxnode_id=201907435","ICTVonline=201907435")</f>
        <v>ICTVonline=201907435</v>
      </c>
      <c r="X5485" s="1" t="s">
        <v>15757</v>
      </c>
      <c r="Y5485" s="1" t="s">
        <v>15758</v>
      </c>
      <c r="Z5485" s="1" t="s">
        <v>15759</v>
      </c>
      <c r="AA5485" s="1">
        <v>201900000</v>
      </c>
      <c r="AB5485" s="1">
        <v>35</v>
      </c>
    </row>
    <row r="5486" spans="1:28" x14ac:dyDescent="0.2">
      <c r="A5486" s="1">
        <v>14211</v>
      </c>
      <c r="B5486" s="1" t="s">
        <v>6839</v>
      </c>
      <c r="D5486" s="1" t="s">
        <v>11735</v>
      </c>
      <c r="F5486" s="1" t="s">
        <v>14661</v>
      </c>
      <c r="H5486" s="1" t="s">
        <v>15590</v>
      </c>
      <c r="J5486" s="1" t="s">
        <v>15591</v>
      </c>
      <c r="L5486" s="1" t="s">
        <v>479</v>
      </c>
      <c r="N5486" s="1" t="s">
        <v>587</v>
      </c>
      <c r="P5486" s="1" t="s">
        <v>2677</v>
      </c>
      <c r="Q5486" s="3">
        <v>0</v>
      </c>
      <c r="R5486" s="23" t="s">
        <v>11933</v>
      </c>
      <c r="S5486" s="23" t="s">
        <v>5849</v>
      </c>
      <c r="T5486" s="23" t="s">
        <v>4866</v>
      </c>
      <c r="U5486" s="3">
        <v>35</v>
      </c>
      <c r="W5486" s="45" t="str">
        <f>HYPERLINK("http://ictvonline.org/taxonomy/p/taxonomy-history?taxnode_id=201904635","ICTVonline=201904635")</f>
        <v>ICTVonline=201904635</v>
      </c>
      <c r="Y5486" s="1" t="s">
        <v>15760</v>
      </c>
      <c r="Z5486" s="1" t="s">
        <v>15761</v>
      </c>
      <c r="AA5486" s="1">
        <v>201900000</v>
      </c>
      <c r="AB5486" s="1">
        <v>35</v>
      </c>
    </row>
    <row r="5487" spans="1:28" x14ac:dyDescent="0.2">
      <c r="A5487" s="1">
        <v>14213</v>
      </c>
      <c r="B5487" s="1" t="s">
        <v>6839</v>
      </c>
      <c r="D5487" s="1" t="s">
        <v>11735</v>
      </c>
      <c r="F5487" s="1" t="s">
        <v>14661</v>
      </c>
      <c r="H5487" s="1" t="s">
        <v>15590</v>
      </c>
      <c r="J5487" s="1" t="s">
        <v>15591</v>
      </c>
      <c r="L5487" s="1" t="s">
        <v>479</v>
      </c>
      <c r="N5487" s="1" t="s">
        <v>587</v>
      </c>
      <c r="P5487" s="1" t="s">
        <v>541</v>
      </c>
      <c r="Q5487" s="3">
        <v>0</v>
      </c>
      <c r="R5487" s="23" t="s">
        <v>11933</v>
      </c>
      <c r="S5487" s="23" t="s">
        <v>5849</v>
      </c>
      <c r="T5487" s="23" t="s">
        <v>4866</v>
      </c>
      <c r="U5487" s="3">
        <v>35</v>
      </c>
      <c r="W5487" s="45" t="str">
        <f>HYPERLINK("http://ictvonline.org/taxonomy/p/taxonomy-history?taxnode_id=201904636","ICTVonline=201904636")</f>
        <v>ICTVonline=201904636</v>
      </c>
      <c r="AA5487" s="1">
        <v>201900000</v>
      </c>
      <c r="AB5487" s="1">
        <v>35</v>
      </c>
    </row>
    <row r="5488" spans="1:28" x14ac:dyDescent="0.2">
      <c r="A5488" s="1">
        <v>14215</v>
      </c>
      <c r="B5488" s="1" t="s">
        <v>6839</v>
      </c>
      <c r="D5488" s="1" t="s">
        <v>11735</v>
      </c>
      <c r="F5488" s="1" t="s">
        <v>14661</v>
      </c>
      <c r="H5488" s="1" t="s">
        <v>15590</v>
      </c>
      <c r="J5488" s="1" t="s">
        <v>15591</v>
      </c>
      <c r="L5488" s="1" t="s">
        <v>479</v>
      </c>
      <c r="N5488" s="1" t="s">
        <v>587</v>
      </c>
      <c r="P5488" s="1" t="s">
        <v>881</v>
      </c>
      <c r="Q5488" s="3">
        <v>0</v>
      </c>
      <c r="R5488" s="23" t="s">
        <v>11933</v>
      </c>
      <c r="S5488" s="23" t="s">
        <v>5849</v>
      </c>
      <c r="T5488" s="23" t="s">
        <v>4866</v>
      </c>
      <c r="U5488" s="3">
        <v>35</v>
      </c>
      <c r="W5488" s="45" t="str">
        <f>HYPERLINK("http://ictvonline.org/taxonomy/p/taxonomy-history?taxnode_id=201904637","ICTVonline=201904637")</f>
        <v>ICTVonline=201904637</v>
      </c>
      <c r="Y5488" s="1" t="s">
        <v>15762</v>
      </c>
      <c r="Z5488" s="1" t="s">
        <v>15763</v>
      </c>
      <c r="AA5488" s="1">
        <v>201900000</v>
      </c>
      <c r="AB5488" s="1">
        <v>35</v>
      </c>
    </row>
    <row r="5489" spans="1:28" x14ac:dyDescent="0.2">
      <c r="A5489" s="1">
        <v>14217</v>
      </c>
      <c r="B5489" s="1" t="s">
        <v>6839</v>
      </c>
      <c r="D5489" s="1" t="s">
        <v>11735</v>
      </c>
      <c r="F5489" s="1" t="s">
        <v>14661</v>
      </c>
      <c r="H5489" s="1" t="s">
        <v>15590</v>
      </c>
      <c r="J5489" s="1" t="s">
        <v>15591</v>
      </c>
      <c r="L5489" s="1" t="s">
        <v>479</v>
      </c>
      <c r="N5489" s="1" t="s">
        <v>587</v>
      </c>
      <c r="P5489" s="1" t="s">
        <v>2125</v>
      </c>
      <c r="Q5489" s="3">
        <v>0</v>
      </c>
      <c r="R5489" s="23" t="s">
        <v>11933</v>
      </c>
      <c r="S5489" s="23" t="s">
        <v>5849</v>
      </c>
      <c r="T5489" s="23" t="s">
        <v>4866</v>
      </c>
      <c r="U5489" s="3">
        <v>35</v>
      </c>
      <c r="W5489" s="45" t="str">
        <f>HYPERLINK("http://ictvonline.org/taxonomy/p/taxonomy-history?taxnode_id=201904638","ICTVonline=201904638")</f>
        <v>ICTVonline=201904638</v>
      </c>
      <c r="AA5489" s="1">
        <v>201900000</v>
      </c>
      <c r="AB5489" s="1">
        <v>35</v>
      </c>
    </row>
    <row r="5490" spans="1:28" x14ac:dyDescent="0.2">
      <c r="A5490" s="1">
        <v>14219</v>
      </c>
      <c r="B5490" s="1" t="s">
        <v>6839</v>
      </c>
      <c r="D5490" s="1" t="s">
        <v>11735</v>
      </c>
      <c r="F5490" s="1" t="s">
        <v>14661</v>
      </c>
      <c r="H5490" s="1" t="s">
        <v>15590</v>
      </c>
      <c r="J5490" s="1" t="s">
        <v>15591</v>
      </c>
      <c r="L5490" s="1" t="s">
        <v>479</v>
      </c>
      <c r="N5490" s="1" t="s">
        <v>587</v>
      </c>
      <c r="P5490" s="1" t="s">
        <v>15764</v>
      </c>
      <c r="Q5490" s="3">
        <v>0</v>
      </c>
      <c r="R5490" s="23" t="s">
        <v>11933</v>
      </c>
      <c r="S5490" s="23" t="s">
        <v>5849</v>
      </c>
      <c r="T5490" s="23" t="s">
        <v>4864</v>
      </c>
      <c r="U5490" s="3">
        <v>35</v>
      </c>
      <c r="V5490" s="3" t="s">
        <v>15709</v>
      </c>
      <c r="W5490" s="45" t="str">
        <f>HYPERLINK("http://ictvonline.org/taxonomy/p/taxonomy-history?taxnode_id=201907436","ICTVonline=201907436")</f>
        <v>ICTVonline=201907436</v>
      </c>
      <c r="X5490" s="1" t="s">
        <v>15765</v>
      </c>
      <c r="Y5490" s="1" t="s">
        <v>15766</v>
      </c>
      <c r="Z5490" s="1" t="s">
        <v>15767</v>
      </c>
      <c r="AA5490" s="1">
        <v>201900000</v>
      </c>
      <c r="AB5490" s="1">
        <v>35</v>
      </c>
    </row>
    <row r="5491" spans="1:28" x14ac:dyDescent="0.2">
      <c r="A5491" s="1">
        <v>14221</v>
      </c>
      <c r="B5491" s="1" t="s">
        <v>6839</v>
      </c>
      <c r="D5491" s="1" t="s">
        <v>11735</v>
      </c>
      <c r="F5491" s="1" t="s">
        <v>14661</v>
      </c>
      <c r="H5491" s="1" t="s">
        <v>15590</v>
      </c>
      <c r="J5491" s="1" t="s">
        <v>15591</v>
      </c>
      <c r="L5491" s="1" t="s">
        <v>479</v>
      </c>
      <c r="N5491" s="1" t="s">
        <v>587</v>
      </c>
      <c r="P5491" s="1" t="s">
        <v>882</v>
      </c>
      <c r="Q5491" s="3">
        <v>0</v>
      </c>
      <c r="R5491" s="23" t="s">
        <v>11933</v>
      </c>
      <c r="S5491" s="23" t="s">
        <v>5849</v>
      </c>
      <c r="T5491" s="23" t="s">
        <v>4866</v>
      </c>
      <c r="U5491" s="3">
        <v>35</v>
      </c>
      <c r="W5491" s="45" t="str">
        <f>HYPERLINK("http://ictvonline.org/taxonomy/p/taxonomy-history?taxnode_id=201904639","ICTVonline=201904639")</f>
        <v>ICTVonline=201904639</v>
      </c>
      <c r="AA5491" s="1">
        <v>201900000</v>
      </c>
      <c r="AB5491" s="1">
        <v>35</v>
      </c>
    </row>
    <row r="5492" spans="1:28" x14ac:dyDescent="0.2">
      <c r="A5492" s="1">
        <v>14223</v>
      </c>
      <c r="B5492" s="1" t="s">
        <v>6839</v>
      </c>
      <c r="D5492" s="1" t="s">
        <v>11735</v>
      </c>
      <c r="F5492" s="1" t="s">
        <v>14661</v>
      </c>
      <c r="H5492" s="1" t="s">
        <v>15590</v>
      </c>
      <c r="J5492" s="1" t="s">
        <v>15591</v>
      </c>
      <c r="L5492" s="1" t="s">
        <v>479</v>
      </c>
      <c r="N5492" s="1" t="s">
        <v>587</v>
      </c>
      <c r="P5492" s="1" t="s">
        <v>6823</v>
      </c>
      <c r="Q5492" s="3">
        <v>0</v>
      </c>
      <c r="R5492" s="23" t="s">
        <v>11933</v>
      </c>
      <c r="S5492" s="23" t="s">
        <v>5849</v>
      </c>
      <c r="T5492" s="23" t="s">
        <v>4866</v>
      </c>
      <c r="U5492" s="3">
        <v>35</v>
      </c>
      <c r="W5492" s="45" t="str">
        <f>HYPERLINK("http://ictvonline.org/taxonomy/p/taxonomy-history?taxnode_id=201906673","ICTVonline=201906673")</f>
        <v>ICTVonline=201906673</v>
      </c>
      <c r="X5492" s="1" t="s">
        <v>15768</v>
      </c>
      <c r="Y5492" s="1" t="s">
        <v>15769</v>
      </c>
      <c r="Z5492" s="1" t="s">
        <v>15770</v>
      </c>
      <c r="AA5492" s="1">
        <v>201900000</v>
      </c>
      <c r="AB5492" s="1">
        <v>35</v>
      </c>
    </row>
    <row r="5493" spans="1:28" x14ac:dyDescent="0.2">
      <c r="A5493" s="1">
        <v>14225</v>
      </c>
      <c r="B5493" s="1" t="s">
        <v>6839</v>
      </c>
      <c r="D5493" s="1" t="s">
        <v>11735</v>
      </c>
      <c r="F5493" s="1" t="s">
        <v>14661</v>
      </c>
      <c r="H5493" s="1" t="s">
        <v>15590</v>
      </c>
      <c r="J5493" s="1" t="s">
        <v>15591</v>
      </c>
      <c r="L5493" s="1" t="s">
        <v>479</v>
      </c>
      <c r="N5493" s="1" t="s">
        <v>587</v>
      </c>
      <c r="P5493" s="1" t="s">
        <v>883</v>
      </c>
      <c r="Q5493" s="3">
        <v>0</v>
      </c>
      <c r="R5493" s="23" t="s">
        <v>11933</v>
      </c>
      <c r="S5493" s="23" t="s">
        <v>5849</v>
      </c>
      <c r="T5493" s="23" t="s">
        <v>4866</v>
      </c>
      <c r="U5493" s="3">
        <v>35</v>
      </c>
      <c r="W5493" s="45" t="str">
        <f>HYPERLINK("http://ictvonline.org/taxonomy/p/taxonomy-history?taxnode_id=201904640","ICTVonline=201904640")</f>
        <v>ICTVonline=201904640</v>
      </c>
      <c r="Y5493" s="1" t="s">
        <v>15771</v>
      </c>
      <c r="Z5493" s="1" t="s">
        <v>15772</v>
      </c>
      <c r="AA5493" s="1">
        <v>201900000</v>
      </c>
      <c r="AB5493" s="1">
        <v>35</v>
      </c>
    </row>
    <row r="5494" spans="1:28" x14ac:dyDescent="0.2">
      <c r="A5494" s="1">
        <v>14227</v>
      </c>
      <c r="B5494" s="1" t="s">
        <v>6839</v>
      </c>
      <c r="D5494" s="1" t="s">
        <v>11735</v>
      </c>
      <c r="F5494" s="1" t="s">
        <v>14661</v>
      </c>
      <c r="H5494" s="1" t="s">
        <v>15590</v>
      </c>
      <c r="J5494" s="1" t="s">
        <v>15591</v>
      </c>
      <c r="L5494" s="1" t="s">
        <v>479</v>
      </c>
      <c r="N5494" s="1" t="s">
        <v>587</v>
      </c>
      <c r="P5494" s="1" t="s">
        <v>959</v>
      </c>
      <c r="Q5494" s="3">
        <v>0</v>
      </c>
      <c r="R5494" s="23" t="s">
        <v>11933</v>
      </c>
      <c r="S5494" s="23" t="s">
        <v>5849</v>
      </c>
      <c r="T5494" s="23" t="s">
        <v>4866</v>
      </c>
      <c r="U5494" s="3">
        <v>35</v>
      </c>
      <c r="W5494" s="45" t="str">
        <f>HYPERLINK("http://ictvonline.org/taxonomy/p/taxonomy-history?taxnode_id=201904641","ICTVonline=201904641")</f>
        <v>ICTVonline=201904641</v>
      </c>
      <c r="Y5494" s="1" t="s">
        <v>15773</v>
      </c>
      <c r="Z5494" s="1" t="s">
        <v>15774</v>
      </c>
      <c r="AA5494" s="1">
        <v>201900000</v>
      </c>
      <c r="AB5494" s="1">
        <v>35</v>
      </c>
    </row>
    <row r="5495" spans="1:28" x14ac:dyDescent="0.2">
      <c r="A5495" s="1">
        <v>14229</v>
      </c>
      <c r="B5495" s="1" t="s">
        <v>6839</v>
      </c>
      <c r="D5495" s="1" t="s">
        <v>11735</v>
      </c>
      <c r="F5495" s="1" t="s">
        <v>14661</v>
      </c>
      <c r="H5495" s="1" t="s">
        <v>15590</v>
      </c>
      <c r="J5495" s="1" t="s">
        <v>15591</v>
      </c>
      <c r="L5495" s="1" t="s">
        <v>479</v>
      </c>
      <c r="N5495" s="1" t="s">
        <v>587</v>
      </c>
      <c r="P5495" s="1" t="s">
        <v>960</v>
      </c>
      <c r="Q5495" s="3">
        <v>0</v>
      </c>
      <c r="R5495" s="23" t="s">
        <v>11933</v>
      </c>
      <c r="S5495" s="23" t="s">
        <v>5849</v>
      </c>
      <c r="T5495" s="23" t="s">
        <v>4866</v>
      </c>
      <c r="U5495" s="3">
        <v>35</v>
      </c>
      <c r="W5495" s="45" t="str">
        <f>HYPERLINK("http://ictvonline.org/taxonomy/p/taxonomy-history?taxnode_id=201904642","ICTVonline=201904642")</f>
        <v>ICTVonline=201904642</v>
      </c>
      <c r="Y5495" s="1" t="s">
        <v>15775</v>
      </c>
      <c r="Z5495" s="1" t="s">
        <v>15776</v>
      </c>
      <c r="AA5495" s="1">
        <v>201900000</v>
      </c>
      <c r="AB5495" s="1">
        <v>35</v>
      </c>
    </row>
    <row r="5496" spans="1:28" x14ac:dyDescent="0.2">
      <c r="A5496" s="1">
        <v>14231</v>
      </c>
      <c r="B5496" s="1" t="s">
        <v>6839</v>
      </c>
      <c r="D5496" s="1" t="s">
        <v>11735</v>
      </c>
      <c r="F5496" s="1" t="s">
        <v>14661</v>
      </c>
      <c r="H5496" s="1" t="s">
        <v>15590</v>
      </c>
      <c r="J5496" s="1" t="s">
        <v>15591</v>
      </c>
      <c r="L5496" s="1" t="s">
        <v>479</v>
      </c>
      <c r="N5496" s="1" t="s">
        <v>587</v>
      </c>
      <c r="P5496" s="1" t="s">
        <v>961</v>
      </c>
      <c r="Q5496" s="3">
        <v>0</v>
      </c>
      <c r="R5496" s="23" t="s">
        <v>11933</v>
      </c>
      <c r="S5496" s="23" t="s">
        <v>5849</v>
      </c>
      <c r="T5496" s="23" t="s">
        <v>4866</v>
      </c>
      <c r="U5496" s="3">
        <v>35</v>
      </c>
      <c r="W5496" s="45" t="str">
        <f>HYPERLINK("http://ictvonline.org/taxonomy/p/taxonomy-history?taxnode_id=201904643","ICTVonline=201904643")</f>
        <v>ICTVonline=201904643</v>
      </c>
      <c r="Y5496" s="1" t="s">
        <v>15777</v>
      </c>
      <c r="Z5496" s="1" t="s">
        <v>15774</v>
      </c>
      <c r="AA5496" s="1">
        <v>201900000</v>
      </c>
      <c r="AB5496" s="1">
        <v>35</v>
      </c>
    </row>
    <row r="5497" spans="1:28" x14ac:dyDescent="0.2">
      <c r="A5497" s="1">
        <v>14233</v>
      </c>
      <c r="B5497" s="1" t="s">
        <v>6839</v>
      </c>
      <c r="D5497" s="1" t="s">
        <v>11735</v>
      </c>
      <c r="F5497" s="1" t="s">
        <v>14661</v>
      </c>
      <c r="H5497" s="1" t="s">
        <v>15590</v>
      </c>
      <c r="J5497" s="1" t="s">
        <v>15591</v>
      </c>
      <c r="L5497" s="1" t="s">
        <v>479</v>
      </c>
      <c r="N5497" s="1" t="s">
        <v>587</v>
      </c>
      <c r="P5497" s="1" t="s">
        <v>962</v>
      </c>
      <c r="Q5497" s="3">
        <v>0</v>
      </c>
      <c r="R5497" s="23" t="s">
        <v>11933</v>
      </c>
      <c r="S5497" s="23" t="s">
        <v>5849</v>
      </c>
      <c r="T5497" s="23" t="s">
        <v>4866</v>
      </c>
      <c r="U5497" s="3">
        <v>35</v>
      </c>
      <c r="W5497" s="45" t="str">
        <f>HYPERLINK("http://ictvonline.org/taxonomy/p/taxonomy-history?taxnode_id=201904644","ICTVonline=201904644")</f>
        <v>ICTVonline=201904644</v>
      </c>
      <c r="AA5497" s="1">
        <v>201900000</v>
      </c>
      <c r="AB5497" s="1">
        <v>35</v>
      </c>
    </row>
    <row r="5498" spans="1:28" x14ac:dyDescent="0.2">
      <c r="A5498" s="1">
        <v>14235</v>
      </c>
      <c r="B5498" s="1" t="s">
        <v>6839</v>
      </c>
      <c r="D5498" s="1" t="s">
        <v>11735</v>
      </c>
      <c r="F5498" s="1" t="s">
        <v>14661</v>
      </c>
      <c r="H5498" s="1" t="s">
        <v>15590</v>
      </c>
      <c r="J5498" s="1" t="s">
        <v>15591</v>
      </c>
      <c r="L5498" s="1" t="s">
        <v>479</v>
      </c>
      <c r="N5498" s="1" t="s">
        <v>587</v>
      </c>
      <c r="P5498" s="1" t="s">
        <v>887</v>
      </c>
      <c r="Q5498" s="3">
        <v>0</v>
      </c>
      <c r="R5498" s="23" t="s">
        <v>11933</v>
      </c>
      <c r="S5498" s="23" t="s">
        <v>5849</v>
      </c>
      <c r="T5498" s="23" t="s">
        <v>4866</v>
      </c>
      <c r="U5498" s="3">
        <v>35</v>
      </c>
      <c r="W5498" s="45" t="str">
        <f>HYPERLINK("http://ictvonline.org/taxonomy/p/taxonomy-history?taxnode_id=201904645","ICTVonline=201904645")</f>
        <v>ICTVonline=201904645</v>
      </c>
      <c r="AA5498" s="1">
        <v>201900000</v>
      </c>
      <c r="AB5498" s="1">
        <v>35</v>
      </c>
    </row>
    <row r="5499" spans="1:28" x14ac:dyDescent="0.2">
      <c r="A5499" s="1">
        <v>14237</v>
      </c>
      <c r="B5499" s="1" t="s">
        <v>6839</v>
      </c>
      <c r="D5499" s="1" t="s">
        <v>11735</v>
      </c>
      <c r="F5499" s="1" t="s">
        <v>14661</v>
      </c>
      <c r="H5499" s="1" t="s">
        <v>15590</v>
      </c>
      <c r="J5499" s="1" t="s">
        <v>15591</v>
      </c>
      <c r="L5499" s="1" t="s">
        <v>479</v>
      </c>
      <c r="N5499" s="1" t="s">
        <v>587</v>
      </c>
      <c r="P5499" s="1" t="s">
        <v>888</v>
      </c>
      <c r="Q5499" s="3">
        <v>0</v>
      </c>
      <c r="R5499" s="23" t="s">
        <v>11933</v>
      </c>
      <c r="S5499" s="23" t="s">
        <v>5849</v>
      </c>
      <c r="T5499" s="23" t="s">
        <v>4866</v>
      </c>
      <c r="U5499" s="3">
        <v>35</v>
      </c>
      <c r="W5499" s="45" t="str">
        <f>HYPERLINK("http://ictvonline.org/taxonomy/p/taxonomy-history?taxnode_id=201904646","ICTVonline=201904646")</f>
        <v>ICTVonline=201904646</v>
      </c>
      <c r="Y5499" s="1" t="s">
        <v>15778</v>
      </c>
      <c r="Z5499" s="1" t="s">
        <v>15750</v>
      </c>
      <c r="AA5499" s="1">
        <v>201900000</v>
      </c>
      <c r="AB5499" s="1">
        <v>35</v>
      </c>
    </row>
    <row r="5500" spans="1:28" x14ac:dyDescent="0.2">
      <c r="A5500" s="1">
        <v>14239</v>
      </c>
      <c r="B5500" s="1" t="s">
        <v>6839</v>
      </c>
      <c r="D5500" s="1" t="s">
        <v>11735</v>
      </c>
      <c r="F5500" s="1" t="s">
        <v>14661</v>
      </c>
      <c r="H5500" s="1" t="s">
        <v>15590</v>
      </c>
      <c r="J5500" s="1" t="s">
        <v>15591</v>
      </c>
      <c r="L5500" s="1" t="s">
        <v>479</v>
      </c>
      <c r="N5500" s="1" t="s">
        <v>587</v>
      </c>
      <c r="P5500" s="1" t="s">
        <v>889</v>
      </c>
      <c r="Q5500" s="3">
        <v>0</v>
      </c>
      <c r="R5500" s="23" t="s">
        <v>11933</v>
      </c>
      <c r="S5500" s="23" t="s">
        <v>5849</v>
      </c>
      <c r="T5500" s="23" t="s">
        <v>4866</v>
      </c>
      <c r="U5500" s="3">
        <v>35</v>
      </c>
      <c r="W5500" s="45" t="str">
        <f>HYPERLINK("http://ictvonline.org/taxonomy/p/taxonomy-history?taxnode_id=201904647","ICTVonline=201904647")</f>
        <v>ICTVonline=201904647</v>
      </c>
      <c r="Y5500" s="1" t="s">
        <v>15779</v>
      </c>
      <c r="Z5500" s="1" t="s">
        <v>15780</v>
      </c>
      <c r="AA5500" s="1">
        <v>201900000</v>
      </c>
      <c r="AB5500" s="1">
        <v>35</v>
      </c>
    </row>
    <row r="5501" spans="1:28" x14ac:dyDescent="0.2">
      <c r="A5501" s="1">
        <v>14241</v>
      </c>
      <c r="B5501" s="1" t="s">
        <v>6839</v>
      </c>
      <c r="D5501" s="1" t="s">
        <v>11735</v>
      </c>
      <c r="F5501" s="1" t="s">
        <v>14661</v>
      </c>
      <c r="H5501" s="1" t="s">
        <v>15590</v>
      </c>
      <c r="J5501" s="1" t="s">
        <v>15591</v>
      </c>
      <c r="L5501" s="1" t="s">
        <v>479</v>
      </c>
      <c r="N5501" s="1" t="s">
        <v>587</v>
      </c>
      <c r="P5501" s="1" t="s">
        <v>965</v>
      </c>
      <c r="Q5501" s="3">
        <v>0</v>
      </c>
      <c r="R5501" s="23" t="s">
        <v>11933</v>
      </c>
      <c r="S5501" s="23" t="s">
        <v>5849</v>
      </c>
      <c r="T5501" s="23" t="s">
        <v>4866</v>
      </c>
      <c r="U5501" s="3">
        <v>35</v>
      </c>
      <c r="W5501" s="45" t="str">
        <f>HYPERLINK("http://ictvonline.org/taxonomy/p/taxonomy-history?taxnode_id=201904648","ICTVonline=201904648")</f>
        <v>ICTVonline=201904648</v>
      </c>
      <c r="AA5501" s="1">
        <v>201900000</v>
      </c>
      <c r="AB5501" s="1">
        <v>35</v>
      </c>
    </row>
    <row r="5502" spans="1:28" x14ac:dyDescent="0.2">
      <c r="A5502" s="1">
        <v>14243</v>
      </c>
      <c r="B5502" s="1" t="s">
        <v>6839</v>
      </c>
      <c r="D5502" s="1" t="s">
        <v>11735</v>
      </c>
      <c r="F5502" s="1" t="s">
        <v>14661</v>
      </c>
      <c r="H5502" s="1" t="s">
        <v>15590</v>
      </c>
      <c r="J5502" s="1" t="s">
        <v>15591</v>
      </c>
      <c r="L5502" s="1" t="s">
        <v>479</v>
      </c>
      <c r="N5502" s="1" t="s">
        <v>587</v>
      </c>
      <c r="P5502" s="1" t="s">
        <v>966</v>
      </c>
      <c r="Q5502" s="3">
        <v>0</v>
      </c>
      <c r="R5502" s="23" t="s">
        <v>11933</v>
      </c>
      <c r="S5502" s="23" t="s">
        <v>5849</v>
      </c>
      <c r="T5502" s="23" t="s">
        <v>4866</v>
      </c>
      <c r="U5502" s="3">
        <v>35</v>
      </c>
      <c r="W5502" s="45" t="str">
        <f>HYPERLINK("http://ictvonline.org/taxonomy/p/taxonomy-history?taxnode_id=201904649","ICTVonline=201904649")</f>
        <v>ICTVonline=201904649</v>
      </c>
      <c r="AA5502" s="1">
        <v>201900000</v>
      </c>
      <c r="AB5502" s="1">
        <v>35</v>
      </c>
    </row>
    <row r="5503" spans="1:28" x14ac:dyDescent="0.2">
      <c r="A5503" s="1">
        <v>14245</v>
      </c>
      <c r="B5503" s="1" t="s">
        <v>6839</v>
      </c>
      <c r="D5503" s="1" t="s">
        <v>11735</v>
      </c>
      <c r="F5503" s="1" t="s">
        <v>14661</v>
      </c>
      <c r="H5503" s="1" t="s">
        <v>15590</v>
      </c>
      <c r="J5503" s="1" t="s">
        <v>15591</v>
      </c>
      <c r="L5503" s="1" t="s">
        <v>479</v>
      </c>
      <c r="N5503" s="1" t="s">
        <v>587</v>
      </c>
      <c r="P5503" s="1" t="s">
        <v>2678</v>
      </c>
      <c r="Q5503" s="3">
        <v>0</v>
      </c>
      <c r="R5503" s="23" t="s">
        <v>11933</v>
      </c>
      <c r="S5503" s="23" t="s">
        <v>5849</v>
      </c>
      <c r="T5503" s="23" t="s">
        <v>4866</v>
      </c>
      <c r="U5503" s="3">
        <v>35</v>
      </c>
      <c r="W5503" s="45" t="str">
        <f>HYPERLINK("http://ictvonline.org/taxonomy/p/taxonomy-history?taxnode_id=201904650","ICTVonline=201904650")</f>
        <v>ICTVonline=201904650</v>
      </c>
      <c r="Y5503" s="1" t="s">
        <v>15781</v>
      </c>
      <c r="Z5503" s="1" t="s">
        <v>15782</v>
      </c>
      <c r="AA5503" s="1">
        <v>201900000</v>
      </c>
      <c r="AB5503" s="1">
        <v>35</v>
      </c>
    </row>
    <row r="5504" spans="1:28" x14ac:dyDescent="0.2">
      <c r="A5504" s="1">
        <v>14247</v>
      </c>
      <c r="B5504" s="1" t="s">
        <v>6839</v>
      </c>
      <c r="D5504" s="1" t="s">
        <v>11735</v>
      </c>
      <c r="F5504" s="1" t="s">
        <v>14661</v>
      </c>
      <c r="H5504" s="1" t="s">
        <v>15590</v>
      </c>
      <c r="J5504" s="1" t="s">
        <v>15591</v>
      </c>
      <c r="L5504" s="1" t="s">
        <v>479</v>
      </c>
      <c r="N5504" s="1" t="s">
        <v>587</v>
      </c>
      <c r="P5504" s="1" t="s">
        <v>967</v>
      </c>
      <c r="Q5504" s="3">
        <v>0</v>
      </c>
      <c r="R5504" s="23" t="s">
        <v>11933</v>
      </c>
      <c r="S5504" s="23" t="s">
        <v>5849</v>
      </c>
      <c r="T5504" s="23" t="s">
        <v>4866</v>
      </c>
      <c r="U5504" s="3">
        <v>35</v>
      </c>
      <c r="W5504" s="45" t="str">
        <f>HYPERLINK("http://ictvonline.org/taxonomy/p/taxonomy-history?taxnode_id=201904651","ICTVonline=201904651")</f>
        <v>ICTVonline=201904651</v>
      </c>
      <c r="Y5504" s="1" t="s">
        <v>15783</v>
      </c>
      <c r="Z5504" s="1" t="s">
        <v>15784</v>
      </c>
      <c r="AA5504" s="1">
        <v>201900000</v>
      </c>
      <c r="AB5504" s="1">
        <v>35</v>
      </c>
    </row>
    <row r="5505" spans="1:28" x14ac:dyDescent="0.2">
      <c r="A5505" s="1">
        <v>14249</v>
      </c>
      <c r="B5505" s="1" t="s">
        <v>6839</v>
      </c>
      <c r="D5505" s="1" t="s">
        <v>11735</v>
      </c>
      <c r="F5505" s="1" t="s">
        <v>14661</v>
      </c>
      <c r="H5505" s="1" t="s">
        <v>15590</v>
      </c>
      <c r="J5505" s="1" t="s">
        <v>15591</v>
      </c>
      <c r="L5505" s="1" t="s">
        <v>479</v>
      </c>
      <c r="N5505" s="1" t="s">
        <v>587</v>
      </c>
      <c r="P5505" s="1" t="s">
        <v>968</v>
      </c>
      <c r="Q5505" s="3">
        <v>0</v>
      </c>
      <c r="R5505" s="23" t="s">
        <v>11933</v>
      </c>
      <c r="S5505" s="23" t="s">
        <v>5849</v>
      </c>
      <c r="T5505" s="23" t="s">
        <v>4866</v>
      </c>
      <c r="U5505" s="3">
        <v>35</v>
      </c>
      <c r="W5505" s="45" t="str">
        <f>HYPERLINK("http://ictvonline.org/taxonomy/p/taxonomy-history?taxnode_id=201904652","ICTVonline=201904652")</f>
        <v>ICTVonline=201904652</v>
      </c>
      <c r="Y5505" s="1" t="s">
        <v>15785</v>
      </c>
      <c r="Z5505" s="1" t="s">
        <v>15786</v>
      </c>
      <c r="AA5505" s="1">
        <v>201900000</v>
      </c>
      <c r="AB5505" s="1">
        <v>35</v>
      </c>
    </row>
    <row r="5506" spans="1:28" x14ac:dyDescent="0.2">
      <c r="A5506" s="1">
        <v>14251</v>
      </c>
      <c r="B5506" s="1" t="s">
        <v>6839</v>
      </c>
      <c r="D5506" s="1" t="s">
        <v>11735</v>
      </c>
      <c r="F5506" s="1" t="s">
        <v>14661</v>
      </c>
      <c r="H5506" s="1" t="s">
        <v>15590</v>
      </c>
      <c r="J5506" s="1" t="s">
        <v>15591</v>
      </c>
      <c r="L5506" s="1" t="s">
        <v>479</v>
      </c>
      <c r="N5506" s="1" t="s">
        <v>587</v>
      </c>
      <c r="P5506" s="1" t="s">
        <v>6824</v>
      </c>
      <c r="Q5506" s="3">
        <v>0</v>
      </c>
      <c r="R5506" s="23" t="s">
        <v>11933</v>
      </c>
      <c r="S5506" s="23" t="s">
        <v>5849</v>
      </c>
      <c r="T5506" s="23" t="s">
        <v>4866</v>
      </c>
      <c r="U5506" s="3">
        <v>35</v>
      </c>
      <c r="W5506" s="45" t="str">
        <f>HYPERLINK("http://ictvonline.org/taxonomy/p/taxonomy-history?taxnode_id=201906674","ICTVonline=201906674")</f>
        <v>ICTVonline=201906674</v>
      </c>
      <c r="X5506" s="1" t="s">
        <v>15787</v>
      </c>
      <c r="Y5506" s="1" t="s">
        <v>15788</v>
      </c>
      <c r="Z5506" s="1" t="s">
        <v>15789</v>
      </c>
      <c r="AA5506" s="1">
        <v>201900000</v>
      </c>
      <c r="AB5506" s="1">
        <v>35</v>
      </c>
    </row>
    <row r="5507" spans="1:28" x14ac:dyDescent="0.2">
      <c r="A5507" s="1">
        <v>14253</v>
      </c>
      <c r="B5507" s="1" t="s">
        <v>6839</v>
      </c>
      <c r="D5507" s="1" t="s">
        <v>11735</v>
      </c>
      <c r="F5507" s="1" t="s">
        <v>14661</v>
      </c>
      <c r="H5507" s="1" t="s">
        <v>15590</v>
      </c>
      <c r="J5507" s="1" t="s">
        <v>15591</v>
      </c>
      <c r="L5507" s="1" t="s">
        <v>479</v>
      </c>
      <c r="N5507" s="1" t="s">
        <v>587</v>
      </c>
      <c r="P5507" s="1" t="s">
        <v>969</v>
      </c>
      <c r="Q5507" s="3">
        <v>0</v>
      </c>
      <c r="R5507" s="23" t="s">
        <v>11933</v>
      </c>
      <c r="S5507" s="23" t="s">
        <v>5849</v>
      </c>
      <c r="T5507" s="23" t="s">
        <v>4866</v>
      </c>
      <c r="U5507" s="3">
        <v>35</v>
      </c>
      <c r="W5507" s="45" t="str">
        <f>HYPERLINK("http://ictvonline.org/taxonomy/p/taxonomy-history?taxnode_id=201904653","ICTVonline=201904653")</f>
        <v>ICTVonline=201904653</v>
      </c>
      <c r="AA5507" s="1">
        <v>201900000</v>
      </c>
      <c r="AB5507" s="1">
        <v>35</v>
      </c>
    </row>
    <row r="5508" spans="1:28" x14ac:dyDescent="0.2">
      <c r="A5508" s="1">
        <v>14255</v>
      </c>
      <c r="B5508" s="1" t="s">
        <v>6839</v>
      </c>
      <c r="D5508" s="1" t="s">
        <v>11735</v>
      </c>
      <c r="F5508" s="1" t="s">
        <v>14661</v>
      </c>
      <c r="H5508" s="1" t="s">
        <v>15590</v>
      </c>
      <c r="J5508" s="1" t="s">
        <v>15591</v>
      </c>
      <c r="L5508" s="1" t="s">
        <v>479</v>
      </c>
      <c r="N5508" s="1" t="s">
        <v>587</v>
      </c>
      <c r="P5508" s="1" t="s">
        <v>970</v>
      </c>
      <c r="Q5508" s="3">
        <v>0</v>
      </c>
      <c r="R5508" s="23" t="s">
        <v>11933</v>
      </c>
      <c r="S5508" s="23" t="s">
        <v>5849</v>
      </c>
      <c r="T5508" s="23" t="s">
        <v>4866</v>
      </c>
      <c r="U5508" s="3">
        <v>35</v>
      </c>
      <c r="W5508" s="45" t="str">
        <f>HYPERLINK("http://ictvonline.org/taxonomy/p/taxonomy-history?taxnode_id=201904654","ICTVonline=201904654")</f>
        <v>ICTVonline=201904654</v>
      </c>
      <c r="AA5508" s="1">
        <v>201900000</v>
      </c>
      <c r="AB5508" s="1">
        <v>35</v>
      </c>
    </row>
    <row r="5509" spans="1:28" x14ac:dyDescent="0.2">
      <c r="A5509" s="1">
        <v>14257</v>
      </c>
      <c r="B5509" s="1" t="s">
        <v>6839</v>
      </c>
      <c r="D5509" s="1" t="s">
        <v>11735</v>
      </c>
      <c r="F5509" s="1" t="s">
        <v>14661</v>
      </c>
      <c r="H5509" s="1" t="s">
        <v>15590</v>
      </c>
      <c r="J5509" s="1" t="s">
        <v>15591</v>
      </c>
      <c r="L5509" s="1" t="s">
        <v>479</v>
      </c>
      <c r="N5509" s="1" t="s">
        <v>587</v>
      </c>
      <c r="P5509" s="1" t="s">
        <v>971</v>
      </c>
      <c r="Q5509" s="3">
        <v>0</v>
      </c>
      <c r="R5509" s="23" t="s">
        <v>11933</v>
      </c>
      <c r="S5509" s="23" t="s">
        <v>5849</v>
      </c>
      <c r="T5509" s="23" t="s">
        <v>4866</v>
      </c>
      <c r="U5509" s="3">
        <v>35</v>
      </c>
      <c r="W5509" s="45" t="str">
        <f>HYPERLINK("http://ictvonline.org/taxonomy/p/taxonomy-history?taxnode_id=201904655","ICTVonline=201904655")</f>
        <v>ICTVonline=201904655</v>
      </c>
      <c r="Y5509" s="1" t="s">
        <v>15790</v>
      </c>
      <c r="Z5509" s="1" t="s">
        <v>15791</v>
      </c>
      <c r="AA5509" s="1">
        <v>201900000</v>
      </c>
      <c r="AB5509" s="1">
        <v>35</v>
      </c>
    </row>
    <row r="5510" spans="1:28" x14ac:dyDescent="0.2">
      <c r="A5510" s="1">
        <v>14259</v>
      </c>
      <c r="B5510" s="1" t="s">
        <v>6839</v>
      </c>
      <c r="D5510" s="1" t="s">
        <v>11735</v>
      </c>
      <c r="F5510" s="1" t="s">
        <v>14661</v>
      </c>
      <c r="H5510" s="1" t="s">
        <v>15590</v>
      </c>
      <c r="J5510" s="1" t="s">
        <v>15591</v>
      </c>
      <c r="L5510" s="1" t="s">
        <v>479</v>
      </c>
      <c r="N5510" s="1" t="s">
        <v>587</v>
      </c>
      <c r="P5510" s="1" t="s">
        <v>972</v>
      </c>
      <c r="Q5510" s="3">
        <v>0</v>
      </c>
      <c r="R5510" s="23" t="s">
        <v>11933</v>
      </c>
      <c r="S5510" s="23" t="s">
        <v>5849</v>
      </c>
      <c r="T5510" s="23" t="s">
        <v>4866</v>
      </c>
      <c r="U5510" s="3">
        <v>35</v>
      </c>
      <c r="W5510" s="45" t="str">
        <f>HYPERLINK("http://ictvonline.org/taxonomy/p/taxonomy-history?taxnode_id=201904656","ICTVonline=201904656")</f>
        <v>ICTVonline=201904656</v>
      </c>
      <c r="Y5510" s="1" t="s">
        <v>15792</v>
      </c>
      <c r="Z5510" s="1" t="s">
        <v>15793</v>
      </c>
      <c r="AA5510" s="1">
        <v>201900000</v>
      </c>
      <c r="AB5510" s="1">
        <v>35</v>
      </c>
    </row>
    <row r="5511" spans="1:28" x14ac:dyDescent="0.2">
      <c r="A5511" s="1">
        <v>14261</v>
      </c>
      <c r="B5511" s="1" t="s">
        <v>6839</v>
      </c>
      <c r="D5511" s="1" t="s">
        <v>11735</v>
      </c>
      <c r="F5511" s="1" t="s">
        <v>14661</v>
      </c>
      <c r="H5511" s="1" t="s">
        <v>15590</v>
      </c>
      <c r="J5511" s="1" t="s">
        <v>15591</v>
      </c>
      <c r="L5511" s="1" t="s">
        <v>479</v>
      </c>
      <c r="N5511" s="1" t="s">
        <v>587</v>
      </c>
      <c r="P5511" s="1" t="s">
        <v>973</v>
      </c>
      <c r="Q5511" s="3">
        <v>0</v>
      </c>
      <c r="R5511" s="23" t="s">
        <v>11933</v>
      </c>
      <c r="S5511" s="23" t="s">
        <v>5849</v>
      </c>
      <c r="T5511" s="23" t="s">
        <v>4866</v>
      </c>
      <c r="U5511" s="3">
        <v>35</v>
      </c>
      <c r="W5511" s="45" t="str">
        <f>HYPERLINK("http://ictvonline.org/taxonomy/p/taxonomy-history?taxnode_id=201904657","ICTVonline=201904657")</f>
        <v>ICTVonline=201904657</v>
      </c>
      <c r="Y5511" s="1" t="s">
        <v>15794</v>
      </c>
      <c r="Z5511" s="1" t="s">
        <v>15795</v>
      </c>
      <c r="AA5511" s="1">
        <v>201900000</v>
      </c>
      <c r="AB5511" s="1">
        <v>35</v>
      </c>
    </row>
    <row r="5512" spans="1:28" x14ac:dyDescent="0.2">
      <c r="A5512" s="1">
        <v>14263</v>
      </c>
      <c r="B5512" s="1" t="s">
        <v>6839</v>
      </c>
      <c r="D5512" s="1" t="s">
        <v>11735</v>
      </c>
      <c r="F5512" s="1" t="s">
        <v>14661</v>
      </c>
      <c r="H5512" s="1" t="s">
        <v>15590</v>
      </c>
      <c r="J5512" s="1" t="s">
        <v>15591</v>
      </c>
      <c r="L5512" s="1" t="s">
        <v>479</v>
      </c>
      <c r="N5512" s="1" t="s">
        <v>587</v>
      </c>
      <c r="P5512" s="1" t="s">
        <v>5459</v>
      </c>
      <c r="Q5512" s="3">
        <v>0</v>
      </c>
      <c r="R5512" s="23" t="s">
        <v>11933</v>
      </c>
      <c r="S5512" s="23" t="s">
        <v>5849</v>
      </c>
      <c r="T5512" s="23" t="s">
        <v>4866</v>
      </c>
      <c r="U5512" s="3">
        <v>35</v>
      </c>
      <c r="W5512" s="45" t="str">
        <f>HYPERLINK("http://ictvonline.org/taxonomy/p/taxonomy-history?taxnode_id=201905922","ICTVonline=201905922")</f>
        <v>ICTVonline=201905922</v>
      </c>
      <c r="AA5512" s="1">
        <v>201900000</v>
      </c>
      <c r="AB5512" s="1">
        <v>35</v>
      </c>
    </row>
    <row r="5513" spans="1:28" x14ac:dyDescent="0.2">
      <c r="A5513" s="1">
        <v>14265</v>
      </c>
      <c r="B5513" s="1" t="s">
        <v>6839</v>
      </c>
      <c r="D5513" s="1" t="s">
        <v>11735</v>
      </c>
      <c r="F5513" s="1" t="s">
        <v>14661</v>
      </c>
      <c r="H5513" s="1" t="s">
        <v>15590</v>
      </c>
      <c r="J5513" s="1" t="s">
        <v>15591</v>
      </c>
      <c r="L5513" s="1" t="s">
        <v>479</v>
      </c>
      <c r="N5513" s="1" t="s">
        <v>587</v>
      </c>
      <c r="P5513" s="1" t="s">
        <v>639</v>
      </c>
      <c r="Q5513" s="3">
        <v>0</v>
      </c>
      <c r="R5513" s="23" t="s">
        <v>11933</v>
      </c>
      <c r="S5513" s="23" t="s">
        <v>5849</v>
      </c>
      <c r="T5513" s="23" t="s">
        <v>4866</v>
      </c>
      <c r="U5513" s="3">
        <v>35</v>
      </c>
      <c r="W5513" s="45" t="str">
        <f>HYPERLINK("http://ictvonline.org/taxonomy/p/taxonomy-history?taxnode_id=201904658","ICTVonline=201904658")</f>
        <v>ICTVonline=201904658</v>
      </c>
      <c r="Y5513" s="1" t="s">
        <v>15796</v>
      </c>
      <c r="Z5513" s="1" t="s">
        <v>15797</v>
      </c>
      <c r="AA5513" s="1">
        <v>201900000</v>
      </c>
      <c r="AB5513" s="1">
        <v>35</v>
      </c>
    </row>
    <row r="5514" spans="1:28" x14ac:dyDescent="0.2">
      <c r="A5514" s="1">
        <v>14267</v>
      </c>
      <c r="B5514" s="1" t="s">
        <v>6839</v>
      </c>
      <c r="D5514" s="1" t="s">
        <v>11735</v>
      </c>
      <c r="F5514" s="1" t="s">
        <v>14661</v>
      </c>
      <c r="H5514" s="1" t="s">
        <v>15590</v>
      </c>
      <c r="J5514" s="1" t="s">
        <v>15591</v>
      </c>
      <c r="L5514" s="1" t="s">
        <v>479</v>
      </c>
      <c r="N5514" s="1" t="s">
        <v>587</v>
      </c>
      <c r="P5514" s="1" t="s">
        <v>640</v>
      </c>
      <c r="Q5514" s="3">
        <v>0</v>
      </c>
      <c r="R5514" s="23" t="s">
        <v>11933</v>
      </c>
      <c r="S5514" s="23" t="s">
        <v>5849</v>
      </c>
      <c r="T5514" s="23" t="s">
        <v>4866</v>
      </c>
      <c r="U5514" s="3">
        <v>35</v>
      </c>
      <c r="W5514" s="45" t="str">
        <f>HYPERLINK("http://ictvonline.org/taxonomy/p/taxonomy-history?taxnode_id=201904659","ICTVonline=201904659")</f>
        <v>ICTVonline=201904659</v>
      </c>
      <c r="Y5514" s="1" t="s">
        <v>15798</v>
      </c>
      <c r="Z5514" s="1" t="s">
        <v>11224</v>
      </c>
      <c r="AA5514" s="1">
        <v>201900000</v>
      </c>
      <c r="AB5514" s="1">
        <v>35</v>
      </c>
    </row>
    <row r="5515" spans="1:28" x14ac:dyDescent="0.2">
      <c r="A5515" s="1">
        <v>14269</v>
      </c>
      <c r="B5515" s="1" t="s">
        <v>6839</v>
      </c>
      <c r="D5515" s="1" t="s">
        <v>11735</v>
      </c>
      <c r="F5515" s="1" t="s">
        <v>14661</v>
      </c>
      <c r="H5515" s="1" t="s">
        <v>15590</v>
      </c>
      <c r="J5515" s="1" t="s">
        <v>15591</v>
      </c>
      <c r="L5515" s="1" t="s">
        <v>479</v>
      </c>
      <c r="N5515" s="1" t="s">
        <v>587</v>
      </c>
      <c r="P5515" s="1" t="s">
        <v>641</v>
      </c>
      <c r="Q5515" s="3">
        <v>0</v>
      </c>
      <c r="R5515" s="23" t="s">
        <v>11933</v>
      </c>
      <c r="S5515" s="23" t="s">
        <v>5849</v>
      </c>
      <c r="T5515" s="23" t="s">
        <v>4866</v>
      </c>
      <c r="U5515" s="3">
        <v>35</v>
      </c>
      <c r="W5515" s="45" t="str">
        <f>HYPERLINK("http://ictvonline.org/taxonomy/p/taxonomy-history?taxnode_id=201904660","ICTVonline=201904660")</f>
        <v>ICTVonline=201904660</v>
      </c>
      <c r="Y5515" s="1" t="s">
        <v>15799</v>
      </c>
      <c r="Z5515" s="1" t="s">
        <v>12387</v>
      </c>
      <c r="AA5515" s="1">
        <v>201900000</v>
      </c>
      <c r="AB5515" s="1">
        <v>35</v>
      </c>
    </row>
    <row r="5516" spans="1:28" x14ac:dyDescent="0.2">
      <c r="A5516" s="1">
        <v>14271</v>
      </c>
      <c r="B5516" s="1" t="s">
        <v>6839</v>
      </c>
      <c r="D5516" s="1" t="s">
        <v>11735</v>
      </c>
      <c r="F5516" s="1" t="s">
        <v>14661</v>
      </c>
      <c r="H5516" s="1" t="s">
        <v>15590</v>
      </c>
      <c r="J5516" s="1" t="s">
        <v>15591</v>
      </c>
      <c r="L5516" s="1" t="s">
        <v>479</v>
      </c>
      <c r="N5516" s="1" t="s">
        <v>587</v>
      </c>
      <c r="P5516" s="1" t="s">
        <v>642</v>
      </c>
      <c r="Q5516" s="3">
        <v>0</v>
      </c>
      <c r="R5516" s="23" t="s">
        <v>11933</v>
      </c>
      <c r="S5516" s="23" t="s">
        <v>5849</v>
      </c>
      <c r="T5516" s="23" t="s">
        <v>4866</v>
      </c>
      <c r="U5516" s="3">
        <v>35</v>
      </c>
      <c r="W5516" s="45" t="str">
        <f>HYPERLINK("http://ictvonline.org/taxonomy/p/taxonomy-history?taxnode_id=201904661","ICTVonline=201904661")</f>
        <v>ICTVonline=201904661</v>
      </c>
      <c r="Y5516" s="1" t="s">
        <v>15800</v>
      </c>
      <c r="Z5516" s="1" t="s">
        <v>15784</v>
      </c>
      <c r="AA5516" s="1">
        <v>201900000</v>
      </c>
      <c r="AB5516" s="1">
        <v>35</v>
      </c>
    </row>
    <row r="5517" spans="1:28" x14ac:dyDescent="0.2">
      <c r="A5517" s="1">
        <v>14273</v>
      </c>
      <c r="B5517" s="1" t="s">
        <v>6839</v>
      </c>
      <c r="D5517" s="1" t="s">
        <v>11735</v>
      </c>
      <c r="F5517" s="1" t="s">
        <v>14661</v>
      </c>
      <c r="H5517" s="1" t="s">
        <v>15590</v>
      </c>
      <c r="J5517" s="1" t="s">
        <v>15591</v>
      </c>
      <c r="L5517" s="1" t="s">
        <v>479</v>
      </c>
      <c r="N5517" s="1" t="s">
        <v>587</v>
      </c>
      <c r="P5517" s="1" t="s">
        <v>643</v>
      </c>
      <c r="Q5517" s="3">
        <v>0</v>
      </c>
      <c r="R5517" s="23" t="s">
        <v>11933</v>
      </c>
      <c r="S5517" s="23" t="s">
        <v>5849</v>
      </c>
      <c r="T5517" s="23" t="s">
        <v>4866</v>
      </c>
      <c r="U5517" s="3">
        <v>35</v>
      </c>
      <c r="W5517" s="45" t="str">
        <f>HYPERLINK("http://ictvonline.org/taxonomy/p/taxonomy-history?taxnode_id=201904662","ICTVonline=201904662")</f>
        <v>ICTVonline=201904662</v>
      </c>
      <c r="Y5517" s="1" t="s">
        <v>15801</v>
      </c>
      <c r="Z5517" s="1" t="s">
        <v>15802</v>
      </c>
      <c r="AA5517" s="1">
        <v>201900000</v>
      </c>
      <c r="AB5517" s="1">
        <v>35</v>
      </c>
    </row>
    <row r="5518" spans="1:28" x14ac:dyDescent="0.2">
      <c r="A5518" s="1">
        <v>14275</v>
      </c>
      <c r="B5518" s="1" t="s">
        <v>6839</v>
      </c>
      <c r="D5518" s="1" t="s">
        <v>11735</v>
      </c>
      <c r="F5518" s="1" t="s">
        <v>14661</v>
      </c>
      <c r="H5518" s="1" t="s">
        <v>15590</v>
      </c>
      <c r="J5518" s="1" t="s">
        <v>15591</v>
      </c>
      <c r="L5518" s="1" t="s">
        <v>479</v>
      </c>
      <c r="N5518" s="1" t="s">
        <v>587</v>
      </c>
      <c r="P5518" s="1" t="s">
        <v>644</v>
      </c>
      <c r="Q5518" s="3">
        <v>0</v>
      </c>
      <c r="R5518" s="23" t="s">
        <v>11933</v>
      </c>
      <c r="S5518" s="23" t="s">
        <v>5849</v>
      </c>
      <c r="T5518" s="23" t="s">
        <v>4866</v>
      </c>
      <c r="U5518" s="3">
        <v>35</v>
      </c>
      <c r="W5518" s="45" t="str">
        <f>HYPERLINK("http://ictvonline.org/taxonomy/p/taxonomy-history?taxnode_id=201904663","ICTVonline=201904663")</f>
        <v>ICTVonline=201904663</v>
      </c>
      <c r="Y5518" s="1" t="s">
        <v>15803</v>
      </c>
      <c r="Z5518" s="1" t="s">
        <v>15804</v>
      </c>
      <c r="AA5518" s="1">
        <v>201900000</v>
      </c>
      <c r="AB5518" s="1">
        <v>35</v>
      </c>
    </row>
    <row r="5519" spans="1:28" x14ac:dyDescent="0.2">
      <c r="A5519" s="1">
        <v>14277</v>
      </c>
      <c r="B5519" s="1" t="s">
        <v>6839</v>
      </c>
      <c r="D5519" s="1" t="s">
        <v>11735</v>
      </c>
      <c r="F5519" s="1" t="s">
        <v>14661</v>
      </c>
      <c r="H5519" s="1" t="s">
        <v>15590</v>
      </c>
      <c r="J5519" s="1" t="s">
        <v>15591</v>
      </c>
      <c r="L5519" s="1" t="s">
        <v>479</v>
      </c>
      <c r="N5519" s="1" t="s">
        <v>587</v>
      </c>
      <c r="P5519" s="1" t="s">
        <v>645</v>
      </c>
      <c r="Q5519" s="3">
        <v>0</v>
      </c>
      <c r="R5519" s="23" t="s">
        <v>11933</v>
      </c>
      <c r="S5519" s="23" t="s">
        <v>5849</v>
      </c>
      <c r="T5519" s="23" t="s">
        <v>4866</v>
      </c>
      <c r="U5519" s="3">
        <v>35</v>
      </c>
      <c r="W5519" s="45" t="str">
        <f>HYPERLINK("http://ictvonline.org/taxonomy/p/taxonomy-history?taxnode_id=201904664","ICTVonline=201904664")</f>
        <v>ICTVonline=201904664</v>
      </c>
      <c r="AA5519" s="1">
        <v>201900000</v>
      </c>
      <c r="AB5519" s="1">
        <v>35</v>
      </c>
    </row>
    <row r="5520" spans="1:28" x14ac:dyDescent="0.2">
      <c r="A5520" s="1">
        <v>14279</v>
      </c>
      <c r="B5520" s="1" t="s">
        <v>6839</v>
      </c>
      <c r="D5520" s="1" t="s">
        <v>11735</v>
      </c>
      <c r="F5520" s="1" t="s">
        <v>14661</v>
      </c>
      <c r="H5520" s="1" t="s">
        <v>15590</v>
      </c>
      <c r="J5520" s="1" t="s">
        <v>15591</v>
      </c>
      <c r="L5520" s="1" t="s">
        <v>479</v>
      </c>
      <c r="N5520" s="1" t="s">
        <v>587</v>
      </c>
      <c r="P5520" s="1" t="s">
        <v>15805</v>
      </c>
      <c r="Q5520" s="3">
        <v>0</v>
      </c>
      <c r="R5520" s="23" t="s">
        <v>11933</v>
      </c>
      <c r="S5520" s="23" t="s">
        <v>5849</v>
      </c>
      <c r="T5520" s="23" t="s">
        <v>4864</v>
      </c>
      <c r="U5520" s="3">
        <v>35</v>
      </c>
      <c r="V5520" s="3" t="s">
        <v>15709</v>
      </c>
      <c r="W5520" s="45" t="str">
        <f>HYPERLINK("http://ictvonline.org/taxonomy/p/taxonomy-history?taxnode_id=201907437","ICTVonline=201907437")</f>
        <v>ICTVonline=201907437</v>
      </c>
      <c r="X5520" s="1" t="s">
        <v>15806</v>
      </c>
      <c r="Y5520" s="1" t="s">
        <v>15807</v>
      </c>
      <c r="Z5520" s="1" t="s">
        <v>15808</v>
      </c>
      <c r="AA5520" s="1">
        <v>201900000</v>
      </c>
      <c r="AB5520" s="1">
        <v>35</v>
      </c>
    </row>
    <row r="5521" spans="1:28" x14ac:dyDescent="0.2">
      <c r="A5521" s="1">
        <v>14281</v>
      </c>
      <c r="B5521" s="1" t="s">
        <v>6839</v>
      </c>
      <c r="D5521" s="1" t="s">
        <v>11735</v>
      </c>
      <c r="F5521" s="1" t="s">
        <v>14661</v>
      </c>
      <c r="H5521" s="1" t="s">
        <v>15590</v>
      </c>
      <c r="J5521" s="1" t="s">
        <v>15591</v>
      </c>
      <c r="L5521" s="1" t="s">
        <v>479</v>
      </c>
      <c r="N5521" s="1" t="s">
        <v>587</v>
      </c>
      <c r="P5521" s="1" t="s">
        <v>646</v>
      </c>
      <c r="Q5521" s="3">
        <v>0</v>
      </c>
      <c r="R5521" s="23" t="s">
        <v>11933</v>
      </c>
      <c r="S5521" s="23" t="s">
        <v>5849</v>
      </c>
      <c r="T5521" s="23" t="s">
        <v>4866</v>
      </c>
      <c r="U5521" s="3">
        <v>35</v>
      </c>
      <c r="W5521" s="45" t="str">
        <f>HYPERLINK("http://ictvonline.org/taxonomy/p/taxonomy-history?taxnode_id=201904665","ICTVonline=201904665")</f>
        <v>ICTVonline=201904665</v>
      </c>
      <c r="AA5521" s="1">
        <v>201900000</v>
      </c>
      <c r="AB5521" s="1">
        <v>35</v>
      </c>
    </row>
    <row r="5522" spans="1:28" x14ac:dyDescent="0.2">
      <c r="A5522" s="1">
        <v>14283</v>
      </c>
      <c r="B5522" s="1" t="s">
        <v>6839</v>
      </c>
      <c r="D5522" s="1" t="s">
        <v>11735</v>
      </c>
      <c r="F5522" s="1" t="s">
        <v>14661</v>
      </c>
      <c r="H5522" s="1" t="s">
        <v>15590</v>
      </c>
      <c r="J5522" s="1" t="s">
        <v>15591</v>
      </c>
      <c r="L5522" s="1" t="s">
        <v>479</v>
      </c>
      <c r="N5522" s="1" t="s">
        <v>587</v>
      </c>
      <c r="P5522" s="1" t="s">
        <v>458</v>
      </c>
      <c r="Q5522" s="3">
        <v>0</v>
      </c>
      <c r="R5522" s="23" t="s">
        <v>11933</v>
      </c>
      <c r="S5522" s="23" t="s">
        <v>5849</v>
      </c>
      <c r="T5522" s="23" t="s">
        <v>4866</v>
      </c>
      <c r="U5522" s="3">
        <v>35</v>
      </c>
      <c r="W5522" s="45" t="str">
        <f>HYPERLINK("http://ictvonline.org/taxonomy/p/taxonomy-history?taxnode_id=201904666","ICTVonline=201904666")</f>
        <v>ICTVonline=201904666</v>
      </c>
      <c r="Y5522" s="1" t="s">
        <v>15809</v>
      </c>
      <c r="Z5522" s="1" t="s">
        <v>12362</v>
      </c>
      <c r="AA5522" s="1">
        <v>201900000</v>
      </c>
      <c r="AB5522" s="1">
        <v>35</v>
      </c>
    </row>
    <row r="5523" spans="1:28" x14ac:dyDescent="0.2">
      <c r="A5523" s="1">
        <v>14285</v>
      </c>
      <c r="B5523" s="1" t="s">
        <v>6839</v>
      </c>
      <c r="D5523" s="1" t="s">
        <v>11735</v>
      </c>
      <c r="F5523" s="1" t="s">
        <v>14661</v>
      </c>
      <c r="H5523" s="1" t="s">
        <v>15590</v>
      </c>
      <c r="J5523" s="1" t="s">
        <v>15591</v>
      </c>
      <c r="L5523" s="1" t="s">
        <v>479</v>
      </c>
      <c r="N5523" s="1" t="s">
        <v>587</v>
      </c>
      <c r="P5523" s="1" t="s">
        <v>1573</v>
      </c>
      <c r="Q5523" s="3">
        <v>0</v>
      </c>
      <c r="R5523" s="23" t="s">
        <v>11933</v>
      </c>
      <c r="S5523" s="23" t="s">
        <v>5849</v>
      </c>
      <c r="T5523" s="23" t="s">
        <v>4866</v>
      </c>
      <c r="U5523" s="3">
        <v>35</v>
      </c>
      <c r="W5523" s="45" t="str">
        <f>HYPERLINK("http://ictvonline.org/taxonomy/p/taxonomy-history?taxnode_id=201904667","ICTVonline=201904667")</f>
        <v>ICTVonline=201904667</v>
      </c>
      <c r="Y5523" s="1" t="s">
        <v>15810</v>
      </c>
      <c r="Z5523" s="1" t="s">
        <v>15811</v>
      </c>
      <c r="AA5523" s="1">
        <v>201900000</v>
      </c>
      <c r="AB5523" s="1">
        <v>35</v>
      </c>
    </row>
    <row r="5524" spans="1:28" x14ac:dyDescent="0.2">
      <c r="A5524" s="1">
        <v>14287</v>
      </c>
      <c r="B5524" s="1" t="s">
        <v>6839</v>
      </c>
      <c r="D5524" s="1" t="s">
        <v>11735</v>
      </c>
      <c r="F5524" s="1" t="s">
        <v>14661</v>
      </c>
      <c r="H5524" s="1" t="s">
        <v>15590</v>
      </c>
      <c r="J5524" s="1" t="s">
        <v>15591</v>
      </c>
      <c r="L5524" s="1" t="s">
        <v>479</v>
      </c>
      <c r="N5524" s="1" t="s">
        <v>587</v>
      </c>
      <c r="P5524" s="1" t="s">
        <v>1574</v>
      </c>
      <c r="Q5524" s="3">
        <v>0</v>
      </c>
      <c r="R5524" s="23" t="s">
        <v>11933</v>
      </c>
      <c r="S5524" s="23" t="s">
        <v>5849</v>
      </c>
      <c r="T5524" s="23" t="s">
        <v>4866</v>
      </c>
      <c r="U5524" s="3">
        <v>35</v>
      </c>
      <c r="W5524" s="45" t="str">
        <f>HYPERLINK("http://ictvonline.org/taxonomy/p/taxonomy-history?taxnode_id=201904668","ICTVonline=201904668")</f>
        <v>ICTVonline=201904668</v>
      </c>
      <c r="Y5524" s="1" t="s">
        <v>15812</v>
      </c>
      <c r="Z5524" s="1" t="s">
        <v>15813</v>
      </c>
      <c r="AA5524" s="1">
        <v>201900000</v>
      </c>
      <c r="AB5524" s="1">
        <v>35</v>
      </c>
    </row>
    <row r="5525" spans="1:28" x14ac:dyDescent="0.2">
      <c r="A5525" s="1">
        <v>14289</v>
      </c>
      <c r="B5525" s="1" t="s">
        <v>6839</v>
      </c>
      <c r="D5525" s="1" t="s">
        <v>11735</v>
      </c>
      <c r="F5525" s="1" t="s">
        <v>14661</v>
      </c>
      <c r="H5525" s="1" t="s">
        <v>15590</v>
      </c>
      <c r="J5525" s="1" t="s">
        <v>15591</v>
      </c>
      <c r="L5525" s="1" t="s">
        <v>479</v>
      </c>
      <c r="N5525" s="1" t="s">
        <v>587</v>
      </c>
      <c r="P5525" s="1" t="s">
        <v>510</v>
      </c>
      <c r="Q5525" s="3">
        <v>0</v>
      </c>
      <c r="R5525" s="23" t="s">
        <v>11933</v>
      </c>
      <c r="S5525" s="23" t="s">
        <v>5849</v>
      </c>
      <c r="T5525" s="23" t="s">
        <v>4866</v>
      </c>
      <c r="U5525" s="3">
        <v>35</v>
      </c>
      <c r="W5525" s="45" t="str">
        <f>HYPERLINK("http://ictvonline.org/taxonomy/p/taxonomy-history?taxnode_id=201904669","ICTVonline=201904669")</f>
        <v>ICTVonline=201904669</v>
      </c>
      <c r="Y5525" s="1" t="s">
        <v>15814</v>
      </c>
      <c r="Z5525" s="1" t="s">
        <v>15815</v>
      </c>
      <c r="AA5525" s="1">
        <v>201900000</v>
      </c>
      <c r="AB5525" s="1">
        <v>35</v>
      </c>
    </row>
    <row r="5526" spans="1:28" x14ac:dyDescent="0.2">
      <c r="A5526" s="1">
        <v>14291</v>
      </c>
      <c r="B5526" s="1" t="s">
        <v>6839</v>
      </c>
      <c r="D5526" s="1" t="s">
        <v>11735</v>
      </c>
      <c r="F5526" s="1" t="s">
        <v>14661</v>
      </c>
      <c r="H5526" s="1" t="s">
        <v>15590</v>
      </c>
      <c r="J5526" s="1" t="s">
        <v>15591</v>
      </c>
      <c r="L5526" s="1" t="s">
        <v>479</v>
      </c>
      <c r="N5526" s="1" t="s">
        <v>587</v>
      </c>
      <c r="P5526" s="1" t="s">
        <v>511</v>
      </c>
      <c r="Q5526" s="3">
        <v>1</v>
      </c>
      <c r="R5526" s="23" t="s">
        <v>11933</v>
      </c>
      <c r="S5526" s="23" t="s">
        <v>5849</v>
      </c>
      <c r="T5526" s="23" t="s">
        <v>4866</v>
      </c>
      <c r="U5526" s="3">
        <v>35</v>
      </c>
      <c r="W5526" s="45" t="str">
        <f>HYPERLINK("http://ictvonline.org/taxonomy/p/taxonomy-history?taxnode_id=201904670","ICTVonline=201904670")</f>
        <v>ICTVonline=201904670</v>
      </c>
      <c r="Y5526" s="1" t="s">
        <v>15816</v>
      </c>
      <c r="Z5526" s="1" t="s">
        <v>15817</v>
      </c>
      <c r="AA5526" s="1">
        <v>201900000</v>
      </c>
      <c r="AB5526" s="1">
        <v>35</v>
      </c>
    </row>
    <row r="5527" spans="1:28" x14ac:dyDescent="0.2">
      <c r="A5527" s="1">
        <v>14293</v>
      </c>
      <c r="B5527" s="1" t="s">
        <v>6839</v>
      </c>
      <c r="D5527" s="1" t="s">
        <v>11735</v>
      </c>
      <c r="F5527" s="1" t="s">
        <v>14661</v>
      </c>
      <c r="H5527" s="1" t="s">
        <v>15590</v>
      </c>
      <c r="J5527" s="1" t="s">
        <v>15591</v>
      </c>
      <c r="L5527" s="1" t="s">
        <v>479</v>
      </c>
      <c r="N5527" s="1" t="s">
        <v>587</v>
      </c>
      <c r="P5527" s="1" t="s">
        <v>15818</v>
      </c>
      <c r="Q5527" s="3">
        <v>0</v>
      </c>
      <c r="R5527" s="23" t="s">
        <v>11933</v>
      </c>
      <c r="S5527" s="23" t="s">
        <v>5849</v>
      </c>
      <c r="T5527" s="23" t="s">
        <v>4864</v>
      </c>
      <c r="U5527" s="3">
        <v>35</v>
      </c>
      <c r="V5527" s="3" t="s">
        <v>15709</v>
      </c>
      <c r="W5527" s="45" t="str">
        <f>HYPERLINK("http://ictvonline.org/taxonomy/p/taxonomy-history?taxnode_id=201907438","ICTVonline=201907438")</f>
        <v>ICTVonline=201907438</v>
      </c>
      <c r="X5527" s="1" t="s">
        <v>15819</v>
      </c>
      <c r="Y5527" s="1" t="s">
        <v>15820</v>
      </c>
      <c r="Z5527" s="1" t="s">
        <v>15821</v>
      </c>
      <c r="AA5527" s="1">
        <v>201900000</v>
      </c>
      <c r="AB5527" s="1">
        <v>35</v>
      </c>
    </row>
    <row r="5528" spans="1:28" x14ac:dyDescent="0.2">
      <c r="A5528" s="1">
        <v>14295</v>
      </c>
      <c r="B5528" s="1" t="s">
        <v>6839</v>
      </c>
      <c r="D5528" s="1" t="s">
        <v>11735</v>
      </c>
      <c r="F5528" s="1" t="s">
        <v>14661</v>
      </c>
      <c r="H5528" s="1" t="s">
        <v>15590</v>
      </c>
      <c r="J5528" s="1" t="s">
        <v>15591</v>
      </c>
      <c r="L5528" s="1" t="s">
        <v>479</v>
      </c>
      <c r="N5528" s="1" t="s">
        <v>587</v>
      </c>
      <c r="P5528" s="1" t="s">
        <v>512</v>
      </c>
      <c r="Q5528" s="3">
        <v>0</v>
      </c>
      <c r="R5528" s="23" t="s">
        <v>11933</v>
      </c>
      <c r="S5528" s="23" t="s">
        <v>5849</v>
      </c>
      <c r="T5528" s="23" t="s">
        <v>4866</v>
      </c>
      <c r="U5528" s="3">
        <v>35</v>
      </c>
      <c r="W5528" s="45" t="str">
        <f>HYPERLINK("http://ictvonline.org/taxonomy/p/taxonomy-history?taxnode_id=201904671","ICTVonline=201904671")</f>
        <v>ICTVonline=201904671</v>
      </c>
      <c r="AA5528" s="1">
        <v>201900000</v>
      </c>
      <c r="AB5528" s="1">
        <v>35</v>
      </c>
    </row>
    <row r="5529" spans="1:28" x14ac:dyDescent="0.2">
      <c r="A5529" s="1">
        <v>14297</v>
      </c>
      <c r="B5529" s="1" t="s">
        <v>6839</v>
      </c>
      <c r="D5529" s="1" t="s">
        <v>11735</v>
      </c>
      <c r="F5529" s="1" t="s">
        <v>14661</v>
      </c>
      <c r="H5529" s="1" t="s">
        <v>15590</v>
      </c>
      <c r="J5529" s="1" t="s">
        <v>15591</v>
      </c>
      <c r="L5529" s="1" t="s">
        <v>479</v>
      </c>
      <c r="N5529" s="1" t="s">
        <v>587</v>
      </c>
      <c r="P5529" s="1" t="s">
        <v>1451</v>
      </c>
      <c r="Q5529" s="3">
        <v>0</v>
      </c>
      <c r="R5529" s="23" t="s">
        <v>11933</v>
      </c>
      <c r="S5529" s="23" t="s">
        <v>5849</v>
      </c>
      <c r="T5529" s="23" t="s">
        <v>4866</v>
      </c>
      <c r="U5529" s="3">
        <v>35</v>
      </c>
      <c r="W5529" s="45" t="str">
        <f>HYPERLINK("http://ictvonline.org/taxonomy/p/taxonomy-history?taxnode_id=201904672","ICTVonline=201904672")</f>
        <v>ICTVonline=201904672</v>
      </c>
      <c r="AA5529" s="1">
        <v>201900000</v>
      </c>
      <c r="AB5529" s="1">
        <v>35</v>
      </c>
    </row>
    <row r="5530" spans="1:28" x14ac:dyDescent="0.2">
      <c r="A5530" s="1">
        <v>14299</v>
      </c>
      <c r="B5530" s="1" t="s">
        <v>6839</v>
      </c>
      <c r="D5530" s="1" t="s">
        <v>11735</v>
      </c>
      <c r="F5530" s="1" t="s">
        <v>14661</v>
      </c>
      <c r="H5530" s="1" t="s">
        <v>15590</v>
      </c>
      <c r="J5530" s="1" t="s">
        <v>15591</v>
      </c>
      <c r="L5530" s="1" t="s">
        <v>479</v>
      </c>
      <c r="N5530" s="1" t="s">
        <v>587</v>
      </c>
      <c r="P5530" s="1" t="s">
        <v>1452</v>
      </c>
      <c r="Q5530" s="3">
        <v>0</v>
      </c>
      <c r="R5530" s="23" t="s">
        <v>11933</v>
      </c>
      <c r="S5530" s="23" t="s">
        <v>5849</v>
      </c>
      <c r="T5530" s="23" t="s">
        <v>4866</v>
      </c>
      <c r="U5530" s="3">
        <v>35</v>
      </c>
      <c r="W5530" s="45" t="str">
        <f>HYPERLINK("http://ictvonline.org/taxonomy/p/taxonomy-history?taxnode_id=201904673","ICTVonline=201904673")</f>
        <v>ICTVonline=201904673</v>
      </c>
      <c r="AA5530" s="1">
        <v>201900000</v>
      </c>
      <c r="AB5530" s="1">
        <v>35</v>
      </c>
    </row>
    <row r="5531" spans="1:28" x14ac:dyDescent="0.2">
      <c r="A5531" s="1">
        <v>14301</v>
      </c>
      <c r="B5531" s="1" t="s">
        <v>6839</v>
      </c>
      <c r="D5531" s="1" t="s">
        <v>11735</v>
      </c>
      <c r="F5531" s="1" t="s">
        <v>14661</v>
      </c>
      <c r="H5531" s="1" t="s">
        <v>15590</v>
      </c>
      <c r="J5531" s="1" t="s">
        <v>15591</v>
      </c>
      <c r="L5531" s="1" t="s">
        <v>479</v>
      </c>
      <c r="N5531" s="1" t="s">
        <v>587</v>
      </c>
      <c r="P5531" s="1" t="s">
        <v>381</v>
      </c>
      <c r="Q5531" s="3">
        <v>0</v>
      </c>
      <c r="R5531" s="23" t="s">
        <v>11933</v>
      </c>
      <c r="S5531" s="23" t="s">
        <v>5849</v>
      </c>
      <c r="T5531" s="23" t="s">
        <v>4866</v>
      </c>
      <c r="U5531" s="3">
        <v>35</v>
      </c>
      <c r="W5531" s="45" t="str">
        <f>HYPERLINK("http://ictvonline.org/taxonomy/p/taxonomy-history?taxnode_id=201904674","ICTVonline=201904674")</f>
        <v>ICTVonline=201904674</v>
      </c>
      <c r="AA5531" s="1">
        <v>201900000</v>
      </c>
      <c r="AB5531" s="1">
        <v>35</v>
      </c>
    </row>
    <row r="5532" spans="1:28" x14ac:dyDescent="0.2">
      <c r="A5532" s="1">
        <v>14303</v>
      </c>
      <c r="B5532" s="1" t="s">
        <v>6839</v>
      </c>
      <c r="D5532" s="1" t="s">
        <v>11735</v>
      </c>
      <c r="F5532" s="1" t="s">
        <v>14661</v>
      </c>
      <c r="H5532" s="1" t="s">
        <v>15590</v>
      </c>
      <c r="J5532" s="1" t="s">
        <v>15591</v>
      </c>
      <c r="L5532" s="1" t="s">
        <v>479</v>
      </c>
      <c r="N5532" s="1" t="s">
        <v>587</v>
      </c>
      <c r="P5532" s="1" t="s">
        <v>6825</v>
      </c>
      <c r="Q5532" s="3">
        <v>0</v>
      </c>
      <c r="R5532" s="23" t="s">
        <v>11933</v>
      </c>
      <c r="S5532" s="23" t="s">
        <v>5849</v>
      </c>
      <c r="T5532" s="23" t="s">
        <v>4866</v>
      </c>
      <c r="U5532" s="3">
        <v>35</v>
      </c>
      <c r="W5532" s="45" t="str">
        <f>HYPERLINK("http://ictvonline.org/taxonomy/p/taxonomy-history?taxnode_id=201906675","ICTVonline=201906675")</f>
        <v>ICTVonline=201906675</v>
      </c>
      <c r="X5532" s="1" t="s">
        <v>15822</v>
      </c>
      <c r="Y5532" s="1" t="s">
        <v>15823</v>
      </c>
      <c r="Z5532" s="1" t="s">
        <v>15824</v>
      </c>
      <c r="AA5532" s="1">
        <v>201900000</v>
      </c>
      <c r="AB5532" s="1">
        <v>35</v>
      </c>
    </row>
    <row r="5533" spans="1:28" x14ac:dyDescent="0.2">
      <c r="A5533" s="1">
        <v>14305</v>
      </c>
      <c r="B5533" s="1" t="s">
        <v>6839</v>
      </c>
      <c r="D5533" s="1" t="s">
        <v>11735</v>
      </c>
      <c r="F5533" s="1" t="s">
        <v>14661</v>
      </c>
      <c r="H5533" s="1" t="s">
        <v>15590</v>
      </c>
      <c r="J5533" s="1" t="s">
        <v>15591</v>
      </c>
      <c r="L5533" s="1" t="s">
        <v>479</v>
      </c>
      <c r="N5533" s="1" t="s">
        <v>587</v>
      </c>
      <c r="P5533" s="1" t="s">
        <v>382</v>
      </c>
      <c r="Q5533" s="3">
        <v>0</v>
      </c>
      <c r="R5533" s="23" t="s">
        <v>11933</v>
      </c>
      <c r="S5533" s="23" t="s">
        <v>5849</v>
      </c>
      <c r="T5533" s="23" t="s">
        <v>4866</v>
      </c>
      <c r="U5533" s="3">
        <v>35</v>
      </c>
      <c r="W5533" s="45" t="str">
        <f>HYPERLINK("http://ictvonline.org/taxonomy/p/taxonomy-history?taxnode_id=201904675","ICTVonline=201904675")</f>
        <v>ICTVonline=201904675</v>
      </c>
      <c r="AA5533" s="1">
        <v>201900000</v>
      </c>
      <c r="AB5533" s="1">
        <v>35</v>
      </c>
    </row>
    <row r="5534" spans="1:28" x14ac:dyDescent="0.2">
      <c r="A5534" s="1">
        <v>14307</v>
      </c>
      <c r="B5534" s="1" t="s">
        <v>6839</v>
      </c>
      <c r="D5534" s="1" t="s">
        <v>11735</v>
      </c>
      <c r="F5534" s="1" t="s">
        <v>14661</v>
      </c>
      <c r="H5534" s="1" t="s">
        <v>15590</v>
      </c>
      <c r="J5534" s="1" t="s">
        <v>15591</v>
      </c>
      <c r="L5534" s="1" t="s">
        <v>479</v>
      </c>
      <c r="N5534" s="1" t="s">
        <v>587</v>
      </c>
      <c r="P5534" s="1" t="s">
        <v>383</v>
      </c>
      <c r="Q5534" s="3">
        <v>0</v>
      </c>
      <c r="R5534" s="23" t="s">
        <v>11933</v>
      </c>
      <c r="S5534" s="23" t="s">
        <v>5849</v>
      </c>
      <c r="T5534" s="23" t="s">
        <v>4866</v>
      </c>
      <c r="U5534" s="3">
        <v>35</v>
      </c>
      <c r="W5534" s="45" t="str">
        <f>HYPERLINK("http://ictvonline.org/taxonomy/p/taxonomy-history?taxnode_id=201904676","ICTVonline=201904676")</f>
        <v>ICTVonline=201904676</v>
      </c>
      <c r="Y5534" s="1" t="s">
        <v>15825</v>
      </c>
      <c r="Z5534" s="1" t="s">
        <v>15826</v>
      </c>
      <c r="AA5534" s="1">
        <v>201900000</v>
      </c>
      <c r="AB5534" s="1">
        <v>35</v>
      </c>
    </row>
    <row r="5535" spans="1:28" x14ac:dyDescent="0.2">
      <c r="A5535" s="1">
        <v>14309</v>
      </c>
      <c r="B5535" s="1" t="s">
        <v>6839</v>
      </c>
      <c r="D5535" s="1" t="s">
        <v>11735</v>
      </c>
      <c r="F5535" s="1" t="s">
        <v>14661</v>
      </c>
      <c r="H5535" s="1" t="s">
        <v>15590</v>
      </c>
      <c r="J5535" s="1" t="s">
        <v>15591</v>
      </c>
      <c r="L5535" s="1" t="s">
        <v>479</v>
      </c>
      <c r="N5535" s="1" t="s">
        <v>587</v>
      </c>
      <c r="P5535" s="1" t="s">
        <v>384</v>
      </c>
      <c r="Q5535" s="3">
        <v>0</v>
      </c>
      <c r="R5535" s="23" t="s">
        <v>11933</v>
      </c>
      <c r="S5535" s="23" t="s">
        <v>5849</v>
      </c>
      <c r="T5535" s="23" t="s">
        <v>4866</v>
      </c>
      <c r="U5535" s="3">
        <v>35</v>
      </c>
      <c r="W5535" s="45" t="str">
        <f>HYPERLINK("http://ictvonline.org/taxonomy/p/taxonomy-history?taxnode_id=201904677","ICTVonline=201904677")</f>
        <v>ICTVonline=201904677</v>
      </c>
      <c r="Y5535" s="1" t="s">
        <v>15827</v>
      </c>
      <c r="Z5535" s="1" t="s">
        <v>15828</v>
      </c>
      <c r="AA5535" s="1">
        <v>201900000</v>
      </c>
      <c r="AB5535" s="1">
        <v>35</v>
      </c>
    </row>
    <row r="5536" spans="1:28" x14ac:dyDescent="0.2">
      <c r="A5536" s="1">
        <v>14311</v>
      </c>
      <c r="B5536" s="1" t="s">
        <v>6839</v>
      </c>
      <c r="D5536" s="1" t="s">
        <v>11735</v>
      </c>
      <c r="F5536" s="1" t="s">
        <v>14661</v>
      </c>
      <c r="H5536" s="1" t="s">
        <v>15590</v>
      </c>
      <c r="J5536" s="1" t="s">
        <v>15591</v>
      </c>
      <c r="L5536" s="1" t="s">
        <v>479</v>
      </c>
      <c r="N5536" s="1" t="s">
        <v>587</v>
      </c>
      <c r="P5536" s="1" t="s">
        <v>1455</v>
      </c>
      <c r="Q5536" s="3">
        <v>0</v>
      </c>
      <c r="R5536" s="23" t="s">
        <v>11933</v>
      </c>
      <c r="S5536" s="23" t="s">
        <v>5849</v>
      </c>
      <c r="T5536" s="23" t="s">
        <v>4866</v>
      </c>
      <c r="U5536" s="3">
        <v>35</v>
      </c>
      <c r="W5536" s="45" t="str">
        <f>HYPERLINK("http://ictvonline.org/taxonomy/p/taxonomy-history?taxnode_id=201904678","ICTVonline=201904678")</f>
        <v>ICTVonline=201904678</v>
      </c>
      <c r="Y5536" s="1" t="s">
        <v>15829</v>
      </c>
      <c r="Z5536" s="1" t="s">
        <v>15830</v>
      </c>
      <c r="AA5536" s="1">
        <v>201900000</v>
      </c>
      <c r="AB5536" s="1">
        <v>35</v>
      </c>
    </row>
    <row r="5537" spans="1:28" x14ac:dyDescent="0.2">
      <c r="A5537" s="1">
        <v>14313</v>
      </c>
      <c r="B5537" s="1" t="s">
        <v>6839</v>
      </c>
      <c r="D5537" s="1" t="s">
        <v>11735</v>
      </c>
      <c r="F5537" s="1" t="s">
        <v>14661</v>
      </c>
      <c r="H5537" s="1" t="s">
        <v>15590</v>
      </c>
      <c r="J5537" s="1" t="s">
        <v>15591</v>
      </c>
      <c r="L5537" s="1" t="s">
        <v>479</v>
      </c>
      <c r="N5537" s="1" t="s">
        <v>587</v>
      </c>
      <c r="P5537" s="1" t="s">
        <v>1456</v>
      </c>
      <c r="Q5537" s="3">
        <v>0</v>
      </c>
      <c r="R5537" s="23" t="s">
        <v>11933</v>
      </c>
      <c r="S5537" s="23" t="s">
        <v>5849</v>
      </c>
      <c r="T5537" s="23" t="s">
        <v>4866</v>
      </c>
      <c r="U5537" s="3">
        <v>35</v>
      </c>
      <c r="W5537" s="45" t="str">
        <f>HYPERLINK("http://ictvonline.org/taxonomy/p/taxonomy-history?taxnode_id=201904679","ICTVonline=201904679")</f>
        <v>ICTVonline=201904679</v>
      </c>
      <c r="Y5537" s="1" t="s">
        <v>15831</v>
      </c>
      <c r="Z5537" s="1" t="s">
        <v>15832</v>
      </c>
      <c r="AA5537" s="1">
        <v>201900000</v>
      </c>
      <c r="AB5537" s="1">
        <v>35</v>
      </c>
    </row>
    <row r="5538" spans="1:28" x14ac:dyDescent="0.2">
      <c r="A5538" s="1">
        <v>14315</v>
      </c>
      <c r="B5538" s="1" t="s">
        <v>6839</v>
      </c>
      <c r="D5538" s="1" t="s">
        <v>11735</v>
      </c>
      <c r="F5538" s="1" t="s">
        <v>14661</v>
      </c>
      <c r="H5538" s="1" t="s">
        <v>15590</v>
      </c>
      <c r="J5538" s="1" t="s">
        <v>15591</v>
      </c>
      <c r="L5538" s="1" t="s">
        <v>479</v>
      </c>
      <c r="N5538" s="1" t="s">
        <v>587</v>
      </c>
      <c r="P5538" s="1" t="s">
        <v>1876</v>
      </c>
      <c r="Q5538" s="3">
        <v>0</v>
      </c>
      <c r="R5538" s="23" t="s">
        <v>11933</v>
      </c>
      <c r="S5538" s="23" t="s">
        <v>5849</v>
      </c>
      <c r="T5538" s="23" t="s">
        <v>4866</v>
      </c>
      <c r="U5538" s="3">
        <v>35</v>
      </c>
      <c r="W5538" s="45" t="str">
        <f>HYPERLINK("http://ictvonline.org/taxonomy/p/taxonomy-history?taxnode_id=201904680","ICTVonline=201904680")</f>
        <v>ICTVonline=201904680</v>
      </c>
      <c r="AA5538" s="1">
        <v>201900000</v>
      </c>
      <c r="AB5538" s="1">
        <v>35</v>
      </c>
    </row>
    <row r="5539" spans="1:28" x14ac:dyDescent="0.2">
      <c r="A5539" s="1">
        <v>14317</v>
      </c>
      <c r="B5539" s="1" t="s">
        <v>6839</v>
      </c>
      <c r="D5539" s="1" t="s">
        <v>11735</v>
      </c>
      <c r="F5539" s="1" t="s">
        <v>14661</v>
      </c>
      <c r="H5539" s="1" t="s">
        <v>15590</v>
      </c>
      <c r="J5539" s="1" t="s">
        <v>15591</v>
      </c>
      <c r="L5539" s="1" t="s">
        <v>479</v>
      </c>
      <c r="N5539" s="1" t="s">
        <v>587</v>
      </c>
      <c r="P5539" s="1" t="s">
        <v>6826</v>
      </c>
      <c r="Q5539" s="3">
        <v>0</v>
      </c>
      <c r="R5539" s="23" t="s">
        <v>11933</v>
      </c>
      <c r="S5539" s="23" t="s">
        <v>5849</v>
      </c>
      <c r="T5539" s="23" t="s">
        <v>4866</v>
      </c>
      <c r="U5539" s="3">
        <v>35</v>
      </c>
      <c r="W5539" s="45" t="str">
        <f>HYPERLINK("http://ictvonline.org/taxonomy/p/taxonomy-history?taxnode_id=201906676","ICTVonline=201906676")</f>
        <v>ICTVonline=201906676</v>
      </c>
      <c r="X5539" s="1" t="s">
        <v>15833</v>
      </c>
      <c r="Y5539" s="1" t="s">
        <v>15834</v>
      </c>
      <c r="Z5539" s="1" t="s">
        <v>15835</v>
      </c>
      <c r="AA5539" s="1">
        <v>201900000</v>
      </c>
      <c r="AB5539" s="1">
        <v>35</v>
      </c>
    </row>
    <row r="5540" spans="1:28" x14ac:dyDescent="0.2">
      <c r="A5540" s="1">
        <v>14319</v>
      </c>
      <c r="B5540" s="1" t="s">
        <v>6839</v>
      </c>
      <c r="D5540" s="1" t="s">
        <v>11735</v>
      </c>
      <c r="F5540" s="1" t="s">
        <v>14661</v>
      </c>
      <c r="H5540" s="1" t="s">
        <v>15590</v>
      </c>
      <c r="J5540" s="1" t="s">
        <v>15591</v>
      </c>
      <c r="L5540" s="1" t="s">
        <v>479</v>
      </c>
      <c r="N5540" s="1" t="s">
        <v>587</v>
      </c>
      <c r="P5540" s="1" t="s">
        <v>1457</v>
      </c>
      <c r="Q5540" s="3">
        <v>0</v>
      </c>
      <c r="R5540" s="23" t="s">
        <v>11933</v>
      </c>
      <c r="S5540" s="23" t="s">
        <v>5849</v>
      </c>
      <c r="T5540" s="23" t="s">
        <v>4866</v>
      </c>
      <c r="U5540" s="3">
        <v>35</v>
      </c>
      <c r="W5540" s="45" t="str">
        <f>HYPERLINK("http://ictvonline.org/taxonomy/p/taxonomy-history?taxnode_id=201904681","ICTVonline=201904681")</f>
        <v>ICTVonline=201904681</v>
      </c>
      <c r="Y5540" s="1" t="s">
        <v>15836</v>
      </c>
      <c r="Z5540" s="1" t="s">
        <v>15837</v>
      </c>
      <c r="AA5540" s="1">
        <v>201900000</v>
      </c>
      <c r="AB5540" s="1">
        <v>35</v>
      </c>
    </row>
    <row r="5541" spans="1:28" x14ac:dyDescent="0.2">
      <c r="A5541" s="1">
        <v>14321</v>
      </c>
      <c r="B5541" s="1" t="s">
        <v>6839</v>
      </c>
      <c r="D5541" s="1" t="s">
        <v>11735</v>
      </c>
      <c r="F5541" s="1" t="s">
        <v>14661</v>
      </c>
      <c r="H5541" s="1" t="s">
        <v>15590</v>
      </c>
      <c r="J5541" s="1" t="s">
        <v>15591</v>
      </c>
      <c r="L5541" s="1" t="s">
        <v>479</v>
      </c>
      <c r="N5541" s="1" t="s">
        <v>587</v>
      </c>
      <c r="P5541" s="1" t="s">
        <v>195</v>
      </c>
      <c r="Q5541" s="3">
        <v>0</v>
      </c>
      <c r="R5541" s="23" t="s">
        <v>11933</v>
      </c>
      <c r="S5541" s="23" t="s">
        <v>5849</v>
      </c>
      <c r="T5541" s="23" t="s">
        <v>4866</v>
      </c>
      <c r="U5541" s="3">
        <v>35</v>
      </c>
      <c r="W5541" s="45" t="str">
        <f>HYPERLINK("http://ictvonline.org/taxonomy/p/taxonomy-history?taxnode_id=201904682","ICTVonline=201904682")</f>
        <v>ICTVonline=201904682</v>
      </c>
      <c r="Y5541" s="1" t="s">
        <v>15838</v>
      </c>
      <c r="Z5541" s="1" t="s">
        <v>15839</v>
      </c>
      <c r="AA5541" s="1">
        <v>201900000</v>
      </c>
      <c r="AB5541" s="1">
        <v>35</v>
      </c>
    </row>
    <row r="5542" spans="1:28" x14ac:dyDescent="0.2">
      <c r="A5542" s="1">
        <v>14323</v>
      </c>
      <c r="B5542" s="1" t="s">
        <v>6839</v>
      </c>
      <c r="D5542" s="1" t="s">
        <v>11735</v>
      </c>
      <c r="F5542" s="1" t="s">
        <v>14661</v>
      </c>
      <c r="H5542" s="1" t="s">
        <v>15590</v>
      </c>
      <c r="J5542" s="1" t="s">
        <v>15591</v>
      </c>
      <c r="L5542" s="1" t="s">
        <v>479</v>
      </c>
      <c r="N5542" s="1" t="s">
        <v>587</v>
      </c>
      <c r="P5542" s="1" t="s">
        <v>3945</v>
      </c>
      <c r="Q5542" s="3">
        <v>0</v>
      </c>
      <c r="R5542" s="23" t="s">
        <v>11933</v>
      </c>
      <c r="S5542" s="23" t="s">
        <v>5849</v>
      </c>
      <c r="T5542" s="23" t="s">
        <v>4866</v>
      </c>
      <c r="U5542" s="3">
        <v>35</v>
      </c>
      <c r="W5542" s="45" t="str">
        <f>HYPERLINK("http://ictvonline.org/taxonomy/p/taxonomy-history?taxnode_id=201904683","ICTVonline=201904683")</f>
        <v>ICTVonline=201904683</v>
      </c>
      <c r="Y5542" s="1" t="s">
        <v>15840</v>
      </c>
      <c r="Z5542" s="1" t="s">
        <v>15841</v>
      </c>
      <c r="AA5542" s="1">
        <v>201900000</v>
      </c>
      <c r="AB5542" s="1">
        <v>35</v>
      </c>
    </row>
    <row r="5543" spans="1:28" x14ac:dyDescent="0.2">
      <c r="A5543" s="1">
        <v>14325</v>
      </c>
      <c r="B5543" s="1" t="s">
        <v>6839</v>
      </c>
      <c r="D5543" s="1" t="s">
        <v>11735</v>
      </c>
      <c r="F5543" s="1" t="s">
        <v>14661</v>
      </c>
      <c r="H5543" s="1" t="s">
        <v>15590</v>
      </c>
      <c r="J5543" s="1" t="s">
        <v>15591</v>
      </c>
      <c r="L5543" s="1" t="s">
        <v>479</v>
      </c>
      <c r="N5543" s="1" t="s">
        <v>587</v>
      </c>
      <c r="P5543" s="1" t="s">
        <v>1458</v>
      </c>
      <c r="Q5543" s="3">
        <v>0</v>
      </c>
      <c r="R5543" s="23" t="s">
        <v>11933</v>
      </c>
      <c r="S5543" s="23" t="s">
        <v>5849</v>
      </c>
      <c r="T5543" s="23" t="s">
        <v>4866</v>
      </c>
      <c r="U5543" s="3">
        <v>35</v>
      </c>
      <c r="W5543" s="45" t="str">
        <f>HYPERLINK("http://ictvonline.org/taxonomy/p/taxonomy-history?taxnode_id=201904684","ICTVonline=201904684")</f>
        <v>ICTVonline=201904684</v>
      </c>
      <c r="AA5543" s="1">
        <v>201900000</v>
      </c>
      <c r="AB5543" s="1">
        <v>35</v>
      </c>
    </row>
    <row r="5544" spans="1:28" x14ac:dyDescent="0.2">
      <c r="A5544" s="1">
        <v>14327</v>
      </c>
      <c r="B5544" s="1" t="s">
        <v>6839</v>
      </c>
      <c r="D5544" s="1" t="s">
        <v>11735</v>
      </c>
      <c r="F5544" s="1" t="s">
        <v>14661</v>
      </c>
      <c r="H5544" s="1" t="s">
        <v>15590</v>
      </c>
      <c r="J5544" s="1" t="s">
        <v>15591</v>
      </c>
      <c r="L5544" s="1" t="s">
        <v>479</v>
      </c>
      <c r="N5544" s="1" t="s">
        <v>587</v>
      </c>
      <c r="P5544" s="1" t="s">
        <v>5460</v>
      </c>
      <c r="Q5544" s="3">
        <v>0</v>
      </c>
      <c r="R5544" s="23" t="s">
        <v>11933</v>
      </c>
      <c r="S5544" s="23" t="s">
        <v>5849</v>
      </c>
      <c r="T5544" s="23" t="s">
        <v>4866</v>
      </c>
      <c r="U5544" s="3">
        <v>35</v>
      </c>
      <c r="W5544" s="45" t="str">
        <f>HYPERLINK("http://ictvonline.org/taxonomy/p/taxonomy-history?taxnode_id=201905923","ICTVonline=201905923")</f>
        <v>ICTVonline=201905923</v>
      </c>
      <c r="AA5544" s="1">
        <v>201900000</v>
      </c>
      <c r="AB5544" s="1">
        <v>35</v>
      </c>
    </row>
    <row r="5545" spans="1:28" x14ac:dyDescent="0.2">
      <c r="A5545" s="1">
        <v>14329</v>
      </c>
      <c r="B5545" s="1" t="s">
        <v>6839</v>
      </c>
      <c r="D5545" s="1" t="s">
        <v>11735</v>
      </c>
      <c r="F5545" s="1" t="s">
        <v>14661</v>
      </c>
      <c r="H5545" s="1" t="s">
        <v>15590</v>
      </c>
      <c r="J5545" s="1" t="s">
        <v>15591</v>
      </c>
      <c r="L5545" s="1" t="s">
        <v>479</v>
      </c>
      <c r="N5545" s="1" t="s">
        <v>587</v>
      </c>
      <c r="P5545" s="1" t="s">
        <v>1459</v>
      </c>
      <c r="Q5545" s="3">
        <v>0</v>
      </c>
      <c r="R5545" s="23" t="s">
        <v>11933</v>
      </c>
      <c r="S5545" s="23" t="s">
        <v>5849</v>
      </c>
      <c r="T5545" s="23" t="s">
        <v>4866</v>
      </c>
      <c r="U5545" s="3">
        <v>35</v>
      </c>
      <c r="W5545" s="45" t="str">
        <f>HYPERLINK("http://ictvonline.org/taxonomy/p/taxonomy-history?taxnode_id=201904685","ICTVonline=201904685")</f>
        <v>ICTVonline=201904685</v>
      </c>
      <c r="Y5545" s="1" t="s">
        <v>15842</v>
      </c>
      <c r="Z5545" s="1" t="s">
        <v>11935</v>
      </c>
      <c r="AA5545" s="1">
        <v>201900000</v>
      </c>
      <c r="AB5545" s="1">
        <v>35</v>
      </c>
    </row>
    <row r="5546" spans="1:28" x14ac:dyDescent="0.2">
      <c r="A5546" s="1">
        <v>14331</v>
      </c>
      <c r="B5546" s="1" t="s">
        <v>6839</v>
      </c>
      <c r="D5546" s="1" t="s">
        <v>11735</v>
      </c>
      <c r="F5546" s="1" t="s">
        <v>14661</v>
      </c>
      <c r="H5546" s="1" t="s">
        <v>15590</v>
      </c>
      <c r="J5546" s="1" t="s">
        <v>15591</v>
      </c>
      <c r="L5546" s="1" t="s">
        <v>479</v>
      </c>
      <c r="N5546" s="1" t="s">
        <v>587</v>
      </c>
      <c r="P5546" s="1" t="s">
        <v>1460</v>
      </c>
      <c r="Q5546" s="3">
        <v>0</v>
      </c>
      <c r="R5546" s="23" t="s">
        <v>11933</v>
      </c>
      <c r="S5546" s="23" t="s">
        <v>5849</v>
      </c>
      <c r="T5546" s="23" t="s">
        <v>4866</v>
      </c>
      <c r="U5546" s="3">
        <v>35</v>
      </c>
      <c r="W5546" s="45" t="str">
        <f>HYPERLINK("http://ictvonline.org/taxonomy/p/taxonomy-history?taxnode_id=201904686","ICTVonline=201904686")</f>
        <v>ICTVonline=201904686</v>
      </c>
      <c r="Y5546" s="1" t="s">
        <v>15843</v>
      </c>
      <c r="Z5546" s="1" t="s">
        <v>12312</v>
      </c>
      <c r="AA5546" s="1">
        <v>201900000</v>
      </c>
      <c r="AB5546" s="1">
        <v>35</v>
      </c>
    </row>
    <row r="5547" spans="1:28" x14ac:dyDescent="0.2">
      <c r="A5547" s="1">
        <v>14333</v>
      </c>
      <c r="B5547" s="1" t="s">
        <v>6839</v>
      </c>
      <c r="D5547" s="1" t="s">
        <v>11735</v>
      </c>
      <c r="F5547" s="1" t="s">
        <v>14661</v>
      </c>
      <c r="H5547" s="1" t="s">
        <v>15590</v>
      </c>
      <c r="J5547" s="1" t="s">
        <v>15591</v>
      </c>
      <c r="L5547" s="1" t="s">
        <v>479</v>
      </c>
      <c r="N5547" s="1" t="s">
        <v>587</v>
      </c>
      <c r="P5547" s="1" t="s">
        <v>246</v>
      </c>
      <c r="Q5547" s="3">
        <v>0</v>
      </c>
      <c r="R5547" s="23" t="s">
        <v>11933</v>
      </c>
      <c r="S5547" s="23" t="s">
        <v>5849</v>
      </c>
      <c r="T5547" s="23" t="s">
        <v>4866</v>
      </c>
      <c r="U5547" s="3">
        <v>35</v>
      </c>
      <c r="W5547" s="45" t="str">
        <f>HYPERLINK("http://ictvonline.org/taxonomy/p/taxonomy-history?taxnode_id=201904687","ICTVonline=201904687")</f>
        <v>ICTVonline=201904687</v>
      </c>
      <c r="AA5547" s="1">
        <v>201900000</v>
      </c>
      <c r="AB5547" s="1">
        <v>35</v>
      </c>
    </row>
    <row r="5548" spans="1:28" x14ac:dyDescent="0.2">
      <c r="A5548" s="1">
        <v>14335</v>
      </c>
      <c r="B5548" s="1" t="s">
        <v>6839</v>
      </c>
      <c r="D5548" s="1" t="s">
        <v>11735</v>
      </c>
      <c r="F5548" s="1" t="s">
        <v>14661</v>
      </c>
      <c r="H5548" s="1" t="s">
        <v>15590</v>
      </c>
      <c r="J5548" s="1" t="s">
        <v>15591</v>
      </c>
      <c r="L5548" s="1" t="s">
        <v>479</v>
      </c>
      <c r="N5548" s="1" t="s">
        <v>587</v>
      </c>
      <c r="P5548" s="1" t="s">
        <v>247</v>
      </c>
      <c r="Q5548" s="3">
        <v>0</v>
      </c>
      <c r="R5548" s="23" t="s">
        <v>11933</v>
      </c>
      <c r="S5548" s="23" t="s">
        <v>5849</v>
      </c>
      <c r="T5548" s="23" t="s">
        <v>4866</v>
      </c>
      <c r="U5548" s="3">
        <v>35</v>
      </c>
      <c r="W5548" s="45" t="str">
        <f>HYPERLINK("http://ictvonline.org/taxonomy/p/taxonomy-history?taxnode_id=201904688","ICTVonline=201904688")</f>
        <v>ICTVonline=201904688</v>
      </c>
      <c r="Y5548" s="1" t="s">
        <v>15844</v>
      </c>
      <c r="Z5548" s="1" t="s">
        <v>15845</v>
      </c>
      <c r="AA5548" s="1">
        <v>201900000</v>
      </c>
      <c r="AB5548" s="1">
        <v>35</v>
      </c>
    </row>
    <row r="5549" spans="1:28" x14ac:dyDescent="0.2">
      <c r="A5549" s="1">
        <v>14337</v>
      </c>
      <c r="B5549" s="1" t="s">
        <v>6839</v>
      </c>
      <c r="D5549" s="1" t="s">
        <v>11735</v>
      </c>
      <c r="F5549" s="1" t="s">
        <v>14661</v>
      </c>
      <c r="H5549" s="1" t="s">
        <v>15590</v>
      </c>
      <c r="J5549" s="1" t="s">
        <v>15591</v>
      </c>
      <c r="L5549" s="1" t="s">
        <v>479</v>
      </c>
      <c r="N5549" s="1" t="s">
        <v>587</v>
      </c>
      <c r="P5549" s="1" t="s">
        <v>196</v>
      </c>
      <c r="Q5549" s="3">
        <v>0</v>
      </c>
      <c r="R5549" s="23" t="s">
        <v>11933</v>
      </c>
      <c r="S5549" s="23" t="s">
        <v>5849</v>
      </c>
      <c r="T5549" s="23" t="s">
        <v>4866</v>
      </c>
      <c r="U5549" s="3">
        <v>35</v>
      </c>
      <c r="W5549" s="45" t="str">
        <f>HYPERLINK("http://ictvonline.org/taxonomy/p/taxonomy-history?taxnode_id=201904689","ICTVonline=201904689")</f>
        <v>ICTVonline=201904689</v>
      </c>
      <c r="Y5549" s="1" t="s">
        <v>15846</v>
      </c>
      <c r="Z5549" s="1" t="s">
        <v>15847</v>
      </c>
      <c r="AA5549" s="1">
        <v>201900000</v>
      </c>
      <c r="AB5549" s="1">
        <v>35</v>
      </c>
    </row>
    <row r="5550" spans="1:28" x14ac:dyDescent="0.2">
      <c r="A5550" s="1">
        <v>14339</v>
      </c>
      <c r="B5550" s="1" t="s">
        <v>6839</v>
      </c>
      <c r="D5550" s="1" t="s">
        <v>11735</v>
      </c>
      <c r="F5550" s="1" t="s">
        <v>14661</v>
      </c>
      <c r="H5550" s="1" t="s">
        <v>15590</v>
      </c>
      <c r="J5550" s="1" t="s">
        <v>15591</v>
      </c>
      <c r="L5550" s="1" t="s">
        <v>479</v>
      </c>
      <c r="N5550" s="1" t="s">
        <v>587</v>
      </c>
      <c r="P5550" s="1" t="s">
        <v>248</v>
      </c>
      <c r="Q5550" s="3">
        <v>0</v>
      </c>
      <c r="R5550" s="23" t="s">
        <v>11933</v>
      </c>
      <c r="S5550" s="23" t="s">
        <v>5849</v>
      </c>
      <c r="T5550" s="23" t="s">
        <v>4866</v>
      </c>
      <c r="U5550" s="3">
        <v>35</v>
      </c>
      <c r="W5550" s="45" t="str">
        <f>HYPERLINK("http://ictvonline.org/taxonomy/p/taxonomy-history?taxnode_id=201904690","ICTVonline=201904690")</f>
        <v>ICTVonline=201904690</v>
      </c>
      <c r="Y5550" s="1" t="s">
        <v>15848</v>
      </c>
      <c r="Z5550" s="1" t="s">
        <v>15849</v>
      </c>
      <c r="AA5550" s="1">
        <v>201900000</v>
      </c>
      <c r="AB5550" s="1">
        <v>35</v>
      </c>
    </row>
    <row r="5551" spans="1:28" x14ac:dyDescent="0.2">
      <c r="A5551" s="1">
        <v>14341</v>
      </c>
      <c r="B5551" s="1" t="s">
        <v>6839</v>
      </c>
      <c r="D5551" s="1" t="s">
        <v>11735</v>
      </c>
      <c r="F5551" s="1" t="s">
        <v>14661</v>
      </c>
      <c r="H5551" s="1" t="s">
        <v>15590</v>
      </c>
      <c r="J5551" s="1" t="s">
        <v>15591</v>
      </c>
      <c r="L5551" s="1" t="s">
        <v>479</v>
      </c>
      <c r="N5551" s="1" t="s">
        <v>587</v>
      </c>
      <c r="P5551" s="1" t="s">
        <v>3946</v>
      </c>
      <c r="Q5551" s="3">
        <v>0</v>
      </c>
      <c r="R5551" s="23" t="s">
        <v>11933</v>
      </c>
      <c r="S5551" s="23" t="s">
        <v>5849</v>
      </c>
      <c r="T5551" s="23" t="s">
        <v>4866</v>
      </c>
      <c r="U5551" s="3">
        <v>35</v>
      </c>
      <c r="W5551" s="45" t="str">
        <f>HYPERLINK("http://ictvonline.org/taxonomy/p/taxonomy-history?taxnode_id=201904691","ICTVonline=201904691")</f>
        <v>ICTVonline=201904691</v>
      </c>
      <c r="Y5551" s="1" t="s">
        <v>15850</v>
      </c>
      <c r="Z5551" s="1" t="s">
        <v>12723</v>
      </c>
      <c r="AA5551" s="1">
        <v>201900000</v>
      </c>
      <c r="AB5551" s="1">
        <v>35</v>
      </c>
    </row>
    <row r="5552" spans="1:28" x14ac:dyDescent="0.2">
      <c r="A5552" s="1">
        <v>14343</v>
      </c>
      <c r="B5552" s="1" t="s">
        <v>6839</v>
      </c>
      <c r="D5552" s="1" t="s">
        <v>11735</v>
      </c>
      <c r="F5552" s="1" t="s">
        <v>14661</v>
      </c>
      <c r="H5552" s="1" t="s">
        <v>15590</v>
      </c>
      <c r="J5552" s="1" t="s">
        <v>15591</v>
      </c>
      <c r="L5552" s="1" t="s">
        <v>479</v>
      </c>
      <c r="N5552" s="1" t="s">
        <v>587</v>
      </c>
      <c r="P5552" s="1" t="s">
        <v>249</v>
      </c>
      <c r="Q5552" s="3">
        <v>0</v>
      </c>
      <c r="R5552" s="23" t="s">
        <v>11933</v>
      </c>
      <c r="S5552" s="23" t="s">
        <v>5849</v>
      </c>
      <c r="T5552" s="23" t="s">
        <v>4866</v>
      </c>
      <c r="U5552" s="3">
        <v>35</v>
      </c>
      <c r="W5552" s="45" t="str">
        <f>HYPERLINK("http://ictvonline.org/taxonomy/p/taxonomy-history?taxnode_id=201904692","ICTVonline=201904692")</f>
        <v>ICTVonline=201904692</v>
      </c>
      <c r="AA5552" s="1">
        <v>201900000</v>
      </c>
      <c r="AB5552" s="1">
        <v>35</v>
      </c>
    </row>
    <row r="5553" spans="1:28" x14ac:dyDescent="0.2">
      <c r="A5553" s="1">
        <v>14345</v>
      </c>
      <c r="B5553" s="1" t="s">
        <v>6839</v>
      </c>
      <c r="D5553" s="1" t="s">
        <v>11735</v>
      </c>
      <c r="F5553" s="1" t="s">
        <v>14661</v>
      </c>
      <c r="H5553" s="1" t="s">
        <v>15590</v>
      </c>
      <c r="J5553" s="1" t="s">
        <v>15591</v>
      </c>
      <c r="L5553" s="1" t="s">
        <v>479</v>
      </c>
      <c r="N5553" s="1" t="s">
        <v>587</v>
      </c>
      <c r="P5553" s="1" t="s">
        <v>2126</v>
      </c>
      <c r="Q5553" s="3">
        <v>0</v>
      </c>
      <c r="R5553" s="23" t="s">
        <v>11933</v>
      </c>
      <c r="S5553" s="23" t="s">
        <v>5849</v>
      </c>
      <c r="T5553" s="23" t="s">
        <v>4866</v>
      </c>
      <c r="U5553" s="3">
        <v>35</v>
      </c>
      <c r="W5553" s="45" t="str">
        <f>HYPERLINK("http://ictvonline.org/taxonomy/p/taxonomy-history?taxnode_id=201904693","ICTVonline=201904693")</f>
        <v>ICTVonline=201904693</v>
      </c>
      <c r="Y5553" s="1" t="s">
        <v>15851</v>
      </c>
      <c r="Z5553" s="1" t="s">
        <v>15852</v>
      </c>
      <c r="AA5553" s="1">
        <v>201900000</v>
      </c>
      <c r="AB5553" s="1">
        <v>35</v>
      </c>
    </row>
    <row r="5554" spans="1:28" x14ac:dyDescent="0.2">
      <c r="A5554" s="1">
        <v>14347</v>
      </c>
      <c r="B5554" s="1" t="s">
        <v>6839</v>
      </c>
      <c r="D5554" s="1" t="s">
        <v>11735</v>
      </c>
      <c r="F5554" s="1" t="s">
        <v>14661</v>
      </c>
      <c r="H5554" s="1" t="s">
        <v>15590</v>
      </c>
      <c r="J5554" s="1" t="s">
        <v>15591</v>
      </c>
      <c r="L5554" s="1" t="s">
        <v>479</v>
      </c>
      <c r="N5554" s="1" t="s">
        <v>587</v>
      </c>
      <c r="P5554" s="1" t="s">
        <v>250</v>
      </c>
      <c r="Q5554" s="3">
        <v>0</v>
      </c>
      <c r="R5554" s="23" t="s">
        <v>11933</v>
      </c>
      <c r="S5554" s="23" t="s">
        <v>5849</v>
      </c>
      <c r="T5554" s="23" t="s">
        <v>4866</v>
      </c>
      <c r="U5554" s="3">
        <v>35</v>
      </c>
      <c r="W5554" s="45" t="str">
        <f>HYPERLINK("http://ictvonline.org/taxonomy/p/taxonomy-history?taxnode_id=201904694","ICTVonline=201904694")</f>
        <v>ICTVonline=201904694</v>
      </c>
      <c r="Y5554" s="1" t="s">
        <v>15853</v>
      </c>
      <c r="Z5554" s="1" t="s">
        <v>15854</v>
      </c>
      <c r="AA5554" s="1">
        <v>201900000</v>
      </c>
      <c r="AB5554" s="1">
        <v>35</v>
      </c>
    </row>
    <row r="5555" spans="1:28" x14ac:dyDescent="0.2">
      <c r="A5555" s="1">
        <v>14349</v>
      </c>
      <c r="B5555" s="1" t="s">
        <v>6839</v>
      </c>
      <c r="D5555" s="1" t="s">
        <v>11735</v>
      </c>
      <c r="F5555" s="1" t="s">
        <v>14661</v>
      </c>
      <c r="H5555" s="1" t="s">
        <v>15590</v>
      </c>
      <c r="J5555" s="1" t="s">
        <v>15591</v>
      </c>
      <c r="L5555" s="1" t="s">
        <v>479</v>
      </c>
      <c r="N5555" s="1" t="s">
        <v>587</v>
      </c>
      <c r="P5555" s="1" t="s">
        <v>251</v>
      </c>
      <c r="Q5555" s="3">
        <v>0</v>
      </c>
      <c r="R5555" s="23" t="s">
        <v>11933</v>
      </c>
      <c r="S5555" s="23" t="s">
        <v>5849</v>
      </c>
      <c r="T5555" s="23" t="s">
        <v>4866</v>
      </c>
      <c r="U5555" s="3">
        <v>35</v>
      </c>
      <c r="W5555" s="45" t="str">
        <f>HYPERLINK("http://ictvonline.org/taxonomy/p/taxonomy-history?taxnode_id=201904695","ICTVonline=201904695")</f>
        <v>ICTVonline=201904695</v>
      </c>
      <c r="Y5555" s="1" t="s">
        <v>15855</v>
      </c>
      <c r="Z5555" s="1" t="s">
        <v>15856</v>
      </c>
      <c r="AA5555" s="1">
        <v>201900000</v>
      </c>
      <c r="AB5555" s="1">
        <v>35</v>
      </c>
    </row>
    <row r="5556" spans="1:28" x14ac:dyDescent="0.2">
      <c r="A5556" s="1">
        <v>14351</v>
      </c>
      <c r="B5556" s="1" t="s">
        <v>6839</v>
      </c>
      <c r="D5556" s="1" t="s">
        <v>11735</v>
      </c>
      <c r="F5556" s="1" t="s">
        <v>14661</v>
      </c>
      <c r="H5556" s="1" t="s">
        <v>15590</v>
      </c>
      <c r="J5556" s="1" t="s">
        <v>15591</v>
      </c>
      <c r="L5556" s="1" t="s">
        <v>479</v>
      </c>
      <c r="N5556" s="1" t="s">
        <v>587</v>
      </c>
      <c r="P5556" s="1" t="s">
        <v>5461</v>
      </c>
      <c r="Q5556" s="3">
        <v>0</v>
      </c>
      <c r="R5556" s="23" t="s">
        <v>11933</v>
      </c>
      <c r="S5556" s="23" t="s">
        <v>5849</v>
      </c>
      <c r="T5556" s="23" t="s">
        <v>4866</v>
      </c>
      <c r="U5556" s="3">
        <v>35</v>
      </c>
      <c r="W5556" s="45" t="str">
        <f>HYPERLINK("http://ictvonline.org/taxonomy/p/taxonomy-history?taxnode_id=201905924","ICTVonline=201905924")</f>
        <v>ICTVonline=201905924</v>
      </c>
      <c r="AA5556" s="1">
        <v>201900000</v>
      </c>
      <c r="AB5556" s="1">
        <v>35</v>
      </c>
    </row>
    <row r="5557" spans="1:28" x14ac:dyDescent="0.2">
      <c r="A5557" s="1">
        <v>14353</v>
      </c>
      <c r="B5557" s="1" t="s">
        <v>6839</v>
      </c>
      <c r="D5557" s="1" t="s">
        <v>11735</v>
      </c>
      <c r="F5557" s="1" t="s">
        <v>14661</v>
      </c>
      <c r="H5557" s="1" t="s">
        <v>15590</v>
      </c>
      <c r="J5557" s="1" t="s">
        <v>15591</v>
      </c>
      <c r="L5557" s="1" t="s">
        <v>479</v>
      </c>
      <c r="N5557" s="1" t="s">
        <v>587</v>
      </c>
      <c r="P5557" s="1" t="s">
        <v>385</v>
      </c>
      <c r="Q5557" s="3">
        <v>0</v>
      </c>
      <c r="R5557" s="23" t="s">
        <v>11933</v>
      </c>
      <c r="S5557" s="23" t="s">
        <v>5849</v>
      </c>
      <c r="T5557" s="23" t="s">
        <v>4866</v>
      </c>
      <c r="U5557" s="3">
        <v>35</v>
      </c>
      <c r="W5557" s="45" t="str">
        <f>HYPERLINK("http://ictvonline.org/taxonomy/p/taxonomy-history?taxnode_id=201904696","ICTVonline=201904696")</f>
        <v>ICTVonline=201904696</v>
      </c>
      <c r="Y5557" s="1" t="s">
        <v>15857</v>
      </c>
      <c r="Z5557" s="1" t="s">
        <v>15858</v>
      </c>
      <c r="AA5557" s="1">
        <v>201900000</v>
      </c>
      <c r="AB5557" s="1">
        <v>35</v>
      </c>
    </row>
    <row r="5558" spans="1:28" x14ac:dyDescent="0.2">
      <c r="A5558" s="1">
        <v>14355</v>
      </c>
      <c r="B5558" s="1" t="s">
        <v>6839</v>
      </c>
      <c r="D5558" s="1" t="s">
        <v>11735</v>
      </c>
      <c r="F5558" s="1" t="s">
        <v>14661</v>
      </c>
      <c r="H5558" s="1" t="s">
        <v>15590</v>
      </c>
      <c r="J5558" s="1" t="s">
        <v>15591</v>
      </c>
      <c r="L5558" s="1" t="s">
        <v>479</v>
      </c>
      <c r="N5558" s="1" t="s">
        <v>587</v>
      </c>
      <c r="P5558" s="1" t="s">
        <v>386</v>
      </c>
      <c r="Q5558" s="3">
        <v>0</v>
      </c>
      <c r="R5558" s="23" t="s">
        <v>11933</v>
      </c>
      <c r="S5558" s="23" t="s">
        <v>5849</v>
      </c>
      <c r="T5558" s="23" t="s">
        <v>4866</v>
      </c>
      <c r="U5558" s="3">
        <v>35</v>
      </c>
      <c r="W5558" s="45" t="str">
        <f>HYPERLINK("http://ictvonline.org/taxonomy/p/taxonomy-history?taxnode_id=201904697","ICTVonline=201904697")</f>
        <v>ICTVonline=201904697</v>
      </c>
      <c r="Y5558" s="1" t="s">
        <v>15859</v>
      </c>
      <c r="Z5558" s="1">
        <v>1</v>
      </c>
      <c r="AA5558" s="1">
        <v>201900000</v>
      </c>
      <c r="AB5558" s="1">
        <v>35</v>
      </c>
    </row>
    <row r="5559" spans="1:28" x14ac:dyDescent="0.2">
      <c r="A5559" s="1">
        <v>14357</v>
      </c>
      <c r="B5559" s="1" t="s">
        <v>6839</v>
      </c>
      <c r="D5559" s="1" t="s">
        <v>11735</v>
      </c>
      <c r="F5559" s="1" t="s">
        <v>14661</v>
      </c>
      <c r="H5559" s="1" t="s">
        <v>15590</v>
      </c>
      <c r="J5559" s="1" t="s">
        <v>15591</v>
      </c>
      <c r="L5559" s="1" t="s">
        <v>479</v>
      </c>
      <c r="N5559" s="1" t="s">
        <v>587</v>
      </c>
      <c r="P5559" s="1" t="s">
        <v>2679</v>
      </c>
      <c r="Q5559" s="3">
        <v>0</v>
      </c>
      <c r="R5559" s="23" t="s">
        <v>11933</v>
      </c>
      <c r="S5559" s="23" t="s">
        <v>5849</v>
      </c>
      <c r="T5559" s="23" t="s">
        <v>4866</v>
      </c>
      <c r="U5559" s="3">
        <v>35</v>
      </c>
      <c r="W5559" s="45" t="str">
        <f>HYPERLINK("http://ictvonline.org/taxonomy/p/taxonomy-history?taxnode_id=201904698","ICTVonline=201904698")</f>
        <v>ICTVonline=201904698</v>
      </c>
      <c r="Y5559" s="1" t="s">
        <v>15860</v>
      </c>
      <c r="Z5559" s="1" t="s">
        <v>15861</v>
      </c>
      <c r="AA5559" s="1">
        <v>201900000</v>
      </c>
      <c r="AB5559" s="1">
        <v>35</v>
      </c>
    </row>
    <row r="5560" spans="1:28" x14ac:dyDescent="0.2">
      <c r="A5560" s="1">
        <v>14359</v>
      </c>
      <c r="B5560" s="1" t="s">
        <v>6839</v>
      </c>
      <c r="D5560" s="1" t="s">
        <v>11735</v>
      </c>
      <c r="F5560" s="1" t="s">
        <v>14661</v>
      </c>
      <c r="H5560" s="1" t="s">
        <v>15590</v>
      </c>
      <c r="J5560" s="1" t="s">
        <v>15591</v>
      </c>
      <c r="L5560" s="1" t="s">
        <v>479</v>
      </c>
      <c r="N5560" s="1" t="s">
        <v>587</v>
      </c>
      <c r="P5560" s="1" t="s">
        <v>387</v>
      </c>
      <c r="Q5560" s="3">
        <v>0</v>
      </c>
      <c r="R5560" s="23" t="s">
        <v>11933</v>
      </c>
      <c r="S5560" s="23" t="s">
        <v>5849</v>
      </c>
      <c r="T5560" s="23" t="s">
        <v>4866</v>
      </c>
      <c r="U5560" s="3">
        <v>35</v>
      </c>
      <c r="W5560" s="45" t="str">
        <f>HYPERLINK("http://ictvonline.org/taxonomy/p/taxonomy-history?taxnode_id=201904699","ICTVonline=201904699")</f>
        <v>ICTVonline=201904699</v>
      </c>
      <c r="AA5560" s="1">
        <v>201900000</v>
      </c>
      <c r="AB5560" s="1">
        <v>35</v>
      </c>
    </row>
    <row r="5561" spans="1:28" x14ac:dyDescent="0.2">
      <c r="A5561" s="1">
        <v>14361</v>
      </c>
      <c r="B5561" s="1" t="s">
        <v>6839</v>
      </c>
      <c r="D5561" s="1" t="s">
        <v>11735</v>
      </c>
      <c r="F5561" s="1" t="s">
        <v>14661</v>
      </c>
      <c r="H5561" s="1" t="s">
        <v>15590</v>
      </c>
      <c r="J5561" s="1" t="s">
        <v>15591</v>
      </c>
      <c r="L5561" s="1" t="s">
        <v>479</v>
      </c>
      <c r="N5561" s="1" t="s">
        <v>587</v>
      </c>
      <c r="P5561" s="1" t="s">
        <v>388</v>
      </c>
      <c r="Q5561" s="3">
        <v>0</v>
      </c>
      <c r="R5561" s="23" t="s">
        <v>11933</v>
      </c>
      <c r="S5561" s="23" t="s">
        <v>5849</v>
      </c>
      <c r="T5561" s="23" t="s">
        <v>4866</v>
      </c>
      <c r="U5561" s="3">
        <v>35</v>
      </c>
      <c r="W5561" s="45" t="str">
        <f>HYPERLINK("http://ictvonline.org/taxonomy/p/taxonomy-history?taxnode_id=201904700","ICTVonline=201904700")</f>
        <v>ICTVonline=201904700</v>
      </c>
      <c r="AA5561" s="1">
        <v>201900000</v>
      </c>
      <c r="AB5561" s="1">
        <v>35</v>
      </c>
    </row>
    <row r="5562" spans="1:28" x14ac:dyDescent="0.2">
      <c r="A5562" s="1">
        <v>14363</v>
      </c>
      <c r="B5562" s="1" t="s">
        <v>6839</v>
      </c>
      <c r="D5562" s="1" t="s">
        <v>11735</v>
      </c>
      <c r="F5562" s="1" t="s">
        <v>14661</v>
      </c>
      <c r="H5562" s="1" t="s">
        <v>15590</v>
      </c>
      <c r="J5562" s="1" t="s">
        <v>15591</v>
      </c>
      <c r="L5562" s="1" t="s">
        <v>479</v>
      </c>
      <c r="N5562" s="1" t="s">
        <v>587</v>
      </c>
      <c r="P5562" s="1" t="s">
        <v>389</v>
      </c>
      <c r="Q5562" s="3">
        <v>0</v>
      </c>
      <c r="R5562" s="23" t="s">
        <v>11933</v>
      </c>
      <c r="S5562" s="23" t="s">
        <v>5849</v>
      </c>
      <c r="T5562" s="23" t="s">
        <v>4866</v>
      </c>
      <c r="U5562" s="3">
        <v>35</v>
      </c>
      <c r="W5562" s="45" t="str">
        <f>HYPERLINK("http://ictvonline.org/taxonomy/p/taxonomy-history?taxnode_id=201904701","ICTVonline=201904701")</f>
        <v>ICTVonline=201904701</v>
      </c>
      <c r="AA5562" s="1">
        <v>201900000</v>
      </c>
      <c r="AB5562" s="1">
        <v>35</v>
      </c>
    </row>
    <row r="5563" spans="1:28" x14ac:dyDescent="0.2">
      <c r="A5563" s="1">
        <v>14365</v>
      </c>
      <c r="B5563" s="1" t="s">
        <v>6839</v>
      </c>
      <c r="D5563" s="1" t="s">
        <v>11735</v>
      </c>
      <c r="F5563" s="1" t="s">
        <v>14661</v>
      </c>
      <c r="H5563" s="1" t="s">
        <v>15590</v>
      </c>
      <c r="J5563" s="1" t="s">
        <v>15591</v>
      </c>
      <c r="L5563" s="1" t="s">
        <v>479</v>
      </c>
      <c r="N5563" s="1" t="s">
        <v>587</v>
      </c>
      <c r="P5563" s="1" t="s">
        <v>390</v>
      </c>
      <c r="Q5563" s="3">
        <v>0</v>
      </c>
      <c r="R5563" s="23" t="s">
        <v>11933</v>
      </c>
      <c r="S5563" s="23" t="s">
        <v>5849</v>
      </c>
      <c r="T5563" s="23" t="s">
        <v>4866</v>
      </c>
      <c r="U5563" s="3">
        <v>35</v>
      </c>
      <c r="W5563" s="45" t="str">
        <f>HYPERLINK("http://ictvonline.org/taxonomy/p/taxonomy-history?taxnode_id=201904702","ICTVonline=201904702")</f>
        <v>ICTVonline=201904702</v>
      </c>
      <c r="AA5563" s="1">
        <v>201900000</v>
      </c>
      <c r="AB5563" s="1">
        <v>35</v>
      </c>
    </row>
    <row r="5564" spans="1:28" x14ac:dyDescent="0.2">
      <c r="A5564" s="1">
        <v>14367</v>
      </c>
      <c r="B5564" s="1" t="s">
        <v>6839</v>
      </c>
      <c r="D5564" s="1" t="s">
        <v>11735</v>
      </c>
      <c r="F5564" s="1" t="s">
        <v>14661</v>
      </c>
      <c r="H5564" s="1" t="s">
        <v>15590</v>
      </c>
      <c r="J5564" s="1" t="s">
        <v>15591</v>
      </c>
      <c r="L5564" s="1" t="s">
        <v>479</v>
      </c>
      <c r="N5564" s="1" t="s">
        <v>587</v>
      </c>
      <c r="P5564" s="1" t="s">
        <v>391</v>
      </c>
      <c r="Q5564" s="3">
        <v>0</v>
      </c>
      <c r="R5564" s="23" t="s">
        <v>11933</v>
      </c>
      <c r="S5564" s="23" t="s">
        <v>5849</v>
      </c>
      <c r="T5564" s="23" t="s">
        <v>4866</v>
      </c>
      <c r="U5564" s="3">
        <v>35</v>
      </c>
      <c r="W5564" s="45" t="str">
        <f>HYPERLINK("http://ictvonline.org/taxonomy/p/taxonomy-history?taxnode_id=201904703","ICTVonline=201904703")</f>
        <v>ICTVonline=201904703</v>
      </c>
      <c r="AA5564" s="1">
        <v>201900000</v>
      </c>
      <c r="AB5564" s="1">
        <v>35</v>
      </c>
    </row>
    <row r="5565" spans="1:28" x14ac:dyDescent="0.2">
      <c r="A5565" s="1">
        <v>14369</v>
      </c>
      <c r="B5565" s="1" t="s">
        <v>6839</v>
      </c>
      <c r="D5565" s="1" t="s">
        <v>11735</v>
      </c>
      <c r="F5565" s="1" t="s">
        <v>14661</v>
      </c>
      <c r="H5565" s="1" t="s">
        <v>15590</v>
      </c>
      <c r="J5565" s="1" t="s">
        <v>15591</v>
      </c>
      <c r="L5565" s="1" t="s">
        <v>479</v>
      </c>
      <c r="N5565" s="1" t="s">
        <v>587</v>
      </c>
      <c r="P5565" s="1" t="s">
        <v>392</v>
      </c>
      <c r="Q5565" s="3">
        <v>0</v>
      </c>
      <c r="R5565" s="23" t="s">
        <v>11933</v>
      </c>
      <c r="S5565" s="23" t="s">
        <v>5849</v>
      </c>
      <c r="T5565" s="23" t="s">
        <v>4866</v>
      </c>
      <c r="U5565" s="3">
        <v>35</v>
      </c>
      <c r="W5565" s="45" t="str">
        <f>HYPERLINK("http://ictvonline.org/taxonomy/p/taxonomy-history?taxnode_id=201904704","ICTVonline=201904704")</f>
        <v>ICTVonline=201904704</v>
      </c>
      <c r="Y5565" s="1" t="s">
        <v>15862</v>
      </c>
      <c r="Z5565" s="1" t="s">
        <v>15863</v>
      </c>
      <c r="AA5565" s="1">
        <v>201900000</v>
      </c>
      <c r="AB5565" s="1">
        <v>35</v>
      </c>
    </row>
    <row r="5566" spans="1:28" x14ac:dyDescent="0.2">
      <c r="A5566" s="1">
        <v>14371</v>
      </c>
      <c r="B5566" s="1" t="s">
        <v>6839</v>
      </c>
      <c r="D5566" s="1" t="s">
        <v>11735</v>
      </c>
      <c r="F5566" s="1" t="s">
        <v>14661</v>
      </c>
      <c r="H5566" s="1" t="s">
        <v>15590</v>
      </c>
      <c r="J5566" s="1" t="s">
        <v>15591</v>
      </c>
      <c r="L5566" s="1" t="s">
        <v>479</v>
      </c>
      <c r="N5566" s="1" t="s">
        <v>587</v>
      </c>
      <c r="P5566" s="1" t="s">
        <v>2127</v>
      </c>
      <c r="Q5566" s="3">
        <v>0</v>
      </c>
      <c r="R5566" s="23" t="s">
        <v>11933</v>
      </c>
      <c r="S5566" s="23" t="s">
        <v>5849</v>
      </c>
      <c r="T5566" s="23" t="s">
        <v>4866</v>
      </c>
      <c r="U5566" s="3">
        <v>35</v>
      </c>
      <c r="W5566" s="45" t="str">
        <f>HYPERLINK("http://ictvonline.org/taxonomy/p/taxonomy-history?taxnode_id=201904705","ICTVonline=201904705")</f>
        <v>ICTVonline=201904705</v>
      </c>
      <c r="AA5566" s="1">
        <v>201900000</v>
      </c>
      <c r="AB5566" s="1">
        <v>35</v>
      </c>
    </row>
    <row r="5567" spans="1:28" x14ac:dyDescent="0.2">
      <c r="A5567" s="1">
        <v>14373</v>
      </c>
      <c r="B5567" s="1" t="s">
        <v>6839</v>
      </c>
      <c r="D5567" s="1" t="s">
        <v>11735</v>
      </c>
      <c r="F5567" s="1" t="s">
        <v>14661</v>
      </c>
      <c r="H5567" s="1" t="s">
        <v>15590</v>
      </c>
      <c r="J5567" s="1" t="s">
        <v>15591</v>
      </c>
      <c r="L5567" s="1" t="s">
        <v>479</v>
      </c>
      <c r="N5567" s="1" t="s">
        <v>587</v>
      </c>
      <c r="P5567" s="1" t="s">
        <v>2128</v>
      </c>
      <c r="Q5567" s="3">
        <v>0</v>
      </c>
      <c r="R5567" s="23" t="s">
        <v>11933</v>
      </c>
      <c r="S5567" s="23" t="s">
        <v>5849</v>
      </c>
      <c r="T5567" s="23" t="s">
        <v>4866</v>
      </c>
      <c r="U5567" s="3">
        <v>35</v>
      </c>
      <c r="W5567" s="45" t="str">
        <f>HYPERLINK("http://ictvonline.org/taxonomy/p/taxonomy-history?taxnode_id=201904706","ICTVonline=201904706")</f>
        <v>ICTVonline=201904706</v>
      </c>
      <c r="AA5567" s="1">
        <v>201900000</v>
      </c>
      <c r="AB5567" s="1">
        <v>35</v>
      </c>
    </row>
    <row r="5568" spans="1:28" x14ac:dyDescent="0.2">
      <c r="A5568" s="1">
        <v>14375</v>
      </c>
      <c r="B5568" s="1" t="s">
        <v>6839</v>
      </c>
      <c r="D5568" s="1" t="s">
        <v>11735</v>
      </c>
      <c r="F5568" s="1" t="s">
        <v>14661</v>
      </c>
      <c r="H5568" s="1" t="s">
        <v>15590</v>
      </c>
      <c r="J5568" s="1" t="s">
        <v>15591</v>
      </c>
      <c r="L5568" s="1" t="s">
        <v>479</v>
      </c>
      <c r="N5568" s="1" t="s">
        <v>587</v>
      </c>
      <c r="P5568" s="1" t="s">
        <v>3947</v>
      </c>
      <c r="Q5568" s="3">
        <v>0</v>
      </c>
      <c r="R5568" s="23" t="s">
        <v>11933</v>
      </c>
      <c r="S5568" s="23" t="s">
        <v>5849</v>
      </c>
      <c r="T5568" s="23" t="s">
        <v>4866</v>
      </c>
      <c r="U5568" s="3">
        <v>35</v>
      </c>
      <c r="W5568" s="45" t="str">
        <f>HYPERLINK("http://ictvonline.org/taxonomy/p/taxonomy-history?taxnode_id=201904707","ICTVonline=201904707")</f>
        <v>ICTVonline=201904707</v>
      </c>
      <c r="Y5568" s="1" t="s">
        <v>15864</v>
      </c>
      <c r="Z5568" s="1" t="s">
        <v>15865</v>
      </c>
      <c r="AA5568" s="1">
        <v>201900000</v>
      </c>
      <c r="AB5568" s="1">
        <v>35</v>
      </c>
    </row>
    <row r="5569" spans="1:28" x14ac:dyDescent="0.2">
      <c r="A5569" s="1">
        <v>14377</v>
      </c>
      <c r="B5569" s="1" t="s">
        <v>6839</v>
      </c>
      <c r="D5569" s="1" t="s">
        <v>11735</v>
      </c>
      <c r="F5569" s="1" t="s">
        <v>14661</v>
      </c>
      <c r="H5569" s="1" t="s">
        <v>15590</v>
      </c>
      <c r="J5569" s="1" t="s">
        <v>15591</v>
      </c>
      <c r="L5569" s="1" t="s">
        <v>479</v>
      </c>
      <c r="N5569" s="1" t="s">
        <v>587</v>
      </c>
      <c r="P5569" s="1" t="s">
        <v>2680</v>
      </c>
      <c r="Q5569" s="3">
        <v>0</v>
      </c>
      <c r="R5569" s="23" t="s">
        <v>11933</v>
      </c>
      <c r="S5569" s="23" t="s">
        <v>5849</v>
      </c>
      <c r="T5569" s="23" t="s">
        <v>4866</v>
      </c>
      <c r="U5569" s="3">
        <v>35</v>
      </c>
      <c r="W5569" s="45" t="str">
        <f>HYPERLINK("http://ictvonline.org/taxonomy/p/taxonomy-history?taxnode_id=201904708","ICTVonline=201904708")</f>
        <v>ICTVonline=201904708</v>
      </c>
      <c r="Y5569" s="1" t="s">
        <v>15866</v>
      </c>
      <c r="Z5569" s="1" t="s">
        <v>15867</v>
      </c>
      <c r="AA5569" s="1">
        <v>201900000</v>
      </c>
      <c r="AB5569" s="1">
        <v>35</v>
      </c>
    </row>
    <row r="5570" spans="1:28" x14ac:dyDescent="0.2">
      <c r="A5570" s="1">
        <v>14379</v>
      </c>
      <c r="B5570" s="1" t="s">
        <v>6839</v>
      </c>
      <c r="D5570" s="1" t="s">
        <v>11735</v>
      </c>
      <c r="F5570" s="1" t="s">
        <v>14661</v>
      </c>
      <c r="H5570" s="1" t="s">
        <v>15590</v>
      </c>
      <c r="J5570" s="1" t="s">
        <v>15591</v>
      </c>
      <c r="L5570" s="1" t="s">
        <v>479</v>
      </c>
      <c r="N5570" s="1" t="s">
        <v>587</v>
      </c>
      <c r="P5570" s="1" t="s">
        <v>393</v>
      </c>
      <c r="Q5570" s="3">
        <v>0</v>
      </c>
      <c r="R5570" s="23" t="s">
        <v>11933</v>
      </c>
      <c r="S5570" s="23" t="s">
        <v>5849</v>
      </c>
      <c r="T5570" s="23" t="s">
        <v>4866</v>
      </c>
      <c r="U5570" s="3">
        <v>35</v>
      </c>
      <c r="W5570" s="45" t="str">
        <f>HYPERLINK("http://ictvonline.org/taxonomy/p/taxonomy-history?taxnode_id=201904709","ICTVonline=201904709")</f>
        <v>ICTVonline=201904709</v>
      </c>
      <c r="AA5570" s="1">
        <v>201900000</v>
      </c>
      <c r="AB5570" s="1">
        <v>35</v>
      </c>
    </row>
    <row r="5571" spans="1:28" x14ac:dyDescent="0.2">
      <c r="A5571" s="1">
        <v>14381</v>
      </c>
      <c r="B5571" s="1" t="s">
        <v>6839</v>
      </c>
      <c r="D5571" s="1" t="s">
        <v>11735</v>
      </c>
      <c r="F5571" s="1" t="s">
        <v>14661</v>
      </c>
      <c r="H5571" s="1" t="s">
        <v>15590</v>
      </c>
      <c r="J5571" s="1" t="s">
        <v>15591</v>
      </c>
      <c r="L5571" s="1" t="s">
        <v>479</v>
      </c>
      <c r="N5571" s="1" t="s">
        <v>587</v>
      </c>
      <c r="P5571" s="1" t="s">
        <v>394</v>
      </c>
      <c r="Q5571" s="3">
        <v>0</v>
      </c>
      <c r="R5571" s="23" t="s">
        <v>11933</v>
      </c>
      <c r="S5571" s="23" t="s">
        <v>5849</v>
      </c>
      <c r="T5571" s="23" t="s">
        <v>4866</v>
      </c>
      <c r="U5571" s="3">
        <v>35</v>
      </c>
      <c r="W5571" s="45" t="str">
        <f>HYPERLINK("http://ictvonline.org/taxonomy/p/taxonomy-history?taxnode_id=201904710","ICTVonline=201904710")</f>
        <v>ICTVonline=201904710</v>
      </c>
      <c r="Y5571" s="1" t="s">
        <v>15868</v>
      </c>
      <c r="Z5571" s="1" t="s">
        <v>15817</v>
      </c>
      <c r="AA5571" s="1">
        <v>201900000</v>
      </c>
      <c r="AB5571" s="1">
        <v>35</v>
      </c>
    </row>
    <row r="5572" spans="1:28" x14ac:dyDescent="0.2">
      <c r="A5572" s="1">
        <v>14383</v>
      </c>
      <c r="B5572" s="1" t="s">
        <v>6839</v>
      </c>
      <c r="D5572" s="1" t="s">
        <v>11735</v>
      </c>
      <c r="F5572" s="1" t="s">
        <v>14661</v>
      </c>
      <c r="H5572" s="1" t="s">
        <v>15590</v>
      </c>
      <c r="J5572" s="1" t="s">
        <v>15591</v>
      </c>
      <c r="L5572" s="1" t="s">
        <v>479</v>
      </c>
      <c r="N5572" s="1" t="s">
        <v>587</v>
      </c>
      <c r="P5572" s="1" t="s">
        <v>6827</v>
      </c>
      <c r="Q5572" s="3">
        <v>0</v>
      </c>
      <c r="R5572" s="23" t="s">
        <v>11933</v>
      </c>
      <c r="S5572" s="23" t="s">
        <v>5849</v>
      </c>
      <c r="T5572" s="23" t="s">
        <v>4866</v>
      </c>
      <c r="U5572" s="3">
        <v>35</v>
      </c>
      <c r="W5572" s="45" t="str">
        <f>HYPERLINK("http://ictvonline.org/taxonomy/p/taxonomy-history?taxnode_id=201906677","ICTVonline=201906677")</f>
        <v>ICTVonline=201906677</v>
      </c>
      <c r="X5572" s="1" t="s">
        <v>15869</v>
      </c>
      <c r="Y5572" s="1" t="s">
        <v>15870</v>
      </c>
      <c r="Z5572" s="1" t="s">
        <v>15871</v>
      </c>
      <c r="AA5572" s="1">
        <v>201900000</v>
      </c>
      <c r="AB5572" s="1">
        <v>35</v>
      </c>
    </row>
    <row r="5573" spans="1:28" x14ac:dyDescent="0.2">
      <c r="A5573" s="1">
        <v>14385</v>
      </c>
      <c r="B5573" s="1" t="s">
        <v>6839</v>
      </c>
      <c r="D5573" s="1" t="s">
        <v>11735</v>
      </c>
      <c r="F5573" s="1" t="s">
        <v>14661</v>
      </c>
      <c r="H5573" s="1" t="s">
        <v>15590</v>
      </c>
      <c r="J5573" s="1" t="s">
        <v>15591</v>
      </c>
      <c r="L5573" s="1" t="s">
        <v>479</v>
      </c>
      <c r="N5573" s="1" t="s">
        <v>587</v>
      </c>
      <c r="P5573" s="1" t="s">
        <v>5462</v>
      </c>
      <c r="Q5573" s="3">
        <v>0</v>
      </c>
      <c r="R5573" s="23" t="s">
        <v>11933</v>
      </c>
      <c r="S5573" s="23" t="s">
        <v>5849</v>
      </c>
      <c r="T5573" s="23" t="s">
        <v>4866</v>
      </c>
      <c r="U5573" s="3">
        <v>35</v>
      </c>
      <c r="W5573" s="45" t="str">
        <f>HYPERLINK("http://ictvonline.org/taxonomy/p/taxonomy-history?taxnode_id=201905925","ICTVonline=201905925")</f>
        <v>ICTVonline=201905925</v>
      </c>
      <c r="AA5573" s="1">
        <v>201900000</v>
      </c>
      <c r="AB5573" s="1">
        <v>35</v>
      </c>
    </row>
    <row r="5574" spans="1:28" x14ac:dyDescent="0.2">
      <c r="A5574" s="1">
        <v>14387</v>
      </c>
      <c r="B5574" s="1" t="s">
        <v>6839</v>
      </c>
      <c r="D5574" s="1" t="s">
        <v>11735</v>
      </c>
      <c r="F5574" s="1" t="s">
        <v>14661</v>
      </c>
      <c r="H5574" s="1" t="s">
        <v>15590</v>
      </c>
      <c r="J5574" s="1" t="s">
        <v>15591</v>
      </c>
      <c r="L5574" s="1" t="s">
        <v>479</v>
      </c>
      <c r="N5574" s="1" t="s">
        <v>587</v>
      </c>
      <c r="P5574" s="1" t="s">
        <v>1479</v>
      </c>
      <c r="Q5574" s="3">
        <v>0</v>
      </c>
      <c r="R5574" s="23" t="s">
        <v>11933</v>
      </c>
      <c r="S5574" s="23" t="s">
        <v>5849</v>
      </c>
      <c r="T5574" s="23" t="s">
        <v>4866</v>
      </c>
      <c r="U5574" s="3">
        <v>35</v>
      </c>
      <c r="W5574" s="45" t="str">
        <f>HYPERLINK("http://ictvonline.org/taxonomy/p/taxonomy-history?taxnode_id=201904711","ICTVonline=201904711")</f>
        <v>ICTVonline=201904711</v>
      </c>
      <c r="Y5574" s="1" t="s">
        <v>15872</v>
      </c>
      <c r="Z5574" s="1" t="s">
        <v>12232</v>
      </c>
      <c r="AA5574" s="1">
        <v>201900000</v>
      </c>
      <c r="AB5574" s="1">
        <v>35</v>
      </c>
    </row>
    <row r="5575" spans="1:28" x14ac:dyDescent="0.2">
      <c r="A5575" s="1">
        <v>14389</v>
      </c>
      <c r="B5575" s="1" t="s">
        <v>6839</v>
      </c>
      <c r="D5575" s="1" t="s">
        <v>11735</v>
      </c>
      <c r="F5575" s="1" t="s">
        <v>14661</v>
      </c>
      <c r="H5575" s="1" t="s">
        <v>15590</v>
      </c>
      <c r="J5575" s="1" t="s">
        <v>15591</v>
      </c>
      <c r="L5575" s="1" t="s">
        <v>479</v>
      </c>
      <c r="N5575" s="1" t="s">
        <v>587</v>
      </c>
      <c r="P5575" s="1" t="s">
        <v>2129</v>
      </c>
      <c r="Q5575" s="3">
        <v>0</v>
      </c>
      <c r="R5575" s="23" t="s">
        <v>11933</v>
      </c>
      <c r="S5575" s="23" t="s">
        <v>5849</v>
      </c>
      <c r="T5575" s="23" t="s">
        <v>4866</v>
      </c>
      <c r="U5575" s="3">
        <v>35</v>
      </c>
      <c r="W5575" s="45" t="str">
        <f>HYPERLINK("http://ictvonline.org/taxonomy/p/taxonomy-history?taxnode_id=201904712","ICTVonline=201904712")</f>
        <v>ICTVonline=201904712</v>
      </c>
      <c r="Y5575" s="1" t="s">
        <v>15873</v>
      </c>
      <c r="Z5575" s="1" t="s">
        <v>15874</v>
      </c>
      <c r="AA5575" s="1">
        <v>201900000</v>
      </c>
      <c r="AB5575" s="1">
        <v>35</v>
      </c>
    </row>
    <row r="5576" spans="1:28" x14ac:dyDescent="0.2">
      <c r="A5576" s="1">
        <v>14391</v>
      </c>
      <c r="B5576" s="1" t="s">
        <v>6839</v>
      </c>
      <c r="D5576" s="1" t="s">
        <v>11735</v>
      </c>
      <c r="F5576" s="1" t="s">
        <v>14661</v>
      </c>
      <c r="H5576" s="1" t="s">
        <v>15590</v>
      </c>
      <c r="J5576" s="1" t="s">
        <v>15591</v>
      </c>
      <c r="L5576" s="1" t="s">
        <v>479</v>
      </c>
      <c r="N5576" s="1" t="s">
        <v>587</v>
      </c>
      <c r="P5576" s="1" t="s">
        <v>1480</v>
      </c>
      <c r="Q5576" s="3">
        <v>0</v>
      </c>
      <c r="R5576" s="23" t="s">
        <v>11933</v>
      </c>
      <c r="S5576" s="23" t="s">
        <v>5849</v>
      </c>
      <c r="T5576" s="23" t="s">
        <v>4866</v>
      </c>
      <c r="U5576" s="3">
        <v>35</v>
      </c>
      <c r="W5576" s="45" t="str">
        <f>HYPERLINK("http://ictvonline.org/taxonomy/p/taxonomy-history?taxnode_id=201904713","ICTVonline=201904713")</f>
        <v>ICTVonline=201904713</v>
      </c>
      <c r="Y5576" s="1" t="s">
        <v>15875</v>
      </c>
      <c r="Z5576" s="1" t="s">
        <v>15876</v>
      </c>
      <c r="AA5576" s="1">
        <v>201900000</v>
      </c>
      <c r="AB5576" s="1">
        <v>35</v>
      </c>
    </row>
    <row r="5577" spans="1:28" x14ac:dyDescent="0.2">
      <c r="A5577" s="1">
        <v>14393</v>
      </c>
      <c r="B5577" s="1" t="s">
        <v>6839</v>
      </c>
      <c r="D5577" s="1" t="s">
        <v>11735</v>
      </c>
      <c r="F5577" s="1" t="s">
        <v>14661</v>
      </c>
      <c r="H5577" s="1" t="s">
        <v>15590</v>
      </c>
      <c r="J5577" s="1" t="s">
        <v>15591</v>
      </c>
      <c r="L5577" s="1" t="s">
        <v>479</v>
      </c>
      <c r="N5577" s="1" t="s">
        <v>587</v>
      </c>
      <c r="P5577" s="1" t="s">
        <v>1481</v>
      </c>
      <c r="Q5577" s="3">
        <v>0</v>
      </c>
      <c r="R5577" s="23" t="s">
        <v>11933</v>
      </c>
      <c r="S5577" s="23" t="s">
        <v>5849</v>
      </c>
      <c r="T5577" s="23" t="s">
        <v>4866</v>
      </c>
      <c r="U5577" s="3">
        <v>35</v>
      </c>
      <c r="W5577" s="45" t="str">
        <f>HYPERLINK("http://ictvonline.org/taxonomy/p/taxonomy-history?taxnode_id=201904714","ICTVonline=201904714")</f>
        <v>ICTVonline=201904714</v>
      </c>
      <c r="Y5577" s="1" t="s">
        <v>15877</v>
      </c>
      <c r="Z5577" s="1" t="s">
        <v>12314</v>
      </c>
      <c r="AA5577" s="1">
        <v>201900000</v>
      </c>
      <c r="AB5577" s="1">
        <v>35</v>
      </c>
    </row>
    <row r="5578" spans="1:28" x14ac:dyDescent="0.2">
      <c r="A5578" s="1">
        <v>14395</v>
      </c>
      <c r="B5578" s="1" t="s">
        <v>6839</v>
      </c>
      <c r="D5578" s="1" t="s">
        <v>11735</v>
      </c>
      <c r="F5578" s="1" t="s">
        <v>14661</v>
      </c>
      <c r="H5578" s="1" t="s">
        <v>15590</v>
      </c>
      <c r="J5578" s="1" t="s">
        <v>15591</v>
      </c>
      <c r="L5578" s="1" t="s">
        <v>479</v>
      </c>
      <c r="N5578" s="1" t="s">
        <v>587</v>
      </c>
      <c r="P5578" s="1" t="s">
        <v>1482</v>
      </c>
      <c r="Q5578" s="3">
        <v>0</v>
      </c>
      <c r="R5578" s="23" t="s">
        <v>11933</v>
      </c>
      <c r="S5578" s="23" t="s">
        <v>5849</v>
      </c>
      <c r="T5578" s="23" t="s">
        <v>4866</v>
      </c>
      <c r="U5578" s="3">
        <v>35</v>
      </c>
      <c r="W5578" s="45" t="str">
        <f>HYPERLINK("http://ictvonline.org/taxonomy/p/taxonomy-history?taxnode_id=201904715","ICTVonline=201904715")</f>
        <v>ICTVonline=201904715</v>
      </c>
      <c r="Y5578" s="1" t="s">
        <v>15878</v>
      </c>
      <c r="Z5578" s="1" t="s">
        <v>15571</v>
      </c>
      <c r="AA5578" s="1">
        <v>201900000</v>
      </c>
      <c r="AB5578" s="1">
        <v>35</v>
      </c>
    </row>
    <row r="5579" spans="1:28" x14ac:dyDescent="0.2">
      <c r="A5579" s="1">
        <v>14397</v>
      </c>
      <c r="B5579" s="1" t="s">
        <v>6839</v>
      </c>
      <c r="D5579" s="1" t="s">
        <v>11735</v>
      </c>
      <c r="F5579" s="1" t="s">
        <v>14661</v>
      </c>
      <c r="H5579" s="1" t="s">
        <v>15590</v>
      </c>
      <c r="J5579" s="1" t="s">
        <v>15591</v>
      </c>
      <c r="L5579" s="1" t="s">
        <v>479</v>
      </c>
      <c r="N5579" s="1" t="s">
        <v>587</v>
      </c>
      <c r="P5579" s="1" t="s">
        <v>197</v>
      </c>
      <c r="Q5579" s="3">
        <v>0</v>
      </c>
      <c r="R5579" s="23" t="s">
        <v>11933</v>
      </c>
      <c r="S5579" s="23" t="s">
        <v>5849</v>
      </c>
      <c r="T5579" s="23" t="s">
        <v>4866</v>
      </c>
      <c r="U5579" s="3">
        <v>35</v>
      </c>
      <c r="W5579" s="45" t="str">
        <f>HYPERLINK("http://ictvonline.org/taxonomy/p/taxonomy-history?taxnode_id=201904716","ICTVonline=201904716")</f>
        <v>ICTVonline=201904716</v>
      </c>
      <c r="Y5579" s="1" t="s">
        <v>15879</v>
      </c>
      <c r="Z5579" s="1" t="s">
        <v>15880</v>
      </c>
      <c r="AA5579" s="1">
        <v>201900000</v>
      </c>
      <c r="AB5579" s="1">
        <v>35</v>
      </c>
    </row>
    <row r="5580" spans="1:28" x14ac:dyDescent="0.2">
      <c r="A5580" s="1">
        <v>14399</v>
      </c>
      <c r="B5580" s="1" t="s">
        <v>6839</v>
      </c>
      <c r="D5580" s="1" t="s">
        <v>11735</v>
      </c>
      <c r="F5580" s="1" t="s">
        <v>14661</v>
      </c>
      <c r="H5580" s="1" t="s">
        <v>15590</v>
      </c>
      <c r="J5580" s="1" t="s">
        <v>15591</v>
      </c>
      <c r="L5580" s="1" t="s">
        <v>479</v>
      </c>
      <c r="N5580" s="1" t="s">
        <v>587</v>
      </c>
      <c r="P5580" s="1" t="s">
        <v>1483</v>
      </c>
      <c r="Q5580" s="3">
        <v>0</v>
      </c>
      <c r="R5580" s="23" t="s">
        <v>11933</v>
      </c>
      <c r="S5580" s="23" t="s">
        <v>5849</v>
      </c>
      <c r="T5580" s="23" t="s">
        <v>4866</v>
      </c>
      <c r="U5580" s="3">
        <v>35</v>
      </c>
      <c r="W5580" s="45" t="str">
        <f>HYPERLINK("http://ictvonline.org/taxonomy/p/taxonomy-history?taxnode_id=201904717","ICTVonline=201904717")</f>
        <v>ICTVonline=201904717</v>
      </c>
      <c r="Y5580" s="1" t="s">
        <v>15881</v>
      </c>
      <c r="Z5580" s="1" t="s">
        <v>15882</v>
      </c>
      <c r="AA5580" s="1">
        <v>201900000</v>
      </c>
      <c r="AB5580" s="1">
        <v>35</v>
      </c>
    </row>
    <row r="5581" spans="1:28" x14ac:dyDescent="0.2">
      <c r="A5581" s="1">
        <v>14401</v>
      </c>
      <c r="B5581" s="1" t="s">
        <v>6839</v>
      </c>
      <c r="D5581" s="1" t="s">
        <v>11735</v>
      </c>
      <c r="F5581" s="1" t="s">
        <v>14661</v>
      </c>
      <c r="H5581" s="1" t="s">
        <v>15590</v>
      </c>
      <c r="J5581" s="1" t="s">
        <v>15591</v>
      </c>
      <c r="L5581" s="1" t="s">
        <v>479</v>
      </c>
      <c r="N5581" s="1" t="s">
        <v>587</v>
      </c>
      <c r="P5581" s="1" t="s">
        <v>1484</v>
      </c>
      <c r="Q5581" s="3">
        <v>0</v>
      </c>
      <c r="R5581" s="23" t="s">
        <v>11933</v>
      </c>
      <c r="S5581" s="23" t="s">
        <v>5849</v>
      </c>
      <c r="T5581" s="23" t="s">
        <v>4866</v>
      </c>
      <c r="U5581" s="3">
        <v>35</v>
      </c>
      <c r="W5581" s="45" t="str">
        <f>HYPERLINK("http://ictvonline.org/taxonomy/p/taxonomy-history?taxnode_id=201904718","ICTVonline=201904718")</f>
        <v>ICTVonline=201904718</v>
      </c>
      <c r="Y5581" s="1" t="s">
        <v>15883</v>
      </c>
      <c r="Z5581" s="1" t="s">
        <v>15884</v>
      </c>
      <c r="AA5581" s="1">
        <v>201900000</v>
      </c>
      <c r="AB5581" s="1">
        <v>35</v>
      </c>
    </row>
    <row r="5582" spans="1:28" x14ac:dyDescent="0.2">
      <c r="A5582" s="1">
        <v>14403</v>
      </c>
      <c r="B5582" s="1" t="s">
        <v>6839</v>
      </c>
      <c r="D5582" s="1" t="s">
        <v>11735</v>
      </c>
      <c r="F5582" s="1" t="s">
        <v>14661</v>
      </c>
      <c r="H5582" s="1" t="s">
        <v>15590</v>
      </c>
      <c r="J5582" s="1" t="s">
        <v>15591</v>
      </c>
      <c r="L5582" s="1" t="s">
        <v>479</v>
      </c>
      <c r="N5582" s="1" t="s">
        <v>587</v>
      </c>
      <c r="P5582" s="1" t="s">
        <v>4765</v>
      </c>
      <c r="Q5582" s="3">
        <v>0</v>
      </c>
      <c r="R5582" s="23" t="s">
        <v>11933</v>
      </c>
      <c r="S5582" s="23" t="s">
        <v>5849</v>
      </c>
      <c r="T5582" s="23" t="s">
        <v>4866</v>
      </c>
      <c r="U5582" s="3">
        <v>35</v>
      </c>
      <c r="W5582" s="45" t="str">
        <f>HYPERLINK("http://ictvonline.org/taxonomy/p/taxonomy-history?taxnode_id=201904719","ICTVonline=201904719")</f>
        <v>ICTVonline=201904719</v>
      </c>
      <c r="Y5582" s="1" t="s">
        <v>15885</v>
      </c>
      <c r="Z5582" s="1" t="s">
        <v>15886</v>
      </c>
      <c r="AA5582" s="1">
        <v>201900000</v>
      </c>
      <c r="AB5582" s="1">
        <v>35</v>
      </c>
    </row>
    <row r="5583" spans="1:28" x14ac:dyDescent="0.2">
      <c r="A5583" s="1">
        <v>14405</v>
      </c>
      <c r="B5583" s="1" t="s">
        <v>6839</v>
      </c>
      <c r="D5583" s="1" t="s">
        <v>11735</v>
      </c>
      <c r="F5583" s="1" t="s">
        <v>14661</v>
      </c>
      <c r="H5583" s="1" t="s">
        <v>15590</v>
      </c>
      <c r="J5583" s="1" t="s">
        <v>15591</v>
      </c>
      <c r="L5583" s="1" t="s">
        <v>479</v>
      </c>
      <c r="N5583" s="1" t="s">
        <v>587</v>
      </c>
      <c r="P5583" s="1" t="s">
        <v>2681</v>
      </c>
      <c r="Q5583" s="3">
        <v>0</v>
      </c>
      <c r="R5583" s="23" t="s">
        <v>11933</v>
      </c>
      <c r="S5583" s="23" t="s">
        <v>5849</v>
      </c>
      <c r="T5583" s="23" t="s">
        <v>4866</v>
      </c>
      <c r="U5583" s="3">
        <v>35</v>
      </c>
      <c r="W5583" s="45" t="str">
        <f>HYPERLINK("http://ictvonline.org/taxonomy/p/taxonomy-history?taxnode_id=201904720","ICTVonline=201904720")</f>
        <v>ICTVonline=201904720</v>
      </c>
      <c r="Y5583" s="1" t="s">
        <v>15887</v>
      </c>
      <c r="Z5583" s="1" t="s">
        <v>15888</v>
      </c>
      <c r="AA5583" s="1">
        <v>201900000</v>
      </c>
      <c r="AB5583" s="1">
        <v>35</v>
      </c>
    </row>
    <row r="5584" spans="1:28" x14ac:dyDescent="0.2">
      <c r="A5584" s="1">
        <v>14407</v>
      </c>
      <c r="B5584" s="1" t="s">
        <v>6839</v>
      </c>
      <c r="D5584" s="1" t="s">
        <v>11735</v>
      </c>
      <c r="F5584" s="1" t="s">
        <v>14661</v>
      </c>
      <c r="H5584" s="1" t="s">
        <v>15590</v>
      </c>
      <c r="J5584" s="1" t="s">
        <v>15591</v>
      </c>
      <c r="L5584" s="1" t="s">
        <v>479</v>
      </c>
      <c r="N5584" s="1" t="s">
        <v>587</v>
      </c>
      <c r="P5584" s="1" t="s">
        <v>1584</v>
      </c>
      <c r="Q5584" s="3">
        <v>0</v>
      </c>
      <c r="R5584" s="23" t="s">
        <v>11933</v>
      </c>
      <c r="S5584" s="23" t="s">
        <v>5849</v>
      </c>
      <c r="T5584" s="23" t="s">
        <v>4866</v>
      </c>
      <c r="U5584" s="3">
        <v>35</v>
      </c>
      <c r="W5584" s="45" t="str">
        <f>HYPERLINK("http://ictvonline.org/taxonomy/p/taxonomy-history?taxnode_id=201904721","ICTVonline=201904721")</f>
        <v>ICTVonline=201904721</v>
      </c>
      <c r="AA5584" s="1">
        <v>201900000</v>
      </c>
      <c r="AB5584" s="1">
        <v>35</v>
      </c>
    </row>
    <row r="5585" spans="1:28" x14ac:dyDescent="0.2">
      <c r="A5585" s="1">
        <v>14409</v>
      </c>
      <c r="B5585" s="1" t="s">
        <v>6839</v>
      </c>
      <c r="D5585" s="1" t="s">
        <v>11735</v>
      </c>
      <c r="F5585" s="1" t="s">
        <v>14661</v>
      </c>
      <c r="H5585" s="1" t="s">
        <v>15590</v>
      </c>
      <c r="J5585" s="1" t="s">
        <v>15591</v>
      </c>
      <c r="L5585" s="1" t="s">
        <v>479</v>
      </c>
      <c r="N5585" s="1" t="s">
        <v>587</v>
      </c>
      <c r="P5585" s="1" t="s">
        <v>1585</v>
      </c>
      <c r="Q5585" s="3">
        <v>0</v>
      </c>
      <c r="R5585" s="23" t="s">
        <v>11933</v>
      </c>
      <c r="S5585" s="23" t="s">
        <v>5849</v>
      </c>
      <c r="T5585" s="23" t="s">
        <v>4866</v>
      </c>
      <c r="U5585" s="3">
        <v>35</v>
      </c>
      <c r="W5585" s="45" t="str">
        <f>HYPERLINK("http://ictvonline.org/taxonomy/p/taxonomy-history?taxnode_id=201904722","ICTVonline=201904722")</f>
        <v>ICTVonline=201904722</v>
      </c>
      <c r="Y5585" s="1" t="s">
        <v>15889</v>
      </c>
      <c r="Z5585" s="1" t="s">
        <v>15890</v>
      </c>
      <c r="AA5585" s="1">
        <v>201900000</v>
      </c>
      <c r="AB5585" s="1">
        <v>35</v>
      </c>
    </row>
    <row r="5586" spans="1:28" x14ac:dyDescent="0.2">
      <c r="A5586" s="1">
        <v>14413</v>
      </c>
      <c r="B5586" s="1" t="s">
        <v>6839</v>
      </c>
      <c r="D5586" s="1" t="s">
        <v>11735</v>
      </c>
      <c r="F5586" s="1" t="s">
        <v>14661</v>
      </c>
      <c r="H5586" s="1" t="s">
        <v>15590</v>
      </c>
      <c r="J5586" s="1" t="s">
        <v>15591</v>
      </c>
      <c r="L5586" s="1" t="s">
        <v>479</v>
      </c>
      <c r="N5586" s="1" t="s">
        <v>5463</v>
      </c>
      <c r="P5586" s="1" t="s">
        <v>15891</v>
      </c>
      <c r="Q5586" s="3">
        <v>0</v>
      </c>
      <c r="R5586" s="23" t="s">
        <v>11933</v>
      </c>
      <c r="S5586" s="23" t="s">
        <v>5849</v>
      </c>
      <c r="T5586" s="23" t="s">
        <v>4864</v>
      </c>
      <c r="U5586" s="3">
        <v>35</v>
      </c>
      <c r="V5586" s="3" t="s">
        <v>15892</v>
      </c>
      <c r="W5586" s="45" t="str">
        <f>HYPERLINK("http://ictvonline.org/taxonomy/p/taxonomy-history?taxnode_id=201907450","ICTVonline=201907450")</f>
        <v>ICTVonline=201907450</v>
      </c>
      <c r="X5586" s="1" t="s">
        <v>15893</v>
      </c>
      <c r="Y5586" s="1" t="s">
        <v>15894</v>
      </c>
      <c r="Z5586" s="1" t="s">
        <v>15895</v>
      </c>
      <c r="AA5586" s="1">
        <v>201900000</v>
      </c>
      <c r="AB5586" s="1">
        <v>35</v>
      </c>
    </row>
    <row r="5587" spans="1:28" x14ac:dyDescent="0.2">
      <c r="A5587" s="1">
        <v>14415</v>
      </c>
      <c r="B5587" s="1" t="s">
        <v>6839</v>
      </c>
      <c r="D5587" s="1" t="s">
        <v>11735</v>
      </c>
      <c r="F5587" s="1" t="s">
        <v>14661</v>
      </c>
      <c r="H5587" s="1" t="s">
        <v>15590</v>
      </c>
      <c r="J5587" s="1" t="s">
        <v>15591</v>
      </c>
      <c r="L5587" s="1" t="s">
        <v>479</v>
      </c>
      <c r="N5587" s="1" t="s">
        <v>5463</v>
      </c>
      <c r="P5587" s="1" t="s">
        <v>2576</v>
      </c>
      <c r="Q5587" s="3">
        <v>1</v>
      </c>
      <c r="R5587" s="23" t="s">
        <v>11933</v>
      </c>
      <c r="S5587" s="23" t="s">
        <v>5849</v>
      </c>
      <c r="T5587" s="23" t="s">
        <v>4866</v>
      </c>
      <c r="U5587" s="3">
        <v>35</v>
      </c>
      <c r="W5587" s="45" t="str">
        <f>HYPERLINK("http://ictvonline.org/taxonomy/p/taxonomy-history?taxnode_id=201904735","ICTVonline=201904735")</f>
        <v>ICTVonline=201904735</v>
      </c>
      <c r="Y5587" s="1" t="s">
        <v>15896</v>
      </c>
      <c r="Z5587" s="1" t="s">
        <v>15897</v>
      </c>
      <c r="AA5587" s="1">
        <v>201900000</v>
      </c>
      <c r="AB5587" s="1">
        <v>35</v>
      </c>
    </row>
    <row r="5588" spans="1:28" x14ac:dyDescent="0.2">
      <c r="A5588" s="1">
        <v>14419</v>
      </c>
      <c r="B5588" s="1" t="s">
        <v>6839</v>
      </c>
      <c r="D5588" s="1" t="s">
        <v>11735</v>
      </c>
      <c r="F5588" s="1" t="s">
        <v>14661</v>
      </c>
      <c r="H5588" s="1" t="s">
        <v>15590</v>
      </c>
      <c r="J5588" s="1" t="s">
        <v>15591</v>
      </c>
      <c r="L5588" s="1" t="s">
        <v>479</v>
      </c>
      <c r="N5588" s="1" t="s">
        <v>1539</v>
      </c>
      <c r="P5588" s="1" t="s">
        <v>1540</v>
      </c>
      <c r="Q5588" s="3">
        <v>0</v>
      </c>
      <c r="R5588" s="23" t="s">
        <v>11933</v>
      </c>
      <c r="S5588" s="23" t="s">
        <v>5849</v>
      </c>
      <c r="T5588" s="23" t="s">
        <v>4866</v>
      </c>
      <c r="U5588" s="3">
        <v>35</v>
      </c>
      <c r="W5588" s="45" t="str">
        <f>HYPERLINK("http://ictvonline.org/taxonomy/p/taxonomy-history?taxnode_id=201904724","ICTVonline=201904724")</f>
        <v>ICTVonline=201904724</v>
      </c>
      <c r="Y5588" s="1" t="s">
        <v>15898</v>
      </c>
      <c r="Z5588" s="1" t="s">
        <v>15899</v>
      </c>
      <c r="AA5588" s="1">
        <v>201900000</v>
      </c>
      <c r="AB5588" s="1">
        <v>35</v>
      </c>
    </row>
    <row r="5589" spans="1:28" x14ac:dyDescent="0.2">
      <c r="A5589" s="1">
        <v>14421</v>
      </c>
      <c r="B5589" s="1" t="s">
        <v>6839</v>
      </c>
      <c r="D5589" s="1" t="s">
        <v>11735</v>
      </c>
      <c r="F5589" s="1" t="s">
        <v>14661</v>
      </c>
      <c r="H5589" s="1" t="s">
        <v>15590</v>
      </c>
      <c r="J5589" s="1" t="s">
        <v>15591</v>
      </c>
      <c r="L5589" s="1" t="s">
        <v>479</v>
      </c>
      <c r="N5589" s="1" t="s">
        <v>1539</v>
      </c>
      <c r="P5589" s="1" t="s">
        <v>1541</v>
      </c>
      <c r="Q5589" s="3">
        <v>0</v>
      </c>
      <c r="R5589" s="23" t="s">
        <v>11933</v>
      </c>
      <c r="S5589" s="23" t="s">
        <v>5849</v>
      </c>
      <c r="T5589" s="23" t="s">
        <v>4866</v>
      </c>
      <c r="U5589" s="3">
        <v>35</v>
      </c>
      <c r="W5589" s="45" t="str">
        <f>HYPERLINK("http://ictvonline.org/taxonomy/p/taxonomy-history?taxnode_id=201904725","ICTVonline=201904725")</f>
        <v>ICTVonline=201904725</v>
      </c>
      <c r="Y5589" s="1" t="s">
        <v>15900</v>
      </c>
      <c r="Z5589" s="1" t="s">
        <v>15901</v>
      </c>
      <c r="AA5589" s="1">
        <v>201900000</v>
      </c>
      <c r="AB5589" s="1">
        <v>35</v>
      </c>
    </row>
    <row r="5590" spans="1:28" x14ac:dyDescent="0.2">
      <c r="A5590" s="1">
        <v>14423</v>
      </c>
      <c r="B5590" s="1" t="s">
        <v>6839</v>
      </c>
      <c r="D5590" s="1" t="s">
        <v>11735</v>
      </c>
      <c r="F5590" s="1" t="s">
        <v>14661</v>
      </c>
      <c r="H5590" s="1" t="s">
        <v>15590</v>
      </c>
      <c r="J5590" s="1" t="s">
        <v>15591</v>
      </c>
      <c r="L5590" s="1" t="s">
        <v>479</v>
      </c>
      <c r="N5590" s="1" t="s">
        <v>1539</v>
      </c>
      <c r="P5590" s="1" t="s">
        <v>1542</v>
      </c>
      <c r="Q5590" s="3">
        <v>1</v>
      </c>
      <c r="R5590" s="23" t="s">
        <v>11933</v>
      </c>
      <c r="S5590" s="23" t="s">
        <v>5849</v>
      </c>
      <c r="T5590" s="23" t="s">
        <v>4866</v>
      </c>
      <c r="U5590" s="3">
        <v>35</v>
      </c>
      <c r="W5590" s="45" t="str">
        <f>HYPERLINK("http://ictvonline.org/taxonomy/p/taxonomy-history?taxnode_id=201904726","ICTVonline=201904726")</f>
        <v>ICTVonline=201904726</v>
      </c>
      <c r="Y5590" s="1" t="s">
        <v>15902</v>
      </c>
      <c r="Z5590" s="1" t="s">
        <v>12362</v>
      </c>
      <c r="AA5590" s="1">
        <v>201900000</v>
      </c>
      <c r="AB5590" s="1">
        <v>35</v>
      </c>
    </row>
    <row r="5591" spans="1:28" x14ac:dyDescent="0.2">
      <c r="A5591" s="1">
        <v>14427</v>
      </c>
      <c r="B5591" s="1" t="s">
        <v>6839</v>
      </c>
      <c r="D5591" s="1" t="s">
        <v>11735</v>
      </c>
      <c r="F5591" s="1" t="s">
        <v>14661</v>
      </c>
      <c r="H5591" s="1" t="s">
        <v>15590</v>
      </c>
      <c r="J5591" s="1" t="s">
        <v>15591</v>
      </c>
      <c r="L5591" s="1" t="s">
        <v>479</v>
      </c>
      <c r="N5591" s="1" t="s">
        <v>1543</v>
      </c>
      <c r="P5591" s="1" t="s">
        <v>1544</v>
      </c>
      <c r="Q5591" s="3">
        <v>0</v>
      </c>
      <c r="R5591" s="23" t="s">
        <v>11933</v>
      </c>
      <c r="S5591" s="23" t="s">
        <v>5849</v>
      </c>
      <c r="T5591" s="23" t="s">
        <v>4866</v>
      </c>
      <c r="U5591" s="3">
        <v>35</v>
      </c>
      <c r="W5591" s="45" t="str">
        <f>HYPERLINK("http://ictvonline.org/taxonomy/p/taxonomy-history?taxnode_id=201904728","ICTVonline=201904728")</f>
        <v>ICTVonline=201904728</v>
      </c>
      <c r="Y5591" s="1" t="s">
        <v>15903</v>
      </c>
      <c r="Z5591" s="1" t="s">
        <v>15695</v>
      </c>
      <c r="AA5591" s="1">
        <v>201900000</v>
      </c>
      <c r="AB5591" s="1">
        <v>35</v>
      </c>
    </row>
    <row r="5592" spans="1:28" x14ac:dyDescent="0.2">
      <c r="A5592" s="1">
        <v>14429</v>
      </c>
      <c r="B5592" s="1" t="s">
        <v>6839</v>
      </c>
      <c r="D5592" s="1" t="s">
        <v>11735</v>
      </c>
      <c r="F5592" s="1" t="s">
        <v>14661</v>
      </c>
      <c r="H5592" s="1" t="s">
        <v>15590</v>
      </c>
      <c r="J5592" s="1" t="s">
        <v>15591</v>
      </c>
      <c r="L5592" s="1" t="s">
        <v>479</v>
      </c>
      <c r="N5592" s="1" t="s">
        <v>1543</v>
      </c>
      <c r="P5592" s="1" t="s">
        <v>1545</v>
      </c>
      <c r="Q5592" s="3">
        <v>0</v>
      </c>
      <c r="R5592" s="23" t="s">
        <v>11933</v>
      </c>
      <c r="S5592" s="23" t="s">
        <v>5849</v>
      </c>
      <c r="T5592" s="23" t="s">
        <v>4866</v>
      </c>
      <c r="U5592" s="3">
        <v>35</v>
      </c>
      <c r="W5592" s="45" t="str">
        <f>HYPERLINK("http://ictvonline.org/taxonomy/p/taxonomy-history?taxnode_id=201904729","ICTVonline=201904729")</f>
        <v>ICTVonline=201904729</v>
      </c>
      <c r="Y5592" s="1" t="s">
        <v>15904</v>
      </c>
      <c r="Z5592" s="1" t="s">
        <v>15905</v>
      </c>
      <c r="AA5592" s="1">
        <v>201900000</v>
      </c>
      <c r="AB5592" s="1">
        <v>35</v>
      </c>
    </row>
    <row r="5593" spans="1:28" x14ac:dyDescent="0.2">
      <c r="A5593" s="1">
        <v>14431</v>
      </c>
      <c r="B5593" s="1" t="s">
        <v>6839</v>
      </c>
      <c r="D5593" s="1" t="s">
        <v>11735</v>
      </c>
      <c r="F5593" s="1" t="s">
        <v>14661</v>
      </c>
      <c r="H5593" s="1" t="s">
        <v>15590</v>
      </c>
      <c r="J5593" s="1" t="s">
        <v>15591</v>
      </c>
      <c r="L5593" s="1" t="s">
        <v>479</v>
      </c>
      <c r="N5593" s="1" t="s">
        <v>1543</v>
      </c>
      <c r="P5593" s="1" t="s">
        <v>2682</v>
      </c>
      <c r="Q5593" s="3">
        <v>0</v>
      </c>
      <c r="R5593" s="23" t="s">
        <v>11933</v>
      </c>
      <c r="S5593" s="23" t="s">
        <v>5849</v>
      </c>
      <c r="T5593" s="23" t="s">
        <v>4866</v>
      </c>
      <c r="U5593" s="3">
        <v>35</v>
      </c>
      <c r="W5593" s="45" t="str">
        <f>HYPERLINK("http://ictvonline.org/taxonomy/p/taxonomy-history?taxnode_id=201904730","ICTVonline=201904730")</f>
        <v>ICTVonline=201904730</v>
      </c>
      <c r="X5593" s="1" t="s">
        <v>15906</v>
      </c>
      <c r="Y5593" s="1" t="s">
        <v>15907</v>
      </c>
      <c r="Z5593" s="1" t="s">
        <v>15908</v>
      </c>
      <c r="AA5593" s="1">
        <v>201900000</v>
      </c>
      <c r="AB5593" s="1">
        <v>35</v>
      </c>
    </row>
    <row r="5594" spans="1:28" x14ac:dyDescent="0.2">
      <c r="A5594" s="1">
        <v>14433</v>
      </c>
      <c r="B5594" s="1" t="s">
        <v>6839</v>
      </c>
      <c r="D5594" s="1" t="s">
        <v>11735</v>
      </c>
      <c r="F5594" s="1" t="s">
        <v>14661</v>
      </c>
      <c r="H5594" s="1" t="s">
        <v>15590</v>
      </c>
      <c r="J5594" s="1" t="s">
        <v>15591</v>
      </c>
      <c r="L5594" s="1" t="s">
        <v>479</v>
      </c>
      <c r="N5594" s="1" t="s">
        <v>1543</v>
      </c>
      <c r="P5594" s="1" t="s">
        <v>2130</v>
      </c>
      <c r="Q5594" s="3">
        <v>0</v>
      </c>
      <c r="R5594" s="23" t="s">
        <v>11933</v>
      </c>
      <c r="S5594" s="23" t="s">
        <v>5849</v>
      </c>
      <c r="T5594" s="23" t="s">
        <v>4866</v>
      </c>
      <c r="U5594" s="3">
        <v>35</v>
      </c>
      <c r="W5594" s="45" t="str">
        <f>HYPERLINK("http://ictvonline.org/taxonomy/p/taxonomy-history?taxnode_id=201904731","ICTVonline=201904731")</f>
        <v>ICTVonline=201904731</v>
      </c>
      <c r="Y5594" s="1" t="s">
        <v>15909</v>
      </c>
      <c r="Z5594" s="1" t="s">
        <v>15910</v>
      </c>
      <c r="AA5594" s="1">
        <v>201900000</v>
      </c>
      <c r="AB5594" s="1">
        <v>35</v>
      </c>
    </row>
    <row r="5595" spans="1:28" x14ac:dyDescent="0.2">
      <c r="A5595" s="1">
        <v>14435</v>
      </c>
      <c r="B5595" s="1" t="s">
        <v>6839</v>
      </c>
      <c r="D5595" s="1" t="s">
        <v>11735</v>
      </c>
      <c r="F5595" s="1" t="s">
        <v>14661</v>
      </c>
      <c r="H5595" s="1" t="s">
        <v>15590</v>
      </c>
      <c r="J5595" s="1" t="s">
        <v>15591</v>
      </c>
      <c r="L5595" s="1" t="s">
        <v>479</v>
      </c>
      <c r="N5595" s="1" t="s">
        <v>1543</v>
      </c>
      <c r="P5595" s="1" t="s">
        <v>1546</v>
      </c>
      <c r="Q5595" s="3">
        <v>1</v>
      </c>
      <c r="R5595" s="23" t="s">
        <v>11933</v>
      </c>
      <c r="S5595" s="23" t="s">
        <v>5849</v>
      </c>
      <c r="T5595" s="23" t="s">
        <v>4866</v>
      </c>
      <c r="U5595" s="3">
        <v>35</v>
      </c>
      <c r="W5595" s="45" t="str">
        <f>HYPERLINK("http://ictvonline.org/taxonomy/p/taxonomy-history?taxnode_id=201904732","ICTVonline=201904732")</f>
        <v>ICTVonline=201904732</v>
      </c>
      <c r="Y5595" s="1" t="s">
        <v>15911</v>
      </c>
      <c r="Z5595" s="1" t="s">
        <v>15912</v>
      </c>
      <c r="AA5595" s="1">
        <v>201900000</v>
      </c>
      <c r="AB5595" s="1">
        <v>35</v>
      </c>
    </row>
    <row r="5596" spans="1:28" x14ac:dyDescent="0.2">
      <c r="A5596" s="1">
        <v>14437</v>
      </c>
      <c r="B5596" s="1" t="s">
        <v>6839</v>
      </c>
      <c r="D5596" s="1" t="s">
        <v>11735</v>
      </c>
      <c r="F5596" s="1" t="s">
        <v>14661</v>
      </c>
      <c r="H5596" s="1" t="s">
        <v>15590</v>
      </c>
      <c r="J5596" s="1" t="s">
        <v>15591</v>
      </c>
      <c r="L5596" s="1" t="s">
        <v>479</v>
      </c>
      <c r="N5596" s="1" t="s">
        <v>1543</v>
      </c>
      <c r="P5596" s="1" t="s">
        <v>5464</v>
      </c>
      <c r="Q5596" s="3">
        <v>0</v>
      </c>
      <c r="R5596" s="23" t="s">
        <v>11933</v>
      </c>
      <c r="S5596" s="23" t="s">
        <v>5849</v>
      </c>
      <c r="T5596" s="23" t="s">
        <v>4866</v>
      </c>
      <c r="U5596" s="3">
        <v>35</v>
      </c>
      <c r="W5596" s="45" t="str">
        <f>HYPERLINK("http://ictvonline.org/taxonomy/p/taxonomy-history?taxnode_id=201904733","ICTVonline=201904733")</f>
        <v>ICTVonline=201904733</v>
      </c>
      <c r="Y5596" s="1" t="s">
        <v>15913</v>
      </c>
      <c r="Z5596" s="1" t="s">
        <v>15914</v>
      </c>
      <c r="AA5596" s="1">
        <v>201900000</v>
      </c>
      <c r="AB5596" s="1">
        <v>35</v>
      </c>
    </row>
    <row r="5597" spans="1:28" x14ac:dyDescent="0.2">
      <c r="A5597" s="1">
        <v>14440</v>
      </c>
      <c r="B5597" s="1" t="s">
        <v>6839</v>
      </c>
      <c r="D5597" s="1" t="s">
        <v>11735</v>
      </c>
      <c r="F5597" s="1" t="s">
        <v>14661</v>
      </c>
      <c r="H5597" s="1" t="s">
        <v>15590</v>
      </c>
      <c r="J5597" s="1" t="s">
        <v>15591</v>
      </c>
      <c r="L5597" s="1" t="s">
        <v>479</v>
      </c>
      <c r="P5597" s="1" t="s">
        <v>6828</v>
      </c>
      <c r="Q5597" s="3">
        <v>0</v>
      </c>
      <c r="R5597" s="23" t="s">
        <v>11933</v>
      </c>
      <c r="S5597" s="23" t="s">
        <v>5849</v>
      </c>
      <c r="T5597" s="23" t="s">
        <v>4866</v>
      </c>
      <c r="U5597" s="3">
        <v>35</v>
      </c>
      <c r="W5597" s="45" t="str">
        <f>HYPERLINK("http://ictvonline.org/taxonomy/p/taxonomy-history?taxnode_id=201906681","ICTVonline=201906681")</f>
        <v>ICTVonline=201906681</v>
      </c>
      <c r="X5597" s="1" t="s">
        <v>15915</v>
      </c>
      <c r="Y5597" s="1" t="s">
        <v>15916</v>
      </c>
      <c r="Z5597" s="1" t="s">
        <v>15917</v>
      </c>
      <c r="AA5597" s="1">
        <v>201900000</v>
      </c>
      <c r="AB5597" s="1">
        <v>35</v>
      </c>
    </row>
    <row r="5598" spans="1:28" x14ac:dyDescent="0.2">
      <c r="A5598" s="1">
        <v>14442</v>
      </c>
      <c r="B5598" s="1" t="s">
        <v>6839</v>
      </c>
      <c r="D5598" s="1" t="s">
        <v>11735</v>
      </c>
      <c r="F5598" s="1" t="s">
        <v>14661</v>
      </c>
      <c r="H5598" s="1" t="s">
        <v>15590</v>
      </c>
      <c r="J5598" s="1" t="s">
        <v>15591</v>
      </c>
      <c r="L5598" s="1" t="s">
        <v>479</v>
      </c>
      <c r="P5598" s="1" t="s">
        <v>6829</v>
      </c>
      <c r="Q5598" s="3">
        <v>0</v>
      </c>
      <c r="R5598" s="23" t="s">
        <v>11933</v>
      </c>
      <c r="S5598" s="23" t="s">
        <v>5849</v>
      </c>
      <c r="T5598" s="23" t="s">
        <v>4866</v>
      </c>
      <c r="U5598" s="3">
        <v>35</v>
      </c>
      <c r="W5598" s="45" t="str">
        <f>HYPERLINK("http://ictvonline.org/taxonomy/p/taxonomy-history?taxnode_id=201906682","ICTVonline=201906682")</f>
        <v>ICTVonline=201906682</v>
      </c>
      <c r="X5598" s="1" t="s">
        <v>15918</v>
      </c>
      <c r="Y5598" s="1" t="s">
        <v>15919</v>
      </c>
      <c r="Z5598" s="1" t="s">
        <v>15920</v>
      </c>
      <c r="AA5598" s="1">
        <v>201900000</v>
      </c>
      <c r="AB5598" s="1">
        <v>35</v>
      </c>
    </row>
    <row r="5599" spans="1:28" x14ac:dyDescent="0.2">
      <c r="A5599" s="1">
        <v>14444</v>
      </c>
      <c r="B5599" s="1" t="s">
        <v>6839</v>
      </c>
      <c r="D5599" s="1" t="s">
        <v>11735</v>
      </c>
      <c r="F5599" s="1" t="s">
        <v>14661</v>
      </c>
      <c r="H5599" s="1" t="s">
        <v>15590</v>
      </c>
      <c r="J5599" s="1" t="s">
        <v>15591</v>
      </c>
      <c r="L5599" s="1" t="s">
        <v>479</v>
      </c>
      <c r="P5599" s="1" t="s">
        <v>492</v>
      </c>
      <c r="Q5599" s="3">
        <v>0</v>
      </c>
      <c r="R5599" s="23" t="s">
        <v>11933</v>
      </c>
      <c r="S5599" s="23" t="s">
        <v>5849</v>
      </c>
      <c r="T5599" s="23" t="s">
        <v>4866</v>
      </c>
      <c r="U5599" s="3">
        <v>35</v>
      </c>
      <c r="W5599" s="45" t="str">
        <f>HYPERLINK("http://ictvonline.org/taxonomy/p/taxonomy-history?taxnode_id=201904736","ICTVonline=201904736")</f>
        <v>ICTVonline=201904736</v>
      </c>
      <c r="AA5599" s="1">
        <v>201900000</v>
      </c>
      <c r="AB5599" s="1">
        <v>35</v>
      </c>
    </row>
    <row r="5600" spans="1:28" x14ac:dyDescent="0.2">
      <c r="A5600" s="1">
        <v>14451</v>
      </c>
      <c r="B5600" s="1" t="s">
        <v>6839</v>
      </c>
      <c r="D5600" s="1" t="s">
        <v>11735</v>
      </c>
      <c r="F5600" s="1" t="s">
        <v>14661</v>
      </c>
      <c r="H5600" s="1" t="s">
        <v>15590</v>
      </c>
      <c r="J5600" s="1" t="s">
        <v>15921</v>
      </c>
      <c r="L5600" s="1" t="s">
        <v>667</v>
      </c>
      <c r="N5600" s="1" t="s">
        <v>668</v>
      </c>
      <c r="P5600" s="1" t="s">
        <v>44</v>
      </c>
      <c r="Q5600" s="3">
        <v>1</v>
      </c>
      <c r="R5600" s="23" t="s">
        <v>11933</v>
      </c>
      <c r="S5600" s="23" t="s">
        <v>5849</v>
      </c>
      <c r="T5600" s="23" t="s">
        <v>4866</v>
      </c>
      <c r="U5600" s="3">
        <v>35</v>
      </c>
      <c r="W5600" s="45" t="str">
        <f>HYPERLINK("http://ictvonline.org/taxonomy/p/taxonomy-history?taxnode_id=201902622","ICTVonline=201902622")</f>
        <v>ICTVonline=201902622</v>
      </c>
      <c r="AA5600" s="1">
        <v>201900000</v>
      </c>
      <c r="AB5600" s="1">
        <v>35</v>
      </c>
    </row>
    <row r="5601" spans="1:28" x14ac:dyDescent="0.2">
      <c r="A5601" s="1">
        <v>14453</v>
      </c>
      <c r="B5601" s="1" t="s">
        <v>6839</v>
      </c>
      <c r="D5601" s="1" t="s">
        <v>11735</v>
      </c>
      <c r="F5601" s="1" t="s">
        <v>14661</v>
      </c>
      <c r="H5601" s="1" t="s">
        <v>15590</v>
      </c>
      <c r="J5601" s="1" t="s">
        <v>15921</v>
      </c>
      <c r="L5601" s="1" t="s">
        <v>667</v>
      </c>
      <c r="N5601" s="1" t="s">
        <v>668</v>
      </c>
      <c r="P5601" s="1" t="s">
        <v>45</v>
      </c>
      <c r="Q5601" s="3">
        <v>0</v>
      </c>
      <c r="R5601" s="23" t="s">
        <v>11933</v>
      </c>
      <c r="S5601" s="23" t="s">
        <v>5849</v>
      </c>
      <c r="T5601" s="23" t="s">
        <v>4866</v>
      </c>
      <c r="U5601" s="3">
        <v>35</v>
      </c>
      <c r="W5601" s="45" t="str">
        <f>HYPERLINK("http://ictvonline.org/taxonomy/p/taxonomy-history?taxnode_id=201902623","ICTVonline=201902623")</f>
        <v>ICTVonline=201902623</v>
      </c>
      <c r="AA5601" s="1">
        <v>201900000</v>
      </c>
      <c r="AB5601" s="1">
        <v>35</v>
      </c>
    </row>
    <row r="5602" spans="1:28" x14ac:dyDescent="0.2">
      <c r="A5602" s="1">
        <v>14455</v>
      </c>
      <c r="B5602" s="1" t="s">
        <v>6839</v>
      </c>
      <c r="D5602" s="1" t="s">
        <v>11735</v>
      </c>
      <c r="F5602" s="1" t="s">
        <v>14661</v>
      </c>
      <c r="H5602" s="1" t="s">
        <v>15590</v>
      </c>
      <c r="J5602" s="1" t="s">
        <v>15921</v>
      </c>
      <c r="L5602" s="1" t="s">
        <v>667</v>
      </c>
      <c r="N5602" s="1" t="s">
        <v>668</v>
      </c>
      <c r="P5602" s="1" t="s">
        <v>46</v>
      </c>
      <c r="Q5602" s="3">
        <v>0</v>
      </c>
      <c r="R5602" s="23" t="s">
        <v>11933</v>
      </c>
      <c r="S5602" s="23" t="s">
        <v>5849</v>
      </c>
      <c r="T5602" s="23" t="s">
        <v>4866</v>
      </c>
      <c r="U5602" s="3">
        <v>35</v>
      </c>
      <c r="W5602" s="45" t="str">
        <f>HYPERLINK("http://ictvonline.org/taxonomy/p/taxonomy-history?taxnode_id=201902624","ICTVonline=201902624")</f>
        <v>ICTVonline=201902624</v>
      </c>
      <c r="AA5602" s="1">
        <v>201900000</v>
      </c>
      <c r="AB5602" s="1">
        <v>35</v>
      </c>
    </row>
    <row r="5603" spans="1:28" x14ac:dyDescent="0.2">
      <c r="A5603" s="1">
        <v>14459</v>
      </c>
      <c r="B5603" s="1" t="s">
        <v>6839</v>
      </c>
      <c r="D5603" s="1" t="s">
        <v>11735</v>
      </c>
      <c r="F5603" s="1" t="s">
        <v>14661</v>
      </c>
      <c r="H5603" s="1" t="s">
        <v>15590</v>
      </c>
      <c r="J5603" s="1" t="s">
        <v>15921</v>
      </c>
      <c r="L5603" s="1" t="s">
        <v>667</v>
      </c>
      <c r="N5603" s="1" t="s">
        <v>576</v>
      </c>
      <c r="P5603" s="1" t="s">
        <v>47</v>
      </c>
      <c r="Q5603" s="3">
        <v>1</v>
      </c>
      <c r="R5603" s="23" t="s">
        <v>11933</v>
      </c>
      <c r="S5603" s="23" t="s">
        <v>5849</v>
      </c>
      <c r="T5603" s="23" t="s">
        <v>4866</v>
      </c>
      <c r="U5603" s="3">
        <v>35</v>
      </c>
      <c r="W5603" s="45" t="str">
        <f>HYPERLINK("http://ictvonline.org/taxonomy/p/taxonomy-history?taxnode_id=201902626","ICTVonline=201902626")</f>
        <v>ICTVonline=201902626</v>
      </c>
      <c r="AA5603" s="1">
        <v>201900000</v>
      </c>
      <c r="AB5603" s="1">
        <v>35</v>
      </c>
    </row>
    <row r="5604" spans="1:28" x14ac:dyDescent="0.2">
      <c r="A5604" s="1">
        <v>14461</v>
      </c>
      <c r="B5604" s="1" t="s">
        <v>6839</v>
      </c>
      <c r="D5604" s="1" t="s">
        <v>11735</v>
      </c>
      <c r="F5604" s="1" t="s">
        <v>14661</v>
      </c>
      <c r="H5604" s="1" t="s">
        <v>15590</v>
      </c>
      <c r="J5604" s="1" t="s">
        <v>15921</v>
      </c>
      <c r="L5604" s="1" t="s">
        <v>667</v>
      </c>
      <c r="N5604" s="1" t="s">
        <v>576</v>
      </c>
      <c r="P5604" s="1" t="s">
        <v>58</v>
      </c>
      <c r="Q5604" s="3">
        <v>0</v>
      </c>
      <c r="R5604" s="23" t="s">
        <v>11933</v>
      </c>
      <c r="S5604" s="23" t="s">
        <v>5849</v>
      </c>
      <c r="T5604" s="23" t="s">
        <v>4866</v>
      </c>
      <c r="U5604" s="3">
        <v>35</v>
      </c>
      <c r="W5604" s="45" t="str">
        <f>HYPERLINK("http://ictvonline.org/taxonomy/p/taxonomy-history?taxnode_id=201902627","ICTVonline=201902627")</f>
        <v>ICTVonline=201902627</v>
      </c>
      <c r="AA5604" s="1">
        <v>201900000</v>
      </c>
      <c r="AB5604" s="1">
        <v>35</v>
      </c>
    </row>
    <row r="5605" spans="1:28" x14ac:dyDescent="0.2">
      <c r="A5605" s="1">
        <v>14463</v>
      </c>
      <c r="B5605" s="1" t="s">
        <v>6839</v>
      </c>
      <c r="D5605" s="1" t="s">
        <v>11735</v>
      </c>
      <c r="F5605" s="1" t="s">
        <v>14661</v>
      </c>
      <c r="H5605" s="1" t="s">
        <v>15590</v>
      </c>
      <c r="J5605" s="1" t="s">
        <v>15921</v>
      </c>
      <c r="L5605" s="1" t="s">
        <v>667</v>
      </c>
      <c r="N5605" s="1" t="s">
        <v>576</v>
      </c>
      <c r="P5605" s="1" t="s">
        <v>59</v>
      </c>
      <c r="Q5605" s="3">
        <v>0</v>
      </c>
      <c r="R5605" s="23" t="s">
        <v>11933</v>
      </c>
      <c r="S5605" s="23" t="s">
        <v>5849</v>
      </c>
      <c r="T5605" s="23" t="s">
        <v>4866</v>
      </c>
      <c r="U5605" s="3">
        <v>35</v>
      </c>
      <c r="W5605" s="45" t="str">
        <f>HYPERLINK("http://ictvonline.org/taxonomy/p/taxonomy-history?taxnode_id=201902628","ICTVonline=201902628")</f>
        <v>ICTVonline=201902628</v>
      </c>
      <c r="AA5605" s="1">
        <v>201900000</v>
      </c>
      <c r="AB5605" s="1">
        <v>35</v>
      </c>
    </row>
    <row r="5606" spans="1:28" x14ac:dyDescent="0.2">
      <c r="A5606" s="1">
        <v>14465</v>
      </c>
      <c r="B5606" s="1" t="s">
        <v>6839</v>
      </c>
      <c r="D5606" s="1" t="s">
        <v>11735</v>
      </c>
      <c r="F5606" s="1" t="s">
        <v>14661</v>
      </c>
      <c r="H5606" s="1" t="s">
        <v>15590</v>
      </c>
      <c r="J5606" s="1" t="s">
        <v>15921</v>
      </c>
      <c r="L5606" s="1" t="s">
        <v>667</v>
      </c>
      <c r="N5606" s="1" t="s">
        <v>576</v>
      </c>
      <c r="P5606" s="1" t="s">
        <v>60</v>
      </c>
      <c r="Q5606" s="3">
        <v>0</v>
      </c>
      <c r="R5606" s="23" t="s">
        <v>11933</v>
      </c>
      <c r="S5606" s="23" t="s">
        <v>5849</v>
      </c>
      <c r="T5606" s="23" t="s">
        <v>4866</v>
      </c>
      <c r="U5606" s="3">
        <v>35</v>
      </c>
      <c r="W5606" s="45" t="str">
        <f>HYPERLINK("http://ictvonline.org/taxonomy/p/taxonomy-history?taxnode_id=201902629","ICTVonline=201902629")</f>
        <v>ICTVonline=201902629</v>
      </c>
      <c r="AA5606" s="1">
        <v>201900000</v>
      </c>
      <c r="AB5606" s="1">
        <v>35</v>
      </c>
    </row>
    <row r="5607" spans="1:28" x14ac:dyDescent="0.2">
      <c r="A5607" s="1">
        <v>14467</v>
      </c>
      <c r="B5607" s="1" t="s">
        <v>6839</v>
      </c>
      <c r="D5607" s="1" t="s">
        <v>11735</v>
      </c>
      <c r="F5607" s="1" t="s">
        <v>14661</v>
      </c>
      <c r="H5607" s="1" t="s">
        <v>15590</v>
      </c>
      <c r="J5607" s="1" t="s">
        <v>15921</v>
      </c>
      <c r="L5607" s="1" t="s">
        <v>667</v>
      </c>
      <c r="N5607" s="1" t="s">
        <v>576</v>
      </c>
      <c r="P5607" s="1" t="s">
        <v>61</v>
      </c>
      <c r="Q5607" s="3">
        <v>0</v>
      </c>
      <c r="R5607" s="23" t="s">
        <v>11933</v>
      </c>
      <c r="S5607" s="23" t="s">
        <v>5849</v>
      </c>
      <c r="T5607" s="23" t="s">
        <v>4866</v>
      </c>
      <c r="U5607" s="3">
        <v>35</v>
      </c>
      <c r="W5607" s="45" t="str">
        <f>HYPERLINK("http://ictvonline.org/taxonomy/p/taxonomy-history?taxnode_id=201902630","ICTVonline=201902630")</f>
        <v>ICTVonline=201902630</v>
      </c>
      <c r="AA5607" s="1">
        <v>201900000</v>
      </c>
      <c r="AB5607" s="1">
        <v>35</v>
      </c>
    </row>
    <row r="5608" spans="1:28" x14ac:dyDescent="0.2">
      <c r="A5608" s="1">
        <v>14469</v>
      </c>
      <c r="B5608" s="1" t="s">
        <v>6839</v>
      </c>
      <c r="D5608" s="1" t="s">
        <v>11735</v>
      </c>
      <c r="F5608" s="1" t="s">
        <v>14661</v>
      </c>
      <c r="H5608" s="1" t="s">
        <v>15590</v>
      </c>
      <c r="J5608" s="1" t="s">
        <v>15921</v>
      </c>
      <c r="L5608" s="1" t="s">
        <v>667</v>
      </c>
      <c r="N5608" s="1" t="s">
        <v>576</v>
      </c>
      <c r="P5608" s="1" t="s">
        <v>62</v>
      </c>
      <c r="Q5608" s="3">
        <v>0</v>
      </c>
      <c r="R5608" s="23" t="s">
        <v>11933</v>
      </c>
      <c r="S5608" s="23" t="s">
        <v>5849</v>
      </c>
      <c r="T5608" s="23" t="s">
        <v>4866</v>
      </c>
      <c r="U5608" s="3">
        <v>35</v>
      </c>
      <c r="W5608" s="45" t="str">
        <f>HYPERLINK("http://ictvonline.org/taxonomy/p/taxonomy-history?taxnode_id=201902631","ICTVonline=201902631")</f>
        <v>ICTVonline=201902631</v>
      </c>
      <c r="AA5608" s="1">
        <v>201900000</v>
      </c>
      <c r="AB5608" s="1">
        <v>35</v>
      </c>
    </row>
    <row r="5609" spans="1:28" x14ac:dyDescent="0.2">
      <c r="A5609" s="1">
        <v>14471</v>
      </c>
      <c r="B5609" s="1" t="s">
        <v>6839</v>
      </c>
      <c r="D5609" s="1" t="s">
        <v>11735</v>
      </c>
      <c r="F5609" s="1" t="s">
        <v>14661</v>
      </c>
      <c r="H5609" s="1" t="s">
        <v>15590</v>
      </c>
      <c r="J5609" s="1" t="s">
        <v>15921</v>
      </c>
      <c r="L5609" s="1" t="s">
        <v>667</v>
      </c>
      <c r="N5609" s="1" t="s">
        <v>576</v>
      </c>
      <c r="P5609" s="1" t="s">
        <v>63</v>
      </c>
      <c r="Q5609" s="3">
        <v>0</v>
      </c>
      <c r="R5609" s="23" t="s">
        <v>11933</v>
      </c>
      <c r="S5609" s="23" t="s">
        <v>5849</v>
      </c>
      <c r="T5609" s="23" t="s">
        <v>4866</v>
      </c>
      <c r="U5609" s="3">
        <v>35</v>
      </c>
      <c r="W5609" s="45" t="str">
        <f>HYPERLINK("http://ictvonline.org/taxonomy/p/taxonomy-history?taxnode_id=201902632","ICTVonline=201902632")</f>
        <v>ICTVonline=201902632</v>
      </c>
      <c r="AA5609" s="1">
        <v>201900000</v>
      </c>
      <c r="AB5609" s="1">
        <v>35</v>
      </c>
    </row>
    <row r="5610" spans="1:28" x14ac:dyDescent="0.2">
      <c r="A5610" s="1">
        <v>14473</v>
      </c>
      <c r="B5610" s="1" t="s">
        <v>6839</v>
      </c>
      <c r="D5610" s="1" t="s">
        <v>11735</v>
      </c>
      <c r="F5610" s="1" t="s">
        <v>14661</v>
      </c>
      <c r="H5610" s="1" t="s">
        <v>15590</v>
      </c>
      <c r="J5610" s="1" t="s">
        <v>15921</v>
      </c>
      <c r="L5610" s="1" t="s">
        <v>667</v>
      </c>
      <c r="N5610" s="1" t="s">
        <v>576</v>
      </c>
      <c r="P5610" s="1" t="s">
        <v>64</v>
      </c>
      <c r="Q5610" s="3">
        <v>0</v>
      </c>
      <c r="R5610" s="23" t="s">
        <v>11933</v>
      </c>
      <c r="S5610" s="23" t="s">
        <v>5849</v>
      </c>
      <c r="T5610" s="23" t="s">
        <v>4866</v>
      </c>
      <c r="U5610" s="3">
        <v>35</v>
      </c>
      <c r="W5610" s="45" t="str">
        <f>HYPERLINK("http://ictvonline.org/taxonomy/p/taxonomy-history?taxnode_id=201902633","ICTVonline=201902633")</f>
        <v>ICTVonline=201902633</v>
      </c>
      <c r="AA5610" s="1">
        <v>201900000</v>
      </c>
      <c r="AB5610" s="1">
        <v>35</v>
      </c>
    </row>
    <row r="5611" spans="1:28" x14ac:dyDescent="0.2">
      <c r="A5611" s="1">
        <v>14475</v>
      </c>
      <c r="B5611" s="1" t="s">
        <v>6839</v>
      </c>
      <c r="D5611" s="1" t="s">
        <v>11735</v>
      </c>
      <c r="F5611" s="1" t="s">
        <v>14661</v>
      </c>
      <c r="H5611" s="1" t="s">
        <v>15590</v>
      </c>
      <c r="J5611" s="1" t="s">
        <v>15921</v>
      </c>
      <c r="L5611" s="1" t="s">
        <v>667</v>
      </c>
      <c r="N5611" s="1" t="s">
        <v>576</v>
      </c>
      <c r="P5611" s="1" t="s">
        <v>65</v>
      </c>
      <c r="Q5611" s="3">
        <v>0</v>
      </c>
      <c r="R5611" s="23" t="s">
        <v>11933</v>
      </c>
      <c r="S5611" s="23" t="s">
        <v>5849</v>
      </c>
      <c r="T5611" s="23" t="s">
        <v>4866</v>
      </c>
      <c r="U5611" s="3">
        <v>35</v>
      </c>
      <c r="W5611" s="45" t="str">
        <f>HYPERLINK("http://ictvonline.org/taxonomy/p/taxonomy-history?taxnode_id=201902634","ICTVonline=201902634")</f>
        <v>ICTVonline=201902634</v>
      </c>
      <c r="AA5611" s="1">
        <v>201900000</v>
      </c>
      <c r="AB5611" s="1">
        <v>35</v>
      </c>
    </row>
    <row r="5612" spans="1:28" x14ac:dyDescent="0.2">
      <c r="A5612" s="1">
        <v>14477</v>
      </c>
      <c r="B5612" s="1" t="s">
        <v>6839</v>
      </c>
      <c r="D5612" s="1" t="s">
        <v>11735</v>
      </c>
      <c r="F5612" s="1" t="s">
        <v>14661</v>
      </c>
      <c r="H5612" s="1" t="s">
        <v>15590</v>
      </c>
      <c r="J5612" s="1" t="s">
        <v>15921</v>
      </c>
      <c r="L5612" s="1" t="s">
        <v>667</v>
      </c>
      <c r="N5612" s="1" t="s">
        <v>576</v>
      </c>
      <c r="P5612" s="1" t="s">
        <v>48</v>
      </c>
      <c r="Q5612" s="3">
        <v>0</v>
      </c>
      <c r="R5612" s="23" t="s">
        <v>11933</v>
      </c>
      <c r="S5612" s="23" t="s">
        <v>5849</v>
      </c>
      <c r="T5612" s="23" t="s">
        <v>4866</v>
      </c>
      <c r="U5612" s="3">
        <v>35</v>
      </c>
      <c r="W5612" s="45" t="str">
        <f>HYPERLINK("http://ictvonline.org/taxonomy/p/taxonomy-history?taxnode_id=201902635","ICTVonline=201902635")</f>
        <v>ICTVonline=201902635</v>
      </c>
      <c r="AA5612" s="1">
        <v>201900000</v>
      </c>
      <c r="AB5612" s="1">
        <v>35</v>
      </c>
    </row>
    <row r="5613" spans="1:28" x14ac:dyDescent="0.2">
      <c r="A5613" s="1">
        <v>14479</v>
      </c>
      <c r="B5613" s="1" t="s">
        <v>6839</v>
      </c>
      <c r="D5613" s="1" t="s">
        <v>11735</v>
      </c>
      <c r="F5613" s="1" t="s">
        <v>14661</v>
      </c>
      <c r="H5613" s="1" t="s">
        <v>15590</v>
      </c>
      <c r="J5613" s="1" t="s">
        <v>15921</v>
      </c>
      <c r="L5613" s="1" t="s">
        <v>667</v>
      </c>
      <c r="N5613" s="1" t="s">
        <v>576</v>
      </c>
      <c r="P5613" s="1" t="s">
        <v>49</v>
      </c>
      <c r="Q5613" s="3">
        <v>0</v>
      </c>
      <c r="R5613" s="23" t="s">
        <v>11933</v>
      </c>
      <c r="S5613" s="23" t="s">
        <v>5849</v>
      </c>
      <c r="T5613" s="23" t="s">
        <v>4866</v>
      </c>
      <c r="U5613" s="3">
        <v>35</v>
      </c>
      <c r="W5613" s="45" t="str">
        <f>HYPERLINK("http://ictvonline.org/taxonomy/p/taxonomy-history?taxnode_id=201902636","ICTVonline=201902636")</f>
        <v>ICTVonline=201902636</v>
      </c>
      <c r="AA5613" s="1">
        <v>201900000</v>
      </c>
      <c r="AB5613" s="1">
        <v>35</v>
      </c>
    </row>
    <row r="5614" spans="1:28" x14ac:dyDescent="0.2">
      <c r="A5614" s="1">
        <v>14481</v>
      </c>
      <c r="B5614" s="1" t="s">
        <v>6839</v>
      </c>
      <c r="D5614" s="1" t="s">
        <v>11735</v>
      </c>
      <c r="F5614" s="1" t="s">
        <v>14661</v>
      </c>
      <c r="H5614" s="1" t="s">
        <v>15590</v>
      </c>
      <c r="J5614" s="1" t="s">
        <v>15921</v>
      </c>
      <c r="L5614" s="1" t="s">
        <v>667</v>
      </c>
      <c r="N5614" s="1" t="s">
        <v>576</v>
      </c>
      <c r="P5614" s="1" t="s">
        <v>50</v>
      </c>
      <c r="Q5614" s="3">
        <v>0</v>
      </c>
      <c r="R5614" s="23" t="s">
        <v>11933</v>
      </c>
      <c r="S5614" s="23" t="s">
        <v>5849</v>
      </c>
      <c r="T5614" s="23" t="s">
        <v>4866</v>
      </c>
      <c r="U5614" s="3">
        <v>35</v>
      </c>
      <c r="W5614" s="45" t="str">
        <f>HYPERLINK("http://ictvonline.org/taxonomy/p/taxonomy-history?taxnode_id=201902637","ICTVonline=201902637")</f>
        <v>ICTVonline=201902637</v>
      </c>
      <c r="AA5614" s="1">
        <v>201900000</v>
      </c>
      <c r="AB5614" s="1">
        <v>35</v>
      </c>
    </row>
    <row r="5615" spans="1:28" x14ac:dyDescent="0.2">
      <c r="A5615" s="1">
        <v>14483</v>
      </c>
      <c r="B5615" s="1" t="s">
        <v>6839</v>
      </c>
      <c r="D5615" s="1" t="s">
        <v>11735</v>
      </c>
      <c r="F5615" s="1" t="s">
        <v>14661</v>
      </c>
      <c r="H5615" s="1" t="s">
        <v>15590</v>
      </c>
      <c r="J5615" s="1" t="s">
        <v>15921</v>
      </c>
      <c r="L5615" s="1" t="s">
        <v>667</v>
      </c>
      <c r="N5615" s="1" t="s">
        <v>576</v>
      </c>
      <c r="P5615" s="1" t="s">
        <v>51</v>
      </c>
      <c r="Q5615" s="3">
        <v>0</v>
      </c>
      <c r="R5615" s="23" t="s">
        <v>11933</v>
      </c>
      <c r="S5615" s="23" t="s">
        <v>5849</v>
      </c>
      <c r="T5615" s="23" t="s">
        <v>4866</v>
      </c>
      <c r="U5615" s="3">
        <v>35</v>
      </c>
      <c r="W5615" s="45" t="str">
        <f>HYPERLINK("http://ictvonline.org/taxonomy/p/taxonomy-history?taxnode_id=201902638","ICTVonline=201902638")</f>
        <v>ICTVonline=201902638</v>
      </c>
      <c r="AA5615" s="1">
        <v>201900000</v>
      </c>
      <c r="AB5615" s="1">
        <v>35</v>
      </c>
    </row>
    <row r="5616" spans="1:28" x14ac:dyDescent="0.2">
      <c r="A5616" s="1">
        <v>14485</v>
      </c>
      <c r="B5616" s="1" t="s">
        <v>6839</v>
      </c>
      <c r="D5616" s="1" t="s">
        <v>11735</v>
      </c>
      <c r="F5616" s="1" t="s">
        <v>14661</v>
      </c>
      <c r="H5616" s="1" t="s">
        <v>15590</v>
      </c>
      <c r="J5616" s="1" t="s">
        <v>15921</v>
      </c>
      <c r="L5616" s="1" t="s">
        <v>667</v>
      </c>
      <c r="N5616" s="1" t="s">
        <v>576</v>
      </c>
      <c r="P5616" s="1" t="s">
        <v>52</v>
      </c>
      <c r="Q5616" s="3">
        <v>0</v>
      </c>
      <c r="R5616" s="23" t="s">
        <v>11933</v>
      </c>
      <c r="S5616" s="23" t="s">
        <v>5849</v>
      </c>
      <c r="T5616" s="23" t="s">
        <v>4866</v>
      </c>
      <c r="U5616" s="3">
        <v>35</v>
      </c>
      <c r="W5616" s="45" t="str">
        <f>HYPERLINK("http://ictvonline.org/taxonomy/p/taxonomy-history?taxnode_id=201902639","ICTVonline=201902639")</f>
        <v>ICTVonline=201902639</v>
      </c>
      <c r="AA5616" s="1">
        <v>201900000</v>
      </c>
      <c r="AB5616" s="1">
        <v>35</v>
      </c>
    </row>
    <row r="5617" spans="1:28" x14ac:dyDescent="0.2">
      <c r="A5617" s="1">
        <v>14487</v>
      </c>
      <c r="B5617" s="1" t="s">
        <v>6839</v>
      </c>
      <c r="D5617" s="1" t="s">
        <v>11735</v>
      </c>
      <c r="F5617" s="1" t="s">
        <v>14661</v>
      </c>
      <c r="H5617" s="1" t="s">
        <v>15590</v>
      </c>
      <c r="J5617" s="1" t="s">
        <v>15921</v>
      </c>
      <c r="L5617" s="1" t="s">
        <v>667</v>
      </c>
      <c r="N5617" s="1" t="s">
        <v>576</v>
      </c>
      <c r="P5617" s="1" t="s">
        <v>53</v>
      </c>
      <c r="Q5617" s="3">
        <v>0</v>
      </c>
      <c r="R5617" s="23" t="s">
        <v>11933</v>
      </c>
      <c r="S5617" s="23" t="s">
        <v>5849</v>
      </c>
      <c r="T5617" s="23" t="s">
        <v>4866</v>
      </c>
      <c r="U5617" s="3">
        <v>35</v>
      </c>
      <c r="W5617" s="45" t="str">
        <f>HYPERLINK("http://ictvonline.org/taxonomy/p/taxonomy-history?taxnode_id=201902640","ICTVonline=201902640")</f>
        <v>ICTVonline=201902640</v>
      </c>
      <c r="AA5617" s="1">
        <v>201900000</v>
      </c>
      <c r="AB5617" s="1">
        <v>35</v>
      </c>
    </row>
    <row r="5618" spans="1:28" x14ac:dyDescent="0.2">
      <c r="A5618" s="1">
        <v>14489</v>
      </c>
      <c r="B5618" s="1" t="s">
        <v>6839</v>
      </c>
      <c r="D5618" s="1" t="s">
        <v>11735</v>
      </c>
      <c r="F5618" s="1" t="s">
        <v>14661</v>
      </c>
      <c r="H5618" s="1" t="s">
        <v>15590</v>
      </c>
      <c r="J5618" s="1" t="s">
        <v>15921</v>
      </c>
      <c r="L5618" s="1" t="s">
        <v>667</v>
      </c>
      <c r="N5618" s="1" t="s">
        <v>576</v>
      </c>
      <c r="P5618" s="1" t="s">
        <v>54</v>
      </c>
      <c r="Q5618" s="3">
        <v>0</v>
      </c>
      <c r="R5618" s="23" t="s">
        <v>11933</v>
      </c>
      <c r="S5618" s="23" t="s">
        <v>5849</v>
      </c>
      <c r="T5618" s="23" t="s">
        <v>4866</v>
      </c>
      <c r="U5618" s="3">
        <v>35</v>
      </c>
      <c r="W5618" s="45" t="str">
        <f>HYPERLINK("http://ictvonline.org/taxonomy/p/taxonomy-history?taxnode_id=201902641","ICTVonline=201902641")</f>
        <v>ICTVonline=201902641</v>
      </c>
      <c r="AA5618" s="1">
        <v>201900000</v>
      </c>
      <c r="AB5618" s="1">
        <v>35</v>
      </c>
    </row>
    <row r="5619" spans="1:28" x14ac:dyDescent="0.2">
      <c r="A5619" s="1">
        <v>14491</v>
      </c>
      <c r="B5619" s="1" t="s">
        <v>6839</v>
      </c>
      <c r="D5619" s="1" t="s">
        <v>11735</v>
      </c>
      <c r="F5619" s="1" t="s">
        <v>14661</v>
      </c>
      <c r="H5619" s="1" t="s">
        <v>15590</v>
      </c>
      <c r="J5619" s="1" t="s">
        <v>15921</v>
      </c>
      <c r="L5619" s="1" t="s">
        <v>667</v>
      </c>
      <c r="N5619" s="1" t="s">
        <v>576</v>
      </c>
      <c r="P5619" s="1" t="s">
        <v>55</v>
      </c>
      <c r="Q5619" s="3">
        <v>0</v>
      </c>
      <c r="R5619" s="23" t="s">
        <v>11933</v>
      </c>
      <c r="S5619" s="23" t="s">
        <v>5849</v>
      </c>
      <c r="T5619" s="23" t="s">
        <v>4866</v>
      </c>
      <c r="U5619" s="3">
        <v>35</v>
      </c>
      <c r="W5619" s="45" t="str">
        <f>HYPERLINK("http://ictvonline.org/taxonomy/p/taxonomy-history?taxnode_id=201902642","ICTVonline=201902642")</f>
        <v>ICTVonline=201902642</v>
      </c>
      <c r="AA5619" s="1">
        <v>201900000</v>
      </c>
      <c r="AB5619" s="1">
        <v>35</v>
      </c>
    </row>
    <row r="5620" spans="1:28" x14ac:dyDescent="0.2">
      <c r="A5620" s="1">
        <v>14493</v>
      </c>
      <c r="B5620" s="1" t="s">
        <v>6839</v>
      </c>
      <c r="D5620" s="1" t="s">
        <v>11735</v>
      </c>
      <c r="F5620" s="1" t="s">
        <v>14661</v>
      </c>
      <c r="H5620" s="1" t="s">
        <v>15590</v>
      </c>
      <c r="J5620" s="1" t="s">
        <v>15921</v>
      </c>
      <c r="L5620" s="1" t="s">
        <v>667</v>
      </c>
      <c r="N5620" s="1" t="s">
        <v>576</v>
      </c>
      <c r="P5620" s="1" t="s">
        <v>56</v>
      </c>
      <c r="Q5620" s="3">
        <v>0</v>
      </c>
      <c r="R5620" s="23" t="s">
        <v>11933</v>
      </c>
      <c r="S5620" s="23" t="s">
        <v>5849</v>
      </c>
      <c r="T5620" s="23" t="s">
        <v>4866</v>
      </c>
      <c r="U5620" s="3">
        <v>35</v>
      </c>
      <c r="W5620" s="45" t="str">
        <f>HYPERLINK("http://ictvonline.org/taxonomy/p/taxonomy-history?taxnode_id=201902643","ICTVonline=201902643")</f>
        <v>ICTVonline=201902643</v>
      </c>
      <c r="AA5620" s="1">
        <v>201900000</v>
      </c>
      <c r="AB5620" s="1">
        <v>35</v>
      </c>
    </row>
    <row r="5621" spans="1:28" x14ac:dyDescent="0.2">
      <c r="A5621" s="1">
        <v>14495</v>
      </c>
      <c r="B5621" s="1" t="s">
        <v>6839</v>
      </c>
      <c r="D5621" s="1" t="s">
        <v>11735</v>
      </c>
      <c r="F5621" s="1" t="s">
        <v>14661</v>
      </c>
      <c r="H5621" s="1" t="s">
        <v>15590</v>
      </c>
      <c r="J5621" s="1" t="s">
        <v>15921</v>
      </c>
      <c r="L5621" s="1" t="s">
        <v>667</v>
      </c>
      <c r="N5621" s="1" t="s">
        <v>576</v>
      </c>
      <c r="P5621" s="1" t="s">
        <v>57</v>
      </c>
      <c r="Q5621" s="3">
        <v>0</v>
      </c>
      <c r="R5621" s="23" t="s">
        <v>11933</v>
      </c>
      <c r="S5621" s="23" t="s">
        <v>5849</v>
      </c>
      <c r="T5621" s="23" t="s">
        <v>4866</v>
      </c>
      <c r="U5621" s="3">
        <v>35</v>
      </c>
      <c r="W5621" s="45" t="str">
        <f>HYPERLINK("http://ictvonline.org/taxonomy/p/taxonomy-history?taxnode_id=201902644","ICTVonline=201902644")</f>
        <v>ICTVonline=201902644</v>
      </c>
      <c r="AA5621" s="1">
        <v>201900000</v>
      </c>
      <c r="AB5621" s="1">
        <v>35</v>
      </c>
    </row>
    <row r="5622" spans="1:28" x14ac:dyDescent="0.2">
      <c r="A5622" s="1">
        <v>14504</v>
      </c>
      <c r="B5622" s="1" t="s">
        <v>6839</v>
      </c>
      <c r="D5622" s="1" t="s">
        <v>11735</v>
      </c>
      <c r="L5622" s="1" t="s">
        <v>1757</v>
      </c>
      <c r="N5622" s="1" t="s">
        <v>1758</v>
      </c>
      <c r="P5622" s="1" t="s">
        <v>1759</v>
      </c>
      <c r="Q5622" s="3">
        <v>1</v>
      </c>
      <c r="R5622" s="23" t="s">
        <v>11739</v>
      </c>
      <c r="S5622" s="23" t="s">
        <v>5849</v>
      </c>
      <c r="T5622" s="23" t="s">
        <v>4866</v>
      </c>
      <c r="U5622" s="3">
        <v>35</v>
      </c>
      <c r="W5622" s="45" t="str">
        <f>HYPERLINK("http://ictvonline.org/taxonomy/p/taxonomy-history?taxnode_id=201902748","ICTVonline=201902748")</f>
        <v>ICTVonline=201902748</v>
      </c>
      <c r="AA5622" s="1">
        <v>201900000</v>
      </c>
      <c r="AB5622" s="1">
        <v>35</v>
      </c>
    </row>
    <row r="5623" spans="1:28" x14ac:dyDescent="0.2">
      <c r="A5623" s="1">
        <v>14506</v>
      </c>
      <c r="B5623" s="1" t="s">
        <v>6839</v>
      </c>
      <c r="D5623" s="1" t="s">
        <v>11735</v>
      </c>
      <c r="L5623" s="1" t="s">
        <v>1757</v>
      </c>
      <c r="N5623" s="1" t="s">
        <v>1758</v>
      </c>
      <c r="P5623" s="1" t="s">
        <v>1760</v>
      </c>
      <c r="Q5623" s="3">
        <v>0</v>
      </c>
      <c r="R5623" s="23" t="s">
        <v>11739</v>
      </c>
      <c r="S5623" s="23" t="s">
        <v>5849</v>
      </c>
      <c r="T5623" s="23" t="s">
        <v>4866</v>
      </c>
      <c r="U5623" s="3">
        <v>35</v>
      </c>
      <c r="W5623" s="45" t="str">
        <f>HYPERLINK("http://ictvonline.org/taxonomy/p/taxonomy-history?taxnode_id=201902749","ICTVonline=201902749")</f>
        <v>ICTVonline=201902749</v>
      </c>
      <c r="AA5623" s="1">
        <v>201900000</v>
      </c>
      <c r="AB5623" s="1">
        <v>35</v>
      </c>
    </row>
    <row r="5624" spans="1:28" x14ac:dyDescent="0.2">
      <c r="A5624" s="1">
        <v>14508</v>
      </c>
      <c r="B5624" s="1" t="s">
        <v>6839</v>
      </c>
      <c r="D5624" s="1" t="s">
        <v>11735</v>
      </c>
      <c r="L5624" s="1" t="s">
        <v>1757</v>
      </c>
      <c r="N5624" s="1" t="s">
        <v>1758</v>
      </c>
      <c r="P5624" s="1" t="s">
        <v>1761</v>
      </c>
      <c r="Q5624" s="3">
        <v>0</v>
      </c>
      <c r="R5624" s="23" t="s">
        <v>11739</v>
      </c>
      <c r="S5624" s="23" t="s">
        <v>5849</v>
      </c>
      <c r="T5624" s="23" t="s">
        <v>4866</v>
      </c>
      <c r="U5624" s="3">
        <v>35</v>
      </c>
      <c r="W5624" s="45" t="str">
        <f>HYPERLINK("http://ictvonline.org/taxonomy/p/taxonomy-history?taxnode_id=201902750","ICTVonline=201902750")</f>
        <v>ICTVonline=201902750</v>
      </c>
      <c r="AA5624" s="1">
        <v>201900000</v>
      </c>
      <c r="AB5624" s="1">
        <v>35</v>
      </c>
    </row>
    <row r="5625" spans="1:28" x14ac:dyDescent="0.2">
      <c r="A5625" s="1">
        <v>14512</v>
      </c>
      <c r="B5625" s="1" t="s">
        <v>6839</v>
      </c>
      <c r="D5625" s="1" t="s">
        <v>11735</v>
      </c>
      <c r="L5625" s="1" t="s">
        <v>1757</v>
      </c>
      <c r="N5625" s="1" t="s">
        <v>1762</v>
      </c>
      <c r="P5625" s="1" t="s">
        <v>1771</v>
      </c>
      <c r="Q5625" s="3">
        <v>1</v>
      </c>
      <c r="R5625" s="23" t="s">
        <v>11739</v>
      </c>
      <c r="S5625" s="23" t="s">
        <v>5849</v>
      </c>
      <c r="T5625" s="23" t="s">
        <v>4866</v>
      </c>
      <c r="U5625" s="3">
        <v>35</v>
      </c>
      <c r="W5625" s="45" t="str">
        <f>HYPERLINK("http://ictvonline.org/taxonomy/p/taxonomy-history?taxnode_id=201902752","ICTVonline=201902752")</f>
        <v>ICTVonline=201902752</v>
      </c>
      <c r="AA5625" s="1">
        <v>201900000</v>
      </c>
      <c r="AB5625" s="1">
        <v>35</v>
      </c>
    </row>
    <row r="5626" spans="1:28" x14ac:dyDescent="0.2">
      <c r="A5626" s="1">
        <v>14516</v>
      </c>
      <c r="B5626" s="1" t="s">
        <v>6839</v>
      </c>
      <c r="D5626" s="1" t="s">
        <v>11735</v>
      </c>
      <c r="L5626" s="1" t="s">
        <v>1757</v>
      </c>
      <c r="N5626" s="1" t="s">
        <v>1772</v>
      </c>
      <c r="P5626" s="1" t="s">
        <v>1773</v>
      </c>
      <c r="Q5626" s="3">
        <v>1</v>
      </c>
      <c r="R5626" s="23" t="s">
        <v>11739</v>
      </c>
      <c r="S5626" s="23" t="s">
        <v>5849</v>
      </c>
      <c r="T5626" s="23" t="s">
        <v>4866</v>
      </c>
      <c r="U5626" s="3">
        <v>35</v>
      </c>
      <c r="W5626" s="45" t="str">
        <f>HYPERLINK("http://ictvonline.org/taxonomy/p/taxonomy-history?taxnode_id=201902754","ICTVonline=201902754")</f>
        <v>ICTVonline=201902754</v>
      </c>
      <c r="AA5626" s="1">
        <v>201900000</v>
      </c>
      <c r="AB5626" s="1">
        <v>35</v>
      </c>
    </row>
    <row r="5627" spans="1:28" x14ac:dyDescent="0.2">
      <c r="A5627" s="1">
        <v>14518</v>
      </c>
      <c r="B5627" s="1" t="s">
        <v>6839</v>
      </c>
      <c r="D5627" s="1" t="s">
        <v>11735</v>
      </c>
      <c r="L5627" s="1" t="s">
        <v>1757</v>
      </c>
      <c r="N5627" s="1" t="s">
        <v>1772</v>
      </c>
      <c r="P5627" s="1" t="s">
        <v>15922</v>
      </c>
      <c r="Q5627" s="3">
        <v>0</v>
      </c>
      <c r="R5627" s="23" t="s">
        <v>11739</v>
      </c>
      <c r="S5627" s="23" t="s">
        <v>6849</v>
      </c>
      <c r="T5627" s="23" t="s">
        <v>4864</v>
      </c>
      <c r="U5627" s="3">
        <v>35</v>
      </c>
      <c r="V5627" s="3" t="s">
        <v>15923</v>
      </c>
      <c r="W5627" s="45" t="str">
        <f>HYPERLINK("http://ictvonline.org/taxonomy/p/taxonomy-history?taxnode_id=201908656","ICTVonline=201908656")</f>
        <v>ICTVonline=201908656</v>
      </c>
      <c r="X5627" s="1" t="s">
        <v>15924</v>
      </c>
      <c r="Y5627" s="1" t="s">
        <v>15925</v>
      </c>
      <c r="AA5627" s="1">
        <v>201900000</v>
      </c>
      <c r="AB5627" s="1">
        <v>35</v>
      </c>
    </row>
    <row r="5628" spans="1:28" x14ac:dyDescent="0.2">
      <c r="A5628" s="1">
        <v>14522</v>
      </c>
      <c r="B5628" s="1" t="s">
        <v>6839</v>
      </c>
      <c r="D5628" s="1" t="s">
        <v>11735</v>
      </c>
      <c r="L5628" s="1" t="s">
        <v>1757</v>
      </c>
      <c r="N5628" s="1" t="s">
        <v>15926</v>
      </c>
      <c r="P5628" s="1" t="s">
        <v>15927</v>
      </c>
      <c r="Q5628" s="3">
        <v>1</v>
      </c>
      <c r="R5628" s="23" t="s">
        <v>11739</v>
      </c>
      <c r="S5628" s="23" t="s">
        <v>6849</v>
      </c>
      <c r="T5628" s="23" t="s">
        <v>4864</v>
      </c>
      <c r="U5628" s="3">
        <v>35</v>
      </c>
      <c r="V5628" s="3" t="s">
        <v>15923</v>
      </c>
      <c r="W5628" s="45" t="str">
        <f>HYPERLINK("http://ictvonline.org/taxonomy/p/taxonomy-history?taxnode_id=201908651","ICTVonline=201908651")</f>
        <v>ICTVonline=201908651</v>
      </c>
      <c r="X5628" s="1" t="s">
        <v>15928</v>
      </c>
      <c r="Y5628" s="1" t="s">
        <v>15929</v>
      </c>
      <c r="AA5628" s="1">
        <v>201900000</v>
      </c>
      <c r="AB5628" s="1">
        <v>35</v>
      </c>
    </row>
    <row r="5629" spans="1:28" x14ac:dyDescent="0.2">
      <c r="A5629" s="1">
        <v>14526</v>
      </c>
      <c r="B5629" s="1" t="s">
        <v>6839</v>
      </c>
      <c r="D5629" s="1" t="s">
        <v>11735</v>
      </c>
      <c r="L5629" s="1" t="s">
        <v>1757</v>
      </c>
      <c r="N5629" s="1" t="s">
        <v>1774</v>
      </c>
      <c r="P5629" s="1" t="s">
        <v>1775</v>
      </c>
      <c r="Q5629" s="3">
        <v>1</v>
      </c>
      <c r="R5629" s="23" t="s">
        <v>11739</v>
      </c>
      <c r="S5629" s="23" t="s">
        <v>5849</v>
      </c>
      <c r="T5629" s="23" t="s">
        <v>4866</v>
      </c>
      <c r="U5629" s="3">
        <v>35</v>
      </c>
      <c r="W5629" s="45" t="str">
        <f>HYPERLINK("http://ictvonline.org/taxonomy/p/taxonomy-history?taxnode_id=201902756","ICTVonline=201902756")</f>
        <v>ICTVonline=201902756</v>
      </c>
      <c r="AA5629" s="1">
        <v>201900000</v>
      </c>
      <c r="AB5629" s="1">
        <v>35</v>
      </c>
    </row>
    <row r="5630" spans="1:28" x14ac:dyDescent="0.2">
      <c r="A5630" s="1">
        <v>14528</v>
      </c>
      <c r="B5630" s="1" t="s">
        <v>6839</v>
      </c>
      <c r="D5630" s="1" t="s">
        <v>11735</v>
      </c>
      <c r="L5630" s="1" t="s">
        <v>1757</v>
      </c>
      <c r="N5630" s="1" t="s">
        <v>1774</v>
      </c>
      <c r="P5630" s="1" t="s">
        <v>15930</v>
      </c>
      <c r="Q5630" s="3">
        <v>0</v>
      </c>
      <c r="R5630" s="23" t="s">
        <v>11739</v>
      </c>
      <c r="S5630" s="23" t="s">
        <v>6849</v>
      </c>
      <c r="T5630" s="23" t="s">
        <v>4864</v>
      </c>
      <c r="U5630" s="3">
        <v>35</v>
      </c>
      <c r="V5630" s="3" t="s">
        <v>15923</v>
      </c>
      <c r="W5630" s="45" t="str">
        <f>HYPERLINK("http://ictvonline.org/taxonomy/p/taxonomy-history?taxnode_id=201908649","ICTVonline=201908649")</f>
        <v>ICTVonline=201908649</v>
      </c>
      <c r="X5630" s="1" t="s">
        <v>15931</v>
      </c>
      <c r="Y5630" s="1" t="s">
        <v>15932</v>
      </c>
      <c r="AA5630" s="1">
        <v>201900000</v>
      </c>
      <c r="AB5630" s="1">
        <v>35</v>
      </c>
    </row>
    <row r="5631" spans="1:28" x14ac:dyDescent="0.2">
      <c r="A5631" s="1">
        <v>14532</v>
      </c>
      <c r="B5631" s="1" t="s">
        <v>6839</v>
      </c>
      <c r="D5631" s="1" t="s">
        <v>11735</v>
      </c>
      <c r="L5631" s="1" t="s">
        <v>1757</v>
      </c>
      <c r="N5631" s="1" t="s">
        <v>15933</v>
      </c>
      <c r="P5631" s="1" t="s">
        <v>15934</v>
      </c>
      <c r="Q5631" s="3">
        <v>1</v>
      </c>
      <c r="R5631" s="23" t="s">
        <v>11739</v>
      </c>
      <c r="S5631" s="23" t="s">
        <v>6849</v>
      </c>
      <c r="T5631" s="23" t="s">
        <v>4864</v>
      </c>
      <c r="U5631" s="3">
        <v>35</v>
      </c>
      <c r="V5631" s="3" t="s">
        <v>15923</v>
      </c>
      <c r="W5631" s="45" t="str">
        <f>HYPERLINK("http://ictvonline.org/taxonomy/p/taxonomy-history?taxnode_id=201908653","ICTVonline=201908653")</f>
        <v>ICTVonline=201908653</v>
      </c>
      <c r="X5631" s="1" t="s">
        <v>15935</v>
      </c>
      <c r="Y5631" s="1" t="s">
        <v>15936</v>
      </c>
      <c r="Z5631" s="1" t="s">
        <v>15937</v>
      </c>
      <c r="AA5631" s="1">
        <v>201900000</v>
      </c>
      <c r="AB5631" s="1">
        <v>35</v>
      </c>
    </row>
    <row r="5632" spans="1:28" x14ac:dyDescent="0.2">
      <c r="A5632" s="1">
        <v>14536</v>
      </c>
      <c r="B5632" s="1" t="s">
        <v>6839</v>
      </c>
      <c r="D5632" s="1" t="s">
        <v>11735</v>
      </c>
      <c r="L5632" s="1" t="s">
        <v>1757</v>
      </c>
      <c r="N5632" s="1" t="s">
        <v>15938</v>
      </c>
      <c r="P5632" s="1" t="s">
        <v>15939</v>
      </c>
      <c r="Q5632" s="3">
        <v>1</v>
      </c>
      <c r="R5632" s="23" t="s">
        <v>11739</v>
      </c>
      <c r="S5632" s="23" t="s">
        <v>6849</v>
      </c>
      <c r="T5632" s="23" t="s">
        <v>4864</v>
      </c>
      <c r="U5632" s="3">
        <v>35</v>
      </c>
      <c r="V5632" s="3" t="s">
        <v>15923</v>
      </c>
      <c r="W5632" s="45" t="str">
        <f>HYPERLINK("http://ictvonline.org/taxonomy/p/taxonomy-history?taxnode_id=201908655","ICTVonline=201908655")</f>
        <v>ICTVonline=201908655</v>
      </c>
      <c r="X5632" s="1" t="s">
        <v>15940</v>
      </c>
      <c r="Y5632" s="1" t="s">
        <v>15941</v>
      </c>
      <c r="AA5632" s="1">
        <v>201900000</v>
      </c>
      <c r="AB5632" s="1">
        <v>35</v>
      </c>
    </row>
    <row r="5633" spans="1:28" x14ac:dyDescent="0.2">
      <c r="A5633" s="1">
        <v>14542</v>
      </c>
      <c r="B5633" s="1" t="s">
        <v>6839</v>
      </c>
      <c r="D5633" s="1" t="s">
        <v>11735</v>
      </c>
      <c r="L5633" s="1" t="s">
        <v>187</v>
      </c>
      <c r="N5633" s="1" t="s">
        <v>188</v>
      </c>
      <c r="P5633" s="1" t="s">
        <v>1844</v>
      </c>
      <c r="Q5633" s="3">
        <v>0</v>
      </c>
      <c r="R5633" s="23" t="s">
        <v>11933</v>
      </c>
      <c r="S5633" s="23" t="s">
        <v>5849</v>
      </c>
      <c r="T5633" s="23" t="s">
        <v>4866</v>
      </c>
      <c r="U5633" s="3">
        <v>35</v>
      </c>
      <c r="W5633" s="45" t="str">
        <f>HYPERLINK("http://ictvonline.org/taxonomy/p/taxonomy-history?taxnode_id=201904288","ICTVonline=201904288")</f>
        <v>ICTVonline=201904288</v>
      </c>
      <c r="AA5633" s="1">
        <v>201900000</v>
      </c>
      <c r="AB5633" s="1">
        <v>35</v>
      </c>
    </row>
    <row r="5634" spans="1:28" x14ac:dyDescent="0.2">
      <c r="A5634" s="1">
        <v>14544</v>
      </c>
      <c r="B5634" s="1" t="s">
        <v>6839</v>
      </c>
      <c r="D5634" s="1" t="s">
        <v>11735</v>
      </c>
      <c r="L5634" s="1" t="s">
        <v>187</v>
      </c>
      <c r="N5634" s="1" t="s">
        <v>188</v>
      </c>
      <c r="P5634" s="1" t="s">
        <v>1848</v>
      </c>
      <c r="Q5634" s="3">
        <v>1</v>
      </c>
      <c r="R5634" s="23" t="s">
        <v>11933</v>
      </c>
      <c r="S5634" s="23" t="s">
        <v>5849</v>
      </c>
      <c r="T5634" s="23" t="s">
        <v>4866</v>
      </c>
      <c r="U5634" s="3">
        <v>35</v>
      </c>
      <c r="W5634" s="45" t="str">
        <f>HYPERLINK("http://ictvonline.org/taxonomy/p/taxonomy-history?taxnode_id=201904289","ICTVonline=201904289")</f>
        <v>ICTVonline=201904289</v>
      </c>
      <c r="AA5634" s="1">
        <v>201900000</v>
      </c>
      <c r="AB5634" s="1">
        <v>35</v>
      </c>
    </row>
    <row r="5635" spans="1:28" x14ac:dyDescent="0.2">
      <c r="A5635" s="1">
        <v>14549</v>
      </c>
      <c r="B5635" s="1" t="s">
        <v>6839</v>
      </c>
      <c r="D5635" s="1" t="s">
        <v>11735</v>
      </c>
      <c r="N5635" s="1" t="s">
        <v>3968</v>
      </c>
      <c r="P5635" s="1" t="s">
        <v>3969</v>
      </c>
      <c r="Q5635" s="3">
        <v>1</v>
      </c>
      <c r="R5635" s="23" t="s">
        <v>11739</v>
      </c>
      <c r="S5635" s="23" t="s">
        <v>5849</v>
      </c>
      <c r="T5635" s="23" t="s">
        <v>4866</v>
      </c>
      <c r="U5635" s="3">
        <v>35</v>
      </c>
      <c r="W5635" s="45" t="str">
        <f>HYPERLINK("http://ictvonline.org/taxonomy/p/taxonomy-history?taxnode_id=201905343","ICTVonline=201905343")</f>
        <v>ICTVonline=201905343</v>
      </c>
      <c r="Y5635" s="1" t="s">
        <v>15942</v>
      </c>
      <c r="Z5635" s="1" t="s">
        <v>15943</v>
      </c>
      <c r="AA5635" s="1">
        <v>201900000</v>
      </c>
      <c r="AB5635" s="1">
        <v>35</v>
      </c>
    </row>
    <row r="5636" spans="1:28" x14ac:dyDescent="0.2">
      <c r="A5636" s="1">
        <v>14559</v>
      </c>
      <c r="B5636" s="1" t="s">
        <v>6839</v>
      </c>
      <c r="D5636" s="1" t="s">
        <v>15944</v>
      </c>
      <c r="F5636" s="1" t="s">
        <v>15945</v>
      </c>
      <c r="H5636" s="1" t="s">
        <v>15946</v>
      </c>
      <c r="J5636" s="1" t="s">
        <v>15947</v>
      </c>
      <c r="L5636" s="1" t="s">
        <v>245</v>
      </c>
      <c r="N5636" s="1" t="s">
        <v>1233</v>
      </c>
      <c r="P5636" s="1" t="s">
        <v>1234</v>
      </c>
      <c r="Q5636" s="3">
        <v>1</v>
      </c>
      <c r="R5636" s="23" t="s">
        <v>15948</v>
      </c>
      <c r="S5636" s="23" t="s">
        <v>5849</v>
      </c>
      <c r="T5636" s="23" t="s">
        <v>4866</v>
      </c>
      <c r="U5636" s="3">
        <v>35</v>
      </c>
      <c r="W5636" s="45" t="str">
        <f>HYPERLINK("http://ictvonline.org/taxonomy/p/taxonomy-history?taxnode_id=201903648","ICTVonline=201903648")</f>
        <v>ICTVonline=201903648</v>
      </c>
      <c r="AA5636" s="1">
        <v>201900000</v>
      </c>
      <c r="AB5636" s="1">
        <v>35</v>
      </c>
    </row>
    <row r="5637" spans="1:28" x14ac:dyDescent="0.2">
      <c r="A5637" s="1">
        <v>14561</v>
      </c>
      <c r="B5637" s="1" t="s">
        <v>6839</v>
      </c>
      <c r="D5637" s="1" t="s">
        <v>15944</v>
      </c>
      <c r="F5637" s="1" t="s">
        <v>15945</v>
      </c>
      <c r="H5637" s="1" t="s">
        <v>15946</v>
      </c>
      <c r="J5637" s="1" t="s">
        <v>15947</v>
      </c>
      <c r="L5637" s="1" t="s">
        <v>245</v>
      </c>
      <c r="N5637" s="1" t="s">
        <v>1233</v>
      </c>
      <c r="P5637" s="1" t="s">
        <v>1235</v>
      </c>
      <c r="Q5637" s="3">
        <v>0</v>
      </c>
      <c r="R5637" s="23" t="s">
        <v>15948</v>
      </c>
      <c r="S5637" s="23" t="s">
        <v>5849</v>
      </c>
      <c r="T5637" s="23" t="s">
        <v>4866</v>
      </c>
      <c r="U5637" s="3">
        <v>35</v>
      </c>
      <c r="W5637" s="45" t="str">
        <f>HYPERLINK("http://ictvonline.org/taxonomy/p/taxonomy-history?taxnode_id=201903649","ICTVonline=201903649")</f>
        <v>ICTVonline=201903649</v>
      </c>
      <c r="AA5637" s="1">
        <v>201900000</v>
      </c>
      <c r="AB5637" s="1">
        <v>35</v>
      </c>
    </row>
    <row r="5638" spans="1:28" x14ac:dyDescent="0.2">
      <c r="A5638" s="1">
        <v>14563</v>
      </c>
      <c r="B5638" s="1" t="s">
        <v>6839</v>
      </c>
      <c r="D5638" s="1" t="s">
        <v>15944</v>
      </c>
      <c r="F5638" s="1" t="s">
        <v>15945</v>
      </c>
      <c r="H5638" s="1" t="s">
        <v>15946</v>
      </c>
      <c r="J5638" s="1" t="s">
        <v>15947</v>
      </c>
      <c r="L5638" s="1" t="s">
        <v>245</v>
      </c>
      <c r="N5638" s="1" t="s">
        <v>1233</v>
      </c>
      <c r="P5638" s="1" t="s">
        <v>4733</v>
      </c>
      <c r="Q5638" s="3">
        <v>0</v>
      </c>
      <c r="R5638" s="23" t="s">
        <v>15948</v>
      </c>
      <c r="S5638" s="23" t="s">
        <v>5849</v>
      </c>
      <c r="T5638" s="23" t="s">
        <v>4866</v>
      </c>
      <c r="U5638" s="3">
        <v>35</v>
      </c>
      <c r="W5638" s="45" t="str">
        <f>HYPERLINK("http://ictvonline.org/taxonomy/p/taxonomy-history?taxnode_id=201903650","ICTVonline=201903650")</f>
        <v>ICTVonline=201903650</v>
      </c>
      <c r="Y5638" s="1" t="s">
        <v>15949</v>
      </c>
      <c r="Z5638" s="1" t="s">
        <v>15950</v>
      </c>
      <c r="AA5638" s="1">
        <v>201900000</v>
      </c>
      <c r="AB5638" s="1">
        <v>35</v>
      </c>
    </row>
    <row r="5639" spans="1:28" x14ac:dyDescent="0.2">
      <c r="A5639" s="1">
        <v>14567</v>
      </c>
      <c r="B5639" s="1" t="s">
        <v>6839</v>
      </c>
      <c r="D5639" s="1" t="s">
        <v>15944</v>
      </c>
      <c r="F5639" s="1" t="s">
        <v>15945</v>
      </c>
      <c r="H5639" s="1" t="s">
        <v>15946</v>
      </c>
      <c r="J5639" s="1" t="s">
        <v>15947</v>
      </c>
      <c r="L5639" s="1" t="s">
        <v>245</v>
      </c>
      <c r="N5639" s="1" t="s">
        <v>15951</v>
      </c>
      <c r="P5639" s="1" t="s">
        <v>5373</v>
      </c>
      <c r="Q5639" s="3">
        <v>1</v>
      </c>
      <c r="R5639" s="23" t="s">
        <v>15948</v>
      </c>
      <c r="S5639" s="23" t="s">
        <v>6849</v>
      </c>
      <c r="T5639" s="23" t="s">
        <v>6395</v>
      </c>
      <c r="U5639" s="3">
        <v>35</v>
      </c>
      <c r="V5639" s="3" t="s">
        <v>15952</v>
      </c>
      <c r="W5639" s="45" t="str">
        <f>HYPERLINK("http://ictvonline.org/taxonomy/p/taxonomy-history?taxnode_id=201905860","ICTVonline=201905860")</f>
        <v>ICTVonline=201905860</v>
      </c>
      <c r="X5639" s="1" t="s">
        <v>15953</v>
      </c>
      <c r="Y5639" s="1" t="s">
        <v>15954</v>
      </c>
      <c r="Z5639" s="1">
        <v>243398</v>
      </c>
      <c r="AA5639" s="1">
        <v>201900000</v>
      </c>
      <c r="AB5639" s="1">
        <v>35</v>
      </c>
    </row>
    <row r="5640" spans="1:28" x14ac:dyDescent="0.2">
      <c r="A5640" s="1">
        <v>14571</v>
      </c>
      <c r="B5640" s="1" t="s">
        <v>6839</v>
      </c>
      <c r="D5640" s="1" t="s">
        <v>15944</v>
      </c>
      <c r="F5640" s="1" t="s">
        <v>15945</v>
      </c>
      <c r="H5640" s="1" t="s">
        <v>15946</v>
      </c>
      <c r="J5640" s="1" t="s">
        <v>15947</v>
      </c>
      <c r="L5640" s="1" t="s">
        <v>245</v>
      </c>
      <c r="N5640" s="1" t="s">
        <v>15955</v>
      </c>
      <c r="P5640" s="1" t="s">
        <v>15956</v>
      </c>
      <c r="Q5640" s="3">
        <v>1</v>
      </c>
      <c r="R5640" s="23" t="s">
        <v>15948</v>
      </c>
      <c r="S5640" s="23" t="s">
        <v>6849</v>
      </c>
      <c r="T5640" s="23" t="s">
        <v>6031</v>
      </c>
      <c r="U5640" s="3">
        <v>35</v>
      </c>
      <c r="V5640" s="3" t="s">
        <v>15952</v>
      </c>
      <c r="W5640" s="45" t="str">
        <f>HYPERLINK("http://ictvonline.org/taxonomy/p/taxonomy-history?taxnode_id=201905859","ICTVonline=201905859")</f>
        <v>ICTVonline=201905859</v>
      </c>
      <c r="X5640" s="1" t="s">
        <v>15957</v>
      </c>
      <c r="Y5640" s="1" t="s">
        <v>15958</v>
      </c>
      <c r="AA5640" s="1">
        <v>201900000</v>
      </c>
      <c r="AB5640" s="1">
        <v>35</v>
      </c>
    </row>
    <row r="5641" spans="1:28" x14ac:dyDescent="0.2">
      <c r="A5641" s="1">
        <v>14575</v>
      </c>
      <c r="B5641" s="1" t="s">
        <v>6839</v>
      </c>
      <c r="D5641" s="1" t="s">
        <v>15944</v>
      </c>
      <c r="F5641" s="1" t="s">
        <v>15945</v>
      </c>
      <c r="H5641" s="1" t="s">
        <v>15946</v>
      </c>
      <c r="J5641" s="1" t="s">
        <v>15947</v>
      </c>
      <c r="L5641" s="1" t="s">
        <v>245</v>
      </c>
      <c r="N5641" s="1" t="s">
        <v>1236</v>
      </c>
      <c r="P5641" s="1" t="s">
        <v>6778</v>
      </c>
      <c r="Q5641" s="3">
        <v>0</v>
      </c>
      <c r="R5641" s="23" t="s">
        <v>15948</v>
      </c>
      <c r="S5641" s="23" t="s">
        <v>5849</v>
      </c>
      <c r="T5641" s="23" t="s">
        <v>4866</v>
      </c>
      <c r="U5641" s="3">
        <v>35</v>
      </c>
      <c r="W5641" s="45" t="str">
        <f>HYPERLINK("http://ictvonline.org/taxonomy/p/taxonomy-history?taxnode_id=201906328","ICTVonline=201906328")</f>
        <v>ICTVonline=201906328</v>
      </c>
      <c r="X5641" s="1" t="s">
        <v>15959</v>
      </c>
      <c r="Y5641" s="1" t="s">
        <v>15960</v>
      </c>
      <c r="Z5641" s="1" t="s">
        <v>15961</v>
      </c>
      <c r="AA5641" s="1">
        <v>201900000</v>
      </c>
      <c r="AB5641" s="1">
        <v>35</v>
      </c>
    </row>
    <row r="5642" spans="1:28" x14ac:dyDescent="0.2">
      <c r="A5642" s="1">
        <v>14577</v>
      </c>
      <c r="B5642" s="1" t="s">
        <v>6839</v>
      </c>
      <c r="D5642" s="1" t="s">
        <v>15944</v>
      </c>
      <c r="F5642" s="1" t="s">
        <v>15945</v>
      </c>
      <c r="H5642" s="1" t="s">
        <v>15946</v>
      </c>
      <c r="J5642" s="1" t="s">
        <v>15947</v>
      </c>
      <c r="L5642" s="1" t="s">
        <v>245</v>
      </c>
      <c r="N5642" s="1" t="s">
        <v>1236</v>
      </c>
      <c r="P5642" s="1" t="s">
        <v>15962</v>
      </c>
      <c r="Q5642" s="3">
        <v>0</v>
      </c>
      <c r="R5642" s="23" t="s">
        <v>15948</v>
      </c>
      <c r="S5642" s="23" t="s">
        <v>6849</v>
      </c>
      <c r="T5642" s="23" t="s">
        <v>4864</v>
      </c>
      <c r="U5642" s="3">
        <v>35</v>
      </c>
      <c r="V5642" s="3" t="s">
        <v>15963</v>
      </c>
      <c r="W5642" s="45" t="str">
        <f>HYPERLINK("http://ictvonline.org/taxonomy/p/taxonomy-history?taxnode_id=201907260","ICTVonline=201907260")</f>
        <v>ICTVonline=201907260</v>
      </c>
      <c r="X5642" s="1" t="s">
        <v>15964</v>
      </c>
      <c r="Y5642" s="1" t="s">
        <v>15965</v>
      </c>
      <c r="Z5642" s="1" t="s">
        <v>15966</v>
      </c>
      <c r="AA5642" s="1">
        <v>201900000</v>
      </c>
      <c r="AB5642" s="1">
        <v>35</v>
      </c>
    </row>
    <row r="5643" spans="1:28" x14ac:dyDescent="0.2">
      <c r="A5643" s="1">
        <v>14579</v>
      </c>
      <c r="B5643" s="1" t="s">
        <v>6839</v>
      </c>
      <c r="D5643" s="1" t="s">
        <v>15944</v>
      </c>
      <c r="F5643" s="1" t="s">
        <v>15945</v>
      </c>
      <c r="H5643" s="1" t="s">
        <v>15946</v>
      </c>
      <c r="J5643" s="1" t="s">
        <v>15947</v>
      </c>
      <c r="L5643" s="1" t="s">
        <v>245</v>
      </c>
      <c r="N5643" s="1" t="s">
        <v>1236</v>
      </c>
      <c r="P5643" s="1" t="s">
        <v>15967</v>
      </c>
      <c r="Q5643" s="3">
        <v>0</v>
      </c>
      <c r="R5643" s="23" t="s">
        <v>15948</v>
      </c>
      <c r="S5643" s="23" t="s">
        <v>6849</v>
      </c>
      <c r="T5643" s="23" t="s">
        <v>4864</v>
      </c>
      <c r="U5643" s="3">
        <v>35</v>
      </c>
      <c r="V5643" s="3" t="s">
        <v>15963</v>
      </c>
      <c r="W5643" s="45" t="str">
        <f>HYPERLINK("http://ictvonline.org/taxonomy/p/taxonomy-history?taxnode_id=201907258","ICTVonline=201907258")</f>
        <v>ICTVonline=201907258</v>
      </c>
      <c r="X5643" s="1" t="s">
        <v>15968</v>
      </c>
      <c r="Y5643" s="1" t="s">
        <v>15969</v>
      </c>
      <c r="Z5643" s="1" t="s">
        <v>15970</v>
      </c>
      <c r="AA5643" s="1">
        <v>201900000</v>
      </c>
      <c r="AB5643" s="1">
        <v>35</v>
      </c>
    </row>
    <row r="5644" spans="1:28" x14ac:dyDescent="0.2">
      <c r="A5644" s="1">
        <v>14581</v>
      </c>
      <c r="B5644" s="1" t="s">
        <v>6839</v>
      </c>
      <c r="D5644" s="1" t="s">
        <v>15944</v>
      </c>
      <c r="F5644" s="1" t="s">
        <v>15945</v>
      </c>
      <c r="H5644" s="1" t="s">
        <v>15946</v>
      </c>
      <c r="J5644" s="1" t="s">
        <v>15947</v>
      </c>
      <c r="L5644" s="1" t="s">
        <v>245</v>
      </c>
      <c r="N5644" s="1" t="s">
        <v>1236</v>
      </c>
      <c r="P5644" s="1" t="s">
        <v>1237</v>
      </c>
      <c r="Q5644" s="3">
        <v>0</v>
      </c>
      <c r="R5644" s="23" t="s">
        <v>15948</v>
      </c>
      <c r="S5644" s="23" t="s">
        <v>5849</v>
      </c>
      <c r="T5644" s="23" t="s">
        <v>4866</v>
      </c>
      <c r="U5644" s="3">
        <v>35</v>
      </c>
      <c r="W5644" s="45" t="str">
        <f>HYPERLINK("http://ictvonline.org/taxonomy/p/taxonomy-history?taxnode_id=201903652","ICTVonline=201903652")</f>
        <v>ICTVonline=201903652</v>
      </c>
      <c r="AA5644" s="1">
        <v>201900000</v>
      </c>
      <c r="AB5644" s="1">
        <v>35</v>
      </c>
    </row>
    <row r="5645" spans="1:28" x14ac:dyDescent="0.2">
      <c r="A5645" s="1">
        <v>14583</v>
      </c>
      <c r="B5645" s="1" t="s">
        <v>6839</v>
      </c>
      <c r="D5645" s="1" t="s">
        <v>15944</v>
      </c>
      <c r="F5645" s="1" t="s">
        <v>15945</v>
      </c>
      <c r="H5645" s="1" t="s">
        <v>15946</v>
      </c>
      <c r="J5645" s="1" t="s">
        <v>15947</v>
      </c>
      <c r="L5645" s="1" t="s">
        <v>245</v>
      </c>
      <c r="N5645" s="1" t="s">
        <v>1236</v>
      </c>
      <c r="P5645" s="1" t="s">
        <v>1238</v>
      </c>
      <c r="Q5645" s="3">
        <v>1</v>
      </c>
      <c r="R5645" s="23" t="s">
        <v>15948</v>
      </c>
      <c r="S5645" s="23" t="s">
        <v>5849</v>
      </c>
      <c r="T5645" s="23" t="s">
        <v>4866</v>
      </c>
      <c r="U5645" s="3">
        <v>35</v>
      </c>
      <c r="W5645" s="45" t="str">
        <f>HYPERLINK("http://ictvonline.org/taxonomy/p/taxonomy-history?taxnode_id=201903653","ICTVonline=201903653")</f>
        <v>ICTVonline=201903653</v>
      </c>
      <c r="AA5645" s="1">
        <v>201900000</v>
      </c>
      <c r="AB5645" s="1">
        <v>35</v>
      </c>
    </row>
    <row r="5646" spans="1:28" x14ac:dyDescent="0.2">
      <c r="A5646" s="1">
        <v>14585</v>
      </c>
      <c r="B5646" s="1" t="s">
        <v>6839</v>
      </c>
      <c r="D5646" s="1" t="s">
        <v>15944</v>
      </c>
      <c r="F5646" s="1" t="s">
        <v>15945</v>
      </c>
      <c r="H5646" s="1" t="s">
        <v>15946</v>
      </c>
      <c r="J5646" s="1" t="s">
        <v>15947</v>
      </c>
      <c r="L5646" s="1" t="s">
        <v>245</v>
      </c>
      <c r="N5646" s="1" t="s">
        <v>1236</v>
      </c>
      <c r="P5646" s="1" t="s">
        <v>3774</v>
      </c>
      <c r="Q5646" s="3">
        <v>0</v>
      </c>
      <c r="R5646" s="23" t="s">
        <v>15948</v>
      </c>
      <c r="S5646" s="23" t="s">
        <v>5849</v>
      </c>
      <c r="T5646" s="23" t="s">
        <v>4866</v>
      </c>
      <c r="U5646" s="3">
        <v>35</v>
      </c>
      <c r="W5646" s="45" t="str">
        <f>HYPERLINK("http://ictvonline.org/taxonomy/p/taxonomy-history?taxnode_id=201903654","ICTVonline=201903654")</f>
        <v>ICTVonline=201903654</v>
      </c>
      <c r="X5646" s="1" t="s">
        <v>15971</v>
      </c>
      <c r="Y5646" s="1" t="s">
        <v>15972</v>
      </c>
      <c r="AA5646" s="1">
        <v>201900000</v>
      </c>
      <c r="AB5646" s="1">
        <v>35</v>
      </c>
    </row>
    <row r="5647" spans="1:28" x14ac:dyDescent="0.2">
      <c r="A5647" s="1">
        <v>14587</v>
      </c>
      <c r="B5647" s="1" t="s">
        <v>6839</v>
      </c>
      <c r="D5647" s="1" t="s">
        <v>15944</v>
      </c>
      <c r="F5647" s="1" t="s">
        <v>15945</v>
      </c>
      <c r="H5647" s="1" t="s">
        <v>15946</v>
      </c>
      <c r="J5647" s="1" t="s">
        <v>15947</v>
      </c>
      <c r="L5647" s="1" t="s">
        <v>245</v>
      </c>
      <c r="N5647" s="1" t="s">
        <v>1236</v>
      </c>
      <c r="P5647" s="1" t="s">
        <v>4734</v>
      </c>
      <c r="Q5647" s="3">
        <v>0</v>
      </c>
      <c r="R5647" s="23" t="s">
        <v>15948</v>
      </c>
      <c r="S5647" s="23" t="s">
        <v>5849</v>
      </c>
      <c r="T5647" s="23" t="s">
        <v>4866</v>
      </c>
      <c r="U5647" s="3">
        <v>35</v>
      </c>
      <c r="W5647" s="45" t="str">
        <f>HYPERLINK("http://ictvonline.org/taxonomy/p/taxonomy-history?taxnode_id=201903655","ICTVonline=201903655")</f>
        <v>ICTVonline=201903655</v>
      </c>
      <c r="Y5647" s="1" t="s">
        <v>15973</v>
      </c>
      <c r="Z5647" s="1" t="s">
        <v>15974</v>
      </c>
      <c r="AA5647" s="1">
        <v>201900000</v>
      </c>
      <c r="AB5647" s="1">
        <v>35</v>
      </c>
    </row>
    <row r="5648" spans="1:28" x14ac:dyDescent="0.2">
      <c r="A5648" s="1">
        <v>14589</v>
      </c>
      <c r="B5648" s="1" t="s">
        <v>6839</v>
      </c>
      <c r="D5648" s="1" t="s">
        <v>15944</v>
      </c>
      <c r="F5648" s="1" t="s">
        <v>15945</v>
      </c>
      <c r="H5648" s="1" t="s">
        <v>15946</v>
      </c>
      <c r="J5648" s="1" t="s">
        <v>15947</v>
      </c>
      <c r="L5648" s="1" t="s">
        <v>245</v>
      </c>
      <c r="N5648" s="1" t="s">
        <v>1236</v>
      </c>
      <c r="P5648" s="1" t="s">
        <v>3775</v>
      </c>
      <c r="Q5648" s="3">
        <v>0</v>
      </c>
      <c r="R5648" s="23" t="s">
        <v>15948</v>
      </c>
      <c r="S5648" s="23" t="s">
        <v>5849</v>
      </c>
      <c r="T5648" s="23" t="s">
        <v>4866</v>
      </c>
      <c r="U5648" s="3">
        <v>35</v>
      </c>
      <c r="W5648" s="45" t="str">
        <f>HYPERLINK("http://ictvonline.org/taxonomy/p/taxonomy-history?taxnode_id=201903656","ICTVonline=201903656")</f>
        <v>ICTVonline=201903656</v>
      </c>
      <c r="Y5648" s="1" t="s">
        <v>15975</v>
      </c>
      <c r="Z5648" s="1" t="s">
        <v>15976</v>
      </c>
      <c r="AA5648" s="1">
        <v>201900000</v>
      </c>
      <c r="AB5648" s="1">
        <v>35</v>
      </c>
    </row>
    <row r="5649" spans="1:28" x14ac:dyDescent="0.2">
      <c r="A5649" s="1">
        <v>14591</v>
      </c>
      <c r="B5649" s="1" t="s">
        <v>6839</v>
      </c>
      <c r="D5649" s="1" t="s">
        <v>15944</v>
      </c>
      <c r="F5649" s="1" t="s">
        <v>15945</v>
      </c>
      <c r="H5649" s="1" t="s">
        <v>15946</v>
      </c>
      <c r="J5649" s="1" t="s">
        <v>15947</v>
      </c>
      <c r="L5649" s="1" t="s">
        <v>245</v>
      </c>
      <c r="N5649" s="1" t="s">
        <v>1236</v>
      </c>
      <c r="P5649" s="1" t="s">
        <v>15977</v>
      </c>
      <c r="Q5649" s="3">
        <v>0</v>
      </c>
      <c r="R5649" s="23" t="s">
        <v>15948</v>
      </c>
      <c r="S5649" s="23" t="s">
        <v>6849</v>
      </c>
      <c r="T5649" s="23" t="s">
        <v>4864</v>
      </c>
      <c r="U5649" s="3">
        <v>35</v>
      </c>
      <c r="V5649" s="3" t="s">
        <v>15963</v>
      </c>
      <c r="W5649" s="45" t="str">
        <f>HYPERLINK("http://ictvonline.org/taxonomy/p/taxonomy-history?taxnode_id=201907259","ICTVonline=201907259")</f>
        <v>ICTVonline=201907259</v>
      </c>
      <c r="X5649" s="1" t="s">
        <v>15978</v>
      </c>
      <c r="Y5649" s="1" t="s">
        <v>15979</v>
      </c>
      <c r="Z5649" s="1" t="s">
        <v>15980</v>
      </c>
      <c r="AA5649" s="1">
        <v>201900000</v>
      </c>
      <c r="AB5649" s="1">
        <v>35</v>
      </c>
    </row>
    <row r="5650" spans="1:28" x14ac:dyDescent="0.2">
      <c r="A5650" s="1">
        <v>14593</v>
      </c>
      <c r="B5650" s="1" t="s">
        <v>6839</v>
      </c>
      <c r="D5650" s="1" t="s">
        <v>15944</v>
      </c>
      <c r="F5650" s="1" t="s">
        <v>15945</v>
      </c>
      <c r="H5650" s="1" t="s">
        <v>15946</v>
      </c>
      <c r="J5650" s="1" t="s">
        <v>15947</v>
      </c>
      <c r="L5650" s="1" t="s">
        <v>245</v>
      </c>
      <c r="N5650" s="1" t="s">
        <v>1236</v>
      </c>
      <c r="P5650" s="1" t="s">
        <v>3776</v>
      </c>
      <c r="Q5650" s="3">
        <v>0</v>
      </c>
      <c r="R5650" s="23" t="s">
        <v>15948</v>
      </c>
      <c r="S5650" s="23" t="s">
        <v>5849</v>
      </c>
      <c r="T5650" s="23" t="s">
        <v>4866</v>
      </c>
      <c r="U5650" s="3">
        <v>35</v>
      </c>
      <c r="W5650" s="45" t="str">
        <f>HYPERLINK("http://ictvonline.org/taxonomy/p/taxonomy-history?taxnode_id=201903657","ICTVonline=201903657")</f>
        <v>ICTVonline=201903657</v>
      </c>
      <c r="Y5650" s="1" t="s">
        <v>15981</v>
      </c>
      <c r="Z5650" s="1" t="s">
        <v>15982</v>
      </c>
      <c r="AA5650" s="1">
        <v>201900000</v>
      </c>
      <c r="AB5650" s="1">
        <v>35</v>
      </c>
    </row>
    <row r="5651" spans="1:28" x14ac:dyDescent="0.2">
      <c r="A5651" s="1">
        <v>14595</v>
      </c>
      <c r="B5651" s="1" t="s">
        <v>6839</v>
      </c>
      <c r="D5651" s="1" t="s">
        <v>15944</v>
      </c>
      <c r="F5651" s="1" t="s">
        <v>15945</v>
      </c>
      <c r="H5651" s="1" t="s">
        <v>15946</v>
      </c>
      <c r="J5651" s="1" t="s">
        <v>15947</v>
      </c>
      <c r="L5651" s="1" t="s">
        <v>245</v>
      </c>
      <c r="N5651" s="1" t="s">
        <v>1236</v>
      </c>
      <c r="P5651" s="1" t="s">
        <v>1239</v>
      </c>
      <c r="Q5651" s="3">
        <v>0</v>
      </c>
      <c r="R5651" s="23" t="s">
        <v>15948</v>
      </c>
      <c r="S5651" s="23" t="s">
        <v>5849</v>
      </c>
      <c r="T5651" s="23" t="s">
        <v>4866</v>
      </c>
      <c r="U5651" s="3">
        <v>35</v>
      </c>
      <c r="W5651" s="45" t="str">
        <f>HYPERLINK("http://ictvonline.org/taxonomy/p/taxonomy-history?taxnode_id=201903658","ICTVonline=201903658")</f>
        <v>ICTVonline=201903658</v>
      </c>
      <c r="AA5651" s="1">
        <v>201900000</v>
      </c>
      <c r="AB5651" s="1">
        <v>35</v>
      </c>
    </row>
    <row r="5652" spans="1:28" x14ac:dyDescent="0.2">
      <c r="A5652" s="1">
        <v>14597</v>
      </c>
      <c r="B5652" s="1" t="s">
        <v>6839</v>
      </c>
      <c r="D5652" s="1" t="s">
        <v>15944</v>
      </c>
      <c r="F5652" s="1" t="s">
        <v>15945</v>
      </c>
      <c r="H5652" s="1" t="s">
        <v>15946</v>
      </c>
      <c r="J5652" s="1" t="s">
        <v>15947</v>
      </c>
      <c r="L5652" s="1" t="s">
        <v>245</v>
      </c>
      <c r="N5652" s="1" t="s">
        <v>1236</v>
      </c>
      <c r="P5652" s="1" t="s">
        <v>252</v>
      </c>
      <c r="Q5652" s="3">
        <v>0</v>
      </c>
      <c r="R5652" s="23" t="s">
        <v>15948</v>
      </c>
      <c r="S5652" s="23" t="s">
        <v>5849</v>
      </c>
      <c r="T5652" s="23" t="s">
        <v>4866</v>
      </c>
      <c r="U5652" s="3">
        <v>35</v>
      </c>
      <c r="W5652" s="45" t="str">
        <f>HYPERLINK("http://ictvonline.org/taxonomy/p/taxonomy-history?taxnode_id=201903659","ICTVonline=201903659")</f>
        <v>ICTVonline=201903659</v>
      </c>
      <c r="AA5652" s="1">
        <v>201900000</v>
      </c>
      <c r="AB5652" s="1">
        <v>35</v>
      </c>
    </row>
    <row r="5653" spans="1:28" x14ac:dyDescent="0.2">
      <c r="A5653" s="1">
        <v>14601</v>
      </c>
      <c r="B5653" s="1" t="s">
        <v>6839</v>
      </c>
      <c r="D5653" s="1" t="s">
        <v>15944</v>
      </c>
      <c r="F5653" s="1" t="s">
        <v>15945</v>
      </c>
      <c r="H5653" s="1" t="s">
        <v>15946</v>
      </c>
      <c r="J5653" s="1" t="s">
        <v>15947</v>
      </c>
      <c r="L5653" s="1" t="s">
        <v>245</v>
      </c>
      <c r="N5653" s="1" t="s">
        <v>15983</v>
      </c>
      <c r="P5653" s="1" t="s">
        <v>4735</v>
      </c>
      <c r="Q5653" s="3">
        <v>1</v>
      </c>
      <c r="R5653" s="23" t="s">
        <v>15948</v>
      </c>
      <c r="S5653" s="23" t="s">
        <v>6849</v>
      </c>
      <c r="T5653" s="23" t="s">
        <v>6395</v>
      </c>
      <c r="U5653" s="3">
        <v>35</v>
      </c>
      <c r="V5653" s="3" t="s">
        <v>15952</v>
      </c>
      <c r="W5653" s="45" t="str">
        <f>HYPERLINK("http://ictvonline.org/taxonomy/p/taxonomy-history?taxnode_id=201903661","ICTVonline=201903661")</f>
        <v>ICTVonline=201903661</v>
      </c>
      <c r="X5653" s="1" t="s">
        <v>15984</v>
      </c>
      <c r="Y5653" s="1" t="s">
        <v>15985</v>
      </c>
      <c r="Z5653" s="1" t="s">
        <v>15986</v>
      </c>
      <c r="AA5653" s="1">
        <v>201900000</v>
      </c>
      <c r="AB5653" s="1">
        <v>35</v>
      </c>
    </row>
    <row r="5654" spans="1:28" x14ac:dyDescent="0.2">
      <c r="A5654" s="1">
        <v>14609</v>
      </c>
      <c r="B5654" s="1" t="s">
        <v>6839</v>
      </c>
      <c r="D5654" s="1" t="s">
        <v>15944</v>
      </c>
      <c r="F5654" s="1" t="s">
        <v>15945</v>
      </c>
      <c r="H5654" s="1" t="s">
        <v>15946</v>
      </c>
      <c r="J5654" s="1" t="s">
        <v>5042</v>
      </c>
      <c r="L5654" s="1" t="s">
        <v>5043</v>
      </c>
      <c r="N5654" s="1" t="s">
        <v>2003</v>
      </c>
      <c r="P5654" s="1" t="s">
        <v>2004</v>
      </c>
      <c r="Q5654" s="3">
        <v>0</v>
      </c>
      <c r="R5654" s="23" t="s">
        <v>15987</v>
      </c>
      <c r="S5654" s="23" t="s">
        <v>6847</v>
      </c>
      <c r="T5654" s="23" t="s">
        <v>4866</v>
      </c>
      <c r="U5654" s="3">
        <v>35</v>
      </c>
      <c r="W5654" s="45" t="str">
        <f>HYPERLINK("http://ictvonline.org/taxonomy/p/taxonomy-history?taxnode_id=201903847","ICTVonline=201903847")</f>
        <v>ICTVonline=201903847</v>
      </c>
      <c r="AA5654" s="1">
        <v>201900000</v>
      </c>
      <c r="AB5654" s="1">
        <v>35</v>
      </c>
    </row>
    <row r="5655" spans="1:28" x14ac:dyDescent="0.2">
      <c r="A5655" s="1">
        <v>14611</v>
      </c>
      <c r="B5655" s="1" t="s">
        <v>6839</v>
      </c>
      <c r="D5655" s="1" t="s">
        <v>15944</v>
      </c>
      <c r="F5655" s="1" t="s">
        <v>15945</v>
      </c>
      <c r="H5655" s="1" t="s">
        <v>15946</v>
      </c>
      <c r="J5655" s="1" t="s">
        <v>5042</v>
      </c>
      <c r="L5655" s="1" t="s">
        <v>5043</v>
      </c>
      <c r="N5655" s="1" t="s">
        <v>2003</v>
      </c>
      <c r="P5655" s="1" t="s">
        <v>5044</v>
      </c>
      <c r="Q5655" s="3">
        <v>0</v>
      </c>
      <c r="R5655" s="23" t="s">
        <v>15987</v>
      </c>
      <c r="S5655" s="23" t="s">
        <v>6847</v>
      </c>
      <c r="T5655" s="23" t="s">
        <v>4866</v>
      </c>
      <c r="U5655" s="3">
        <v>35</v>
      </c>
      <c r="W5655" s="45" t="str">
        <f>HYPERLINK("http://ictvonline.org/taxonomy/p/taxonomy-history?taxnode_id=201905584","ICTVonline=201905584")</f>
        <v>ICTVonline=201905584</v>
      </c>
      <c r="AA5655" s="1">
        <v>201900000</v>
      </c>
      <c r="AB5655" s="1">
        <v>35</v>
      </c>
    </row>
    <row r="5656" spans="1:28" x14ac:dyDescent="0.2">
      <c r="A5656" s="1">
        <v>14613</v>
      </c>
      <c r="B5656" s="1" t="s">
        <v>6839</v>
      </c>
      <c r="D5656" s="1" t="s">
        <v>15944</v>
      </c>
      <c r="F5656" s="1" t="s">
        <v>15945</v>
      </c>
      <c r="H5656" s="1" t="s">
        <v>15946</v>
      </c>
      <c r="J5656" s="1" t="s">
        <v>5042</v>
      </c>
      <c r="L5656" s="1" t="s">
        <v>5043</v>
      </c>
      <c r="N5656" s="1" t="s">
        <v>2003</v>
      </c>
      <c r="P5656" s="1" t="s">
        <v>2005</v>
      </c>
      <c r="Q5656" s="3">
        <v>1</v>
      </c>
      <c r="R5656" s="23" t="s">
        <v>15987</v>
      </c>
      <c r="S5656" s="23" t="s">
        <v>6847</v>
      </c>
      <c r="T5656" s="23" t="s">
        <v>4866</v>
      </c>
      <c r="U5656" s="3">
        <v>35</v>
      </c>
      <c r="W5656" s="45" t="str">
        <f>HYPERLINK("http://ictvonline.org/taxonomy/p/taxonomy-history?taxnode_id=201903848","ICTVonline=201903848")</f>
        <v>ICTVonline=201903848</v>
      </c>
      <c r="AA5656" s="1">
        <v>201900000</v>
      </c>
      <c r="AB5656" s="1">
        <v>35</v>
      </c>
    </row>
    <row r="5657" spans="1:28" x14ac:dyDescent="0.2">
      <c r="A5657" s="1">
        <v>14615</v>
      </c>
      <c r="B5657" s="1" t="s">
        <v>6839</v>
      </c>
      <c r="D5657" s="1" t="s">
        <v>15944</v>
      </c>
      <c r="F5657" s="1" t="s">
        <v>15945</v>
      </c>
      <c r="H5657" s="1" t="s">
        <v>15946</v>
      </c>
      <c r="J5657" s="1" t="s">
        <v>5042</v>
      </c>
      <c r="L5657" s="1" t="s">
        <v>5043</v>
      </c>
      <c r="N5657" s="1" t="s">
        <v>2003</v>
      </c>
      <c r="P5657" s="1" t="s">
        <v>2006</v>
      </c>
      <c r="Q5657" s="3">
        <v>0</v>
      </c>
      <c r="R5657" s="23" t="s">
        <v>15987</v>
      </c>
      <c r="S5657" s="23" t="s">
        <v>6847</v>
      </c>
      <c r="T5657" s="23" t="s">
        <v>4866</v>
      </c>
      <c r="U5657" s="3">
        <v>35</v>
      </c>
      <c r="W5657" s="45" t="str">
        <f>HYPERLINK("http://ictvonline.org/taxonomy/p/taxonomy-history?taxnode_id=201903849","ICTVonline=201903849")</f>
        <v>ICTVonline=201903849</v>
      </c>
      <c r="AA5657" s="1">
        <v>201900000</v>
      </c>
      <c r="AB5657" s="1">
        <v>35</v>
      </c>
    </row>
    <row r="5658" spans="1:28" x14ac:dyDescent="0.2">
      <c r="A5658" s="1">
        <v>14617</v>
      </c>
      <c r="B5658" s="1" t="s">
        <v>6839</v>
      </c>
      <c r="D5658" s="1" t="s">
        <v>15944</v>
      </c>
      <c r="F5658" s="1" t="s">
        <v>15945</v>
      </c>
      <c r="H5658" s="1" t="s">
        <v>15946</v>
      </c>
      <c r="J5658" s="1" t="s">
        <v>5042</v>
      </c>
      <c r="L5658" s="1" t="s">
        <v>5043</v>
      </c>
      <c r="N5658" s="1" t="s">
        <v>2003</v>
      </c>
      <c r="P5658" s="1" t="s">
        <v>1149</v>
      </c>
      <c r="Q5658" s="3">
        <v>0</v>
      </c>
      <c r="R5658" s="23" t="s">
        <v>15987</v>
      </c>
      <c r="S5658" s="23" t="s">
        <v>6847</v>
      </c>
      <c r="T5658" s="23" t="s">
        <v>4866</v>
      </c>
      <c r="U5658" s="3">
        <v>35</v>
      </c>
      <c r="W5658" s="45" t="str">
        <f>HYPERLINK("http://ictvonline.org/taxonomy/p/taxonomy-history?taxnode_id=201903850","ICTVonline=201903850")</f>
        <v>ICTVonline=201903850</v>
      </c>
      <c r="AA5658" s="1">
        <v>201900000</v>
      </c>
      <c r="AB5658" s="1">
        <v>35</v>
      </c>
    </row>
    <row r="5659" spans="1:28" x14ac:dyDescent="0.2">
      <c r="A5659" s="1">
        <v>14619</v>
      </c>
      <c r="B5659" s="1" t="s">
        <v>6839</v>
      </c>
      <c r="D5659" s="1" t="s">
        <v>15944</v>
      </c>
      <c r="F5659" s="1" t="s">
        <v>15945</v>
      </c>
      <c r="H5659" s="1" t="s">
        <v>15946</v>
      </c>
      <c r="J5659" s="1" t="s">
        <v>5042</v>
      </c>
      <c r="L5659" s="1" t="s">
        <v>5043</v>
      </c>
      <c r="N5659" s="1" t="s">
        <v>2003</v>
      </c>
      <c r="P5659" s="1" t="s">
        <v>1150</v>
      </c>
      <c r="Q5659" s="3">
        <v>0</v>
      </c>
      <c r="R5659" s="23" t="s">
        <v>15987</v>
      </c>
      <c r="S5659" s="23" t="s">
        <v>6847</v>
      </c>
      <c r="T5659" s="23" t="s">
        <v>4866</v>
      </c>
      <c r="U5659" s="3">
        <v>35</v>
      </c>
      <c r="W5659" s="45" t="str">
        <f>HYPERLINK("http://ictvonline.org/taxonomy/p/taxonomy-history?taxnode_id=201903851","ICTVonline=201903851")</f>
        <v>ICTVonline=201903851</v>
      </c>
      <c r="AA5659" s="1">
        <v>201900000</v>
      </c>
      <c r="AB5659" s="1">
        <v>35</v>
      </c>
    </row>
    <row r="5660" spans="1:28" x14ac:dyDescent="0.2">
      <c r="A5660" s="1">
        <v>14621</v>
      </c>
      <c r="B5660" s="1" t="s">
        <v>6839</v>
      </c>
      <c r="D5660" s="1" t="s">
        <v>15944</v>
      </c>
      <c r="F5660" s="1" t="s">
        <v>15945</v>
      </c>
      <c r="H5660" s="1" t="s">
        <v>15946</v>
      </c>
      <c r="J5660" s="1" t="s">
        <v>5042</v>
      </c>
      <c r="L5660" s="1" t="s">
        <v>5043</v>
      </c>
      <c r="N5660" s="1" t="s">
        <v>2003</v>
      </c>
      <c r="P5660" s="1" t="s">
        <v>1151</v>
      </c>
      <c r="Q5660" s="3">
        <v>0</v>
      </c>
      <c r="R5660" s="23" t="s">
        <v>15987</v>
      </c>
      <c r="S5660" s="23" t="s">
        <v>6847</v>
      </c>
      <c r="T5660" s="23" t="s">
        <v>4866</v>
      </c>
      <c r="U5660" s="3">
        <v>35</v>
      </c>
      <c r="W5660" s="45" t="str">
        <f>HYPERLINK("http://ictvonline.org/taxonomy/p/taxonomy-history?taxnode_id=201903852","ICTVonline=201903852")</f>
        <v>ICTVonline=201903852</v>
      </c>
      <c r="AA5660" s="1">
        <v>201900000</v>
      </c>
      <c r="AB5660" s="1">
        <v>35</v>
      </c>
    </row>
    <row r="5661" spans="1:28" x14ac:dyDescent="0.2">
      <c r="A5661" s="1">
        <v>14623</v>
      </c>
      <c r="B5661" s="1" t="s">
        <v>6839</v>
      </c>
      <c r="D5661" s="1" t="s">
        <v>15944</v>
      </c>
      <c r="F5661" s="1" t="s">
        <v>15945</v>
      </c>
      <c r="H5661" s="1" t="s">
        <v>15946</v>
      </c>
      <c r="J5661" s="1" t="s">
        <v>5042</v>
      </c>
      <c r="L5661" s="1" t="s">
        <v>5043</v>
      </c>
      <c r="N5661" s="1" t="s">
        <v>2003</v>
      </c>
      <c r="P5661" s="1" t="s">
        <v>5045</v>
      </c>
      <c r="Q5661" s="3">
        <v>0</v>
      </c>
      <c r="R5661" s="23" t="s">
        <v>15987</v>
      </c>
      <c r="S5661" s="23" t="s">
        <v>6847</v>
      </c>
      <c r="T5661" s="23" t="s">
        <v>4866</v>
      </c>
      <c r="U5661" s="3">
        <v>35</v>
      </c>
      <c r="W5661" s="45" t="str">
        <f>HYPERLINK("http://ictvonline.org/taxonomy/p/taxonomy-history?taxnode_id=201905585","ICTVonline=201905585")</f>
        <v>ICTVonline=201905585</v>
      </c>
      <c r="AA5661" s="1">
        <v>201900000</v>
      </c>
      <c r="AB5661" s="1">
        <v>35</v>
      </c>
    </row>
    <row r="5662" spans="1:28" x14ac:dyDescent="0.2">
      <c r="A5662" s="1">
        <v>14625</v>
      </c>
      <c r="B5662" s="1" t="s">
        <v>6839</v>
      </c>
      <c r="D5662" s="1" t="s">
        <v>15944</v>
      </c>
      <c r="F5662" s="1" t="s">
        <v>15945</v>
      </c>
      <c r="H5662" s="1" t="s">
        <v>15946</v>
      </c>
      <c r="J5662" s="1" t="s">
        <v>5042</v>
      </c>
      <c r="L5662" s="1" t="s">
        <v>5043</v>
      </c>
      <c r="N5662" s="1" t="s">
        <v>2003</v>
      </c>
      <c r="P5662" s="1" t="s">
        <v>1670</v>
      </c>
      <c r="Q5662" s="3">
        <v>0</v>
      </c>
      <c r="R5662" s="23" t="s">
        <v>15987</v>
      </c>
      <c r="S5662" s="23" t="s">
        <v>6847</v>
      </c>
      <c r="T5662" s="23" t="s">
        <v>4866</v>
      </c>
      <c r="U5662" s="3">
        <v>35</v>
      </c>
      <c r="W5662" s="45" t="str">
        <f>HYPERLINK("http://ictvonline.org/taxonomy/p/taxonomy-history?taxnode_id=201903853","ICTVonline=201903853")</f>
        <v>ICTVonline=201903853</v>
      </c>
      <c r="AA5662" s="1">
        <v>201900000</v>
      </c>
      <c r="AB5662" s="1">
        <v>35</v>
      </c>
    </row>
    <row r="5663" spans="1:28" x14ac:dyDescent="0.2">
      <c r="A5663" s="1">
        <v>14627</v>
      </c>
      <c r="B5663" s="1" t="s">
        <v>6839</v>
      </c>
      <c r="D5663" s="1" t="s">
        <v>15944</v>
      </c>
      <c r="F5663" s="1" t="s">
        <v>15945</v>
      </c>
      <c r="H5663" s="1" t="s">
        <v>15946</v>
      </c>
      <c r="J5663" s="1" t="s">
        <v>5042</v>
      </c>
      <c r="L5663" s="1" t="s">
        <v>5043</v>
      </c>
      <c r="N5663" s="1" t="s">
        <v>2003</v>
      </c>
      <c r="P5663" s="1" t="s">
        <v>5046</v>
      </c>
      <c r="Q5663" s="3">
        <v>0</v>
      </c>
      <c r="R5663" s="23" t="s">
        <v>15987</v>
      </c>
      <c r="S5663" s="23" t="s">
        <v>6847</v>
      </c>
      <c r="T5663" s="23" t="s">
        <v>4866</v>
      </c>
      <c r="U5663" s="3">
        <v>35</v>
      </c>
      <c r="W5663" s="45" t="str">
        <f>HYPERLINK("http://ictvonline.org/taxonomy/p/taxonomy-history?taxnode_id=201905586","ICTVonline=201905586")</f>
        <v>ICTVonline=201905586</v>
      </c>
      <c r="AA5663" s="1">
        <v>201900000</v>
      </c>
      <c r="AB5663" s="1">
        <v>35</v>
      </c>
    </row>
    <row r="5664" spans="1:28" x14ac:dyDescent="0.2">
      <c r="A5664" s="1">
        <v>14629</v>
      </c>
      <c r="B5664" s="1" t="s">
        <v>6839</v>
      </c>
      <c r="D5664" s="1" t="s">
        <v>15944</v>
      </c>
      <c r="F5664" s="1" t="s">
        <v>15945</v>
      </c>
      <c r="H5664" s="1" t="s">
        <v>15946</v>
      </c>
      <c r="J5664" s="1" t="s">
        <v>5042</v>
      </c>
      <c r="L5664" s="1" t="s">
        <v>5043</v>
      </c>
      <c r="N5664" s="1" t="s">
        <v>2003</v>
      </c>
      <c r="P5664" s="1" t="s">
        <v>5047</v>
      </c>
      <c r="Q5664" s="3">
        <v>0</v>
      </c>
      <c r="R5664" s="23" t="s">
        <v>15987</v>
      </c>
      <c r="S5664" s="23" t="s">
        <v>6847</v>
      </c>
      <c r="T5664" s="23" t="s">
        <v>4866</v>
      </c>
      <c r="U5664" s="3">
        <v>35</v>
      </c>
      <c r="W5664" s="45" t="str">
        <f>HYPERLINK("http://ictvonline.org/taxonomy/p/taxonomy-history?taxnode_id=201903854","ICTVonline=201903854")</f>
        <v>ICTVonline=201903854</v>
      </c>
      <c r="AA5664" s="1">
        <v>201900000</v>
      </c>
      <c r="AB5664" s="1">
        <v>35</v>
      </c>
    </row>
    <row r="5665" spans="1:28" x14ac:dyDescent="0.2">
      <c r="A5665" s="1">
        <v>14635</v>
      </c>
      <c r="B5665" s="1" t="s">
        <v>6839</v>
      </c>
      <c r="D5665" s="1" t="s">
        <v>15944</v>
      </c>
      <c r="F5665" s="1" t="s">
        <v>15945</v>
      </c>
      <c r="H5665" s="1" t="s">
        <v>15946</v>
      </c>
      <c r="J5665" s="1" t="s">
        <v>5042</v>
      </c>
      <c r="L5665" s="1" t="s">
        <v>2000</v>
      </c>
      <c r="N5665" s="1" t="s">
        <v>2001</v>
      </c>
      <c r="P5665" s="1" t="s">
        <v>2002</v>
      </c>
      <c r="Q5665" s="3">
        <v>0</v>
      </c>
      <c r="R5665" s="23" t="s">
        <v>15948</v>
      </c>
      <c r="S5665" s="23" t="s">
        <v>6847</v>
      </c>
      <c r="T5665" s="23" t="s">
        <v>4866</v>
      </c>
      <c r="U5665" s="3">
        <v>35</v>
      </c>
      <c r="W5665" s="45" t="str">
        <f>HYPERLINK("http://ictvonline.org/taxonomy/p/taxonomy-history?taxnode_id=201902819","ICTVonline=201902819")</f>
        <v>ICTVonline=201902819</v>
      </c>
      <c r="AA5665" s="1">
        <v>201900000</v>
      </c>
      <c r="AB5665" s="1">
        <v>35</v>
      </c>
    </row>
    <row r="5666" spans="1:28" x14ac:dyDescent="0.2">
      <c r="A5666" s="1">
        <v>14637</v>
      </c>
      <c r="B5666" s="1" t="s">
        <v>6839</v>
      </c>
      <c r="D5666" s="1" t="s">
        <v>15944</v>
      </c>
      <c r="F5666" s="1" t="s">
        <v>15945</v>
      </c>
      <c r="H5666" s="1" t="s">
        <v>15946</v>
      </c>
      <c r="J5666" s="1" t="s">
        <v>5042</v>
      </c>
      <c r="L5666" s="1" t="s">
        <v>2000</v>
      </c>
      <c r="N5666" s="1" t="s">
        <v>2001</v>
      </c>
      <c r="P5666" s="1" t="s">
        <v>2113</v>
      </c>
      <c r="Q5666" s="3">
        <v>0</v>
      </c>
      <c r="R5666" s="23" t="s">
        <v>15948</v>
      </c>
      <c r="S5666" s="23" t="s">
        <v>6847</v>
      </c>
      <c r="T5666" s="23" t="s">
        <v>4866</v>
      </c>
      <c r="U5666" s="3">
        <v>35</v>
      </c>
      <c r="W5666" s="45" t="str">
        <f>HYPERLINK("http://ictvonline.org/taxonomy/p/taxonomy-history?taxnode_id=201902820","ICTVonline=201902820")</f>
        <v>ICTVonline=201902820</v>
      </c>
      <c r="Y5666" s="1" t="s">
        <v>15988</v>
      </c>
      <c r="Z5666" s="1" t="s">
        <v>15989</v>
      </c>
      <c r="AA5666" s="1">
        <v>201900000</v>
      </c>
      <c r="AB5666" s="1">
        <v>35</v>
      </c>
    </row>
    <row r="5667" spans="1:28" x14ac:dyDescent="0.2">
      <c r="A5667" s="1">
        <v>14639</v>
      </c>
      <c r="B5667" s="1" t="s">
        <v>6839</v>
      </c>
      <c r="D5667" s="1" t="s">
        <v>15944</v>
      </c>
      <c r="F5667" s="1" t="s">
        <v>15945</v>
      </c>
      <c r="H5667" s="1" t="s">
        <v>15946</v>
      </c>
      <c r="J5667" s="1" t="s">
        <v>5042</v>
      </c>
      <c r="L5667" s="1" t="s">
        <v>2000</v>
      </c>
      <c r="N5667" s="1" t="s">
        <v>2001</v>
      </c>
      <c r="P5667" s="1" t="s">
        <v>2646</v>
      </c>
      <c r="Q5667" s="3">
        <v>0</v>
      </c>
      <c r="R5667" s="23" t="s">
        <v>15948</v>
      </c>
      <c r="S5667" s="23" t="s">
        <v>6847</v>
      </c>
      <c r="T5667" s="23" t="s">
        <v>4866</v>
      </c>
      <c r="U5667" s="3">
        <v>35</v>
      </c>
      <c r="W5667" s="45" t="str">
        <f>HYPERLINK("http://ictvonline.org/taxonomy/p/taxonomy-history?taxnode_id=201902821","ICTVonline=201902821")</f>
        <v>ICTVonline=201902821</v>
      </c>
      <c r="X5667" s="1" t="s">
        <v>15990</v>
      </c>
      <c r="Y5667" s="1" t="s">
        <v>15991</v>
      </c>
      <c r="Z5667" s="1" t="s">
        <v>15992</v>
      </c>
      <c r="AA5667" s="1">
        <v>201900000</v>
      </c>
      <c r="AB5667" s="1">
        <v>35</v>
      </c>
    </row>
    <row r="5668" spans="1:28" x14ac:dyDescent="0.2">
      <c r="A5668" s="1">
        <v>14641</v>
      </c>
      <c r="B5668" s="1" t="s">
        <v>6839</v>
      </c>
      <c r="D5668" s="1" t="s">
        <v>15944</v>
      </c>
      <c r="F5668" s="1" t="s">
        <v>15945</v>
      </c>
      <c r="H5668" s="1" t="s">
        <v>15946</v>
      </c>
      <c r="J5668" s="1" t="s">
        <v>5042</v>
      </c>
      <c r="L5668" s="1" t="s">
        <v>2000</v>
      </c>
      <c r="N5668" s="1" t="s">
        <v>2001</v>
      </c>
      <c r="P5668" s="1" t="s">
        <v>560</v>
      </c>
      <c r="Q5668" s="3">
        <v>0</v>
      </c>
      <c r="R5668" s="23" t="s">
        <v>15948</v>
      </c>
      <c r="S5668" s="23" t="s">
        <v>6847</v>
      </c>
      <c r="T5668" s="23" t="s">
        <v>4866</v>
      </c>
      <c r="U5668" s="3">
        <v>35</v>
      </c>
      <c r="W5668" s="45" t="str">
        <f>HYPERLINK("http://ictvonline.org/taxonomy/p/taxonomy-history?taxnode_id=201902822","ICTVonline=201902822")</f>
        <v>ICTVonline=201902822</v>
      </c>
      <c r="Y5668" s="1" t="s">
        <v>15993</v>
      </c>
      <c r="Z5668" s="1" t="s">
        <v>11206</v>
      </c>
      <c r="AA5668" s="1">
        <v>201900000</v>
      </c>
      <c r="AB5668" s="1">
        <v>35</v>
      </c>
    </row>
    <row r="5669" spans="1:28" x14ac:dyDescent="0.2">
      <c r="A5669" s="1">
        <v>14643</v>
      </c>
      <c r="B5669" s="1" t="s">
        <v>6839</v>
      </c>
      <c r="D5669" s="1" t="s">
        <v>15944</v>
      </c>
      <c r="F5669" s="1" t="s">
        <v>15945</v>
      </c>
      <c r="H5669" s="1" t="s">
        <v>15946</v>
      </c>
      <c r="J5669" s="1" t="s">
        <v>5042</v>
      </c>
      <c r="L5669" s="1" t="s">
        <v>2000</v>
      </c>
      <c r="N5669" s="1" t="s">
        <v>2001</v>
      </c>
      <c r="P5669" s="1" t="s">
        <v>2114</v>
      </c>
      <c r="Q5669" s="3">
        <v>0</v>
      </c>
      <c r="R5669" s="23" t="s">
        <v>15948</v>
      </c>
      <c r="S5669" s="23" t="s">
        <v>6847</v>
      </c>
      <c r="T5669" s="23" t="s">
        <v>4866</v>
      </c>
      <c r="U5669" s="3">
        <v>35</v>
      </c>
      <c r="W5669" s="45" t="str">
        <f>HYPERLINK("http://ictvonline.org/taxonomy/p/taxonomy-history?taxnode_id=201902823","ICTVonline=201902823")</f>
        <v>ICTVonline=201902823</v>
      </c>
      <c r="Y5669" s="1" t="s">
        <v>15994</v>
      </c>
      <c r="Z5669" s="1" t="s">
        <v>15573</v>
      </c>
      <c r="AA5669" s="1">
        <v>201900000</v>
      </c>
      <c r="AB5669" s="1">
        <v>35</v>
      </c>
    </row>
    <row r="5670" spans="1:28" x14ac:dyDescent="0.2">
      <c r="A5670" s="1">
        <v>14645</v>
      </c>
      <c r="B5670" s="1" t="s">
        <v>6839</v>
      </c>
      <c r="D5670" s="1" t="s">
        <v>15944</v>
      </c>
      <c r="F5670" s="1" t="s">
        <v>15945</v>
      </c>
      <c r="H5670" s="1" t="s">
        <v>15946</v>
      </c>
      <c r="J5670" s="1" t="s">
        <v>5042</v>
      </c>
      <c r="L5670" s="1" t="s">
        <v>2000</v>
      </c>
      <c r="N5670" s="1" t="s">
        <v>2001</v>
      </c>
      <c r="P5670" s="1" t="s">
        <v>2647</v>
      </c>
      <c r="Q5670" s="3">
        <v>0</v>
      </c>
      <c r="R5670" s="23" t="s">
        <v>15948</v>
      </c>
      <c r="S5670" s="23" t="s">
        <v>6847</v>
      </c>
      <c r="T5670" s="23" t="s">
        <v>4866</v>
      </c>
      <c r="U5670" s="3">
        <v>35</v>
      </c>
      <c r="W5670" s="45" t="str">
        <f>HYPERLINK("http://ictvonline.org/taxonomy/p/taxonomy-history?taxnode_id=201902824","ICTVonline=201902824")</f>
        <v>ICTVonline=201902824</v>
      </c>
      <c r="X5670" s="1" t="s">
        <v>15995</v>
      </c>
      <c r="Y5670" s="1" t="s">
        <v>15996</v>
      </c>
      <c r="Z5670" s="1" t="s">
        <v>15992</v>
      </c>
      <c r="AA5670" s="1">
        <v>201900000</v>
      </c>
      <c r="AB5670" s="1">
        <v>35</v>
      </c>
    </row>
    <row r="5671" spans="1:28" x14ac:dyDescent="0.2">
      <c r="A5671" s="1">
        <v>14647</v>
      </c>
      <c r="B5671" s="1" t="s">
        <v>6839</v>
      </c>
      <c r="D5671" s="1" t="s">
        <v>15944</v>
      </c>
      <c r="F5671" s="1" t="s">
        <v>15945</v>
      </c>
      <c r="H5671" s="1" t="s">
        <v>15946</v>
      </c>
      <c r="J5671" s="1" t="s">
        <v>5042</v>
      </c>
      <c r="L5671" s="1" t="s">
        <v>2000</v>
      </c>
      <c r="N5671" s="1" t="s">
        <v>2001</v>
      </c>
      <c r="P5671" s="1" t="s">
        <v>2648</v>
      </c>
      <c r="Q5671" s="3">
        <v>0</v>
      </c>
      <c r="R5671" s="23" t="s">
        <v>15948</v>
      </c>
      <c r="S5671" s="23" t="s">
        <v>6847</v>
      </c>
      <c r="T5671" s="23" t="s">
        <v>4866</v>
      </c>
      <c r="U5671" s="3">
        <v>35</v>
      </c>
      <c r="W5671" s="45" t="str">
        <f>HYPERLINK("http://ictvonline.org/taxonomy/p/taxonomy-history?taxnode_id=201902825","ICTVonline=201902825")</f>
        <v>ICTVonline=201902825</v>
      </c>
      <c r="X5671" s="1" t="s">
        <v>15997</v>
      </c>
      <c r="Y5671" s="1" t="s">
        <v>15998</v>
      </c>
      <c r="Z5671" s="1" t="s">
        <v>12420</v>
      </c>
      <c r="AA5671" s="1">
        <v>201900000</v>
      </c>
      <c r="AB5671" s="1">
        <v>35</v>
      </c>
    </row>
    <row r="5672" spans="1:28" x14ac:dyDescent="0.2">
      <c r="A5672" s="1">
        <v>14649</v>
      </c>
      <c r="B5672" s="1" t="s">
        <v>6839</v>
      </c>
      <c r="D5672" s="1" t="s">
        <v>15944</v>
      </c>
      <c r="F5672" s="1" t="s">
        <v>15945</v>
      </c>
      <c r="H5672" s="1" t="s">
        <v>15946</v>
      </c>
      <c r="J5672" s="1" t="s">
        <v>5042</v>
      </c>
      <c r="L5672" s="1" t="s">
        <v>2000</v>
      </c>
      <c r="N5672" s="1" t="s">
        <v>2001</v>
      </c>
      <c r="P5672" s="1" t="s">
        <v>2649</v>
      </c>
      <c r="Q5672" s="3">
        <v>0</v>
      </c>
      <c r="R5672" s="23" t="s">
        <v>15948</v>
      </c>
      <c r="S5672" s="23" t="s">
        <v>6847</v>
      </c>
      <c r="T5672" s="23" t="s">
        <v>4866</v>
      </c>
      <c r="U5672" s="3">
        <v>35</v>
      </c>
      <c r="W5672" s="45" t="str">
        <f>HYPERLINK("http://ictvonline.org/taxonomy/p/taxonomy-history?taxnode_id=201902826","ICTVonline=201902826")</f>
        <v>ICTVonline=201902826</v>
      </c>
      <c r="X5672" s="1" t="s">
        <v>15999</v>
      </c>
      <c r="Y5672" s="1" t="s">
        <v>16000</v>
      </c>
      <c r="Z5672" s="1" t="s">
        <v>12420</v>
      </c>
      <c r="AA5672" s="1">
        <v>201900000</v>
      </c>
      <c r="AB5672" s="1">
        <v>35</v>
      </c>
    </row>
    <row r="5673" spans="1:28" x14ac:dyDescent="0.2">
      <c r="A5673" s="1">
        <v>14651</v>
      </c>
      <c r="B5673" s="1" t="s">
        <v>6839</v>
      </c>
      <c r="D5673" s="1" t="s">
        <v>15944</v>
      </c>
      <c r="F5673" s="1" t="s">
        <v>15945</v>
      </c>
      <c r="H5673" s="1" t="s">
        <v>15946</v>
      </c>
      <c r="J5673" s="1" t="s">
        <v>5042</v>
      </c>
      <c r="L5673" s="1" t="s">
        <v>2000</v>
      </c>
      <c r="N5673" s="1" t="s">
        <v>2001</v>
      </c>
      <c r="P5673" s="1" t="s">
        <v>2650</v>
      </c>
      <c r="Q5673" s="3">
        <v>0</v>
      </c>
      <c r="R5673" s="23" t="s">
        <v>15948</v>
      </c>
      <c r="S5673" s="23" t="s">
        <v>6847</v>
      </c>
      <c r="T5673" s="23" t="s">
        <v>4866</v>
      </c>
      <c r="U5673" s="3">
        <v>35</v>
      </c>
      <c r="W5673" s="45" t="str">
        <f>HYPERLINK("http://ictvonline.org/taxonomy/p/taxonomy-history?taxnode_id=201902827","ICTVonline=201902827")</f>
        <v>ICTVonline=201902827</v>
      </c>
      <c r="X5673" s="1" t="s">
        <v>16001</v>
      </c>
      <c r="Y5673" s="1" t="s">
        <v>16002</v>
      </c>
      <c r="Z5673" s="1" t="s">
        <v>12420</v>
      </c>
      <c r="AA5673" s="1">
        <v>201900000</v>
      </c>
      <c r="AB5673" s="1">
        <v>35</v>
      </c>
    </row>
    <row r="5674" spans="1:28" x14ac:dyDescent="0.2">
      <c r="A5674" s="1">
        <v>14653</v>
      </c>
      <c r="B5674" s="1" t="s">
        <v>6839</v>
      </c>
      <c r="D5674" s="1" t="s">
        <v>15944</v>
      </c>
      <c r="F5674" s="1" t="s">
        <v>15945</v>
      </c>
      <c r="H5674" s="1" t="s">
        <v>15946</v>
      </c>
      <c r="J5674" s="1" t="s">
        <v>5042</v>
      </c>
      <c r="L5674" s="1" t="s">
        <v>2000</v>
      </c>
      <c r="N5674" s="1" t="s">
        <v>2001</v>
      </c>
      <c r="P5674" s="1" t="s">
        <v>75</v>
      </c>
      <c r="Q5674" s="3">
        <v>0</v>
      </c>
      <c r="R5674" s="23" t="s">
        <v>15948</v>
      </c>
      <c r="S5674" s="23" t="s">
        <v>6847</v>
      </c>
      <c r="T5674" s="23" t="s">
        <v>4866</v>
      </c>
      <c r="U5674" s="3">
        <v>35</v>
      </c>
      <c r="W5674" s="45" t="str">
        <f>HYPERLINK("http://ictvonline.org/taxonomy/p/taxonomy-history?taxnode_id=201902828","ICTVonline=201902828")</f>
        <v>ICTVonline=201902828</v>
      </c>
      <c r="Y5674" s="1" t="s">
        <v>16003</v>
      </c>
      <c r="Z5674" s="1" t="s">
        <v>16004</v>
      </c>
      <c r="AA5674" s="1">
        <v>201900000</v>
      </c>
      <c r="AB5674" s="1">
        <v>35</v>
      </c>
    </row>
    <row r="5675" spans="1:28" x14ac:dyDescent="0.2">
      <c r="A5675" s="1">
        <v>14655</v>
      </c>
      <c r="B5675" s="1" t="s">
        <v>6839</v>
      </c>
      <c r="D5675" s="1" t="s">
        <v>15944</v>
      </c>
      <c r="F5675" s="1" t="s">
        <v>15945</v>
      </c>
      <c r="H5675" s="1" t="s">
        <v>15946</v>
      </c>
      <c r="J5675" s="1" t="s">
        <v>5042</v>
      </c>
      <c r="L5675" s="1" t="s">
        <v>2000</v>
      </c>
      <c r="N5675" s="1" t="s">
        <v>2001</v>
      </c>
      <c r="P5675" s="1" t="s">
        <v>6592</v>
      </c>
      <c r="Q5675" s="3">
        <v>0</v>
      </c>
      <c r="R5675" s="23" t="s">
        <v>15948</v>
      </c>
      <c r="S5675" s="23" t="s">
        <v>6847</v>
      </c>
      <c r="T5675" s="23" t="s">
        <v>4866</v>
      </c>
      <c r="U5675" s="3">
        <v>35</v>
      </c>
      <c r="W5675" s="45" t="str">
        <f>HYPERLINK("http://ictvonline.org/taxonomy/p/taxonomy-history?taxnode_id=201906641","ICTVonline=201906641")</f>
        <v>ICTVonline=201906641</v>
      </c>
      <c r="X5675" s="1" t="s">
        <v>16005</v>
      </c>
      <c r="Y5675" s="1" t="s">
        <v>16006</v>
      </c>
      <c r="Z5675" s="1" t="s">
        <v>16007</v>
      </c>
      <c r="AA5675" s="1">
        <v>201900000</v>
      </c>
      <c r="AB5675" s="1">
        <v>35</v>
      </c>
    </row>
    <row r="5676" spans="1:28" x14ac:dyDescent="0.2">
      <c r="A5676" s="1">
        <v>14657</v>
      </c>
      <c r="B5676" s="1" t="s">
        <v>6839</v>
      </c>
      <c r="D5676" s="1" t="s">
        <v>15944</v>
      </c>
      <c r="F5676" s="1" t="s">
        <v>15945</v>
      </c>
      <c r="H5676" s="1" t="s">
        <v>15946</v>
      </c>
      <c r="J5676" s="1" t="s">
        <v>5042</v>
      </c>
      <c r="L5676" s="1" t="s">
        <v>2000</v>
      </c>
      <c r="N5676" s="1" t="s">
        <v>2001</v>
      </c>
      <c r="P5676" s="1" t="s">
        <v>6593</v>
      </c>
      <c r="Q5676" s="3">
        <v>0</v>
      </c>
      <c r="R5676" s="23" t="s">
        <v>15948</v>
      </c>
      <c r="S5676" s="23" t="s">
        <v>6847</v>
      </c>
      <c r="T5676" s="23" t="s">
        <v>4866</v>
      </c>
      <c r="U5676" s="3">
        <v>35</v>
      </c>
      <c r="W5676" s="45" t="str">
        <f>HYPERLINK("http://ictvonline.org/taxonomy/p/taxonomy-history?taxnode_id=201906642","ICTVonline=201906642")</f>
        <v>ICTVonline=201906642</v>
      </c>
      <c r="X5676" s="1" t="s">
        <v>16008</v>
      </c>
      <c r="Y5676" s="1" t="s">
        <v>16009</v>
      </c>
      <c r="Z5676" s="1" t="s">
        <v>16010</v>
      </c>
      <c r="AA5676" s="1">
        <v>201900000</v>
      </c>
      <c r="AB5676" s="1">
        <v>35</v>
      </c>
    </row>
    <row r="5677" spans="1:28" x14ac:dyDescent="0.2">
      <c r="A5677" s="1">
        <v>14659</v>
      </c>
      <c r="B5677" s="1" t="s">
        <v>6839</v>
      </c>
      <c r="D5677" s="1" t="s">
        <v>15944</v>
      </c>
      <c r="F5677" s="1" t="s">
        <v>15945</v>
      </c>
      <c r="H5677" s="1" t="s">
        <v>15946</v>
      </c>
      <c r="J5677" s="1" t="s">
        <v>5042</v>
      </c>
      <c r="L5677" s="1" t="s">
        <v>2000</v>
      </c>
      <c r="N5677" s="1" t="s">
        <v>2001</v>
      </c>
      <c r="P5677" s="1" t="s">
        <v>76</v>
      </c>
      <c r="Q5677" s="3">
        <v>0</v>
      </c>
      <c r="R5677" s="23" t="s">
        <v>15948</v>
      </c>
      <c r="S5677" s="23" t="s">
        <v>6847</v>
      </c>
      <c r="T5677" s="23" t="s">
        <v>4866</v>
      </c>
      <c r="U5677" s="3">
        <v>35</v>
      </c>
      <c r="W5677" s="45" t="str">
        <f>HYPERLINK("http://ictvonline.org/taxonomy/p/taxonomy-history?taxnode_id=201902829","ICTVonline=201902829")</f>
        <v>ICTVonline=201902829</v>
      </c>
      <c r="Y5677" s="1" t="s">
        <v>16011</v>
      </c>
      <c r="Z5677" s="1" t="s">
        <v>12312</v>
      </c>
      <c r="AA5677" s="1">
        <v>201900000</v>
      </c>
      <c r="AB5677" s="1">
        <v>35</v>
      </c>
    </row>
    <row r="5678" spans="1:28" x14ac:dyDescent="0.2">
      <c r="A5678" s="1">
        <v>14661</v>
      </c>
      <c r="B5678" s="1" t="s">
        <v>6839</v>
      </c>
      <c r="D5678" s="1" t="s">
        <v>15944</v>
      </c>
      <c r="F5678" s="1" t="s">
        <v>15945</v>
      </c>
      <c r="H5678" s="1" t="s">
        <v>15946</v>
      </c>
      <c r="J5678" s="1" t="s">
        <v>5042</v>
      </c>
      <c r="L5678" s="1" t="s">
        <v>2000</v>
      </c>
      <c r="N5678" s="1" t="s">
        <v>2001</v>
      </c>
      <c r="P5678" s="1" t="s">
        <v>6594</v>
      </c>
      <c r="Q5678" s="3">
        <v>0</v>
      </c>
      <c r="R5678" s="23" t="s">
        <v>15948</v>
      </c>
      <c r="S5678" s="23" t="s">
        <v>6847</v>
      </c>
      <c r="T5678" s="23" t="s">
        <v>4866</v>
      </c>
      <c r="U5678" s="3">
        <v>35</v>
      </c>
      <c r="W5678" s="45" t="str">
        <f>HYPERLINK("http://ictvonline.org/taxonomy/p/taxonomy-history?taxnode_id=201906647","ICTVonline=201906647")</f>
        <v>ICTVonline=201906647</v>
      </c>
      <c r="X5678" s="1" t="s">
        <v>16012</v>
      </c>
      <c r="Y5678" s="1" t="s">
        <v>16013</v>
      </c>
      <c r="Z5678" s="1" t="s">
        <v>16014</v>
      </c>
      <c r="AA5678" s="1">
        <v>201900000</v>
      </c>
      <c r="AB5678" s="1">
        <v>35</v>
      </c>
    </row>
    <row r="5679" spans="1:28" x14ac:dyDescent="0.2">
      <c r="A5679" s="1">
        <v>14663</v>
      </c>
      <c r="B5679" s="1" t="s">
        <v>6839</v>
      </c>
      <c r="D5679" s="1" t="s">
        <v>15944</v>
      </c>
      <c r="F5679" s="1" t="s">
        <v>15945</v>
      </c>
      <c r="H5679" s="1" t="s">
        <v>15946</v>
      </c>
      <c r="J5679" s="1" t="s">
        <v>5042</v>
      </c>
      <c r="L5679" s="1" t="s">
        <v>2000</v>
      </c>
      <c r="N5679" s="1" t="s">
        <v>2001</v>
      </c>
      <c r="P5679" s="1" t="s">
        <v>5048</v>
      </c>
      <c r="Q5679" s="3">
        <v>0</v>
      </c>
      <c r="R5679" s="23" t="s">
        <v>15948</v>
      </c>
      <c r="S5679" s="23" t="s">
        <v>6847</v>
      </c>
      <c r="T5679" s="23" t="s">
        <v>4866</v>
      </c>
      <c r="U5679" s="3">
        <v>35</v>
      </c>
      <c r="W5679" s="45" t="str">
        <f>HYPERLINK("http://ictvonline.org/taxonomy/p/taxonomy-history?taxnode_id=201905761","ICTVonline=201905761")</f>
        <v>ICTVonline=201905761</v>
      </c>
      <c r="AA5679" s="1">
        <v>201900000</v>
      </c>
      <c r="AB5679" s="1">
        <v>35</v>
      </c>
    </row>
    <row r="5680" spans="1:28" x14ac:dyDescent="0.2">
      <c r="A5680" s="1">
        <v>14665</v>
      </c>
      <c r="B5680" s="1" t="s">
        <v>6839</v>
      </c>
      <c r="D5680" s="1" t="s">
        <v>15944</v>
      </c>
      <c r="F5680" s="1" t="s">
        <v>15945</v>
      </c>
      <c r="H5680" s="1" t="s">
        <v>15946</v>
      </c>
      <c r="J5680" s="1" t="s">
        <v>5042</v>
      </c>
      <c r="L5680" s="1" t="s">
        <v>2000</v>
      </c>
      <c r="N5680" s="1" t="s">
        <v>2001</v>
      </c>
      <c r="P5680" s="1" t="s">
        <v>3691</v>
      </c>
      <c r="Q5680" s="3">
        <v>0</v>
      </c>
      <c r="R5680" s="23" t="s">
        <v>15948</v>
      </c>
      <c r="S5680" s="23" t="s">
        <v>6847</v>
      </c>
      <c r="T5680" s="23" t="s">
        <v>4866</v>
      </c>
      <c r="U5680" s="3">
        <v>35</v>
      </c>
      <c r="W5680" s="45" t="str">
        <f>HYPERLINK("http://ictvonline.org/taxonomy/p/taxonomy-history?taxnode_id=201902830","ICTVonline=201902830")</f>
        <v>ICTVonline=201902830</v>
      </c>
      <c r="Y5680" s="1" t="s">
        <v>16015</v>
      </c>
      <c r="Z5680" s="1" t="s">
        <v>16016</v>
      </c>
      <c r="AA5680" s="1">
        <v>201900000</v>
      </c>
      <c r="AB5680" s="1">
        <v>35</v>
      </c>
    </row>
    <row r="5681" spans="1:28" x14ac:dyDescent="0.2">
      <c r="A5681" s="1">
        <v>14667</v>
      </c>
      <c r="B5681" s="1" t="s">
        <v>6839</v>
      </c>
      <c r="D5681" s="1" t="s">
        <v>15944</v>
      </c>
      <c r="F5681" s="1" t="s">
        <v>15945</v>
      </c>
      <c r="H5681" s="1" t="s">
        <v>15946</v>
      </c>
      <c r="J5681" s="1" t="s">
        <v>5042</v>
      </c>
      <c r="L5681" s="1" t="s">
        <v>2000</v>
      </c>
      <c r="N5681" s="1" t="s">
        <v>2001</v>
      </c>
      <c r="P5681" s="1" t="s">
        <v>6595</v>
      </c>
      <c r="Q5681" s="3">
        <v>0</v>
      </c>
      <c r="R5681" s="23" t="s">
        <v>15948</v>
      </c>
      <c r="S5681" s="23" t="s">
        <v>6847</v>
      </c>
      <c r="T5681" s="23" t="s">
        <v>4866</v>
      </c>
      <c r="U5681" s="3">
        <v>35</v>
      </c>
      <c r="W5681" s="45" t="str">
        <f>HYPERLINK("http://ictvonline.org/taxonomy/p/taxonomy-history?taxnode_id=201906643","ICTVonline=201906643")</f>
        <v>ICTVonline=201906643</v>
      </c>
      <c r="X5681" s="1" t="s">
        <v>16017</v>
      </c>
      <c r="Y5681" s="1" t="s">
        <v>16018</v>
      </c>
      <c r="Z5681" s="1" t="s">
        <v>16019</v>
      </c>
      <c r="AA5681" s="1">
        <v>201900000</v>
      </c>
      <c r="AB5681" s="1">
        <v>35</v>
      </c>
    </row>
    <row r="5682" spans="1:28" x14ac:dyDescent="0.2">
      <c r="A5682" s="1">
        <v>14669</v>
      </c>
      <c r="B5682" s="1" t="s">
        <v>6839</v>
      </c>
      <c r="D5682" s="1" t="s">
        <v>15944</v>
      </c>
      <c r="F5682" s="1" t="s">
        <v>15945</v>
      </c>
      <c r="H5682" s="1" t="s">
        <v>15946</v>
      </c>
      <c r="J5682" s="1" t="s">
        <v>5042</v>
      </c>
      <c r="L5682" s="1" t="s">
        <v>2000</v>
      </c>
      <c r="N5682" s="1" t="s">
        <v>2001</v>
      </c>
      <c r="P5682" s="1" t="s">
        <v>6596</v>
      </c>
      <c r="Q5682" s="3">
        <v>0</v>
      </c>
      <c r="R5682" s="23" t="s">
        <v>15948</v>
      </c>
      <c r="S5682" s="23" t="s">
        <v>6847</v>
      </c>
      <c r="T5682" s="23" t="s">
        <v>4866</v>
      </c>
      <c r="U5682" s="3">
        <v>35</v>
      </c>
      <c r="W5682" s="45" t="str">
        <f>HYPERLINK("http://ictvonline.org/taxonomy/p/taxonomy-history?taxnode_id=201906644","ICTVonline=201906644")</f>
        <v>ICTVonline=201906644</v>
      </c>
      <c r="X5682" s="1" t="s">
        <v>16020</v>
      </c>
      <c r="Y5682" s="1" t="s">
        <v>16021</v>
      </c>
      <c r="Z5682" s="1" t="s">
        <v>16022</v>
      </c>
      <c r="AA5682" s="1">
        <v>201900000</v>
      </c>
      <c r="AB5682" s="1">
        <v>35</v>
      </c>
    </row>
    <row r="5683" spans="1:28" x14ac:dyDescent="0.2">
      <c r="A5683" s="1">
        <v>14671</v>
      </c>
      <c r="B5683" s="1" t="s">
        <v>6839</v>
      </c>
      <c r="D5683" s="1" t="s">
        <v>15944</v>
      </c>
      <c r="F5683" s="1" t="s">
        <v>15945</v>
      </c>
      <c r="H5683" s="1" t="s">
        <v>15946</v>
      </c>
      <c r="J5683" s="1" t="s">
        <v>5042</v>
      </c>
      <c r="L5683" s="1" t="s">
        <v>2000</v>
      </c>
      <c r="N5683" s="1" t="s">
        <v>2001</v>
      </c>
      <c r="P5683" s="1" t="s">
        <v>6597</v>
      </c>
      <c r="Q5683" s="3">
        <v>0</v>
      </c>
      <c r="R5683" s="23" t="s">
        <v>15948</v>
      </c>
      <c r="S5683" s="23" t="s">
        <v>6847</v>
      </c>
      <c r="T5683" s="23" t="s">
        <v>4866</v>
      </c>
      <c r="U5683" s="3">
        <v>35</v>
      </c>
      <c r="W5683" s="45" t="str">
        <f>HYPERLINK("http://ictvonline.org/taxonomy/p/taxonomy-history?taxnode_id=201906645","ICTVonline=201906645")</f>
        <v>ICTVonline=201906645</v>
      </c>
      <c r="X5683" s="1" t="s">
        <v>16023</v>
      </c>
      <c r="Y5683" s="1" t="s">
        <v>16024</v>
      </c>
      <c r="Z5683" s="1" t="s">
        <v>16025</v>
      </c>
      <c r="AA5683" s="1">
        <v>201900000</v>
      </c>
      <c r="AB5683" s="1">
        <v>35</v>
      </c>
    </row>
    <row r="5684" spans="1:28" x14ac:dyDescent="0.2">
      <c r="A5684" s="1">
        <v>14673</v>
      </c>
      <c r="B5684" s="1" t="s">
        <v>6839</v>
      </c>
      <c r="D5684" s="1" t="s">
        <v>15944</v>
      </c>
      <c r="F5684" s="1" t="s">
        <v>15945</v>
      </c>
      <c r="H5684" s="1" t="s">
        <v>15946</v>
      </c>
      <c r="J5684" s="1" t="s">
        <v>5042</v>
      </c>
      <c r="L5684" s="1" t="s">
        <v>2000</v>
      </c>
      <c r="N5684" s="1" t="s">
        <v>2001</v>
      </c>
      <c r="P5684" s="1" t="s">
        <v>6598</v>
      </c>
      <c r="Q5684" s="3">
        <v>0</v>
      </c>
      <c r="R5684" s="23" t="s">
        <v>15948</v>
      </c>
      <c r="S5684" s="23" t="s">
        <v>6847</v>
      </c>
      <c r="T5684" s="23" t="s">
        <v>4866</v>
      </c>
      <c r="U5684" s="3">
        <v>35</v>
      </c>
      <c r="W5684" s="45" t="str">
        <f>HYPERLINK("http://ictvonline.org/taxonomy/p/taxonomy-history?taxnode_id=201906646","ICTVonline=201906646")</f>
        <v>ICTVonline=201906646</v>
      </c>
      <c r="X5684" s="1" t="s">
        <v>16026</v>
      </c>
      <c r="Y5684" s="1" t="s">
        <v>16027</v>
      </c>
      <c r="Z5684" s="1" t="s">
        <v>16028</v>
      </c>
      <c r="AA5684" s="1">
        <v>201900000</v>
      </c>
      <c r="AB5684" s="1">
        <v>35</v>
      </c>
    </row>
    <row r="5685" spans="1:28" x14ac:dyDescent="0.2">
      <c r="A5685" s="1">
        <v>14675</v>
      </c>
      <c r="B5685" s="1" t="s">
        <v>6839</v>
      </c>
      <c r="D5685" s="1" t="s">
        <v>15944</v>
      </c>
      <c r="F5685" s="1" t="s">
        <v>15945</v>
      </c>
      <c r="H5685" s="1" t="s">
        <v>15946</v>
      </c>
      <c r="J5685" s="1" t="s">
        <v>5042</v>
      </c>
      <c r="L5685" s="1" t="s">
        <v>2000</v>
      </c>
      <c r="N5685" s="1" t="s">
        <v>2001</v>
      </c>
      <c r="P5685" s="1" t="s">
        <v>3692</v>
      </c>
      <c r="Q5685" s="3">
        <v>0</v>
      </c>
      <c r="R5685" s="23" t="s">
        <v>15948</v>
      </c>
      <c r="S5685" s="23" t="s">
        <v>6847</v>
      </c>
      <c r="T5685" s="23" t="s">
        <v>4866</v>
      </c>
      <c r="U5685" s="3">
        <v>35</v>
      </c>
      <c r="W5685" s="45" t="str">
        <f>HYPERLINK("http://ictvonline.org/taxonomy/p/taxonomy-history?taxnode_id=201902831","ICTVonline=201902831")</f>
        <v>ICTVonline=201902831</v>
      </c>
      <c r="Y5685" s="1" t="s">
        <v>16029</v>
      </c>
      <c r="Z5685" s="1" t="s">
        <v>16030</v>
      </c>
      <c r="AA5685" s="1">
        <v>201900000</v>
      </c>
      <c r="AB5685" s="1">
        <v>35</v>
      </c>
    </row>
    <row r="5686" spans="1:28" x14ac:dyDescent="0.2">
      <c r="A5686" s="1">
        <v>14677</v>
      </c>
      <c r="B5686" s="1" t="s">
        <v>6839</v>
      </c>
      <c r="D5686" s="1" t="s">
        <v>15944</v>
      </c>
      <c r="F5686" s="1" t="s">
        <v>15945</v>
      </c>
      <c r="H5686" s="1" t="s">
        <v>15946</v>
      </c>
      <c r="J5686" s="1" t="s">
        <v>5042</v>
      </c>
      <c r="L5686" s="1" t="s">
        <v>2000</v>
      </c>
      <c r="N5686" s="1" t="s">
        <v>2001</v>
      </c>
      <c r="P5686" s="1" t="s">
        <v>6599</v>
      </c>
      <c r="Q5686" s="3">
        <v>0</v>
      </c>
      <c r="R5686" s="23" t="s">
        <v>15948</v>
      </c>
      <c r="S5686" s="23" t="s">
        <v>6847</v>
      </c>
      <c r="T5686" s="23" t="s">
        <v>4866</v>
      </c>
      <c r="U5686" s="3">
        <v>35</v>
      </c>
      <c r="W5686" s="45" t="str">
        <f>HYPERLINK("http://ictvonline.org/taxonomy/p/taxonomy-history?taxnode_id=201902832","ICTVonline=201902832")</f>
        <v>ICTVonline=201902832</v>
      </c>
      <c r="Y5686" s="1" t="s">
        <v>16031</v>
      </c>
      <c r="Z5686" s="1" t="s">
        <v>16032</v>
      </c>
      <c r="AA5686" s="1">
        <v>201900000</v>
      </c>
      <c r="AB5686" s="1">
        <v>35</v>
      </c>
    </row>
    <row r="5687" spans="1:28" x14ac:dyDescent="0.2">
      <c r="A5687" s="1">
        <v>14679</v>
      </c>
      <c r="B5687" s="1" t="s">
        <v>6839</v>
      </c>
      <c r="D5687" s="1" t="s">
        <v>15944</v>
      </c>
      <c r="F5687" s="1" t="s">
        <v>15945</v>
      </c>
      <c r="H5687" s="1" t="s">
        <v>15946</v>
      </c>
      <c r="J5687" s="1" t="s">
        <v>5042</v>
      </c>
      <c r="L5687" s="1" t="s">
        <v>2000</v>
      </c>
      <c r="N5687" s="1" t="s">
        <v>2001</v>
      </c>
      <c r="P5687" s="1" t="s">
        <v>5049</v>
      </c>
      <c r="Q5687" s="3">
        <v>0</v>
      </c>
      <c r="R5687" s="23" t="s">
        <v>15948</v>
      </c>
      <c r="S5687" s="23" t="s">
        <v>6847</v>
      </c>
      <c r="T5687" s="23" t="s">
        <v>4866</v>
      </c>
      <c r="U5687" s="3">
        <v>35</v>
      </c>
      <c r="W5687" s="45" t="str">
        <f>HYPERLINK("http://ictvonline.org/taxonomy/p/taxonomy-history?taxnode_id=201905762","ICTVonline=201905762")</f>
        <v>ICTVonline=201905762</v>
      </c>
      <c r="AA5687" s="1">
        <v>201900000</v>
      </c>
      <c r="AB5687" s="1">
        <v>35</v>
      </c>
    </row>
    <row r="5688" spans="1:28" x14ac:dyDescent="0.2">
      <c r="A5688" s="1">
        <v>14681</v>
      </c>
      <c r="B5688" s="1" t="s">
        <v>6839</v>
      </c>
      <c r="D5688" s="1" t="s">
        <v>15944</v>
      </c>
      <c r="F5688" s="1" t="s">
        <v>15945</v>
      </c>
      <c r="H5688" s="1" t="s">
        <v>15946</v>
      </c>
      <c r="J5688" s="1" t="s">
        <v>5042</v>
      </c>
      <c r="L5688" s="1" t="s">
        <v>2000</v>
      </c>
      <c r="N5688" s="1" t="s">
        <v>2001</v>
      </c>
      <c r="P5688" s="1" t="s">
        <v>6600</v>
      </c>
      <c r="Q5688" s="3">
        <v>0</v>
      </c>
      <c r="R5688" s="23" t="s">
        <v>15948</v>
      </c>
      <c r="S5688" s="23" t="s">
        <v>6847</v>
      </c>
      <c r="T5688" s="23" t="s">
        <v>4866</v>
      </c>
      <c r="U5688" s="3">
        <v>35</v>
      </c>
      <c r="W5688" s="45" t="str">
        <f>HYPERLINK("http://ictvonline.org/taxonomy/p/taxonomy-history?taxnode_id=201906648","ICTVonline=201906648")</f>
        <v>ICTVonline=201906648</v>
      </c>
      <c r="X5688" s="1" t="s">
        <v>16033</v>
      </c>
      <c r="Y5688" s="1" t="s">
        <v>16034</v>
      </c>
      <c r="Z5688" s="1" t="s">
        <v>16035</v>
      </c>
      <c r="AA5688" s="1">
        <v>201900000</v>
      </c>
      <c r="AB5688" s="1">
        <v>35</v>
      </c>
    </row>
    <row r="5689" spans="1:28" x14ac:dyDescent="0.2">
      <c r="A5689" s="1">
        <v>14683</v>
      </c>
      <c r="B5689" s="1" t="s">
        <v>6839</v>
      </c>
      <c r="D5689" s="1" t="s">
        <v>15944</v>
      </c>
      <c r="F5689" s="1" t="s">
        <v>15945</v>
      </c>
      <c r="H5689" s="1" t="s">
        <v>15946</v>
      </c>
      <c r="J5689" s="1" t="s">
        <v>5042</v>
      </c>
      <c r="L5689" s="1" t="s">
        <v>2000</v>
      </c>
      <c r="N5689" s="1" t="s">
        <v>2001</v>
      </c>
      <c r="P5689" s="1" t="s">
        <v>2007</v>
      </c>
      <c r="Q5689" s="3">
        <v>0</v>
      </c>
      <c r="R5689" s="23" t="s">
        <v>15948</v>
      </c>
      <c r="S5689" s="23" t="s">
        <v>6847</v>
      </c>
      <c r="T5689" s="23" t="s">
        <v>4866</v>
      </c>
      <c r="U5689" s="3">
        <v>35</v>
      </c>
      <c r="W5689" s="45" t="str">
        <f>HYPERLINK("http://ictvonline.org/taxonomy/p/taxonomy-history?taxnode_id=201902833","ICTVonline=201902833")</f>
        <v>ICTVonline=201902833</v>
      </c>
      <c r="AA5689" s="1">
        <v>201900000</v>
      </c>
      <c r="AB5689" s="1">
        <v>35</v>
      </c>
    </row>
    <row r="5690" spans="1:28" x14ac:dyDescent="0.2">
      <c r="A5690" s="1">
        <v>14685</v>
      </c>
      <c r="B5690" s="1" t="s">
        <v>6839</v>
      </c>
      <c r="D5690" s="1" t="s">
        <v>15944</v>
      </c>
      <c r="F5690" s="1" t="s">
        <v>15945</v>
      </c>
      <c r="H5690" s="1" t="s">
        <v>15946</v>
      </c>
      <c r="J5690" s="1" t="s">
        <v>5042</v>
      </c>
      <c r="L5690" s="1" t="s">
        <v>2000</v>
      </c>
      <c r="N5690" s="1" t="s">
        <v>2001</v>
      </c>
      <c r="P5690" s="1" t="s">
        <v>77</v>
      </c>
      <c r="Q5690" s="3">
        <v>0</v>
      </c>
      <c r="R5690" s="23" t="s">
        <v>15948</v>
      </c>
      <c r="S5690" s="23" t="s">
        <v>6847</v>
      </c>
      <c r="T5690" s="23" t="s">
        <v>4866</v>
      </c>
      <c r="U5690" s="3">
        <v>35</v>
      </c>
      <c r="W5690" s="45" t="str">
        <f>HYPERLINK("http://ictvonline.org/taxonomy/p/taxonomy-history?taxnode_id=201902834","ICTVonline=201902834")</f>
        <v>ICTVonline=201902834</v>
      </c>
      <c r="Y5690" s="1" t="s">
        <v>16036</v>
      </c>
      <c r="Z5690" s="1" t="s">
        <v>11842</v>
      </c>
      <c r="AA5690" s="1">
        <v>201900000</v>
      </c>
      <c r="AB5690" s="1">
        <v>35</v>
      </c>
    </row>
    <row r="5691" spans="1:28" x14ac:dyDescent="0.2">
      <c r="A5691" s="1">
        <v>14687</v>
      </c>
      <c r="B5691" s="1" t="s">
        <v>6839</v>
      </c>
      <c r="D5691" s="1" t="s">
        <v>15944</v>
      </c>
      <c r="F5691" s="1" t="s">
        <v>15945</v>
      </c>
      <c r="H5691" s="1" t="s">
        <v>15946</v>
      </c>
      <c r="J5691" s="1" t="s">
        <v>5042</v>
      </c>
      <c r="L5691" s="1" t="s">
        <v>2000</v>
      </c>
      <c r="N5691" s="1" t="s">
        <v>2001</v>
      </c>
      <c r="P5691" s="1" t="s">
        <v>16037</v>
      </c>
      <c r="Q5691" s="3">
        <v>0</v>
      </c>
      <c r="R5691" s="23" t="s">
        <v>15948</v>
      </c>
      <c r="S5691" s="23" t="s">
        <v>6849</v>
      </c>
      <c r="T5691" s="23" t="s">
        <v>4864</v>
      </c>
      <c r="U5691" s="3">
        <v>35</v>
      </c>
      <c r="V5691" s="3" t="s">
        <v>16038</v>
      </c>
      <c r="W5691" s="45" t="str">
        <f>HYPERLINK("http://ictvonline.org/taxonomy/p/taxonomy-history?taxnode_id=201907426","ICTVonline=201907426")</f>
        <v>ICTVonline=201907426</v>
      </c>
      <c r="X5691" s="1" t="s">
        <v>16039</v>
      </c>
      <c r="Y5691" s="1" t="s">
        <v>16040</v>
      </c>
      <c r="Z5691" s="1" t="s">
        <v>16041</v>
      </c>
      <c r="AA5691" s="1">
        <v>201900000</v>
      </c>
      <c r="AB5691" s="1">
        <v>35</v>
      </c>
    </row>
    <row r="5692" spans="1:28" x14ac:dyDescent="0.2">
      <c r="A5692" s="1">
        <v>14689</v>
      </c>
      <c r="B5692" s="1" t="s">
        <v>6839</v>
      </c>
      <c r="D5692" s="1" t="s">
        <v>15944</v>
      </c>
      <c r="F5692" s="1" t="s">
        <v>15945</v>
      </c>
      <c r="H5692" s="1" t="s">
        <v>15946</v>
      </c>
      <c r="J5692" s="1" t="s">
        <v>5042</v>
      </c>
      <c r="L5692" s="1" t="s">
        <v>2000</v>
      </c>
      <c r="N5692" s="1" t="s">
        <v>2001</v>
      </c>
      <c r="P5692" s="1" t="s">
        <v>1926</v>
      </c>
      <c r="Q5692" s="3">
        <v>1</v>
      </c>
      <c r="R5692" s="23" t="s">
        <v>15948</v>
      </c>
      <c r="S5692" s="23" t="s">
        <v>6847</v>
      </c>
      <c r="T5692" s="23" t="s">
        <v>4866</v>
      </c>
      <c r="U5692" s="3">
        <v>35</v>
      </c>
      <c r="W5692" s="45" t="str">
        <f>HYPERLINK("http://ictvonline.org/taxonomy/p/taxonomy-history?taxnode_id=201902835","ICTVonline=201902835")</f>
        <v>ICTVonline=201902835</v>
      </c>
      <c r="Y5692" s="1" t="s">
        <v>16042</v>
      </c>
      <c r="Z5692" s="1" t="s">
        <v>16043</v>
      </c>
      <c r="AA5692" s="1">
        <v>201900000</v>
      </c>
      <c r="AB5692" s="1">
        <v>35</v>
      </c>
    </row>
    <row r="5693" spans="1:28" x14ac:dyDescent="0.2">
      <c r="A5693" s="1">
        <v>14691</v>
      </c>
      <c r="B5693" s="1" t="s">
        <v>6839</v>
      </c>
      <c r="D5693" s="1" t="s">
        <v>15944</v>
      </c>
      <c r="F5693" s="1" t="s">
        <v>15945</v>
      </c>
      <c r="H5693" s="1" t="s">
        <v>15946</v>
      </c>
      <c r="J5693" s="1" t="s">
        <v>5042</v>
      </c>
      <c r="L5693" s="1" t="s">
        <v>2000</v>
      </c>
      <c r="N5693" s="1" t="s">
        <v>2001</v>
      </c>
      <c r="P5693" s="1" t="s">
        <v>78</v>
      </c>
      <c r="Q5693" s="3">
        <v>0</v>
      </c>
      <c r="R5693" s="23" t="s">
        <v>15948</v>
      </c>
      <c r="S5693" s="23" t="s">
        <v>6847</v>
      </c>
      <c r="T5693" s="23" t="s">
        <v>4866</v>
      </c>
      <c r="U5693" s="3">
        <v>35</v>
      </c>
      <c r="W5693" s="45" t="str">
        <f>HYPERLINK("http://ictvonline.org/taxonomy/p/taxonomy-history?taxnode_id=201902836","ICTVonline=201902836")</f>
        <v>ICTVonline=201902836</v>
      </c>
      <c r="AA5693" s="1">
        <v>201900000</v>
      </c>
      <c r="AB5693" s="1">
        <v>35</v>
      </c>
    </row>
    <row r="5694" spans="1:28" x14ac:dyDescent="0.2">
      <c r="A5694" s="1">
        <v>14693</v>
      </c>
      <c r="B5694" s="1" t="s">
        <v>6839</v>
      </c>
      <c r="D5694" s="1" t="s">
        <v>15944</v>
      </c>
      <c r="F5694" s="1" t="s">
        <v>15945</v>
      </c>
      <c r="H5694" s="1" t="s">
        <v>15946</v>
      </c>
      <c r="J5694" s="1" t="s">
        <v>5042</v>
      </c>
      <c r="L5694" s="1" t="s">
        <v>2000</v>
      </c>
      <c r="N5694" s="1" t="s">
        <v>2001</v>
      </c>
      <c r="P5694" s="1" t="s">
        <v>6601</v>
      </c>
      <c r="Q5694" s="3">
        <v>0</v>
      </c>
      <c r="R5694" s="23" t="s">
        <v>15948</v>
      </c>
      <c r="S5694" s="23" t="s">
        <v>6847</v>
      </c>
      <c r="T5694" s="23" t="s">
        <v>4866</v>
      </c>
      <c r="U5694" s="3">
        <v>35</v>
      </c>
      <c r="W5694" s="45" t="str">
        <f>HYPERLINK("http://ictvonline.org/taxonomy/p/taxonomy-history?taxnode_id=201906650","ICTVonline=201906650")</f>
        <v>ICTVonline=201906650</v>
      </c>
      <c r="X5694" s="1" t="s">
        <v>16044</v>
      </c>
      <c r="Y5694" s="1" t="s">
        <v>16045</v>
      </c>
      <c r="Z5694" s="1" t="s">
        <v>16046</v>
      </c>
      <c r="AA5694" s="1">
        <v>201900000</v>
      </c>
      <c r="AB5694" s="1">
        <v>35</v>
      </c>
    </row>
    <row r="5695" spans="1:28" x14ac:dyDescent="0.2">
      <c r="A5695" s="1">
        <v>14695</v>
      </c>
      <c r="B5695" s="1" t="s">
        <v>6839</v>
      </c>
      <c r="D5695" s="1" t="s">
        <v>15944</v>
      </c>
      <c r="F5695" s="1" t="s">
        <v>15945</v>
      </c>
      <c r="H5695" s="1" t="s">
        <v>15946</v>
      </c>
      <c r="J5695" s="1" t="s">
        <v>5042</v>
      </c>
      <c r="L5695" s="1" t="s">
        <v>2000</v>
      </c>
      <c r="N5695" s="1" t="s">
        <v>2001</v>
      </c>
      <c r="P5695" s="1" t="s">
        <v>6602</v>
      </c>
      <c r="Q5695" s="3">
        <v>0</v>
      </c>
      <c r="R5695" s="23" t="s">
        <v>15948</v>
      </c>
      <c r="S5695" s="23" t="s">
        <v>6847</v>
      </c>
      <c r="T5695" s="23" t="s">
        <v>4866</v>
      </c>
      <c r="U5695" s="3">
        <v>35</v>
      </c>
      <c r="W5695" s="45" t="str">
        <f>HYPERLINK("http://ictvonline.org/taxonomy/p/taxonomy-history?taxnode_id=201906649","ICTVonline=201906649")</f>
        <v>ICTVonline=201906649</v>
      </c>
      <c r="X5695" s="1" t="s">
        <v>16047</v>
      </c>
      <c r="Y5695" s="1" t="s">
        <v>16048</v>
      </c>
      <c r="Z5695" s="1" t="s">
        <v>16049</v>
      </c>
      <c r="AA5695" s="1">
        <v>201900000</v>
      </c>
      <c r="AB5695" s="1">
        <v>35</v>
      </c>
    </row>
    <row r="5696" spans="1:28" x14ac:dyDescent="0.2">
      <c r="A5696" s="1">
        <v>14697</v>
      </c>
      <c r="B5696" s="1" t="s">
        <v>6839</v>
      </c>
      <c r="D5696" s="1" t="s">
        <v>15944</v>
      </c>
      <c r="F5696" s="1" t="s">
        <v>15945</v>
      </c>
      <c r="H5696" s="1" t="s">
        <v>15946</v>
      </c>
      <c r="J5696" s="1" t="s">
        <v>5042</v>
      </c>
      <c r="L5696" s="1" t="s">
        <v>2000</v>
      </c>
      <c r="N5696" s="1" t="s">
        <v>2001</v>
      </c>
      <c r="P5696" s="1" t="s">
        <v>5050</v>
      </c>
      <c r="Q5696" s="3">
        <v>0</v>
      </c>
      <c r="R5696" s="23" t="s">
        <v>15948</v>
      </c>
      <c r="S5696" s="23" t="s">
        <v>6847</v>
      </c>
      <c r="T5696" s="23" t="s">
        <v>4866</v>
      </c>
      <c r="U5696" s="3">
        <v>35</v>
      </c>
      <c r="W5696" s="45" t="str">
        <f>HYPERLINK("http://ictvonline.org/taxonomy/p/taxonomy-history?taxnode_id=201905763","ICTVonline=201905763")</f>
        <v>ICTVonline=201905763</v>
      </c>
      <c r="AA5696" s="1">
        <v>201900000</v>
      </c>
      <c r="AB5696" s="1">
        <v>35</v>
      </c>
    </row>
    <row r="5697" spans="1:28" x14ac:dyDescent="0.2">
      <c r="A5697" s="1">
        <v>14699</v>
      </c>
      <c r="B5697" s="1" t="s">
        <v>6839</v>
      </c>
      <c r="D5697" s="1" t="s">
        <v>15944</v>
      </c>
      <c r="F5697" s="1" t="s">
        <v>15945</v>
      </c>
      <c r="H5697" s="1" t="s">
        <v>15946</v>
      </c>
      <c r="J5697" s="1" t="s">
        <v>5042</v>
      </c>
      <c r="L5697" s="1" t="s">
        <v>2000</v>
      </c>
      <c r="N5697" s="1" t="s">
        <v>2001</v>
      </c>
      <c r="P5697" s="1" t="s">
        <v>5051</v>
      </c>
      <c r="Q5697" s="3">
        <v>0</v>
      </c>
      <c r="R5697" s="23" t="s">
        <v>15948</v>
      </c>
      <c r="S5697" s="23" t="s">
        <v>6847</v>
      </c>
      <c r="T5697" s="23" t="s">
        <v>4866</v>
      </c>
      <c r="U5697" s="3">
        <v>35</v>
      </c>
      <c r="W5697" s="45" t="str">
        <f>HYPERLINK("http://ictvonline.org/taxonomy/p/taxonomy-history?taxnode_id=201905764","ICTVonline=201905764")</f>
        <v>ICTVonline=201905764</v>
      </c>
      <c r="AA5697" s="1">
        <v>201900000</v>
      </c>
      <c r="AB5697" s="1">
        <v>35</v>
      </c>
    </row>
    <row r="5698" spans="1:28" x14ac:dyDescent="0.2">
      <c r="A5698" s="1">
        <v>14701</v>
      </c>
      <c r="B5698" s="1" t="s">
        <v>6839</v>
      </c>
      <c r="D5698" s="1" t="s">
        <v>15944</v>
      </c>
      <c r="F5698" s="1" t="s">
        <v>15945</v>
      </c>
      <c r="H5698" s="1" t="s">
        <v>15946</v>
      </c>
      <c r="J5698" s="1" t="s">
        <v>5042</v>
      </c>
      <c r="L5698" s="1" t="s">
        <v>2000</v>
      </c>
      <c r="N5698" s="1" t="s">
        <v>2001</v>
      </c>
      <c r="P5698" s="1" t="s">
        <v>79</v>
      </c>
      <c r="Q5698" s="3">
        <v>0</v>
      </c>
      <c r="R5698" s="23" t="s">
        <v>15948</v>
      </c>
      <c r="S5698" s="23" t="s">
        <v>6847</v>
      </c>
      <c r="T5698" s="23" t="s">
        <v>4866</v>
      </c>
      <c r="U5698" s="3">
        <v>35</v>
      </c>
      <c r="W5698" s="45" t="str">
        <f>HYPERLINK("http://ictvonline.org/taxonomy/p/taxonomy-history?taxnode_id=201902837","ICTVonline=201902837")</f>
        <v>ICTVonline=201902837</v>
      </c>
      <c r="Y5698" s="1" t="s">
        <v>16050</v>
      </c>
      <c r="Z5698" s="1" t="s">
        <v>16051</v>
      </c>
      <c r="AA5698" s="1">
        <v>201900000</v>
      </c>
      <c r="AB5698" s="1">
        <v>35</v>
      </c>
    </row>
    <row r="5699" spans="1:28" x14ac:dyDescent="0.2">
      <c r="A5699" s="1">
        <v>14703</v>
      </c>
      <c r="B5699" s="1" t="s">
        <v>6839</v>
      </c>
      <c r="D5699" s="1" t="s">
        <v>15944</v>
      </c>
      <c r="F5699" s="1" t="s">
        <v>15945</v>
      </c>
      <c r="H5699" s="1" t="s">
        <v>15946</v>
      </c>
      <c r="J5699" s="1" t="s">
        <v>5042</v>
      </c>
      <c r="L5699" s="1" t="s">
        <v>2000</v>
      </c>
      <c r="N5699" s="1" t="s">
        <v>2001</v>
      </c>
      <c r="P5699" s="1" t="s">
        <v>5052</v>
      </c>
      <c r="Q5699" s="3">
        <v>0</v>
      </c>
      <c r="R5699" s="23" t="s">
        <v>15948</v>
      </c>
      <c r="S5699" s="23" t="s">
        <v>6847</v>
      </c>
      <c r="T5699" s="23" t="s">
        <v>4866</v>
      </c>
      <c r="U5699" s="3">
        <v>35</v>
      </c>
      <c r="W5699" s="45" t="str">
        <f>HYPERLINK("http://ictvonline.org/taxonomy/p/taxonomy-history?taxnode_id=201905765","ICTVonline=201905765")</f>
        <v>ICTVonline=201905765</v>
      </c>
      <c r="AA5699" s="1">
        <v>201900000</v>
      </c>
      <c r="AB5699" s="1">
        <v>35</v>
      </c>
    </row>
    <row r="5700" spans="1:28" x14ac:dyDescent="0.2">
      <c r="A5700" s="1">
        <v>14705</v>
      </c>
      <c r="B5700" s="1" t="s">
        <v>6839</v>
      </c>
      <c r="D5700" s="1" t="s">
        <v>15944</v>
      </c>
      <c r="F5700" s="1" t="s">
        <v>15945</v>
      </c>
      <c r="H5700" s="1" t="s">
        <v>15946</v>
      </c>
      <c r="J5700" s="1" t="s">
        <v>5042</v>
      </c>
      <c r="L5700" s="1" t="s">
        <v>2000</v>
      </c>
      <c r="N5700" s="1" t="s">
        <v>2001</v>
      </c>
      <c r="P5700" s="1" t="s">
        <v>2651</v>
      </c>
      <c r="Q5700" s="3">
        <v>0</v>
      </c>
      <c r="R5700" s="23" t="s">
        <v>15948</v>
      </c>
      <c r="S5700" s="23" t="s">
        <v>6847</v>
      </c>
      <c r="T5700" s="23" t="s">
        <v>4866</v>
      </c>
      <c r="U5700" s="3">
        <v>35</v>
      </c>
      <c r="W5700" s="45" t="str">
        <f>HYPERLINK("http://ictvonline.org/taxonomy/p/taxonomy-history?taxnode_id=201902838","ICTVonline=201902838")</f>
        <v>ICTVonline=201902838</v>
      </c>
      <c r="X5700" s="1" t="s">
        <v>16052</v>
      </c>
      <c r="Y5700" s="1" t="s">
        <v>16053</v>
      </c>
      <c r="Z5700" s="1" t="s">
        <v>16054</v>
      </c>
      <c r="AA5700" s="1">
        <v>201900000</v>
      </c>
      <c r="AB5700" s="1">
        <v>35</v>
      </c>
    </row>
    <row r="5701" spans="1:28" x14ac:dyDescent="0.2">
      <c r="A5701" s="1">
        <v>14707</v>
      </c>
      <c r="B5701" s="1" t="s">
        <v>6839</v>
      </c>
      <c r="D5701" s="1" t="s">
        <v>15944</v>
      </c>
      <c r="F5701" s="1" t="s">
        <v>15945</v>
      </c>
      <c r="H5701" s="1" t="s">
        <v>15946</v>
      </c>
      <c r="J5701" s="1" t="s">
        <v>5042</v>
      </c>
      <c r="L5701" s="1" t="s">
        <v>2000</v>
      </c>
      <c r="N5701" s="1" t="s">
        <v>2001</v>
      </c>
      <c r="P5701" s="1" t="s">
        <v>1152</v>
      </c>
      <c r="Q5701" s="3">
        <v>0</v>
      </c>
      <c r="R5701" s="23" t="s">
        <v>15948</v>
      </c>
      <c r="S5701" s="23" t="s">
        <v>6847</v>
      </c>
      <c r="T5701" s="23" t="s">
        <v>4866</v>
      </c>
      <c r="U5701" s="3">
        <v>35</v>
      </c>
      <c r="W5701" s="45" t="str">
        <f>HYPERLINK("http://ictvonline.org/taxonomy/p/taxonomy-history?taxnode_id=201902839","ICTVonline=201902839")</f>
        <v>ICTVonline=201902839</v>
      </c>
      <c r="Y5701" s="1" t="s">
        <v>16055</v>
      </c>
      <c r="Z5701" s="1" t="s">
        <v>16056</v>
      </c>
      <c r="AA5701" s="1">
        <v>201900000</v>
      </c>
      <c r="AB5701" s="1">
        <v>35</v>
      </c>
    </row>
    <row r="5702" spans="1:28" x14ac:dyDescent="0.2">
      <c r="A5702" s="1">
        <v>14709</v>
      </c>
      <c r="B5702" s="1" t="s">
        <v>6839</v>
      </c>
      <c r="D5702" s="1" t="s">
        <v>15944</v>
      </c>
      <c r="F5702" s="1" t="s">
        <v>15945</v>
      </c>
      <c r="H5702" s="1" t="s">
        <v>15946</v>
      </c>
      <c r="J5702" s="1" t="s">
        <v>5042</v>
      </c>
      <c r="L5702" s="1" t="s">
        <v>2000</v>
      </c>
      <c r="N5702" s="1" t="s">
        <v>2001</v>
      </c>
      <c r="P5702" s="1" t="s">
        <v>16057</v>
      </c>
      <c r="Q5702" s="3">
        <v>0</v>
      </c>
      <c r="R5702" s="23" t="s">
        <v>15948</v>
      </c>
      <c r="S5702" s="23" t="s">
        <v>6849</v>
      </c>
      <c r="T5702" s="23" t="s">
        <v>4864</v>
      </c>
      <c r="U5702" s="3">
        <v>35</v>
      </c>
      <c r="V5702" s="3" t="s">
        <v>16038</v>
      </c>
      <c r="W5702" s="45" t="str">
        <f>HYPERLINK("http://ictvonline.org/taxonomy/p/taxonomy-history?taxnode_id=201907427","ICTVonline=201907427")</f>
        <v>ICTVonline=201907427</v>
      </c>
      <c r="X5702" s="1" t="s">
        <v>16058</v>
      </c>
      <c r="Y5702" s="1" t="s">
        <v>16059</v>
      </c>
      <c r="Z5702" s="1" t="s">
        <v>16060</v>
      </c>
      <c r="AA5702" s="1">
        <v>201900000</v>
      </c>
      <c r="AB5702" s="1">
        <v>35</v>
      </c>
    </row>
    <row r="5703" spans="1:28" x14ac:dyDescent="0.2">
      <c r="A5703" s="1">
        <v>14711</v>
      </c>
      <c r="B5703" s="1" t="s">
        <v>6839</v>
      </c>
      <c r="D5703" s="1" t="s">
        <v>15944</v>
      </c>
      <c r="F5703" s="1" t="s">
        <v>15945</v>
      </c>
      <c r="H5703" s="1" t="s">
        <v>15946</v>
      </c>
      <c r="J5703" s="1" t="s">
        <v>5042</v>
      </c>
      <c r="L5703" s="1" t="s">
        <v>2000</v>
      </c>
      <c r="N5703" s="1" t="s">
        <v>2001</v>
      </c>
      <c r="P5703" s="1" t="s">
        <v>3693</v>
      </c>
      <c r="Q5703" s="3">
        <v>0</v>
      </c>
      <c r="R5703" s="23" t="s">
        <v>15948</v>
      </c>
      <c r="S5703" s="23" t="s">
        <v>6847</v>
      </c>
      <c r="T5703" s="23" t="s">
        <v>4866</v>
      </c>
      <c r="U5703" s="3">
        <v>35</v>
      </c>
      <c r="W5703" s="45" t="str">
        <f>HYPERLINK("http://ictvonline.org/taxonomy/p/taxonomy-history?taxnode_id=201902840","ICTVonline=201902840")</f>
        <v>ICTVonline=201902840</v>
      </c>
      <c r="Y5703" s="1" t="s">
        <v>16061</v>
      </c>
      <c r="Z5703" s="1" t="s">
        <v>16062</v>
      </c>
      <c r="AA5703" s="1">
        <v>201900000</v>
      </c>
      <c r="AB5703" s="1">
        <v>35</v>
      </c>
    </row>
    <row r="5704" spans="1:28" x14ac:dyDescent="0.2">
      <c r="A5704" s="1">
        <v>14713</v>
      </c>
      <c r="B5704" s="1" t="s">
        <v>6839</v>
      </c>
      <c r="D5704" s="1" t="s">
        <v>15944</v>
      </c>
      <c r="F5704" s="1" t="s">
        <v>15945</v>
      </c>
      <c r="H5704" s="1" t="s">
        <v>15946</v>
      </c>
      <c r="J5704" s="1" t="s">
        <v>5042</v>
      </c>
      <c r="L5704" s="1" t="s">
        <v>2000</v>
      </c>
      <c r="N5704" s="1" t="s">
        <v>2001</v>
      </c>
      <c r="P5704" s="1" t="s">
        <v>80</v>
      </c>
      <c r="Q5704" s="3">
        <v>0</v>
      </c>
      <c r="R5704" s="23" t="s">
        <v>15948</v>
      </c>
      <c r="S5704" s="23" t="s">
        <v>6847</v>
      </c>
      <c r="T5704" s="23" t="s">
        <v>4866</v>
      </c>
      <c r="U5704" s="3">
        <v>35</v>
      </c>
      <c r="W5704" s="45" t="str">
        <f>HYPERLINK("http://ictvonline.org/taxonomy/p/taxonomy-history?taxnode_id=201902841","ICTVonline=201902841")</f>
        <v>ICTVonline=201902841</v>
      </c>
      <c r="Y5704" s="1" t="s">
        <v>16063</v>
      </c>
      <c r="Z5704" s="1" t="s">
        <v>16064</v>
      </c>
      <c r="AA5704" s="1">
        <v>201900000</v>
      </c>
      <c r="AB5704" s="1">
        <v>35</v>
      </c>
    </row>
    <row r="5705" spans="1:28" x14ac:dyDescent="0.2">
      <c r="A5705" s="1">
        <v>14715</v>
      </c>
      <c r="B5705" s="1" t="s">
        <v>6839</v>
      </c>
      <c r="D5705" s="1" t="s">
        <v>15944</v>
      </c>
      <c r="F5705" s="1" t="s">
        <v>15945</v>
      </c>
      <c r="H5705" s="1" t="s">
        <v>15946</v>
      </c>
      <c r="J5705" s="1" t="s">
        <v>5042</v>
      </c>
      <c r="L5705" s="1" t="s">
        <v>2000</v>
      </c>
      <c r="N5705" s="1" t="s">
        <v>2001</v>
      </c>
      <c r="P5705" s="1" t="s">
        <v>6603</v>
      </c>
      <c r="Q5705" s="3">
        <v>0</v>
      </c>
      <c r="R5705" s="23" t="s">
        <v>15948</v>
      </c>
      <c r="S5705" s="23" t="s">
        <v>6847</v>
      </c>
      <c r="T5705" s="23" t="s">
        <v>4866</v>
      </c>
      <c r="U5705" s="3">
        <v>35</v>
      </c>
      <c r="W5705" s="45" t="str">
        <f>HYPERLINK("http://ictvonline.org/taxonomy/p/taxonomy-history?taxnode_id=201906651","ICTVonline=201906651")</f>
        <v>ICTVonline=201906651</v>
      </c>
      <c r="X5705" s="1" t="s">
        <v>16065</v>
      </c>
      <c r="Y5705" s="1" t="s">
        <v>16066</v>
      </c>
      <c r="Z5705" s="1" t="s">
        <v>16067</v>
      </c>
      <c r="AA5705" s="1">
        <v>201900000</v>
      </c>
      <c r="AB5705" s="1">
        <v>35</v>
      </c>
    </row>
    <row r="5706" spans="1:28" x14ac:dyDescent="0.2">
      <c r="A5706" s="1">
        <v>14717</v>
      </c>
      <c r="B5706" s="1" t="s">
        <v>6839</v>
      </c>
      <c r="D5706" s="1" t="s">
        <v>15944</v>
      </c>
      <c r="F5706" s="1" t="s">
        <v>15945</v>
      </c>
      <c r="H5706" s="1" t="s">
        <v>15946</v>
      </c>
      <c r="J5706" s="1" t="s">
        <v>5042</v>
      </c>
      <c r="L5706" s="1" t="s">
        <v>2000</v>
      </c>
      <c r="N5706" s="1" t="s">
        <v>2001</v>
      </c>
      <c r="P5706" s="1" t="s">
        <v>5053</v>
      </c>
      <c r="Q5706" s="3">
        <v>0</v>
      </c>
      <c r="R5706" s="23" t="s">
        <v>15948</v>
      </c>
      <c r="S5706" s="23" t="s">
        <v>6847</v>
      </c>
      <c r="T5706" s="23" t="s">
        <v>4866</v>
      </c>
      <c r="U5706" s="3">
        <v>35</v>
      </c>
      <c r="W5706" s="45" t="str">
        <f>HYPERLINK("http://ictvonline.org/taxonomy/p/taxonomy-history?taxnode_id=201902842","ICTVonline=201902842")</f>
        <v>ICTVonline=201902842</v>
      </c>
      <c r="AA5706" s="1">
        <v>201900000</v>
      </c>
      <c r="AB5706" s="1">
        <v>35</v>
      </c>
    </row>
    <row r="5707" spans="1:28" x14ac:dyDescent="0.2">
      <c r="A5707" s="1">
        <v>14719</v>
      </c>
      <c r="B5707" s="1" t="s">
        <v>6839</v>
      </c>
      <c r="D5707" s="1" t="s">
        <v>15944</v>
      </c>
      <c r="F5707" s="1" t="s">
        <v>15945</v>
      </c>
      <c r="H5707" s="1" t="s">
        <v>15946</v>
      </c>
      <c r="J5707" s="1" t="s">
        <v>5042</v>
      </c>
      <c r="L5707" s="1" t="s">
        <v>2000</v>
      </c>
      <c r="N5707" s="1" t="s">
        <v>2001</v>
      </c>
      <c r="P5707" s="1" t="s">
        <v>4583</v>
      </c>
      <c r="Q5707" s="3">
        <v>0</v>
      </c>
      <c r="R5707" s="23" t="s">
        <v>15948</v>
      </c>
      <c r="S5707" s="23" t="s">
        <v>6847</v>
      </c>
      <c r="T5707" s="23" t="s">
        <v>4866</v>
      </c>
      <c r="U5707" s="3">
        <v>35</v>
      </c>
      <c r="W5707" s="45" t="str">
        <f>HYPERLINK("http://ictvonline.org/taxonomy/p/taxonomy-history?taxnode_id=201902843","ICTVonline=201902843")</f>
        <v>ICTVonline=201902843</v>
      </c>
      <c r="Y5707" s="1" t="s">
        <v>16068</v>
      </c>
      <c r="Z5707" s="1" t="s">
        <v>16069</v>
      </c>
      <c r="AA5707" s="1">
        <v>201900000</v>
      </c>
      <c r="AB5707" s="1">
        <v>35</v>
      </c>
    </row>
    <row r="5708" spans="1:28" x14ac:dyDescent="0.2">
      <c r="A5708" s="1">
        <v>14721</v>
      </c>
      <c r="B5708" s="1" t="s">
        <v>6839</v>
      </c>
      <c r="D5708" s="1" t="s">
        <v>15944</v>
      </c>
      <c r="F5708" s="1" t="s">
        <v>15945</v>
      </c>
      <c r="H5708" s="1" t="s">
        <v>15946</v>
      </c>
      <c r="J5708" s="1" t="s">
        <v>5042</v>
      </c>
      <c r="L5708" s="1" t="s">
        <v>2000</v>
      </c>
      <c r="N5708" s="1" t="s">
        <v>2001</v>
      </c>
      <c r="P5708" s="1" t="s">
        <v>2652</v>
      </c>
      <c r="Q5708" s="3">
        <v>0</v>
      </c>
      <c r="R5708" s="23" t="s">
        <v>15948</v>
      </c>
      <c r="S5708" s="23" t="s">
        <v>6847</v>
      </c>
      <c r="T5708" s="23" t="s">
        <v>4866</v>
      </c>
      <c r="U5708" s="3">
        <v>35</v>
      </c>
      <c r="W5708" s="45" t="str">
        <f>HYPERLINK("http://ictvonline.org/taxonomy/p/taxonomy-history?taxnode_id=201902844","ICTVonline=201902844")</f>
        <v>ICTVonline=201902844</v>
      </c>
      <c r="X5708" s="1" t="s">
        <v>16070</v>
      </c>
      <c r="Y5708" s="1" t="s">
        <v>16071</v>
      </c>
      <c r="Z5708" s="1" t="s">
        <v>16072</v>
      </c>
      <c r="AA5708" s="1">
        <v>201900000</v>
      </c>
      <c r="AB5708" s="1">
        <v>35</v>
      </c>
    </row>
    <row r="5709" spans="1:28" x14ac:dyDescent="0.2">
      <c r="A5709" s="1">
        <v>14723</v>
      </c>
      <c r="B5709" s="1" t="s">
        <v>6839</v>
      </c>
      <c r="D5709" s="1" t="s">
        <v>15944</v>
      </c>
      <c r="F5709" s="1" t="s">
        <v>15945</v>
      </c>
      <c r="H5709" s="1" t="s">
        <v>15946</v>
      </c>
      <c r="J5709" s="1" t="s">
        <v>5042</v>
      </c>
      <c r="L5709" s="1" t="s">
        <v>2000</v>
      </c>
      <c r="N5709" s="1" t="s">
        <v>2001</v>
      </c>
      <c r="P5709" s="1" t="s">
        <v>81</v>
      </c>
      <c r="Q5709" s="3">
        <v>0</v>
      </c>
      <c r="R5709" s="23" t="s">
        <v>15948</v>
      </c>
      <c r="S5709" s="23" t="s">
        <v>6847</v>
      </c>
      <c r="T5709" s="23" t="s">
        <v>4866</v>
      </c>
      <c r="U5709" s="3">
        <v>35</v>
      </c>
      <c r="W5709" s="45" t="str">
        <f>HYPERLINK("http://ictvonline.org/taxonomy/p/taxonomy-history?taxnode_id=201902845","ICTVonline=201902845")</f>
        <v>ICTVonline=201902845</v>
      </c>
      <c r="Y5709" s="1" t="s">
        <v>16073</v>
      </c>
      <c r="Z5709" s="1" t="s">
        <v>11859</v>
      </c>
      <c r="AA5709" s="1">
        <v>201900000</v>
      </c>
      <c r="AB5709" s="1">
        <v>35</v>
      </c>
    </row>
    <row r="5710" spans="1:28" x14ac:dyDescent="0.2">
      <c r="A5710" s="1">
        <v>14725</v>
      </c>
      <c r="B5710" s="1" t="s">
        <v>6839</v>
      </c>
      <c r="D5710" s="1" t="s">
        <v>15944</v>
      </c>
      <c r="F5710" s="1" t="s">
        <v>15945</v>
      </c>
      <c r="H5710" s="1" t="s">
        <v>15946</v>
      </c>
      <c r="J5710" s="1" t="s">
        <v>5042</v>
      </c>
      <c r="L5710" s="1" t="s">
        <v>2000</v>
      </c>
      <c r="N5710" s="1" t="s">
        <v>2001</v>
      </c>
      <c r="P5710" s="1" t="s">
        <v>82</v>
      </c>
      <c r="Q5710" s="3">
        <v>0</v>
      </c>
      <c r="R5710" s="23" t="s">
        <v>15948</v>
      </c>
      <c r="S5710" s="23" t="s">
        <v>6847</v>
      </c>
      <c r="T5710" s="23" t="s">
        <v>4866</v>
      </c>
      <c r="U5710" s="3">
        <v>35</v>
      </c>
      <c r="W5710" s="45" t="str">
        <f>HYPERLINK("http://ictvonline.org/taxonomy/p/taxonomy-history?taxnode_id=201902846","ICTVonline=201902846")</f>
        <v>ICTVonline=201902846</v>
      </c>
      <c r="AA5710" s="1">
        <v>201900000</v>
      </c>
      <c r="AB5710" s="1">
        <v>35</v>
      </c>
    </row>
    <row r="5711" spans="1:28" x14ac:dyDescent="0.2">
      <c r="A5711" s="1">
        <v>14727</v>
      </c>
      <c r="B5711" s="1" t="s">
        <v>6839</v>
      </c>
      <c r="D5711" s="1" t="s">
        <v>15944</v>
      </c>
      <c r="F5711" s="1" t="s">
        <v>15945</v>
      </c>
      <c r="H5711" s="1" t="s">
        <v>15946</v>
      </c>
      <c r="J5711" s="1" t="s">
        <v>5042</v>
      </c>
      <c r="L5711" s="1" t="s">
        <v>2000</v>
      </c>
      <c r="N5711" s="1" t="s">
        <v>2001</v>
      </c>
      <c r="P5711" s="1" t="s">
        <v>2012</v>
      </c>
      <c r="Q5711" s="3">
        <v>0</v>
      </c>
      <c r="R5711" s="23" t="s">
        <v>15948</v>
      </c>
      <c r="S5711" s="23" t="s">
        <v>6847</v>
      </c>
      <c r="T5711" s="23" t="s">
        <v>4866</v>
      </c>
      <c r="U5711" s="3">
        <v>35</v>
      </c>
      <c r="W5711" s="45" t="str">
        <f>HYPERLINK("http://ictvonline.org/taxonomy/p/taxonomy-history?taxnode_id=201902847","ICTVonline=201902847")</f>
        <v>ICTVonline=201902847</v>
      </c>
      <c r="Y5711" s="1" t="s">
        <v>16074</v>
      </c>
      <c r="Z5711" s="1" t="s">
        <v>16075</v>
      </c>
      <c r="AA5711" s="1">
        <v>201900000</v>
      </c>
      <c r="AB5711" s="1">
        <v>35</v>
      </c>
    </row>
    <row r="5712" spans="1:28" x14ac:dyDescent="0.2">
      <c r="A5712" s="1">
        <v>14729</v>
      </c>
      <c r="B5712" s="1" t="s">
        <v>6839</v>
      </c>
      <c r="D5712" s="1" t="s">
        <v>15944</v>
      </c>
      <c r="F5712" s="1" t="s">
        <v>15945</v>
      </c>
      <c r="H5712" s="1" t="s">
        <v>15946</v>
      </c>
      <c r="J5712" s="1" t="s">
        <v>5042</v>
      </c>
      <c r="L5712" s="1" t="s">
        <v>2000</v>
      </c>
      <c r="N5712" s="1" t="s">
        <v>2001</v>
      </c>
      <c r="P5712" s="1" t="s">
        <v>2013</v>
      </c>
      <c r="Q5712" s="3">
        <v>0</v>
      </c>
      <c r="R5712" s="23" t="s">
        <v>15948</v>
      </c>
      <c r="S5712" s="23" t="s">
        <v>6847</v>
      </c>
      <c r="T5712" s="23" t="s">
        <v>4866</v>
      </c>
      <c r="U5712" s="3">
        <v>35</v>
      </c>
      <c r="W5712" s="45" t="str">
        <f>HYPERLINK("http://ictvonline.org/taxonomy/p/taxonomy-history?taxnode_id=201902848","ICTVonline=201902848")</f>
        <v>ICTVonline=201902848</v>
      </c>
      <c r="Y5712" s="1" t="s">
        <v>16076</v>
      </c>
      <c r="Z5712" s="1" t="s">
        <v>16077</v>
      </c>
      <c r="AA5712" s="1">
        <v>201900000</v>
      </c>
      <c r="AB5712" s="1">
        <v>35</v>
      </c>
    </row>
    <row r="5713" spans="1:28" x14ac:dyDescent="0.2">
      <c r="A5713" s="1">
        <v>14731</v>
      </c>
      <c r="B5713" s="1" t="s">
        <v>6839</v>
      </c>
      <c r="D5713" s="1" t="s">
        <v>15944</v>
      </c>
      <c r="F5713" s="1" t="s">
        <v>15945</v>
      </c>
      <c r="H5713" s="1" t="s">
        <v>15946</v>
      </c>
      <c r="J5713" s="1" t="s">
        <v>5042</v>
      </c>
      <c r="L5713" s="1" t="s">
        <v>2000</v>
      </c>
      <c r="N5713" s="1" t="s">
        <v>2001</v>
      </c>
      <c r="P5713" s="1" t="s">
        <v>2014</v>
      </c>
      <c r="Q5713" s="3">
        <v>0</v>
      </c>
      <c r="R5713" s="23" t="s">
        <v>15948</v>
      </c>
      <c r="S5713" s="23" t="s">
        <v>6847</v>
      </c>
      <c r="T5713" s="23" t="s">
        <v>4866</v>
      </c>
      <c r="U5713" s="3">
        <v>35</v>
      </c>
      <c r="W5713" s="45" t="str">
        <f>HYPERLINK("http://ictvonline.org/taxonomy/p/taxonomy-history?taxnode_id=201902849","ICTVonline=201902849")</f>
        <v>ICTVonline=201902849</v>
      </c>
      <c r="AA5713" s="1">
        <v>201900000</v>
      </c>
      <c r="AB5713" s="1">
        <v>35</v>
      </c>
    </row>
    <row r="5714" spans="1:28" x14ac:dyDescent="0.2">
      <c r="A5714" s="1">
        <v>14733</v>
      </c>
      <c r="B5714" s="1" t="s">
        <v>6839</v>
      </c>
      <c r="D5714" s="1" t="s">
        <v>15944</v>
      </c>
      <c r="F5714" s="1" t="s">
        <v>15945</v>
      </c>
      <c r="H5714" s="1" t="s">
        <v>15946</v>
      </c>
      <c r="J5714" s="1" t="s">
        <v>5042</v>
      </c>
      <c r="L5714" s="1" t="s">
        <v>2000</v>
      </c>
      <c r="N5714" s="1" t="s">
        <v>2001</v>
      </c>
      <c r="P5714" s="1" t="s">
        <v>2726</v>
      </c>
      <c r="Q5714" s="3">
        <v>0</v>
      </c>
      <c r="R5714" s="23" t="s">
        <v>15948</v>
      </c>
      <c r="S5714" s="23" t="s">
        <v>6847</v>
      </c>
      <c r="T5714" s="23" t="s">
        <v>4866</v>
      </c>
      <c r="U5714" s="3">
        <v>35</v>
      </c>
      <c r="W5714" s="45" t="str">
        <f>HYPERLINK("http://ictvonline.org/taxonomy/p/taxonomy-history?taxnode_id=201902850","ICTVonline=201902850")</f>
        <v>ICTVonline=201902850</v>
      </c>
      <c r="AA5714" s="1">
        <v>201900000</v>
      </c>
      <c r="AB5714" s="1">
        <v>35</v>
      </c>
    </row>
    <row r="5715" spans="1:28" x14ac:dyDescent="0.2">
      <c r="A5715" s="1">
        <v>14735</v>
      </c>
      <c r="B5715" s="1" t="s">
        <v>6839</v>
      </c>
      <c r="D5715" s="1" t="s">
        <v>15944</v>
      </c>
      <c r="F5715" s="1" t="s">
        <v>15945</v>
      </c>
      <c r="H5715" s="1" t="s">
        <v>15946</v>
      </c>
      <c r="J5715" s="1" t="s">
        <v>5042</v>
      </c>
      <c r="L5715" s="1" t="s">
        <v>2000</v>
      </c>
      <c r="N5715" s="1" t="s">
        <v>2001</v>
      </c>
      <c r="P5715" s="1" t="s">
        <v>3694</v>
      </c>
      <c r="Q5715" s="3">
        <v>0</v>
      </c>
      <c r="R5715" s="23" t="s">
        <v>15948</v>
      </c>
      <c r="S5715" s="23" t="s">
        <v>6847</v>
      </c>
      <c r="T5715" s="23" t="s">
        <v>4866</v>
      </c>
      <c r="U5715" s="3">
        <v>35</v>
      </c>
      <c r="W5715" s="45" t="str">
        <f>HYPERLINK("http://ictvonline.org/taxonomy/p/taxonomy-history?taxnode_id=201902851","ICTVonline=201902851")</f>
        <v>ICTVonline=201902851</v>
      </c>
      <c r="Y5715" s="1" t="s">
        <v>16078</v>
      </c>
      <c r="Z5715" s="1" t="s">
        <v>16079</v>
      </c>
      <c r="AA5715" s="1">
        <v>201900000</v>
      </c>
      <c r="AB5715" s="1">
        <v>35</v>
      </c>
    </row>
    <row r="5716" spans="1:28" x14ac:dyDescent="0.2">
      <c r="A5716" s="1">
        <v>14737</v>
      </c>
      <c r="B5716" s="1" t="s">
        <v>6839</v>
      </c>
      <c r="D5716" s="1" t="s">
        <v>15944</v>
      </c>
      <c r="F5716" s="1" t="s">
        <v>15945</v>
      </c>
      <c r="H5716" s="1" t="s">
        <v>15946</v>
      </c>
      <c r="J5716" s="1" t="s">
        <v>5042</v>
      </c>
      <c r="L5716" s="1" t="s">
        <v>2000</v>
      </c>
      <c r="N5716" s="1" t="s">
        <v>2001</v>
      </c>
      <c r="P5716" s="1" t="s">
        <v>3695</v>
      </c>
      <c r="Q5716" s="3">
        <v>0</v>
      </c>
      <c r="R5716" s="23" t="s">
        <v>15948</v>
      </c>
      <c r="S5716" s="23" t="s">
        <v>6847</v>
      </c>
      <c r="T5716" s="23" t="s">
        <v>4866</v>
      </c>
      <c r="U5716" s="3">
        <v>35</v>
      </c>
      <c r="W5716" s="45" t="str">
        <f>HYPERLINK("http://ictvonline.org/taxonomy/p/taxonomy-history?taxnode_id=201902852","ICTVonline=201902852")</f>
        <v>ICTVonline=201902852</v>
      </c>
      <c r="Y5716" s="1" t="s">
        <v>16080</v>
      </c>
      <c r="Z5716" s="1" t="s">
        <v>16081</v>
      </c>
      <c r="AA5716" s="1">
        <v>201900000</v>
      </c>
      <c r="AB5716" s="1">
        <v>35</v>
      </c>
    </row>
    <row r="5717" spans="1:28" x14ac:dyDescent="0.2">
      <c r="A5717" s="1">
        <v>14739</v>
      </c>
      <c r="B5717" s="1" t="s">
        <v>6839</v>
      </c>
      <c r="D5717" s="1" t="s">
        <v>15944</v>
      </c>
      <c r="F5717" s="1" t="s">
        <v>15945</v>
      </c>
      <c r="H5717" s="1" t="s">
        <v>15946</v>
      </c>
      <c r="J5717" s="1" t="s">
        <v>5042</v>
      </c>
      <c r="L5717" s="1" t="s">
        <v>2000</v>
      </c>
      <c r="N5717" s="1" t="s">
        <v>2001</v>
      </c>
      <c r="P5717" s="1" t="s">
        <v>2009</v>
      </c>
      <c r="Q5717" s="3">
        <v>0</v>
      </c>
      <c r="R5717" s="23" t="s">
        <v>15948</v>
      </c>
      <c r="S5717" s="23" t="s">
        <v>6847</v>
      </c>
      <c r="T5717" s="23" t="s">
        <v>4866</v>
      </c>
      <c r="U5717" s="3">
        <v>35</v>
      </c>
      <c r="W5717" s="45" t="str">
        <f>HYPERLINK("http://ictvonline.org/taxonomy/p/taxonomy-history?taxnode_id=201902853","ICTVonline=201902853")</f>
        <v>ICTVonline=201902853</v>
      </c>
      <c r="Y5717" s="1" t="s">
        <v>16082</v>
      </c>
      <c r="Z5717" s="1" t="s">
        <v>16083</v>
      </c>
      <c r="AA5717" s="1">
        <v>201900000</v>
      </c>
      <c r="AB5717" s="1">
        <v>35</v>
      </c>
    </row>
    <row r="5718" spans="1:28" x14ac:dyDescent="0.2">
      <c r="A5718" s="1">
        <v>14741</v>
      </c>
      <c r="B5718" s="1" t="s">
        <v>6839</v>
      </c>
      <c r="D5718" s="1" t="s">
        <v>15944</v>
      </c>
      <c r="F5718" s="1" t="s">
        <v>15945</v>
      </c>
      <c r="H5718" s="1" t="s">
        <v>15946</v>
      </c>
      <c r="J5718" s="1" t="s">
        <v>5042</v>
      </c>
      <c r="L5718" s="1" t="s">
        <v>2000</v>
      </c>
      <c r="N5718" s="1" t="s">
        <v>2001</v>
      </c>
      <c r="P5718" s="1" t="s">
        <v>83</v>
      </c>
      <c r="Q5718" s="3">
        <v>0</v>
      </c>
      <c r="R5718" s="23" t="s">
        <v>15948</v>
      </c>
      <c r="S5718" s="23" t="s">
        <v>6847</v>
      </c>
      <c r="T5718" s="23" t="s">
        <v>4866</v>
      </c>
      <c r="U5718" s="3">
        <v>35</v>
      </c>
      <c r="W5718" s="45" t="str">
        <f>HYPERLINK("http://ictvonline.org/taxonomy/p/taxonomy-history?taxnode_id=201902854","ICTVonline=201902854")</f>
        <v>ICTVonline=201902854</v>
      </c>
      <c r="Y5718" s="1" t="s">
        <v>16084</v>
      </c>
      <c r="Z5718" s="1" t="s">
        <v>16085</v>
      </c>
      <c r="AA5718" s="1">
        <v>201900000</v>
      </c>
      <c r="AB5718" s="1">
        <v>35</v>
      </c>
    </row>
    <row r="5719" spans="1:28" x14ac:dyDescent="0.2">
      <c r="A5719" s="1">
        <v>14743</v>
      </c>
      <c r="B5719" s="1" t="s">
        <v>6839</v>
      </c>
      <c r="D5719" s="1" t="s">
        <v>15944</v>
      </c>
      <c r="F5719" s="1" t="s">
        <v>15945</v>
      </c>
      <c r="H5719" s="1" t="s">
        <v>15946</v>
      </c>
      <c r="J5719" s="1" t="s">
        <v>5042</v>
      </c>
      <c r="L5719" s="1" t="s">
        <v>2000</v>
      </c>
      <c r="N5719" s="1" t="s">
        <v>2001</v>
      </c>
      <c r="P5719" s="1" t="s">
        <v>84</v>
      </c>
      <c r="Q5719" s="3">
        <v>0</v>
      </c>
      <c r="R5719" s="23" t="s">
        <v>15948</v>
      </c>
      <c r="S5719" s="23" t="s">
        <v>6847</v>
      </c>
      <c r="T5719" s="23" t="s">
        <v>4866</v>
      </c>
      <c r="U5719" s="3">
        <v>35</v>
      </c>
      <c r="W5719" s="45" t="str">
        <f>HYPERLINK("http://ictvonline.org/taxonomy/p/taxonomy-history?taxnode_id=201902855","ICTVonline=201902855")</f>
        <v>ICTVonline=201902855</v>
      </c>
      <c r="Y5719" s="1" t="s">
        <v>16086</v>
      </c>
      <c r="Z5719" s="1" t="s">
        <v>16087</v>
      </c>
      <c r="AA5719" s="1">
        <v>201900000</v>
      </c>
      <c r="AB5719" s="1">
        <v>35</v>
      </c>
    </row>
    <row r="5720" spans="1:28" x14ac:dyDescent="0.2">
      <c r="A5720" s="1">
        <v>14745</v>
      </c>
      <c r="B5720" s="1" t="s">
        <v>6839</v>
      </c>
      <c r="D5720" s="1" t="s">
        <v>15944</v>
      </c>
      <c r="F5720" s="1" t="s">
        <v>15945</v>
      </c>
      <c r="H5720" s="1" t="s">
        <v>15946</v>
      </c>
      <c r="J5720" s="1" t="s">
        <v>5042</v>
      </c>
      <c r="L5720" s="1" t="s">
        <v>2000</v>
      </c>
      <c r="N5720" s="1" t="s">
        <v>2001</v>
      </c>
      <c r="P5720" s="1" t="s">
        <v>4584</v>
      </c>
      <c r="Q5720" s="3">
        <v>0</v>
      </c>
      <c r="R5720" s="23" t="s">
        <v>15948</v>
      </c>
      <c r="S5720" s="23" t="s">
        <v>6847</v>
      </c>
      <c r="T5720" s="23" t="s">
        <v>4866</v>
      </c>
      <c r="U5720" s="3">
        <v>35</v>
      </c>
      <c r="W5720" s="45" t="str">
        <f>HYPERLINK("http://ictvonline.org/taxonomy/p/taxonomy-history?taxnode_id=201902856","ICTVonline=201902856")</f>
        <v>ICTVonline=201902856</v>
      </c>
      <c r="Y5720" s="1" t="s">
        <v>16088</v>
      </c>
      <c r="Z5720" s="1" t="s">
        <v>16089</v>
      </c>
      <c r="AA5720" s="1">
        <v>201900000</v>
      </c>
      <c r="AB5720" s="1">
        <v>35</v>
      </c>
    </row>
    <row r="5721" spans="1:28" x14ac:dyDescent="0.2">
      <c r="A5721" s="1">
        <v>14747</v>
      </c>
      <c r="B5721" s="1" t="s">
        <v>6839</v>
      </c>
      <c r="D5721" s="1" t="s">
        <v>15944</v>
      </c>
      <c r="F5721" s="1" t="s">
        <v>15945</v>
      </c>
      <c r="H5721" s="1" t="s">
        <v>15946</v>
      </c>
      <c r="J5721" s="1" t="s">
        <v>5042</v>
      </c>
      <c r="L5721" s="1" t="s">
        <v>2000</v>
      </c>
      <c r="N5721" s="1" t="s">
        <v>2001</v>
      </c>
      <c r="P5721" s="1" t="s">
        <v>2010</v>
      </c>
      <c r="Q5721" s="3">
        <v>0</v>
      </c>
      <c r="R5721" s="23" t="s">
        <v>15948</v>
      </c>
      <c r="S5721" s="23" t="s">
        <v>6847</v>
      </c>
      <c r="T5721" s="23" t="s">
        <v>4866</v>
      </c>
      <c r="U5721" s="3">
        <v>35</v>
      </c>
      <c r="W5721" s="45" t="str">
        <f>HYPERLINK("http://ictvonline.org/taxonomy/p/taxonomy-history?taxnode_id=201902857","ICTVonline=201902857")</f>
        <v>ICTVonline=201902857</v>
      </c>
      <c r="Y5721" s="1" t="s">
        <v>16090</v>
      </c>
      <c r="Z5721" s="1" t="s">
        <v>16091</v>
      </c>
      <c r="AA5721" s="1">
        <v>201900000</v>
      </c>
      <c r="AB5721" s="1">
        <v>35</v>
      </c>
    </row>
    <row r="5722" spans="1:28" x14ac:dyDescent="0.2">
      <c r="A5722" s="1">
        <v>14749</v>
      </c>
      <c r="B5722" s="1" t="s">
        <v>6839</v>
      </c>
      <c r="D5722" s="1" t="s">
        <v>15944</v>
      </c>
      <c r="F5722" s="1" t="s">
        <v>15945</v>
      </c>
      <c r="H5722" s="1" t="s">
        <v>15946</v>
      </c>
      <c r="J5722" s="1" t="s">
        <v>5042</v>
      </c>
      <c r="L5722" s="1" t="s">
        <v>2000</v>
      </c>
      <c r="N5722" s="1" t="s">
        <v>2001</v>
      </c>
      <c r="P5722" s="1" t="s">
        <v>5054</v>
      </c>
      <c r="Q5722" s="3">
        <v>0</v>
      </c>
      <c r="R5722" s="23" t="s">
        <v>15948</v>
      </c>
      <c r="S5722" s="23" t="s">
        <v>6847</v>
      </c>
      <c r="T5722" s="23" t="s">
        <v>4866</v>
      </c>
      <c r="U5722" s="3">
        <v>35</v>
      </c>
      <c r="W5722" s="45" t="str">
        <f>HYPERLINK("http://ictvonline.org/taxonomy/p/taxonomy-history?taxnode_id=201905766","ICTVonline=201905766")</f>
        <v>ICTVonline=201905766</v>
      </c>
      <c r="AA5722" s="1">
        <v>201900000</v>
      </c>
      <c r="AB5722" s="1">
        <v>35</v>
      </c>
    </row>
    <row r="5723" spans="1:28" x14ac:dyDescent="0.2">
      <c r="A5723" s="1">
        <v>14751</v>
      </c>
      <c r="B5723" s="1" t="s">
        <v>6839</v>
      </c>
      <c r="D5723" s="1" t="s">
        <v>15944</v>
      </c>
      <c r="F5723" s="1" t="s">
        <v>15945</v>
      </c>
      <c r="H5723" s="1" t="s">
        <v>15946</v>
      </c>
      <c r="J5723" s="1" t="s">
        <v>5042</v>
      </c>
      <c r="L5723" s="1" t="s">
        <v>2000</v>
      </c>
      <c r="N5723" s="1" t="s">
        <v>2001</v>
      </c>
      <c r="P5723" s="1" t="s">
        <v>4585</v>
      </c>
      <c r="Q5723" s="3">
        <v>0</v>
      </c>
      <c r="R5723" s="23" t="s">
        <v>15948</v>
      </c>
      <c r="S5723" s="23" t="s">
        <v>6847</v>
      </c>
      <c r="T5723" s="23" t="s">
        <v>4866</v>
      </c>
      <c r="U5723" s="3">
        <v>35</v>
      </c>
      <c r="W5723" s="45" t="str">
        <f>HYPERLINK("http://ictvonline.org/taxonomy/p/taxonomy-history?taxnode_id=201902858","ICTVonline=201902858")</f>
        <v>ICTVonline=201902858</v>
      </c>
      <c r="Y5723" s="1" t="s">
        <v>16092</v>
      </c>
      <c r="Z5723" s="1" t="s">
        <v>16093</v>
      </c>
      <c r="AA5723" s="1">
        <v>201900000</v>
      </c>
      <c r="AB5723" s="1">
        <v>35</v>
      </c>
    </row>
    <row r="5724" spans="1:28" x14ac:dyDescent="0.2">
      <c r="A5724" s="1">
        <v>14755</v>
      </c>
      <c r="B5724" s="1" t="s">
        <v>6839</v>
      </c>
      <c r="D5724" s="1" t="s">
        <v>15944</v>
      </c>
      <c r="F5724" s="1" t="s">
        <v>15945</v>
      </c>
      <c r="H5724" s="1" t="s">
        <v>15946</v>
      </c>
      <c r="J5724" s="1" t="s">
        <v>5042</v>
      </c>
      <c r="L5724" s="1" t="s">
        <v>2000</v>
      </c>
      <c r="N5724" s="1" t="s">
        <v>2118</v>
      </c>
      <c r="P5724" s="1" t="s">
        <v>6604</v>
      </c>
      <c r="Q5724" s="3">
        <v>0</v>
      </c>
      <c r="R5724" s="23" t="s">
        <v>15948</v>
      </c>
      <c r="S5724" s="23" t="s">
        <v>6847</v>
      </c>
      <c r="T5724" s="23" t="s">
        <v>4866</v>
      </c>
      <c r="U5724" s="3">
        <v>35</v>
      </c>
      <c r="W5724" s="45" t="str">
        <f>HYPERLINK("http://ictvonline.org/taxonomy/p/taxonomy-history?taxnode_id=201906640","ICTVonline=201906640")</f>
        <v>ICTVonline=201906640</v>
      </c>
      <c r="X5724" s="1" t="s">
        <v>16094</v>
      </c>
      <c r="Y5724" s="1" t="s">
        <v>16095</v>
      </c>
      <c r="Z5724" s="1" t="s">
        <v>16096</v>
      </c>
      <c r="AA5724" s="1">
        <v>201900000</v>
      </c>
      <c r="AB5724" s="1">
        <v>35</v>
      </c>
    </row>
    <row r="5725" spans="1:28" x14ac:dyDescent="0.2">
      <c r="A5725" s="1">
        <v>14757</v>
      </c>
      <c r="B5725" s="1" t="s">
        <v>6839</v>
      </c>
      <c r="D5725" s="1" t="s">
        <v>15944</v>
      </c>
      <c r="F5725" s="1" t="s">
        <v>15945</v>
      </c>
      <c r="H5725" s="1" t="s">
        <v>15946</v>
      </c>
      <c r="J5725" s="1" t="s">
        <v>5042</v>
      </c>
      <c r="L5725" s="1" t="s">
        <v>2000</v>
      </c>
      <c r="N5725" s="1" t="s">
        <v>2118</v>
      </c>
      <c r="P5725" s="1" t="s">
        <v>4586</v>
      </c>
      <c r="Q5725" s="3">
        <v>0</v>
      </c>
      <c r="R5725" s="23" t="s">
        <v>15948</v>
      </c>
      <c r="S5725" s="23" t="s">
        <v>6847</v>
      </c>
      <c r="T5725" s="23" t="s">
        <v>4866</v>
      </c>
      <c r="U5725" s="3">
        <v>35</v>
      </c>
      <c r="W5725" s="45" t="str">
        <f>HYPERLINK("http://ictvonline.org/taxonomy/p/taxonomy-history?taxnode_id=201902860","ICTVonline=201902860")</f>
        <v>ICTVonline=201902860</v>
      </c>
      <c r="Y5725" s="1" t="s">
        <v>16097</v>
      </c>
      <c r="Z5725" s="1" t="s">
        <v>16098</v>
      </c>
      <c r="AA5725" s="1">
        <v>201900000</v>
      </c>
      <c r="AB5725" s="1">
        <v>35</v>
      </c>
    </row>
    <row r="5726" spans="1:28" x14ac:dyDescent="0.2">
      <c r="A5726" s="1">
        <v>14759</v>
      </c>
      <c r="B5726" s="1" t="s">
        <v>6839</v>
      </c>
      <c r="D5726" s="1" t="s">
        <v>15944</v>
      </c>
      <c r="F5726" s="1" t="s">
        <v>15945</v>
      </c>
      <c r="H5726" s="1" t="s">
        <v>15946</v>
      </c>
      <c r="J5726" s="1" t="s">
        <v>5042</v>
      </c>
      <c r="L5726" s="1" t="s">
        <v>2000</v>
      </c>
      <c r="N5726" s="1" t="s">
        <v>2118</v>
      </c>
      <c r="P5726" s="1" t="s">
        <v>1927</v>
      </c>
      <c r="Q5726" s="3">
        <v>0</v>
      </c>
      <c r="R5726" s="23" t="s">
        <v>15948</v>
      </c>
      <c r="S5726" s="23" t="s">
        <v>6847</v>
      </c>
      <c r="T5726" s="23" t="s">
        <v>4866</v>
      </c>
      <c r="U5726" s="3">
        <v>35</v>
      </c>
      <c r="W5726" s="45" t="str">
        <f>HYPERLINK("http://ictvonline.org/taxonomy/p/taxonomy-history?taxnode_id=201902861","ICTVonline=201902861")</f>
        <v>ICTVonline=201902861</v>
      </c>
      <c r="Y5726" s="1" t="s">
        <v>16099</v>
      </c>
      <c r="Z5726" s="1" t="s">
        <v>16100</v>
      </c>
      <c r="AA5726" s="1">
        <v>201900000</v>
      </c>
      <c r="AB5726" s="1">
        <v>35</v>
      </c>
    </row>
    <row r="5727" spans="1:28" x14ac:dyDescent="0.2">
      <c r="A5727" s="1">
        <v>14761</v>
      </c>
      <c r="B5727" s="1" t="s">
        <v>6839</v>
      </c>
      <c r="D5727" s="1" t="s">
        <v>15944</v>
      </c>
      <c r="F5727" s="1" t="s">
        <v>15945</v>
      </c>
      <c r="H5727" s="1" t="s">
        <v>15946</v>
      </c>
      <c r="J5727" s="1" t="s">
        <v>5042</v>
      </c>
      <c r="L5727" s="1" t="s">
        <v>2000</v>
      </c>
      <c r="N5727" s="1" t="s">
        <v>2118</v>
      </c>
      <c r="P5727" s="1" t="s">
        <v>1928</v>
      </c>
      <c r="Q5727" s="3">
        <v>1</v>
      </c>
      <c r="R5727" s="23" t="s">
        <v>15948</v>
      </c>
      <c r="S5727" s="23" t="s">
        <v>6847</v>
      </c>
      <c r="T5727" s="23" t="s">
        <v>4866</v>
      </c>
      <c r="U5727" s="3">
        <v>35</v>
      </c>
      <c r="W5727" s="45" t="str">
        <f>HYPERLINK("http://ictvonline.org/taxonomy/p/taxonomy-history?taxnode_id=201902862","ICTVonline=201902862")</f>
        <v>ICTVonline=201902862</v>
      </c>
      <c r="Y5727" s="1" t="s">
        <v>16101</v>
      </c>
      <c r="Z5727" s="1" t="s">
        <v>16102</v>
      </c>
      <c r="AA5727" s="1">
        <v>201900000</v>
      </c>
      <c r="AB5727" s="1">
        <v>35</v>
      </c>
    </row>
    <row r="5728" spans="1:28" x14ac:dyDescent="0.2">
      <c r="A5728" s="1">
        <v>14763</v>
      </c>
      <c r="B5728" s="1" t="s">
        <v>6839</v>
      </c>
      <c r="D5728" s="1" t="s">
        <v>15944</v>
      </c>
      <c r="F5728" s="1" t="s">
        <v>15945</v>
      </c>
      <c r="H5728" s="1" t="s">
        <v>15946</v>
      </c>
      <c r="J5728" s="1" t="s">
        <v>5042</v>
      </c>
      <c r="L5728" s="1" t="s">
        <v>2000</v>
      </c>
      <c r="N5728" s="1" t="s">
        <v>2118</v>
      </c>
      <c r="P5728" s="1" t="s">
        <v>2023</v>
      </c>
      <c r="Q5728" s="3">
        <v>0</v>
      </c>
      <c r="R5728" s="23" t="s">
        <v>15948</v>
      </c>
      <c r="S5728" s="23" t="s">
        <v>6847</v>
      </c>
      <c r="T5728" s="23" t="s">
        <v>4866</v>
      </c>
      <c r="U5728" s="3">
        <v>35</v>
      </c>
      <c r="W5728" s="45" t="str">
        <f>HYPERLINK("http://ictvonline.org/taxonomy/p/taxonomy-history?taxnode_id=201902863","ICTVonline=201902863")</f>
        <v>ICTVonline=201902863</v>
      </c>
      <c r="Y5728" s="1" t="s">
        <v>16103</v>
      </c>
      <c r="Z5728" s="1" t="s">
        <v>16104</v>
      </c>
      <c r="AA5728" s="1">
        <v>201900000</v>
      </c>
      <c r="AB5728" s="1">
        <v>35</v>
      </c>
    </row>
    <row r="5729" spans="1:28" x14ac:dyDescent="0.2">
      <c r="A5729" s="1">
        <v>14765</v>
      </c>
      <c r="B5729" s="1" t="s">
        <v>6839</v>
      </c>
      <c r="D5729" s="1" t="s">
        <v>15944</v>
      </c>
      <c r="F5729" s="1" t="s">
        <v>15945</v>
      </c>
      <c r="H5729" s="1" t="s">
        <v>15946</v>
      </c>
      <c r="J5729" s="1" t="s">
        <v>5042</v>
      </c>
      <c r="L5729" s="1" t="s">
        <v>2000</v>
      </c>
      <c r="N5729" s="1" t="s">
        <v>2118</v>
      </c>
      <c r="P5729" s="1" t="s">
        <v>1763</v>
      </c>
      <c r="Q5729" s="3">
        <v>0</v>
      </c>
      <c r="R5729" s="23" t="s">
        <v>15948</v>
      </c>
      <c r="S5729" s="23" t="s">
        <v>6847</v>
      </c>
      <c r="T5729" s="23" t="s">
        <v>4866</v>
      </c>
      <c r="U5729" s="3">
        <v>35</v>
      </c>
      <c r="W5729" s="45" t="str">
        <f>HYPERLINK("http://ictvonline.org/taxonomy/p/taxonomy-history?taxnode_id=201902864","ICTVonline=201902864")</f>
        <v>ICTVonline=201902864</v>
      </c>
      <c r="Y5729" s="1" t="s">
        <v>16105</v>
      </c>
      <c r="Z5729" s="1" t="s">
        <v>16106</v>
      </c>
      <c r="AA5729" s="1">
        <v>201900000</v>
      </c>
      <c r="AB5729" s="1">
        <v>35</v>
      </c>
    </row>
    <row r="5730" spans="1:28" x14ac:dyDescent="0.2">
      <c r="A5730" s="1">
        <v>14767</v>
      </c>
      <c r="B5730" s="1" t="s">
        <v>6839</v>
      </c>
      <c r="D5730" s="1" t="s">
        <v>15944</v>
      </c>
      <c r="F5730" s="1" t="s">
        <v>15945</v>
      </c>
      <c r="H5730" s="1" t="s">
        <v>15946</v>
      </c>
      <c r="J5730" s="1" t="s">
        <v>5042</v>
      </c>
      <c r="L5730" s="1" t="s">
        <v>2000</v>
      </c>
      <c r="N5730" s="1" t="s">
        <v>2118</v>
      </c>
      <c r="P5730" s="1" t="s">
        <v>1764</v>
      </c>
      <c r="Q5730" s="3">
        <v>0</v>
      </c>
      <c r="R5730" s="23" t="s">
        <v>15948</v>
      </c>
      <c r="S5730" s="23" t="s">
        <v>6847</v>
      </c>
      <c r="T5730" s="23" t="s">
        <v>4866</v>
      </c>
      <c r="U5730" s="3">
        <v>35</v>
      </c>
      <c r="W5730" s="45" t="str">
        <f>HYPERLINK("http://ictvonline.org/taxonomy/p/taxonomy-history?taxnode_id=201902865","ICTVonline=201902865")</f>
        <v>ICTVonline=201902865</v>
      </c>
      <c r="Y5730" s="1" t="s">
        <v>16107</v>
      </c>
      <c r="Z5730" s="1" t="s">
        <v>16108</v>
      </c>
      <c r="AA5730" s="1">
        <v>201900000</v>
      </c>
      <c r="AB5730" s="1">
        <v>35</v>
      </c>
    </row>
    <row r="5731" spans="1:28" x14ac:dyDescent="0.2">
      <c r="A5731" s="1">
        <v>14769</v>
      </c>
      <c r="B5731" s="1" t="s">
        <v>6839</v>
      </c>
      <c r="D5731" s="1" t="s">
        <v>15944</v>
      </c>
      <c r="F5731" s="1" t="s">
        <v>15945</v>
      </c>
      <c r="H5731" s="1" t="s">
        <v>15946</v>
      </c>
      <c r="J5731" s="1" t="s">
        <v>5042</v>
      </c>
      <c r="L5731" s="1" t="s">
        <v>2000</v>
      </c>
      <c r="N5731" s="1" t="s">
        <v>2118</v>
      </c>
      <c r="P5731" s="1" t="s">
        <v>85</v>
      </c>
      <c r="Q5731" s="3">
        <v>0</v>
      </c>
      <c r="R5731" s="23" t="s">
        <v>15948</v>
      </c>
      <c r="S5731" s="23" t="s">
        <v>6847</v>
      </c>
      <c r="T5731" s="23" t="s">
        <v>4866</v>
      </c>
      <c r="U5731" s="3">
        <v>35</v>
      </c>
      <c r="W5731" s="45" t="str">
        <f>HYPERLINK("http://ictvonline.org/taxonomy/p/taxonomy-history?taxnode_id=201902866","ICTVonline=201902866")</f>
        <v>ICTVonline=201902866</v>
      </c>
      <c r="Y5731" s="1" t="s">
        <v>16109</v>
      </c>
      <c r="Z5731" s="1" t="s">
        <v>11977</v>
      </c>
      <c r="AA5731" s="1">
        <v>201900000</v>
      </c>
      <c r="AB5731" s="1">
        <v>35</v>
      </c>
    </row>
    <row r="5732" spans="1:28" x14ac:dyDescent="0.2">
      <c r="A5732" s="1">
        <v>14771</v>
      </c>
      <c r="B5732" s="1" t="s">
        <v>6839</v>
      </c>
      <c r="D5732" s="1" t="s">
        <v>15944</v>
      </c>
      <c r="F5732" s="1" t="s">
        <v>15945</v>
      </c>
      <c r="H5732" s="1" t="s">
        <v>15946</v>
      </c>
      <c r="J5732" s="1" t="s">
        <v>5042</v>
      </c>
      <c r="L5732" s="1" t="s">
        <v>2000</v>
      </c>
      <c r="N5732" s="1" t="s">
        <v>2118</v>
      </c>
      <c r="P5732" s="1" t="s">
        <v>736</v>
      </c>
      <c r="Q5732" s="3">
        <v>0</v>
      </c>
      <c r="R5732" s="23" t="s">
        <v>15948</v>
      </c>
      <c r="S5732" s="23" t="s">
        <v>6847</v>
      </c>
      <c r="T5732" s="23" t="s">
        <v>4866</v>
      </c>
      <c r="U5732" s="3">
        <v>35</v>
      </c>
      <c r="W5732" s="45" t="str">
        <f>HYPERLINK("http://ictvonline.org/taxonomy/p/taxonomy-history?taxnode_id=201902867","ICTVonline=201902867")</f>
        <v>ICTVonline=201902867</v>
      </c>
      <c r="Y5732" s="1" t="s">
        <v>16110</v>
      </c>
      <c r="Z5732" s="1" t="s">
        <v>16111</v>
      </c>
      <c r="AA5732" s="1">
        <v>201900000</v>
      </c>
      <c r="AB5732" s="1">
        <v>35</v>
      </c>
    </row>
    <row r="5733" spans="1:28" x14ac:dyDescent="0.2">
      <c r="A5733" s="1">
        <v>14773</v>
      </c>
      <c r="B5733" s="1" t="s">
        <v>6839</v>
      </c>
      <c r="D5733" s="1" t="s">
        <v>15944</v>
      </c>
      <c r="F5733" s="1" t="s">
        <v>15945</v>
      </c>
      <c r="H5733" s="1" t="s">
        <v>15946</v>
      </c>
      <c r="J5733" s="1" t="s">
        <v>5042</v>
      </c>
      <c r="L5733" s="1" t="s">
        <v>2000</v>
      </c>
      <c r="N5733" s="1" t="s">
        <v>2118</v>
      </c>
      <c r="P5733" s="1" t="s">
        <v>6605</v>
      </c>
      <c r="Q5733" s="3">
        <v>0</v>
      </c>
      <c r="R5733" s="23" t="s">
        <v>15948</v>
      </c>
      <c r="S5733" s="23" t="s">
        <v>6847</v>
      </c>
      <c r="T5733" s="23" t="s">
        <v>4866</v>
      </c>
      <c r="U5733" s="3">
        <v>35</v>
      </c>
      <c r="W5733" s="45" t="str">
        <f>HYPERLINK("http://ictvonline.org/taxonomy/p/taxonomy-history?taxnode_id=201906652","ICTVonline=201906652")</f>
        <v>ICTVonline=201906652</v>
      </c>
      <c r="X5733" s="1" t="s">
        <v>16112</v>
      </c>
      <c r="Y5733" s="1" t="s">
        <v>16113</v>
      </c>
      <c r="Z5733" s="1" t="s">
        <v>16114</v>
      </c>
      <c r="AA5733" s="1">
        <v>201900000</v>
      </c>
      <c r="AB5733" s="1">
        <v>35</v>
      </c>
    </row>
    <row r="5734" spans="1:28" x14ac:dyDescent="0.2">
      <c r="A5734" s="1">
        <v>14775</v>
      </c>
      <c r="B5734" s="1" t="s">
        <v>6839</v>
      </c>
      <c r="D5734" s="1" t="s">
        <v>15944</v>
      </c>
      <c r="F5734" s="1" t="s">
        <v>15945</v>
      </c>
      <c r="H5734" s="1" t="s">
        <v>15946</v>
      </c>
      <c r="J5734" s="1" t="s">
        <v>5042</v>
      </c>
      <c r="L5734" s="1" t="s">
        <v>2000</v>
      </c>
      <c r="N5734" s="1" t="s">
        <v>2118</v>
      </c>
      <c r="P5734" s="1" t="s">
        <v>2653</v>
      </c>
      <c r="Q5734" s="3">
        <v>0</v>
      </c>
      <c r="R5734" s="23" t="s">
        <v>15948</v>
      </c>
      <c r="S5734" s="23" t="s">
        <v>6847</v>
      </c>
      <c r="T5734" s="23" t="s">
        <v>4866</v>
      </c>
      <c r="U5734" s="3">
        <v>35</v>
      </c>
      <c r="W5734" s="45" t="str">
        <f>HYPERLINK("http://ictvonline.org/taxonomy/p/taxonomy-history?taxnode_id=201902868","ICTVonline=201902868")</f>
        <v>ICTVonline=201902868</v>
      </c>
      <c r="X5734" s="1" t="s">
        <v>16115</v>
      </c>
      <c r="Y5734" s="1" t="s">
        <v>16116</v>
      </c>
      <c r="Z5734" s="1" t="s">
        <v>11977</v>
      </c>
      <c r="AA5734" s="1">
        <v>201900000</v>
      </c>
      <c r="AB5734" s="1">
        <v>35</v>
      </c>
    </row>
    <row r="5735" spans="1:28" x14ac:dyDescent="0.2">
      <c r="A5735" s="1">
        <v>14777</v>
      </c>
      <c r="B5735" s="1" t="s">
        <v>6839</v>
      </c>
      <c r="D5735" s="1" t="s">
        <v>15944</v>
      </c>
      <c r="F5735" s="1" t="s">
        <v>15945</v>
      </c>
      <c r="H5735" s="1" t="s">
        <v>15946</v>
      </c>
      <c r="J5735" s="1" t="s">
        <v>5042</v>
      </c>
      <c r="L5735" s="1" t="s">
        <v>2000</v>
      </c>
      <c r="N5735" s="1" t="s">
        <v>2118</v>
      </c>
      <c r="P5735" s="1" t="s">
        <v>737</v>
      </c>
      <c r="Q5735" s="3">
        <v>0</v>
      </c>
      <c r="R5735" s="23" t="s">
        <v>15948</v>
      </c>
      <c r="S5735" s="23" t="s">
        <v>6847</v>
      </c>
      <c r="T5735" s="23" t="s">
        <v>4866</v>
      </c>
      <c r="U5735" s="3">
        <v>35</v>
      </c>
      <c r="W5735" s="45" t="str">
        <f>HYPERLINK("http://ictvonline.org/taxonomy/p/taxonomy-history?taxnode_id=201902869","ICTVonline=201902869")</f>
        <v>ICTVonline=201902869</v>
      </c>
      <c r="Y5735" s="1" t="s">
        <v>16117</v>
      </c>
      <c r="Z5735" s="1" t="s">
        <v>16118</v>
      </c>
      <c r="AA5735" s="1">
        <v>201900000</v>
      </c>
      <c r="AB5735" s="1">
        <v>35</v>
      </c>
    </row>
    <row r="5736" spans="1:28" x14ac:dyDescent="0.2">
      <c r="A5736" s="1">
        <v>14779</v>
      </c>
      <c r="B5736" s="1" t="s">
        <v>6839</v>
      </c>
      <c r="D5736" s="1" t="s">
        <v>15944</v>
      </c>
      <c r="F5736" s="1" t="s">
        <v>15945</v>
      </c>
      <c r="H5736" s="1" t="s">
        <v>15946</v>
      </c>
      <c r="J5736" s="1" t="s">
        <v>5042</v>
      </c>
      <c r="L5736" s="1" t="s">
        <v>2000</v>
      </c>
      <c r="N5736" s="1" t="s">
        <v>2118</v>
      </c>
      <c r="P5736" s="1" t="s">
        <v>738</v>
      </c>
      <c r="Q5736" s="3">
        <v>0</v>
      </c>
      <c r="R5736" s="23" t="s">
        <v>15948</v>
      </c>
      <c r="S5736" s="23" t="s">
        <v>6847</v>
      </c>
      <c r="T5736" s="23" t="s">
        <v>4866</v>
      </c>
      <c r="U5736" s="3">
        <v>35</v>
      </c>
      <c r="W5736" s="45" t="str">
        <f>HYPERLINK("http://ictvonline.org/taxonomy/p/taxonomy-history?taxnode_id=201902870","ICTVonline=201902870")</f>
        <v>ICTVonline=201902870</v>
      </c>
      <c r="AA5736" s="1">
        <v>201900000</v>
      </c>
      <c r="AB5736" s="1">
        <v>35</v>
      </c>
    </row>
    <row r="5737" spans="1:28" x14ac:dyDescent="0.2">
      <c r="A5737" s="1">
        <v>14783</v>
      </c>
      <c r="B5737" s="1" t="s">
        <v>6839</v>
      </c>
      <c r="D5737" s="1" t="s">
        <v>15944</v>
      </c>
      <c r="F5737" s="1" t="s">
        <v>15945</v>
      </c>
      <c r="H5737" s="1" t="s">
        <v>15946</v>
      </c>
      <c r="J5737" s="1" t="s">
        <v>5042</v>
      </c>
      <c r="L5737" s="1" t="s">
        <v>2000</v>
      </c>
      <c r="N5737" s="1" t="s">
        <v>739</v>
      </c>
      <c r="P5737" s="1" t="s">
        <v>740</v>
      </c>
      <c r="Q5737" s="3">
        <v>1</v>
      </c>
      <c r="R5737" s="23" t="s">
        <v>15948</v>
      </c>
      <c r="S5737" s="23" t="s">
        <v>6847</v>
      </c>
      <c r="T5737" s="23" t="s">
        <v>4866</v>
      </c>
      <c r="U5737" s="3">
        <v>35</v>
      </c>
      <c r="W5737" s="45" t="str">
        <f>HYPERLINK("http://ictvonline.org/taxonomy/p/taxonomy-history?taxnode_id=201902872","ICTVonline=201902872")</f>
        <v>ICTVonline=201902872</v>
      </c>
      <c r="Y5737" s="1" t="s">
        <v>16119</v>
      </c>
      <c r="Z5737" s="1" t="s">
        <v>16120</v>
      </c>
      <c r="AA5737" s="1">
        <v>201900000</v>
      </c>
      <c r="AB5737" s="1">
        <v>35</v>
      </c>
    </row>
    <row r="5738" spans="1:28" x14ac:dyDescent="0.2">
      <c r="A5738" s="1">
        <v>14785</v>
      </c>
      <c r="B5738" s="1" t="s">
        <v>6839</v>
      </c>
      <c r="D5738" s="1" t="s">
        <v>15944</v>
      </c>
      <c r="F5738" s="1" t="s">
        <v>15945</v>
      </c>
      <c r="H5738" s="1" t="s">
        <v>15946</v>
      </c>
      <c r="J5738" s="1" t="s">
        <v>5042</v>
      </c>
      <c r="L5738" s="1" t="s">
        <v>2000</v>
      </c>
      <c r="N5738" s="1" t="s">
        <v>739</v>
      </c>
      <c r="P5738" s="1" t="s">
        <v>1710</v>
      </c>
      <c r="Q5738" s="3">
        <v>0</v>
      </c>
      <c r="R5738" s="23" t="s">
        <v>15948</v>
      </c>
      <c r="S5738" s="23" t="s">
        <v>6847</v>
      </c>
      <c r="T5738" s="23" t="s">
        <v>4866</v>
      </c>
      <c r="U5738" s="3">
        <v>35</v>
      </c>
      <c r="W5738" s="45" t="str">
        <f>HYPERLINK("http://ictvonline.org/taxonomy/p/taxonomy-history?taxnode_id=201902873","ICTVonline=201902873")</f>
        <v>ICTVonline=201902873</v>
      </c>
      <c r="Y5738" s="1" t="s">
        <v>16121</v>
      </c>
      <c r="Z5738" s="1" t="s">
        <v>16122</v>
      </c>
      <c r="AA5738" s="1">
        <v>201900000</v>
      </c>
      <c r="AB5738" s="1">
        <v>35</v>
      </c>
    </row>
    <row r="5739" spans="1:28" x14ac:dyDescent="0.2">
      <c r="A5739" s="1">
        <v>14789</v>
      </c>
      <c r="B5739" s="1" t="s">
        <v>6839</v>
      </c>
      <c r="D5739" s="1" t="s">
        <v>15944</v>
      </c>
      <c r="F5739" s="1" t="s">
        <v>15945</v>
      </c>
      <c r="H5739" s="1" t="s">
        <v>15946</v>
      </c>
      <c r="J5739" s="1" t="s">
        <v>5042</v>
      </c>
      <c r="L5739" s="1" t="s">
        <v>2000</v>
      </c>
      <c r="N5739" s="1" t="s">
        <v>16123</v>
      </c>
      <c r="P5739" s="1" t="s">
        <v>16124</v>
      </c>
      <c r="Q5739" s="3">
        <v>1</v>
      </c>
      <c r="R5739" s="23" t="s">
        <v>15948</v>
      </c>
      <c r="S5739" s="23" t="s">
        <v>6849</v>
      </c>
      <c r="T5739" s="23" t="s">
        <v>4864</v>
      </c>
      <c r="U5739" s="3">
        <v>35</v>
      </c>
      <c r="V5739" s="3" t="s">
        <v>16038</v>
      </c>
      <c r="W5739" s="45" t="str">
        <f>HYPERLINK("http://ictvonline.org/taxonomy/p/taxonomy-history?taxnode_id=201907423","ICTVonline=201907423")</f>
        <v>ICTVonline=201907423</v>
      </c>
      <c r="X5739" s="1" t="s">
        <v>16125</v>
      </c>
      <c r="Y5739" s="1" t="s">
        <v>16126</v>
      </c>
      <c r="Z5739" s="1" t="s">
        <v>16127</v>
      </c>
      <c r="AA5739" s="1">
        <v>201900000</v>
      </c>
      <c r="AB5739" s="1">
        <v>35</v>
      </c>
    </row>
    <row r="5740" spans="1:28" x14ac:dyDescent="0.2">
      <c r="A5740" s="1">
        <v>14793</v>
      </c>
      <c r="B5740" s="1" t="s">
        <v>6839</v>
      </c>
      <c r="D5740" s="1" t="s">
        <v>15944</v>
      </c>
      <c r="F5740" s="1" t="s">
        <v>15945</v>
      </c>
      <c r="H5740" s="1" t="s">
        <v>15946</v>
      </c>
      <c r="J5740" s="1" t="s">
        <v>5042</v>
      </c>
      <c r="L5740" s="1" t="s">
        <v>2000</v>
      </c>
      <c r="N5740" s="1" t="s">
        <v>742</v>
      </c>
      <c r="P5740" s="1" t="s">
        <v>1193</v>
      </c>
      <c r="Q5740" s="3">
        <v>1</v>
      </c>
      <c r="R5740" s="23" t="s">
        <v>15948</v>
      </c>
      <c r="S5740" s="23" t="s">
        <v>6847</v>
      </c>
      <c r="T5740" s="23" t="s">
        <v>4866</v>
      </c>
      <c r="U5740" s="3">
        <v>35</v>
      </c>
      <c r="W5740" s="45" t="str">
        <f>HYPERLINK("http://ictvonline.org/taxonomy/p/taxonomy-history?taxnode_id=201902875","ICTVonline=201902875")</f>
        <v>ICTVonline=201902875</v>
      </c>
      <c r="Y5740" s="1" t="s">
        <v>16128</v>
      </c>
      <c r="Z5740" s="1" t="s">
        <v>16129</v>
      </c>
      <c r="AA5740" s="1">
        <v>201900000</v>
      </c>
      <c r="AB5740" s="1">
        <v>35</v>
      </c>
    </row>
    <row r="5741" spans="1:28" x14ac:dyDescent="0.2">
      <c r="A5741" s="1">
        <v>14797</v>
      </c>
      <c r="B5741" s="1" t="s">
        <v>6839</v>
      </c>
      <c r="D5741" s="1" t="s">
        <v>15944</v>
      </c>
      <c r="F5741" s="1" t="s">
        <v>15945</v>
      </c>
      <c r="H5741" s="1" t="s">
        <v>15946</v>
      </c>
      <c r="J5741" s="1" t="s">
        <v>5042</v>
      </c>
      <c r="L5741" s="1" t="s">
        <v>2000</v>
      </c>
      <c r="N5741" s="1" t="s">
        <v>2654</v>
      </c>
      <c r="P5741" s="1" t="s">
        <v>2655</v>
      </c>
      <c r="Q5741" s="3">
        <v>1</v>
      </c>
      <c r="R5741" s="23" t="s">
        <v>15948</v>
      </c>
      <c r="S5741" s="23" t="s">
        <v>6847</v>
      </c>
      <c r="T5741" s="23" t="s">
        <v>4866</v>
      </c>
      <c r="U5741" s="3">
        <v>35</v>
      </c>
      <c r="W5741" s="45" t="str">
        <f>HYPERLINK("http://ictvonline.org/taxonomy/p/taxonomy-history?taxnode_id=201902877","ICTVonline=201902877")</f>
        <v>ICTVonline=201902877</v>
      </c>
      <c r="X5741" s="1" t="s">
        <v>16130</v>
      </c>
      <c r="Y5741" s="1" t="s">
        <v>16131</v>
      </c>
      <c r="Z5741" s="1" t="s">
        <v>16132</v>
      </c>
      <c r="AA5741" s="1">
        <v>201900000</v>
      </c>
      <c r="AB5741" s="1">
        <v>35</v>
      </c>
    </row>
    <row r="5742" spans="1:28" x14ac:dyDescent="0.2">
      <c r="A5742" s="1">
        <v>14801</v>
      </c>
      <c r="B5742" s="1" t="s">
        <v>6839</v>
      </c>
      <c r="D5742" s="1" t="s">
        <v>15944</v>
      </c>
      <c r="F5742" s="1" t="s">
        <v>15945</v>
      </c>
      <c r="H5742" s="1" t="s">
        <v>15946</v>
      </c>
      <c r="J5742" s="1" t="s">
        <v>5042</v>
      </c>
      <c r="L5742" s="1" t="s">
        <v>2000</v>
      </c>
      <c r="N5742" s="1" t="s">
        <v>86</v>
      </c>
      <c r="P5742" s="1" t="s">
        <v>87</v>
      </c>
      <c r="Q5742" s="3">
        <v>0</v>
      </c>
      <c r="R5742" s="23" t="s">
        <v>15948</v>
      </c>
      <c r="S5742" s="23" t="s">
        <v>6847</v>
      </c>
      <c r="T5742" s="23" t="s">
        <v>4866</v>
      </c>
      <c r="U5742" s="3">
        <v>35</v>
      </c>
      <c r="W5742" s="45" t="str">
        <f>HYPERLINK("http://ictvonline.org/taxonomy/p/taxonomy-history?taxnode_id=201902879","ICTVonline=201902879")</f>
        <v>ICTVonline=201902879</v>
      </c>
      <c r="Y5742" s="1" t="s">
        <v>16133</v>
      </c>
      <c r="Z5742" s="1" t="s">
        <v>16134</v>
      </c>
      <c r="AA5742" s="1">
        <v>201900000</v>
      </c>
      <c r="AB5742" s="1">
        <v>35</v>
      </c>
    </row>
    <row r="5743" spans="1:28" x14ac:dyDescent="0.2">
      <c r="A5743" s="1">
        <v>14803</v>
      </c>
      <c r="B5743" s="1" t="s">
        <v>6839</v>
      </c>
      <c r="D5743" s="1" t="s">
        <v>15944</v>
      </c>
      <c r="F5743" s="1" t="s">
        <v>15945</v>
      </c>
      <c r="H5743" s="1" t="s">
        <v>15946</v>
      </c>
      <c r="J5743" s="1" t="s">
        <v>5042</v>
      </c>
      <c r="L5743" s="1" t="s">
        <v>2000</v>
      </c>
      <c r="N5743" s="1" t="s">
        <v>86</v>
      </c>
      <c r="P5743" s="1" t="s">
        <v>741</v>
      </c>
      <c r="Q5743" s="3">
        <v>1</v>
      </c>
      <c r="R5743" s="23" t="s">
        <v>15948</v>
      </c>
      <c r="S5743" s="23" t="s">
        <v>6847</v>
      </c>
      <c r="T5743" s="23" t="s">
        <v>4866</v>
      </c>
      <c r="U5743" s="3">
        <v>35</v>
      </c>
      <c r="W5743" s="45" t="str">
        <f>HYPERLINK("http://ictvonline.org/taxonomy/p/taxonomy-history?taxnode_id=201902880","ICTVonline=201902880")</f>
        <v>ICTVonline=201902880</v>
      </c>
      <c r="Y5743" s="1" t="s">
        <v>16135</v>
      </c>
      <c r="Z5743" s="1" t="s">
        <v>16136</v>
      </c>
      <c r="AA5743" s="1">
        <v>201900000</v>
      </c>
      <c r="AB5743" s="1">
        <v>35</v>
      </c>
    </row>
    <row r="5744" spans="1:28" x14ac:dyDescent="0.2">
      <c r="A5744" s="1">
        <v>14807</v>
      </c>
      <c r="B5744" s="1" t="s">
        <v>6839</v>
      </c>
      <c r="D5744" s="1" t="s">
        <v>15944</v>
      </c>
      <c r="F5744" s="1" t="s">
        <v>15945</v>
      </c>
      <c r="H5744" s="1" t="s">
        <v>15946</v>
      </c>
      <c r="J5744" s="1" t="s">
        <v>5042</v>
      </c>
      <c r="L5744" s="1" t="s">
        <v>2000</v>
      </c>
      <c r="N5744" s="1" t="s">
        <v>1194</v>
      </c>
      <c r="P5744" s="1" t="s">
        <v>1195</v>
      </c>
      <c r="Q5744" s="3">
        <v>0</v>
      </c>
      <c r="R5744" s="23" t="s">
        <v>15948</v>
      </c>
      <c r="S5744" s="23" t="s">
        <v>6847</v>
      </c>
      <c r="T5744" s="23" t="s">
        <v>4866</v>
      </c>
      <c r="U5744" s="3">
        <v>35</v>
      </c>
      <c r="W5744" s="45" t="str">
        <f>HYPERLINK("http://ictvonline.org/taxonomy/p/taxonomy-history?taxnode_id=201902882","ICTVonline=201902882")</f>
        <v>ICTVonline=201902882</v>
      </c>
      <c r="Y5744" s="1" t="s">
        <v>16137</v>
      </c>
      <c r="Z5744" s="1" t="s">
        <v>16138</v>
      </c>
      <c r="AA5744" s="1">
        <v>201900000</v>
      </c>
      <c r="AB5744" s="1">
        <v>35</v>
      </c>
    </row>
    <row r="5745" spans="1:28" x14ac:dyDescent="0.2">
      <c r="A5745" s="1">
        <v>14809</v>
      </c>
      <c r="B5745" s="1" t="s">
        <v>6839</v>
      </c>
      <c r="D5745" s="1" t="s">
        <v>15944</v>
      </c>
      <c r="F5745" s="1" t="s">
        <v>15945</v>
      </c>
      <c r="H5745" s="1" t="s">
        <v>15946</v>
      </c>
      <c r="J5745" s="1" t="s">
        <v>5042</v>
      </c>
      <c r="L5745" s="1" t="s">
        <v>2000</v>
      </c>
      <c r="N5745" s="1" t="s">
        <v>1194</v>
      </c>
      <c r="P5745" s="1" t="s">
        <v>88</v>
      </c>
      <c r="Q5745" s="3">
        <v>0</v>
      </c>
      <c r="R5745" s="23" t="s">
        <v>15948</v>
      </c>
      <c r="S5745" s="23" t="s">
        <v>6847</v>
      </c>
      <c r="T5745" s="23" t="s">
        <v>4866</v>
      </c>
      <c r="U5745" s="3">
        <v>35</v>
      </c>
      <c r="W5745" s="45" t="str">
        <f>HYPERLINK("http://ictvonline.org/taxonomy/p/taxonomy-history?taxnode_id=201902883","ICTVonline=201902883")</f>
        <v>ICTVonline=201902883</v>
      </c>
      <c r="Y5745" s="1" t="s">
        <v>16139</v>
      </c>
      <c r="Z5745" s="1" t="s">
        <v>16140</v>
      </c>
      <c r="AA5745" s="1">
        <v>201900000</v>
      </c>
      <c r="AB5745" s="1">
        <v>35</v>
      </c>
    </row>
    <row r="5746" spans="1:28" x14ac:dyDescent="0.2">
      <c r="A5746" s="1">
        <v>14811</v>
      </c>
      <c r="B5746" s="1" t="s">
        <v>6839</v>
      </c>
      <c r="D5746" s="1" t="s">
        <v>15944</v>
      </c>
      <c r="F5746" s="1" t="s">
        <v>15945</v>
      </c>
      <c r="H5746" s="1" t="s">
        <v>15946</v>
      </c>
      <c r="J5746" s="1" t="s">
        <v>5042</v>
      </c>
      <c r="L5746" s="1" t="s">
        <v>2000</v>
      </c>
      <c r="N5746" s="1" t="s">
        <v>1194</v>
      </c>
      <c r="P5746" s="1" t="s">
        <v>1196</v>
      </c>
      <c r="Q5746" s="3">
        <v>0</v>
      </c>
      <c r="R5746" s="23" t="s">
        <v>15948</v>
      </c>
      <c r="S5746" s="23" t="s">
        <v>6847</v>
      </c>
      <c r="T5746" s="23" t="s">
        <v>4866</v>
      </c>
      <c r="U5746" s="3">
        <v>35</v>
      </c>
      <c r="W5746" s="45" t="str">
        <f>HYPERLINK("http://ictvonline.org/taxonomy/p/taxonomy-history?taxnode_id=201902884","ICTVonline=201902884")</f>
        <v>ICTVonline=201902884</v>
      </c>
      <c r="Y5746" s="1" t="s">
        <v>16141</v>
      </c>
      <c r="Z5746" s="1" t="s">
        <v>12301</v>
      </c>
      <c r="AA5746" s="1">
        <v>201900000</v>
      </c>
      <c r="AB5746" s="1">
        <v>35</v>
      </c>
    </row>
    <row r="5747" spans="1:28" x14ac:dyDescent="0.2">
      <c r="A5747" s="1">
        <v>14813</v>
      </c>
      <c r="B5747" s="1" t="s">
        <v>6839</v>
      </c>
      <c r="D5747" s="1" t="s">
        <v>15944</v>
      </c>
      <c r="F5747" s="1" t="s">
        <v>15945</v>
      </c>
      <c r="H5747" s="1" t="s">
        <v>15946</v>
      </c>
      <c r="J5747" s="1" t="s">
        <v>5042</v>
      </c>
      <c r="L5747" s="1" t="s">
        <v>2000</v>
      </c>
      <c r="N5747" s="1" t="s">
        <v>1194</v>
      </c>
      <c r="P5747" s="1" t="s">
        <v>1197</v>
      </c>
      <c r="Q5747" s="3">
        <v>1</v>
      </c>
      <c r="R5747" s="23" t="s">
        <v>15948</v>
      </c>
      <c r="S5747" s="23" t="s">
        <v>6847</v>
      </c>
      <c r="T5747" s="23" t="s">
        <v>4866</v>
      </c>
      <c r="U5747" s="3">
        <v>35</v>
      </c>
      <c r="W5747" s="45" t="str">
        <f>HYPERLINK("http://ictvonline.org/taxonomy/p/taxonomy-history?taxnode_id=201902885","ICTVonline=201902885")</f>
        <v>ICTVonline=201902885</v>
      </c>
      <c r="Y5747" s="1" t="s">
        <v>16142</v>
      </c>
      <c r="Z5747" s="1" t="s">
        <v>16143</v>
      </c>
      <c r="AA5747" s="1">
        <v>201900000</v>
      </c>
      <c r="AB5747" s="1">
        <v>35</v>
      </c>
    </row>
    <row r="5748" spans="1:28" x14ac:dyDescent="0.2">
      <c r="A5748" s="1">
        <v>14817</v>
      </c>
      <c r="B5748" s="1" t="s">
        <v>6839</v>
      </c>
      <c r="D5748" s="1" t="s">
        <v>15944</v>
      </c>
      <c r="F5748" s="1" t="s">
        <v>15945</v>
      </c>
      <c r="H5748" s="1" t="s">
        <v>15946</v>
      </c>
      <c r="J5748" s="1" t="s">
        <v>5042</v>
      </c>
      <c r="L5748" s="1" t="s">
        <v>2000</v>
      </c>
      <c r="N5748" s="1" t="s">
        <v>1198</v>
      </c>
      <c r="P5748" s="1" t="s">
        <v>751</v>
      </c>
      <c r="Q5748" s="3">
        <v>1</v>
      </c>
      <c r="R5748" s="23" t="s">
        <v>15948</v>
      </c>
      <c r="S5748" s="23" t="s">
        <v>6847</v>
      </c>
      <c r="T5748" s="23" t="s">
        <v>4866</v>
      </c>
      <c r="U5748" s="3">
        <v>35</v>
      </c>
      <c r="W5748" s="45" t="str">
        <f>HYPERLINK("http://ictvonline.org/taxonomy/p/taxonomy-history?taxnode_id=201902887","ICTVonline=201902887")</f>
        <v>ICTVonline=201902887</v>
      </c>
      <c r="Y5748" s="1" t="s">
        <v>16144</v>
      </c>
      <c r="Z5748" s="1" t="s">
        <v>15662</v>
      </c>
      <c r="AA5748" s="1">
        <v>201900000</v>
      </c>
      <c r="AB5748" s="1">
        <v>35</v>
      </c>
    </row>
    <row r="5749" spans="1:28" x14ac:dyDescent="0.2">
      <c r="A5749" s="1">
        <v>14821</v>
      </c>
      <c r="B5749" s="1" t="s">
        <v>6839</v>
      </c>
      <c r="D5749" s="1" t="s">
        <v>15944</v>
      </c>
      <c r="F5749" s="1" t="s">
        <v>15945</v>
      </c>
      <c r="H5749" s="1" t="s">
        <v>15946</v>
      </c>
      <c r="J5749" s="1" t="s">
        <v>5042</v>
      </c>
      <c r="L5749" s="1" t="s">
        <v>2000</v>
      </c>
      <c r="N5749" s="1" t="s">
        <v>16145</v>
      </c>
      <c r="P5749" s="1" t="s">
        <v>16146</v>
      </c>
      <c r="Q5749" s="3">
        <v>1</v>
      </c>
      <c r="R5749" s="23" t="s">
        <v>15948</v>
      </c>
      <c r="S5749" s="23" t="s">
        <v>6849</v>
      </c>
      <c r="T5749" s="23" t="s">
        <v>4864</v>
      </c>
      <c r="U5749" s="3">
        <v>35</v>
      </c>
      <c r="V5749" s="3" t="s">
        <v>16038</v>
      </c>
      <c r="W5749" s="45" t="str">
        <f>HYPERLINK("http://ictvonline.org/taxonomy/p/taxonomy-history?taxnode_id=201907425","ICTVonline=201907425")</f>
        <v>ICTVonline=201907425</v>
      </c>
      <c r="X5749" s="1" t="s">
        <v>16147</v>
      </c>
      <c r="Y5749" s="1" t="s">
        <v>16148</v>
      </c>
      <c r="Z5749" s="1" t="s">
        <v>16149</v>
      </c>
      <c r="AA5749" s="1">
        <v>201900000</v>
      </c>
      <c r="AB5749" s="1">
        <v>35</v>
      </c>
    </row>
    <row r="5750" spans="1:28" x14ac:dyDescent="0.2">
      <c r="A5750" s="1">
        <v>14827</v>
      </c>
      <c r="B5750" s="1" t="s">
        <v>6839</v>
      </c>
      <c r="D5750" s="1" t="s">
        <v>15944</v>
      </c>
      <c r="F5750" s="1" t="s">
        <v>15945</v>
      </c>
      <c r="H5750" s="1" t="s">
        <v>15946</v>
      </c>
      <c r="J5750" s="1" t="s">
        <v>5042</v>
      </c>
      <c r="L5750" s="1" t="s">
        <v>1630</v>
      </c>
      <c r="N5750" s="1" t="s">
        <v>1042</v>
      </c>
      <c r="P5750" s="1" t="s">
        <v>1043</v>
      </c>
      <c r="Q5750" s="3">
        <v>0</v>
      </c>
      <c r="R5750" s="23" t="s">
        <v>15987</v>
      </c>
      <c r="S5750" s="23" t="s">
        <v>6847</v>
      </c>
      <c r="T5750" s="23" t="s">
        <v>4866</v>
      </c>
      <c r="U5750" s="3">
        <v>35</v>
      </c>
      <c r="W5750" s="45" t="str">
        <f>HYPERLINK("http://ictvonline.org/taxonomy/p/taxonomy-history?taxnode_id=201903814","ICTVonline=201903814")</f>
        <v>ICTVonline=201903814</v>
      </c>
      <c r="AA5750" s="1">
        <v>201900000</v>
      </c>
      <c r="AB5750" s="1">
        <v>35</v>
      </c>
    </row>
    <row r="5751" spans="1:28" x14ac:dyDescent="0.2">
      <c r="A5751" s="1">
        <v>14829</v>
      </c>
      <c r="B5751" s="1" t="s">
        <v>6839</v>
      </c>
      <c r="D5751" s="1" t="s">
        <v>15944</v>
      </c>
      <c r="F5751" s="1" t="s">
        <v>15945</v>
      </c>
      <c r="H5751" s="1" t="s">
        <v>15946</v>
      </c>
      <c r="J5751" s="1" t="s">
        <v>5042</v>
      </c>
      <c r="L5751" s="1" t="s">
        <v>1630</v>
      </c>
      <c r="N5751" s="1" t="s">
        <v>1042</v>
      </c>
      <c r="P5751" s="1" t="s">
        <v>1044</v>
      </c>
      <c r="Q5751" s="3">
        <v>0</v>
      </c>
      <c r="R5751" s="23" t="s">
        <v>15987</v>
      </c>
      <c r="S5751" s="23" t="s">
        <v>6847</v>
      </c>
      <c r="T5751" s="23" t="s">
        <v>4866</v>
      </c>
      <c r="U5751" s="3">
        <v>35</v>
      </c>
      <c r="W5751" s="45" t="str">
        <f>HYPERLINK("http://ictvonline.org/taxonomy/p/taxonomy-history?taxnode_id=201903815","ICTVonline=201903815")</f>
        <v>ICTVonline=201903815</v>
      </c>
      <c r="AA5751" s="1">
        <v>201900000</v>
      </c>
      <c r="AB5751" s="1">
        <v>35</v>
      </c>
    </row>
    <row r="5752" spans="1:28" x14ac:dyDescent="0.2">
      <c r="A5752" s="1">
        <v>14831</v>
      </c>
      <c r="B5752" s="1" t="s">
        <v>6839</v>
      </c>
      <c r="D5752" s="1" t="s">
        <v>15944</v>
      </c>
      <c r="F5752" s="1" t="s">
        <v>15945</v>
      </c>
      <c r="H5752" s="1" t="s">
        <v>15946</v>
      </c>
      <c r="J5752" s="1" t="s">
        <v>5042</v>
      </c>
      <c r="L5752" s="1" t="s">
        <v>1630</v>
      </c>
      <c r="N5752" s="1" t="s">
        <v>1042</v>
      </c>
      <c r="P5752" s="1" t="s">
        <v>5055</v>
      </c>
      <c r="Q5752" s="3">
        <v>0</v>
      </c>
      <c r="R5752" s="23" t="s">
        <v>15987</v>
      </c>
      <c r="S5752" s="23" t="s">
        <v>6847</v>
      </c>
      <c r="T5752" s="23" t="s">
        <v>4866</v>
      </c>
      <c r="U5752" s="3">
        <v>35</v>
      </c>
      <c r="W5752" s="45" t="str">
        <f>HYPERLINK("http://ictvonline.org/taxonomy/p/taxonomy-history?taxnode_id=201903816","ICTVonline=201903816")</f>
        <v>ICTVonline=201903816</v>
      </c>
      <c r="AA5752" s="1">
        <v>201900000</v>
      </c>
      <c r="AB5752" s="1">
        <v>35</v>
      </c>
    </row>
    <row r="5753" spans="1:28" x14ac:dyDescent="0.2">
      <c r="A5753" s="1">
        <v>14833</v>
      </c>
      <c r="B5753" s="1" t="s">
        <v>6839</v>
      </c>
      <c r="D5753" s="1" t="s">
        <v>15944</v>
      </c>
      <c r="F5753" s="1" t="s">
        <v>15945</v>
      </c>
      <c r="H5753" s="1" t="s">
        <v>15946</v>
      </c>
      <c r="J5753" s="1" t="s">
        <v>5042</v>
      </c>
      <c r="L5753" s="1" t="s">
        <v>1630</v>
      </c>
      <c r="N5753" s="1" t="s">
        <v>1042</v>
      </c>
      <c r="P5753" s="1" t="s">
        <v>1045</v>
      </c>
      <c r="Q5753" s="3">
        <v>0</v>
      </c>
      <c r="R5753" s="23" t="s">
        <v>15987</v>
      </c>
      <c r="S5753" s="23" t="s">
        <v>6847</v>
      </c>
      <c r="T5753" s="23" t="s">
        <v>4866</v>
      </c>
      <c r="U5753" s="3">
        <v>35</v>
      </c>
      <c r="W5753" s="45" t="str">
        <f>HYPERLINK("http://ictvonline.org/taxonomy/p/taxonomy-history?taxnode_id=201903817","ICTVonline=201903817")</f>
        <v>ICTVonline=201903817</v>
      </c>
      <c r="AA5753" s="1">
        <v>201900000</v>
      </c>
      <c r="AB5753" s="1">
        <v>35</v>
      </c>
    </row>
    <row r="5754" spans="1:28" x14ac:dyDescent="0.2">
      <c r="A5754" s="1">
        <v>14835</v>
      </c>
      <c r="B5754" s="1" t="s">
        <v>6839</v>
      </c>
      <c r="D5754" s="1" t="s">
        <v>15944</v>
      </c>
      <c r="F5754" s="1" t="s">
        <v>15945</v>
      </c>
      <c r="H5754" s="1" t="s">
        <v>15946</v>
      </c>
      <c r="J5754" s="1" t="s">
        <v>5042</v>
      </c>
      <c r="L5754" s="1" t="s">
        <v>1630</v>
      </c>
      <c r="N5754" s="1" t="s">
        <v>1042</v>
      </c>
      <c r="P5754" s="1" t="s">
        <v>674</v>
      </c>
      <c r="Q5754" s="3">
        <v>1</v>
      </c>
      <c r="R5754" s="23" t="s">
        <v>15987</v>
      </c>
      <c r="S5754" s="23" t="s">
        <v>6847</v>
      </c>
      <c r="T5754" s="23" t="s">
        <v>4866</v>
      </c>
      <c r="U5754" s="3">
        <v>35</v>
      </c>
      <c r="W5754" s="45" t="str">
        <f>HYPERLINK("http://ictvonline.org/taxonomy/p/taxonomy-history?taxnode_id=201903818","ICTVonline=201903818")</f>
        <v>ICTVonline=201903818</v>
      </c>
      <c r="AA5754" s="1">
        <v>201900000</v>
      </c>
      <c r="AB5754" s="1">
        <v>35</v>
      </c>
    </row>
    <row r="5755" spans="1:28" x14ac:dyDescent="0.2">
      <c r="A5755" s="1">
        <v>14837</v>
      </c>
      <c r="B5755" s="1" t="s">
        <v>6839</v>
      </c>
      <c r="D5755" s="1" t="s">
        <v>15944</v>
      </c>
      <c r="F5755" s="1" t="s">
        <v>15945</v>
      </c>
      <c r="H5755" s="1" t="s">
        <v>15946</v>
      </c>
      <c r="J5755" s="1" t="s">
        <v>5042</v>
      </c>
      <c r="L5755" s="1" t="s">
        <v>1630</v>
      </c>
      <c r="N5755" s="1" t="s">
        <v>1042</v>
      </c>
      <c r="P5755" s="1" t="s">
        <v>675</v>
      </c>
      <c r="Q5755" s="3">
        <v>0</v>
      </c>
      <c r="R5755" s="23" t="s">
        <v>15987</v>
      </c>
      <c r="S5755" s="23" t="s">
        <v>6847</v>
      </c>
      <c r="T5755" s="23" t="s">
        <v>4866</v>
      </c>
      <c r="U5755" s="3">
        <v>35</v>
      </c>
      <c r="W5755" s="45" t="str">
        <f>HYPERLINK("http://ictvonline.org/taxonomy/p/taxonomy-history?taxnode_id=201903819","ICTVonline=201903819")</f>
        <v>ICTVonline=201903819</v>
      </c>
      <c r="AA5755" s="1">
        <v>201900000</v>
      </c>
      <c r="AB5755" s="1">
        <v>35</v>
      </c>
    </row>
    <row r="5756" spans="1:28" x14ac:dyDescent="0.2">
      <c r="A5756" s="1">
        <v>14839</v>
      </c>
      <c r="B5756" s="1" t="s">
        <v>6839</v>
      </c>
      <c r="D5756" s="1" t="s">
        <v>15944</v>
      </c>
      <c r="F5756" s="1" t="s">
        <v>15945</v>
      </c>
      <c r="H5756" s="1" t="s">
        <v>15946</v>
      </c>
      <c r="J5756" s="1" t="s">
        <v>5042</v>
      </c>
      <c r="L5756" s="1" t="s">
        <v>1630</v>
      </c>
      <c r="N5756" s="1" t="s">
        <v>1042</v>
      </c>
      <c r="P5756" s="1" t="s">
        <v>676</v>
      </c>
      <c r="Q5756" s="3">
        <v>0</v>
      </c>
      <c r="R5756" s="23" t="s">
        <v>15987</v>
      </c>
      <c r="S5756" s="23" t="s">
        <v>6847</v>
      </c>
      <c r="T5756" s="23" t="s">
        <v>4866</v>
      </c>
      <c r="U5756" s="3">
        <v>35</v>
      </c>
      <c r="W5756" s="45" t="str">
        <f>HYPERLINK("http://ictvonline.org/taxonomy/p/taxonomy-history?taxnode_id=201903820","ICTVonline=201903820")</f>
        <v>ICTVonline=201903820</v>
      </c>
      <c r="AA5756" s="1">
        <v>201900000</v>
      </c>
      <c r="AB5756" s="1">
        <v>35</v>
      </c>
    </row>
    <row r="5757" spans="1:28" x14ac:dyDescent="0.2">
      <c r="A5757" s="1">
        <v>14841</v>
      </c>
      <c r="B5757" s="1" t="s">
        <v>6839</v>
      </c>
      <c r="D5757" s="1" t="s">
        <v>15944</v>
      </c>
      <c r="F5757" s="1" t="s">
        <v>15945</v>
      </c>
      <c r="H5757" s="1" t="s">
        <v>15946</v>
      </c>
      <c r="J5757" s="1" t="s">
        <v>5042</v>
      </c>
      <c r="L5757" s="1" t="s">
        <v>1630</v>
      </c>
      <c r="N5757" s="1" t="s">
        <v>1042</v>
      </c>
      <c r="P5757" s="1" t="s">
        <v>677</v>
      </c>
      <c r="Q5757" s="3">
        <v>0</v>
      </c>
      <c r="R5757" s="23" t="s">
        <v>15987</v>
      </c>
      <c r="S5757" s="23" t="s">
        <v>6847</v>
      </c>
      <c r="T5757" s="23" t="s">
        <v>4866</v>
      </c>
      <c r="U5757" s="3">
        <v>35</v>
      </c>
      <c r="W5757" s="45" t="str">
        <f>HYPERLINK("http://ictvonline.org/taxonomy/p/taxonomy-history?taxnode_id=201903821","ICTVonline=201903821")</f>
        <v>ICTVonline=201903821</v>
      </c>
      <c r="AA5757" s="1">
        <v>201900000</v>
      </c>
      <c r="AB5757" s="1">
        <v>35</v>
      </c>
    </row>
    <row r="5758" spans="1:28" x14ac:dyDescent="0.2">
      <c r="A5758" s="1">
        <v>14843</v>
      </c>
      <c r="B5758" s="1" t="s">
        <v>6839</v>
      </c>
      <c r="D5758" s="1" t="s">
        <v>15944</v>
      </c>
      <c r="F5758" s="1" t="s">
        <v>15945</v>
      </c>
      <c r="H5758" s="1" t="s">
        <v>15946</v>
      </c>
      <c r="J5758" s="1" t="s">
        <v>5042</v>
      </c>
      <c r="L5758" s="1" t="s">
        <v>1630</v>
      </c>
      <c r="N5758" s="1" t="s">
        <v>1042</v>
      </c>
      <c r="P5758" s="1" t="s">
        <v>678</v>
      </c>
      <c r="Q5758" s="3">
        <v>0</v>
      </c>
      <c r="R5758" s="23" t="s">
        <v>15987</v>
      </c>
      <c r="S5758" s="23" t="s">
        <v>6847</v>
      </c>
      <c r="T5758" s="23" t="s">
        <v>4866</v>
      </c>
      <c r="U5758" s="3">
        <v>35</v>
      </c>
      <c r="W5758" s="45" t="str">
        <f>HYPERLINK("http://ictvonline.org/taxonomy/p/taxonomy-history?taxnode_id=201903822","ICTVonline=201903822")</f>
        <v>ICTVonline=201903822</v>
      </c>
      <c r="AA5758" s="1">
        <v>201900000</v>
      </c>
      <c r="AB5758" s="1">
        <v>35</v>
      </c>
    </row>
    <row r="5759" spans="1:28" x14ac:dyDescent="0.2">
      <c r="A5759" s="1">
        <v>14845</v>
      </c>
      <c r="B5759" s="1" t="s">
        <v>6839</v>
      </c>
      <c r="D5759" s="1" t="s">
        <v>15944</v>
      </c>
      <c r="F5759" s="1" t="s">
        <v>15945</v>
      </c>
      <c r="H5759" s="1" t="s">
        <v>15946</v>
      </c>
      <c r="J5759" s="1" t="s">
        <v>5042</v>
      </c>
      <c r="L5759" s="1" t="s">
        <v>1630</v>
      </c>
      <c r="N5759" s="1" t="s">
        <v>1042</v>
      </c>
      <c r="P5759" s="1" t="s">
        <v>1047</v>
      </c>
      <c r="Q5759" s="3">
        <v>0</v>
      </c>
      <c r="R5759" s="23" t="s">
        <v>15987</v>
      </c>
      <c r="S5759" s="23" t="s">
        <v>6847</v>
      </c>
      <c r="T5759" s="23" t="s">
        <v>4866</v>
      </c>
      <c r="U5759" s="3">
        <v>35</v>
      </c>
      <c r="W5759" s="45" t="str">
        <f>HYPERLINK("http://ictvonline.org/taxonomy/p/taxonomy-history?taxnode_id=201903823","ICTVonline=201903823")</f>
        <v>ICTVonline=201903823</v>
      </c>
      <c r="AA5759" s="1">
        <v>201900000</v>
      </c>
      <c r="AB5759" s="1">
        <v>35</v>
      </c>
    </row>
    <row r="5760" spans="1:28" x14ac:dyDescent="0.2">
      <c r="A5760" s="1">
        <v>14849</v>
      </c>
      <c r="B5760" s="1" t="s">
        <v>6839</v>
      </c>
      <c r="D5760" s="1" t="s">
        <v>15944</v>
      </c>
      <c r="F5760" s="1" t="s">
        <v>15945</v>
      </c>
      <c r="H5760" s="1" t="s">
        <v>15946</v>
      </c>
      <c r="J5760" s="1" t="s">
        <v>5042</v>
      </c>
      <c r="L5760" s="1" t="s">
        <v>1630</v>
      </c>
      <c r="N5760" s="1" t="s">
        <v>1048</v>
      </c>
      <c r="P5760" s="1" t="s">
        <v>1049</v>
      </c>
      <c r="Q5760" s="3">
        <v>0</v>
      </c>
      <c r="R5760" s="23" t="s">
        <v>15987</v>
      </c>
      <c r="S5760" s="23" t="s">
        <v>6847</v>
      </c>
      <c r="T5760" s="23" t="s">
        <v>4866</v>
      </c>
      <c r="U5760" s="3">
        <v>35</v>
      </c>
      <c r="W5760" s="45" t="str">
        <f>HYPERLINK("http://ictvonline.org/taxonomy/p/taxonomy-history?taxnode_id=201903825","ICTVonline=201903825")</f>
        <v>ICTVonline=201903825</v>
      </c>
      <c r="AA5760" s="1">
        <v>201900000</v>
      </c>
      <c r="AB5760" s="1">
        <v>35</v>
      </c>
    </row>
    <row r="5761" spans="1:28" x14ac:dyDescent="0.2">
      <c r="A5761" s="1">
        <v>14851</v>
      </c>
      <c r="B5761" s="1" t="s">
        <v>6839</v>
      </c>
      <c r="D5761" s="1" t="s">
        <v>15944</v>
      </c>
      <c r="F5761" s="1" t="s">
        <v>15945</v>
      </c>
      <c r="H5761" s="1" t="s">
        <v>15946</v>
      </c>
      <c r="J5761" s="1" t="s">
        <v>5042</v>
      </c>
      <c r="L5761" s="1" t="s">
        <v>1630</v>
      </c>
      <c r="N5761" s="1" t="s">
        <v>1048</v>
      </c>
      <c r="P5761" s="1" t="s">
        <v>1050</v>
      </c>
      <c r="Q5761" s="3">
        <v>0</v>
      </c>
      <c r="R5761" s="23" t="s">
        <v>15987</v>
      </c>
      <c r="S5761" s="23" t="s">
        <v>6847</v>
      </c>
      <c r="T5761" s="23" t="s">
        <v>4866</v>
      </c>
      <c r="U5761" s="3">
        <v>35</v>
      </c>
      <c r="W5761" s="45" t="str">
        <f>HYPERLINK("http://ictvonline.org/taxonomy/p/taxonomy-history?taxnode_id=201903826","ICTVonline=201903826")</f>
        <v>ICTVonline=201903826</v>
      </c>
      <c r="AA5761" s="1">
        <v>201900000</v>
      </c>
      <c r="AB5761" s="1">
        <v>35</v>
      </c>
    </row>
    <row r="5762" spans="1:28" x14ac:dyDescent="0.2">
      <c r="A5762" s="1">
        <v>14853</v>
      </c>
      <c r="B5762" s="1" t="s">
        <v>6839</v>
      </c>
      <c r="D5762" s="1" t="s">
        <v>15944</v>
      </c>
      <c r="F5762" s="1" t="s">
        <v>15945</v>
      </c>
      <c r="H5762" s="1" t="s">
        <v>15946</v>
      </c>
      <c r="J5762" s="1" t="s">
        <v>5042</v>
      </c>
      <c r="L5762" s="1" t="s">
        <v>1630</v>
      </c>
      <c r="N5762" s="1" t="s">
        <v>1048</v>
      </c>
      <c r="P5762" s="1" t="s">
        <v>1051</v>
      </c>
      <c r="Q5762" s="3">
        <v>0</v>
      </c>
      <c r="R5762" s="23" t="s">
        <v>15987</v>
      </c>
      <c r="S5762" s="23" t="s">
        <v>6847</v>
      </c>
      <c r="T5762" s="23" t="s">
        <v>4866</v>
      </c>
      <c r="U5762" s="3">
        <v>35</v>
      </c>
      <c r="W5762" s="45" t="str">
        <f>HYPERLINK("http://ictvonline.org/taxonomy/p/taxonomy-history?taxnode_id=201903827","ICTVonline=201903827")</f>
        <v>ICTVonline=201903827</v>
      </c>
      <c r="AA5762" s="1">
        <v>201900000</v>
      </c>
      <c r="AB5762" s="1">
        <v>35</v>
      </c>
    </row>
    <row r="5763" spans="1:28" x14ac:dyDescent="0.2">
      <c r="A5763" s="1">
        <v>14855</v>
      </c>
      <c r="B5763" s="1" t="s">
        <v>6839</v>
      </c>
      <c r="D5763" s="1" t="s">
        <v>15944</v>
      </c>
      <c r="F5763" s="1" t="s">
        <v>15945</v>
      </c>
      <c r="H5763" s="1" t="s">
        <v>15946</v>
      </c>
      <c r="J5763" s="1" t="s">
        <v>5042</v>
      </c>
      <c r="L5763" s="1" t="s">
        <v>1630</v>
      </c>
      <c r="N5763" s="1" t="s">
        <v>1048</v>
      </c>
      <c r="P5763" s="1" t="s">
        <v>1052</v>
      </c>
      <c r="Q5763" s="3">
        <v>0</v>
      </c>
      <c r="R5763" s="23" t="s">
        <v>15987</v>
      </c>
      <c r="S5763" s="23" t="s">
        <v>6847</v>
      </c>
      <c r="T5763" s="23" t="s">
        <v>4866</v>
      </c>
      <c r="U5763" s="3">
        <v>35</v>
      </c>
      <c r="W5763" s="45" t="str">
        <f>HYPERLINK("http://ictvonline.org/taxonomy/p/taxonomy-history?taxnode_id=201903828","ICTVonline=201903828")</f>
        <v>ICTVonline=201903828</v>
      </c>
      <c r="AA5763" s="1">
        <v>201900000</v>
      </c>
      <c r="AB5763" s="1">
        <v>35</v>
      </c>
    </row>
    <row r="5764" spans="1:28" x14ac:dyDescent="0.2">
      <c r="A5764" s="1">
        <v>14857</v>
      </c>
      <c r="B5764" s="1" t="s">
        <v>6839</v>
      </c>
      <c r="D5764" s="1" t="s">
        <v>15944</v>
      </c>
      <c r="F5764" s="1" t="s">
        <v>15945</v>
      </c>
      <c r="H5764" s="1" t="s">
        <v>15946</v>
      </c>
      <c r="J5764" s="1" t="s">
        <v>5042</v>
      </c>
      <c r="L5764" s="1" t="s">
        <v>1630</v>
      </c>
      <c r="N5764" s="1" t="s">
        <v>1048</v>
      </c>
      <c r="P5764" s="1" t="s">
        <v>1053</v>
      </c>
      <c r="Q5764" s="3">
        <v>0</v>
      </c>
      <c r="R5764" s="23" t="s">
        <v>15987</v>
      </c>
      <c r="S5764" s="23" t="s">
        <v>6847</v>
      </c>
      <c r="T5764" s="23" t="s">
        <v>4866</v>
      </c>
      <c r="U5764" s="3">
        <v>35</v>
      </c>
      <c r="W5764" s="45" t="str">
        <f>HYPERLINK("http://ictvonline.org/taxonomy/p/taxonomy-history?taxnode_id=201903829","ICTVonline=201903829")</f>
        <v>ICTVonline=201903829</v>
      </c>
      <c r="Y5764" s="1" t="s">
        <v>16150</v>
      </c>
      <c r="Z5764" s="1" t="s">
        <v>16151</v>
      </c>
      <c r="AA5764" s="1">
        <v>201900000</v>
      </c>
      <c r="AB5764" s="1">
        <v>35</v>
      </c>
    </row>
    <row r="5765" spans="1:28" x14ac:dyDescent="0.2">
      <c r="A5765" s="1">
        <v>14859</v>
      </c>
      <c r="B5765" s="1" t="s">
        <v>6839</v>
      </c>
      <c r="D5765" s="1" t="s">
        <v>15944</v>
      </c>
      <c r="F5765" s="1" t="s">
        <v>15945</v>
      </c>
      <c r="H5765" s="1" t="s">
        <v>15946</v>
      </c>
      <c r="J5765" s="1" t="s">
        <v>5042</v>
      </c>
      <c r="L5765" s="1" t="s">
        <v>1630</v>
      </c>
      <c r="N5765" s="1" t="s">
        <v>1048</v>
      </c>
      <c r="P5765" s="1" t="s">
        <v>1054</v>
      </c>
      <c r="Q5765" s="3">
        <v>0</v>
      </c>
      <c r="R5765" s="23" t="s">
        <v>15987</v>
      </c>
      <c r="S5765" s="23" t="s">
        <v>6847</v>
      </c>
      <c r="T5765" s="23" t="s">
        <v>4866</v>
      </c>
      <c r="U5765" s="3">
        <v>35</v>
      </c>
      <c r="W5765" s="45" t="str">
        <f>HYPERLINK("http://ictvonline.org/taxonomy/p/taxonomy-history?taxnode_id=201903830","ICTVonline=201903830")</f>
        <v>ICTVonline=201903830</v>
      </c>
      <c r="AA5765" s="1">
        <v>201900000</v>
      </c>
      <c r="AB5765" s="1">
        <v>35</v>
      </c>
    </row>
    <row r="5766" spans="1:28" x14ac:dyDescent="0.2">
      <c r="A5766" s="1">
        <v>14861</v>
      </c>
      <c r="B5766" s="1" t="s">
        <v>6839</v>
      </c>
      <c r="D5766" s="1" t="s">
        <v>15944</v>
      </c>
      <c r="F5766" s="1" t="s">
        <v>15945</v>
      </c>
      <c r="H5766" s="1" t="s">
        <v>15946</v>
      </c>
      <c r="J5766" s="1" t="s">
        <v>5042</v>
      </c>
      <c r="L5766" s="1" t="s">
        <v>1630</v>
      </c>
      <c r="N5766" s="1" t="s">
        <v>1048</v>
      </c>
      <c r="P5766" s="1" t="s">
        <v>1140</v>
      </c>
      <c r="Q5766" s="3">
        <v>0</v>
      </c>
      <c r="R5766" s="23" t="s">
        <v>15987</v>
      </c>
      <c r="S5766" s="23" t="s">
        <v>6847</v>
      </c>
      <c r="T5766" s="23" t="s">
        <v>4866</v>
      </c>
      <c r="U5766" s="3">
        <v>35</v>
      </c>
      <c r="W5766" s="45" t="str">
        <f>HYPERLINK("http://ictvonline.org/taxonomy/p/taxonomy-history?taxnode_id=201903831","ICTVonline=201903831")</f>
        <v>ICTVonline=201903831</v>
      </c>
      <c r="AA5766" s="1">
        <v>201900000</v>
      </c>
      <c r="AB5766" s="1">
        <v>35</v>
      </c>
    </row>
    <row r="5767" spans="1:28" x14ac:dyDescent="0.2">
      <c r="A5767" s="1">
        <v>14863</v>
      </c>
      <c r="B5767" s="1" t="s">
        <v>6839</v>
      </c>
      <c r="D5767" s="1" t="s">
        <v>15944</v>
      </c>
      <c r="F5767" s="1" t="s">
        <v>15945</v>
      </c>
      <c r="H5767" s="1" t="s">
        <v>15946</v>
      </c>
      <c r="J5767" s="1" t="s">
        <v>5042</v>
      </c>
      <c r="L5767" s="1" t="s">
        <v>1630</v>
      </c>
      <c r="N5767" s="1" t="s">
        <v>1048</v>
      </c>
      <c r="P5767" s="1" t="s">
        <v>1141</v>
      </c>
      <c r="Q5767" s="3">
        <v>0</v>
      </c>
      <c r="R5767" s="23" t="s">
        <v>15987</v>
      </c>
      <c r="S5767" s="23" t="s">
        <v>6847</v>
      </c>
      <c r="T5767" s="23" t="s">
        <v>4866</v>
      </c>
      <c r="U5767" s="3">
        <v>35</v>
      </c>
      <c r="W5767" s="45" t="str">
        <f>HYPERLINK("http://ictvonline.org/taxonomy/p/taxonomy-history?taxnode_id=201903832","ICTVonline=201903832")</f>
        <v>ICTVonline=201903832</v>
      </c>
      <c r="AA5767" s="1">
        <v>201900000</v>
      </c>
      <c r="AB5767" s="1">
        <v>35</v>
      </c>
    </row>
    <row r="5768" spans="1:28" x14ac:dyDescent="0.2">
      <c r="A5768" s="1">
        <v>14865</v>
      </c>
      <c r="B5768" s="1" t="s">
        <v>6839</v>
      </c>
      <c r="D5768" s="1" t="s">
        <v>15944</v>
      </c>
      <c r="F5768" s="1" t="s">
        <v>15945</v>
      </c>
      <c r="H5768" s="1" t="s">
        <v>15946</v>
      </c>
      <c r="J5768" s="1" t="s">
        <v>5042</v>
      </c>
      <c r="L5768" s="1" t="s">
        <v>1630</v>
      </c>
      <c r="N5768" s="1" t="s">
        <v>1048</v>
      </c>
      <c r="P5768" s="1" t="s">
        <v>1142</v>
      </c>
      <c r="Q5768" s="3">
        <v>0</v>
      </c>
      <c r="R5768" s="23" t="s">
        <v>15987</v>
      </c>
      <c r="S5768" s="23" t="s">
        <v>6847</v>
      </c>
      <c r="T5768" s="23" t="s">
        <v>4866</v>
      </c>
      <c r="U5768" s="3">
        <v>35</v>
      </c>
      <c r="W5768" s="45" t="str">
        <f>HYPERLINK("http://ictvonline.org/taxonomy/p/taxonomy-history?taxnode_id=201903833","ICTVonline=201903833")</f>
        <v>ICTVonline=201903833</v>
      </c>
      <c r="AA5768" s="1">
        <v>201900000</v>
      </c>
      <c r="AB5768" s="1">
        <v>35</v>
      </c>
    </row>
    <row r="5769" spans="1:28" x14ac:dyDescent="0.2">
      <c r="A5769" s="1">
        <v>14867</v>
      </c>
      <c r="B5769" s="1" t="s">
        <v>6839</v>
      </c>
      <c r="D5769" s="1" t="s">
        <v>15944</v>
      </c>
      <c r="F5769" s="1" t="s">
        <v>15945</v>
      </c>
      <c r="H5769" s="1" t="s">
        <v>15946</v>
      </c>
      <c r="J5769" s="1" t="s">
        <v>5042</v>
      </c>
      <c r="L5769" s="1" t="s">
        <v>1630</v>
      </c>
      <c r="N5769" s="1" t="s">
        <v>1048</v>
      </c>
      <c r="P5769" s="1" t="s">
        <v>1143</v>
      </c>
      <c r="Q5769" s="3">
        <v>0</v>
      </c>
      <c r="R5769" s="23" t="s">
        <v>15987</v>
      </c>
      <c r="S5769" s="23" t="s">
        <v>6847</v>
      </c>
      <c r="T5769" s="23" t="s">
        <v>4866</v>
      </c>
      <c r="U5769" s="3">
        <v>35</v>
      </c>
      <c r="W5769" s="45" t="str">
        <f>HYPERLINK("http://ictvonline.org/taxonomy/p/taxonomy-history?taxnode_id=201903834","ICTVonline=201903834")</f>
        <v>ICTVonline=201903834</v>
      </c>
      <c r="AA5769" s="1">
        <v>201900000</v>
      </c>
      <c r="AB5769" s="1">
        <v>35</v>
      </c>
    </row>
    <row r="5770" spans="1:28" x14ac:dyDescent="0.2">
      <c r="A5770" s="1">
        <v>14869</v>
      </c>
      <c r="B5770" s="1" t="s">
        <v>6839</v>
      </c>
      <c r="D5770" s="1" t="s">
        <v>15944</v>
      </c>
      <c r="F5770" s="1" t="s">
        <v>15945</v>
      </c>
      <c r="H5770" s="1" t="s">
        <v>15946</v>
      </c>
      <c r="J5770" s="1" t="s">
        <v>5042</v>
      </c>
      <c r="L5770" s="1" t="s">
        <v>1630</v>
      </c>
      <c r="N5770" s="1" t="s">
        <v>1048</v>
      </c>
      <c r="P5770" s="1" t="s">
        <v>1144</v>
      </c>
      <c r="Q5770" s="3">
        <v>0</v>
      </c>
      <c r="R5770" s="23" t="s">
        <v>15987</v>
      </c>
      <c r="S5770" s="23" t="s">
        <v>6847</v>
      </c>
      <c r="T5770" s="23" t="s">
        <v>4866</v>
      </c>
      <c r="U5770" s="3">
        <v>35</v>
      </c>
      <c r="W5770" s="45" t="str">
        <f>HYPERLINK("http://ictvonline.org/taxonomy/p/taxonomy-history?taxnode_id=201903835","ICTVonline=201903835")</f>
        <v>ICTVonline=201903835</v>
      </c>
      <c r="AA5770" s="1">
        <v>201900000</v>
      </c>
      <c r="AB5770" s="1">
        <v>35</v>
      </c>
    </row>
    <row r="5771" spans="1:28" x14ac:dyDescent="0.2">
      <c r="A5771" s="1">
        <v>14871</v>
      </c>
      <c r="B5771" s="1" t="s">
        <v>6839</v>
      </c>
      <c r="D5771" s="1" t="s">
        <v>15944</v>
      </c>
      <c r="F5771" s="1" t="s">
        <v>15945</v>
      </c>
      <c r="H5771" s="1" t="s">
        <v>15946</v>
      </c>
      <c r="J5771" s="1" t="s">
        <v>5042</v>
      </c>
      <c r="L5771" s="1" t="s">
        <v>1630</v>
      </c>
      <c r="N5771" s="1" t="s">
        <v>1048</v>
      </c>
      <c r="P5771" s="1" t="s">
        <v>1145</v>
      </c>
      <c r="Q5771" s="3">
        <v>0</v>
      </c>
      <c r="R5771" s="23" t="s">
        <v>15987</v>
      </c>
      <c r="S5771" s="23" t="s">
        <v>6847</v>
      </c>
      <c r="T5771" s="23" t="s">
        <v>4866</v>
      </c>
      <c r="U5771" s="3">
        <v>35</v>
      </c>
      <c r="W5771" s="45" t="str">
        <f>HYPERLINK("http://ictvonline.org/taxonomy/p/taxonomy-history?taxnode_id=201903836","ICTVonline=201903836")</f>
        <v>ICTVonline=201903836</v>
      </c>
      <c r="AA5771" s="1">
        <v>201900000</v>
      </c>
      <c r="AB5771" s="1">
        <v>35</v>
      </c>
    </row>
    <row r="5772" spans="1:28" x14ac:dyDescent="0.2">
      <c r="A5772" s="1">
        <v>14873</v>
      </c>
      <c r="B5772" s="1" t="s">
        <v>6839</v>
      </c>
      <c r="D5772" s="1" t="s">
        <v>15944</v>
      </c>
      <c r="F5772" s="1" t="s">
        <v>15945</v>
      </c>
      <c r="H5772" s="1" t="s">
        <v>15946</v>
      </c>
      <c r="J5772" s="1" t="s">
        <v>5042</v>
      </c>
      <c r="L5772" s="1" t="s">
        <v>1630</v>
      </c>
      <c r="N5772" s="1" t="s">
        <v>1048</v>
      </c>
      <c r="P5772" s="1" t="s">
        <v>1662</v>
      </c>
      <c r="Q5772" s="3">
        <v>0</v>
      </c>
      <c r="R5772" s="23" t="s">
        <v>15987</v>
      </c>
      <c r="S5772" s="23" t="s">
        <v>6847</v>
      </c>
      <c r="T5772" s="23" t="s">
        <v>4866</v>
      </c>
      <c r="U5772" s="3">
        <v>35</v>
      </c>
      <c r="W5772" s="45" t="str">
        <f>HYPERLINK("http://ictvonline.org/taxonomy/p/taxonomy-history?taxnode_id=201903837","ICTVonline=201903837")</f>
        <v>ICTVonline=201903837</v>
      </c>
      <c r="AA5772" s="1">
        <v>201900000</v>
      </c>
      <c r="AB5772" s="1">
        <v>35</v>
      </c>
    </row>
    <row r="5773" spans="1:28" x14ac:dyDescent="0.2">
      <c r="A5773" s="1">
        <v>14875</v>
      </c>
      <c r="B5773" s="1" t="s">
        <v>6839</v>
      </c>
      <c r="D5773" s="1" t="s">
        <v>15944</v>
      </c>
      <c r="F5773" s="1" t="s">
        <v>15945</v>
      </c>
      <c r="H5773" s="1" t="s">
        <v>15946</v>
      </c>
      <c r="J5773" s="1" t="s">
        <v>5042</v>
      </c>
      <c r="L5773" s="1" t="s">
        <v>1630</v>
      </c>
      <c r="N5773" s="1" t="s">
        <v>1048</v>
      </c>
      <c r="P5773" s="1" t="s">
        <v>1663</v>
      </c>
      <c r="Q5773" s="3">
        <v>0</v>
      </c>
      <c r="R5773" s="23" t="s">
        <v>15987</v>
      </c>
      <c r="S5773" s="23" t="s">
        <v>6847</v>
      </c>
      <c r="T5773" s="23" t="s">
        <v>4866</v>
      </c>
      <c r="U5773" s="3">
        <v>35</v>
      </c>
      <c r="W5773" s="45" t="str">
        <f>HYPERLINK("http://ictvonline.org/taxonomy/p/taxonomy-history?taxnode_id=201903838","ICTVonline=201903838")</f>
        <v>ICTVonline=201903838</v>
      </c>
      <c r="AA5773" s="1">
        <v>201900000</v>
      </c>
      <c r="AB5773" s="1">
        <v>35</v>
      </c>
    </row>
    <row r="5774" spans="1:28" x14ac:dyDescent="0.2">
      <c r="A5774" s="1">
        <v>14877</v>
      </c>
      <c r="B5774" s="1" t="s">
        <v>6839</v>
      </c>
      <c r="D5774" s="1" t="s">
        <v>15944</v>
      </c>
      <c r="F5774" s="1" t="s">
        <v>15945</v>
      </c>
      <c r="H5774" s="1" t="s">
        <v>15946</v>
      </c>
      <c r="J5774" s="1" t="s">
        <v>5042</v>
      </c>
      <c r="L5774" s="1" t="s">
        <v>1630</v>
      </c>
      <c r="N5774" s="1" t="s">
        <v>1048</v>
      </c>
      <c r="P5774" s="1" t="s">
        <v>1664</v>
      </c>
      <c r="Q5774" s="3">
        <v>0</v>
      </c>
      <c r="R5774" s="23" t="s">
        <v>15987</v>
      </c>
      <c r="S5774" s="23" t="s">
        <v>6847</v>
      </c>
      <c r="T5774" s="23" t="s">
        <v>4866</v>
      </c>
      <c r="U5774" s="3">
        <v>35</v>
      </c>
      <c r="W5774" s="45" t="str">
        <f>HYPERLINK("http://ictvonline.org/taxonomy/p/taxonomy-history?taxnode_id=201903839","ICTVonline=201903839")</f>
        <v>ICTVonline=201903839</v>
      </c>
      <c r="Y5774" s="1" t="s">
        <v>16152</v>
      </c>
      <c r="Z5774" s="1" t="s">
        <v>16153</v>
      </c>
      <c r="AA5774" s="1">
        <v>201900000</v>
      </c>
      <c r="AB5774" s="1">
        <v>35</v>
      </c>
    </row>
    <row r="5775" spans="1:28" x14ac:dyDescent="0.2">
      <c r="A5775" s="1">
        <v>14879</v>
      </c>
      <c r="B5775" s="1" t="s">
        <v>6839</v>
      </c>
      <c r="D5775" s="1" t="s">
        <v>15944</v>
      </c>
      <c r="F5775" s="1" t="s">
        <v>15945</v>
      </c>
      <c r="H5775" s="1" t="s">
        <v>15946</v>
      </c>
      <c r="J5775" s="1" t="s">
        <v>5042</v>
      </c>
      <c r="L5775" s="1" t="s">
        <v>1630</v>
      </c>
      <c r="N5775" s="1" t="s">
        <v>1048</v>
      </c>
      <c r="P5775" s="1" t="s">
        <v>1665</v>
      </c>
      <c r="Q5775" s="3">
        <v>1</v>
      </c>
      <c r="R5775" s="23" t="s">
        <v>15987</v>
      </c>
      <c r="S5775" s="23" t="s">
        <v>6847</v>
      </c>
      <c r="T5775" s="23" t="s">
        <v>4866</v>
      </c>
      <c r="U5775" s="3">
        <v>35</v>
      </c>
      <c r="W5775" s="45" t="str">
        <f>HYPERLINK("http://ictvonline.org/taxonomy/p/taxonomy-history?taxnode_id=201903840","ICTVonline=201903840")</f>
        <v>ICTVonline=201903840</v>
      </c>
      <c r="Y5775" s="1" t="s">
        <v>16154</v>
      </c>
      <c r="Z5775" s="1" t="s">
        <v>16155</v>
      </c>
      <c r="AA5775" s="1">
        <v>201900000</v>
      </c>
      <c r="AB5775" s="1">
        <v>35</v>
      </c>
    </row>
    <row r="5776" spans="1:28" x14ac:dyDescent="0.2">
      <c r="A5776" s="1">
        <v>14881</v>
      </c>
      <c r="B5776" s="1" t="s">
        <v>6839</v>
      </c>
      <c r="D5776" s="1" t="s">
        <v>15944</v>
      </c>
      <c r="F5776" s="1" t="s">
        <v>15945</v>
      </c>
      <c r="H5776" s="1" t="s">
        <v>15946</v>
      </c>
      <c r="J5776" s="1" t="s">
        <v>5042</v>
      </c>
      <c r="L5776" s="1" t="s">
        <v>1630</v>
      </c>
      <c r="N5776" s="1" t="s">
        <v>1048</v>
      </c>
      <c r="P5776" s="1" t="s">
        <v>1666</v>
      </c>
      <c r="Q5776" s="3">
        <v>0</v>
      </c>
      <c r="R5776" s="23" t="s">
        <v>15987</v>
      </c>
      <c r="S5776" s="23" t="s">
        <v>6847</v>
      </c>
      <c r="T5776" s="23" t="s">
        <v>4866</v>
      </c>
      <c r="U5776" s="3">
        <v>35</v>
      </c>
      <c r="W5776" s="45" t="str">
        <f>HYPERLINK("http://ictvonline.org/taxonomy/p/taxonomy-history?taxnode_id=201903841","ICTVonline=201903841")</f>
        <v>ICTVonline=201903841</v>
      </c>
      <c r="Y5776" s="1" t="s">
        <v>16156</v>
      </c>
      <c r="Z5776" s="1" t="s">
        <v>16157</v>
      </c>
      <c r="AA5776" s="1">
        <v>201900000</v>
      </c>
      <c r="AB5776" s="1">
        <v>35</v>
      </c>
    </row>
    <row r="5777" spans="1:28" x14ac:dyDescent="0.2">
      <c r="A5777" s="1">
        <v>14883</v>
      </c>
      <c r="B5777" s="1" t="s">
        <v>6839</v>
      </c>
      <c r="D5777" s="1" t="s">
        <v>15944</v>
      </c>
      <c r="F5777" s="1" t="s">
        <v>15945</v>
      </c>
      <c r="H5777" s="1" t="s">
        <v>15946</v>
      </c>
      <c r="J5777" s="1" t="s">
        <v>5042</v>
      </c>
      <c r="L5777" s="1" t="s">
        <v>1630</v>
      </c>
      <c r="N5777" s="1" t="s">
        <v>1048</v>
      </c>
      <c r="P5777" s="1" t="s">
        <v>1658</v>
      </c>
      <c r="Q5777" s="3">
        <v>0</v>
      </c>
      <c r="R5777" s="23" t="s">
        <v>15987</v>
      </c>
      <c r="S5777" s="23" t="s">
        <v>6847</v>
      </c>
      <c r="T5777" s="23" t="s">
        <v>4866</v>
      </c>
      <c r="U5777" s="3">
        <v>35</v>
      </c>
      <c r="W5777" s="45" t="str">
        <f>HYPERLINK("http://ictvonline.org/taxonomy/p/taxonomy-history?taxnode_id=201903842","ICTVonline=201903842")</f>
        <v>ICTVonline=201903842</v>
      </c>
      <c r="Y5777" s="1" t="s">
        <v>16158</v>
      </c>
      <c r="Z5777" s="1" t="s">
        <v>16159</v>
      </c>
      <c r="AA5777" s="1">
        <v>201900000</v>
      </c>
      <c r="AB5777" s="1">
        <v>35</v>
      </c>
    </row>
    <row r="5778" spans="1:28" x14ac:dyDescent="0.2">
      <c r="A5778" s="1">
        <v>14885</v>
      </c>
      <c r="B5778" s="1" t="s">
        <v>6839</v>
      </c>
      <c r="D5778" s="1" t="s">
        <v>15944</v>
      </c>
      <c r="F5778" s="1" t="s">
        <v>15945</v>
      </c>
      <c r="H5778" s="1" t="s">
        <v>15946</v>
      </c>
      <c r="J5778" s="1" t="s">
        <v>5042</v>
      </c>
      <c r="L5778" s="1" t="s">
        <v>1630</v>
      </c>
      <c r="N5778" s="1" t="s">
        <v>1048</v>
      </c>
      <c r="P5778" s="1" t="s">
        <v>1659</v>
      </c>
      <c r="Q5778" s="3">
        <v>0</v>
      </c>
      <c r="R5778" s="23" t="s">
        <v>15987</v>
      </c>
      <c r="S5778" s="23" t="s">
        <v>6847</v>
      </c>
      <c r="T5778" s="23" t="s">
        <v>4866</v>
      </c>
      <c r="U5778" s="3">
        <v>35</v>
      </c>
      <c r="W5778" s="45" t="str">
        <f>HYPERLINK("http://ictvonline.org/taxonomy/p/taxonomy-history?taxnode_id=201903843","ICTVonline=201903843")</f>
        <v>ICTVonline=201903843</v>
      </c>
      <c r="AA5778" s="1">
        <v>201900000</v>
      </c>
      <c r="AB5778" s="1">
        <v>35</v>
      </c>
    </row>
    <row r="5779" spans="1:28" x14ac:dyDescent="0.2">
      <c r="A5779" s="1">
        <v>14887</v>
      </c>
      <c r="B5779" s="1" t="s">
        <v>6839</v>
      </c>
      <c r="D5779" s="1" t="s">
        <v>15944</v>
      </c>
      <c r="F5779" s="1" t="s">
        <v>15945</v>
      </c>
      <c r="H5779" s="1" t="s">
        <v>15946</v>
      </c>
      <c r="J5779" s="1" t="s">
        <v>5042</v>
      </c>
      <c r="L5779" s="1" t="s">
        <v>1630</v>
      </c>
      <c r="N5779" s="1" t="s">
        <v>1048</v>
      </c>
      <c r="P5779" s="1" t="s">
        <v>1660</v>
      </c>
      <c r="Q5779" s="3">
        <v>0</v>
      </c>
      <c r="R5779" s="23" t="s">
        <v>15987</v>
      </c>
      <c r="S5779" s="23" t="s">
        <v>6847</v>
      </c>
      <c r="T5779" s="23" t="s">
        <v>4866</v>
      </c>
      <c r="U5779" s="3">
        <v>35</v>
      </c>
      <c r="W5779" s="45" t="str">
        <f>HYPERLINK("http://ictvonline.org/taxonomy/p/taxonomy-history?taxnode_id=201903844","ICTVonline=201903844")</f>
        <v>ICTVonline=201903844</v>
      </c>
      <c r="AA5779" s="1">
        <v>201900000</v>
      </c>
      <c r="AB5779" s="1">
        <v>35</v>
      </c>
    </row>
    <row r="5780" spans="1:28" x14ac:dyDescent="0.2">
      <c r="A5780" s="1">
        <v>14889</v>
      </c>
      <c r="B5780" s="1" t="s">
        <v>6839</v>
      </c>
      <c r="D5780" s="1" t="s">
        <v>15944</v>
      </c>
      <c r="F5780" s="1" t="s">
        <v>15945</v>
      </c>
      <c r="H5780" s="1" t="s">
        <v>15946</v>
      </c>
      <c r="J5780" s="1" t="s">
        <v>5042</v>
      </c>
      <c r="L5780" s="1" t="s">
        <v>1630</v>
      </c>
      <c r="N5780" s="1" t="s">
        <v>1048</v>
      </c>
      <c r="P5780" s="1" t="s">
        <v>1661</v>
      </c>
      <c r="Q5780" s="3">
        <v>0</v>
      </c>
      <c r="R5780" s="23" t="s">
        <v>15987</v>
      </c>
      <c r="S5780" s="23" t="s">
        <v>6847</v>
      </c>
      <c r="T5780" s="23" t="s">
        <v>4866</v>
      </c>
      <c r="U5780" s="3">
        <v>35</v>
      </c>
      <c r="W5780" s="45" t="str">
        <f>HYPERLINK("http://ictvonline.org/taxonomy/p/taxonomy-history?taxnode_id=201903845","ICTVonline=201903845")</f>
        <v>ICTVonline=201903845</v>
      </c>
      <c r="AA5780" s="1">
        <v>201900000</v>
      </c>
      <c r="AB5780" s="1">
        <v>35</v>
      </c>
    </row>
    <row r="5781" spans="1:28" x14ac:dyDescent="0.2">
      <c r="A5781" s="1">
        <v>14895</v>
      </c>
      <c r="B5781" s="1" t="s">
        <v>6839</v>
      </c>
      <c r="D5781" s="1" t="s">
        <v>15944</v>
      </c>
      <c r="F5781" s="1" t="s">
        <v>15945</v>
      </c>
      <c r="H5781" s="1" t="s">
        <v>15946</v>
      </c>
      <c r="J5781" s="1" t="s">
        <v>5042</v>
      </c>
      <c r="L5781" s="1" t="s">
        <v>2120</v>
      </c>
      <c r="N5781" s="1" t="s">
        <v>2121</v>
      </c>
      <c r="P5781" s="1" t="s">
        <v>1511</v>
      </c>
      <c r="Q5781" s="3">
        <v>0</v>
      </c>
      <c r="R5781" s="23" t="s">
        <v>15987</v>
      </c>
      <c r="S5781" s="23" t="s">
        <v>6847</v>
      </c>
      <c r="T5781" s="23" t="s">
        <v>4866</v>
      </c>
      <c r="U5781" s="3">
        <v>35</v>
      </c>
      <c r="W5781" s="45" t="str">
        <f>HYPERLINK("http://ictvonline.org/taxonomy/p/taxonomy-history?taxnode_id=201904830","ICTVonline=201904830")</f>
        <v>ICTVonline=201904830</v>
      </c>
      <c r="AA5781" s="1">
        <v>201900000</v>
      </c>
      <c r="AB5781" s="1">
        <v>35</v>
      </c>
    </row>
    <row r="5782" spans="1:28" x14ac:dyDescent="0.2">
      <c r="A5782" s="1">
        <v>14897</v>
      </c>
      <c r="B5782" s="1" t="s">
        <v>6839</v>
      </c>
      <c r="D5782" s="1" t="s">
        <v>15944</v>
      </c>
      <c r="F5782" s="1" t="s">
        <v>15945</v>
      </c>
      <c r="H5782" s="1" t="s">
        <v>15946</v>
      </c>
      <c r="J5782" s="1" t="s">
        <v>5042</v>
      </c>
      <c r="L5782" s="1" t="s">
        <v>2120</v>
      </c>
      <c r="N5782" s="1" t="s">
        <v>2121</v>
      </c>
      <c r="P5782" s="1" t="s">
        <v>1512</v>
      </c>
      <c r="Q5782" s="3">
        <v>0</v>
      </c>
      <c r="R5782" s="23" t="s">
        <v>15987</v>
      </c>
      <c r="S5782" s="23" t="s">
        <v>6847</v>
      </c>
      <c r="T5782" s="23" t="s">
        <v>4866</v>
      </c>
      <c r="U5782" s="3">
        <v>35</v>
      </c>
      <c r="W5782" s="45" t="str">
        <f>HYPERLINK("http://ictvonline.org/taxonomy/p/taxonomy-history?taxnode_id=201904831","ICTVonline=201904831")</f>
        <v>ICTVonline=201904831</v>
      </c>
      <c r="Y5782" s="1" t="s">
        <v>16160</v>
      </c>
      <c r="Z5782" s="1" t="s">
        <v>16161</v>
      </c>
      <c r="AA5782" s="1">
        <v>201900000</v>
      </c>
      <c r="AB5782" s="1">
        <v>35</v>
      </c>
    </row>
    <row r="5783" spans="1:28" x14ac:dyDescent="0.2">
      <c r="A5783" s="1">
        <v>14899</v>
      </c>
      <c r="B5783" s="1" t="s">
        <v>6839</v>
      </c>
      <c r="D5783" s="1" t="s">
        <v>15944</v>
      </c>
      <c r="F5783" s="1" t="s">
        <v>15945</v>
      </c>
      <c r="H5783" s="1" t="s">
        <v>15946</v>
      </c>
      <c r="J5783" s="1" t="s">
        <v>5042</v>
      </c>
      <c r="L5783" s="1" t="s">
        <v>2120</v>
      </c>
      <c r="N5783" s="1" t="s">
        <v>2121</v>
      </c>
      <c r="P5783" s="1" t="s">
        <v>1547</v>
      </c>
      <c r="Q5783" s="3">
        <v>0</v>
      </c>
      <c r="R5783" s="23" t="s">
        <v>15987</v>
      </c>
      <c r="S5783" s="23" t="s">
        <v>6847</v>
      </c>
      <c r="T5783" s="23" t="s">
        <v>4866</v>
      </c>
      <c r="U5783" s="3">
        <v>35</v>
      </c>
      <c r="W5783" s="45" t="str">
        <f>HYPERLINK("http://ictvonline.org/taxonomy/p/taxonomy-history?taxnode_id=201904832","ICTVonline=201904832")</f>
        <v>ICTVonline=201904832</v>
      </c>
      <c r="Y5783" s="1" t="s">
        <v>16162</v>
      </c>
      <c r="Z5783" s="1" t="s">
        <v>16163</v>
      </c>
      <c r="AA5783" s="1">
        <v>201900000</v>
      </c>
      <c r="AB5783" s="1">
        <v>35</v>
      </c>
    </row>
    <row r="5784" spans="1:28" x14ac:dyDescent="0.2">
      <c r="A5784" s="1">
        <v>14901</v>
      </c>
      <c r="B5784" s="1" t="s">
        <v>6839</v>
      </c>
      <c r="D5784" s="1" t="s">
        <v>15944</v>
      </c>
      <c r="F5784" s="1" t="s">
        <v>15945</v>
      </c>
      <c r="H5784" s="1" t="s">
        <v>15946</v>
      </c>
      <c r="J5784" s="1" t="s">
        <v>5042</v>
      </c>
      <c r="L5784" s="1" t="s">
        <v>2120</v>
      </c>
      <c r="N5784" s="1" t="s">
        <v>2121</v>
      </c>
      <c r="P5784" s="1" t="s">
        <v>1548</v>
      </c>
      <c r="Q5784" s="3">
        <v>0</v>
      </c>
      <c r="R5784" s="23" t="s">
        <v>15987</v>
      </c>
      <c r="S5784" s="23" t="s">
        <v>6847</v>
      </c>
      <c r="T5784" s="23" t="s">
        <v>4866</v>
      </c>
      <c r="U5784" s="3">
        <v>35</v>
      </c>
      <c r="W5784" s="45" t="str">
        <f>HYPERLINK("http://ictvonline.org/taxonomy/p/taxonomy-history?taxnode_id=201904833","ICTVonline=201904833")</f>
        <v>ICTVonline=201904833</v>
      </c>
      <c r="AA5784" s="1">
        <v>201900000</v>
      </c>
      <c r="AB5784" s="1">
        <v>35</v>
      </c>
    </row>
    <row r="5785" spans="1:28" x14ac:dyDescent="0.2">
      <c r="A5785" s="1">
        <v>14903</v>
      </c>
      <c r="B5785" s="1" t="s">
        <v>6839</v>
      </c>
      <c r="D5785" s="1" t="s">
        <v>15944</v>
      </c>
      <c r="F5785" s="1" t="s">
        <v>15945</v>
      </c>
      <c r="H5785" s="1" t="s">
        <v>15946</v>
      </c>
      <c r="J5785" s="1" t="s">
        <v>5042</v>
      </c>
      <c r="L5785" s="1" t="s">
        <v>2120</v>
      </c>
      <c r="N5785" s="1" t="s">
        <v>2121</v>
      </c>
      <c r="P5785" s="1" t="s">
        <v>1860</v>
      </c>
      <c r="Q5785" s="3">
        <v>1</v>
      </c>
      <c r="R5785" s="23" t="s">
        <v>15987</v>
      </c>
      <c r="S5785" s="23" t="s">
        <v>6847</v>
      </c>
      <c r="T5785" s="23" t="s">
        <v>4866</v>
      </c>
      <c r="U5785" s="3">
        <v>35</v>
      </c>
      <c r="W5785" s="45" t="str">
        <f>HYPERLINK("http://ictvonline.org/taxonomy/p/taxonomy-history?taxnode_id=201904834","ICTVonline=201904834")</f>
        <v>ICTVonline=201904834</v>
      </c>
      <c r="AA5785" s="1">
        <v>201900000</v>
      </c>
      <c r="AB5785" s="1">
        <v>35</v>
      </c>
    </row>
    <row r="5786" spans="1:28" x14ac:dyDescent="0.2">
      <c r="A5786" s="1">
        <v>14905</v>
      </c>
      <c r="B5786" s="1" t="s">
        <v>6839</v>
      </c>
      <c r="D5786" s="1" t="s">
        <v>15944</v>
      </c>
      <c r="F5786" s="1" t="s">
        <v>15945</v>
      </c>
      <c r="H5786" s="1" t="s">
        <v>15946</v>
      </c>
      <c r="J5786" s="1" t="s">
        <v>5042</v>
      </c>
      <c r="L5786" s="1" t="s">
        <v>2120</v>
      </c>
      <c r="N5786" s="1" t="s">
        <v>2121</v>
      </c>
      <c r="P5786" s="1" t="s">
        <v>1861</v>
      </c>
      <c r="Q5786" s="3">
        <v>0</v>
      </c>
      <c r="R5786" s="23" t="s">
        <v>15987</v>
      </c>
      <c r="S5786" s="23" t="s">
        <v>6847</v>
      </c>
      <c r="T5786" s="23" t="s">
        <v>4866</v>
      </c>
      <c r="U5786" s="3">
        <v>35</v>
      </c>
      <c r="W5786" s="45" t="str">
        <f>HYPERLINK("http://ictvonline.org/taxonomy/p/taxonomy-history?taxnode_id=201904835","ICTVonline=201904835")</f>
        <v>ICTVonline=201904835</v>
      </c>
      <c r="Y5786" s="1" t="s">
        <v>16164</v>
      </c>
      <c r="Z5786" s="1" t="s">
        <v>16165</v>
      </c>
      <c r="AA5786" s="1">
        <v>201900000</v>
      </c>
      <c r="AB5786" s="1">
        <v>35</v>
      </c>
    </row>
    <row r="5787" spans="1:28" x14ac:dyDescent="0.2">
      <c r="A5787" s="1">
        <v>14907</v>
      </c>
      <c r="B5787" s="1" t="s">
        <v>6839</v>
      </c>
      <c r="D5787" s="1" t="s">
        <v>15944</v>
      </c>
      <c r="F5787" s="1" t="s">
        <v>15945</v>
      </c>
      <c r="H5787" s="1" t="s">
        <v>15946</v>
      </c>
      <c r="J5787" s="1" t="s">
        <v>5042</v>
      </c>
      <c r="L5787" s="1" t="s">
        <v>2120</v>
      </c>
      <c r="N5787" s="1" t="s">
        <v>2121</v>
      </c>
      <c r="P5787" s="1" t="s">
        <v>2063</v>
      </c>
      <c r="Q5787" s="3">
        <v>0</v>
      </c>
      <c r="R5787" s="23" t="s">
        <v>15987</v>
      </c>
      <c r="S5787" s="23" t="s">
        <v>6847</v>
      </c>
      <c r="T5787" s="23" t="s">
        <v>4866</v>
      </c>
      <c r="U5787" s="3">
        <v>35</v>
      </c>
      <c r="W5787" s="45" t="str">
        <f>HYPERLINK("http://ictvonline.org/taxonomy/p/taxonomy-history?taxnode_id=201904836","ICTVonline=201904836")</f>
        <v>ICTVonline=201904836</v>
      </c>
      <c r="Y5787" s="1" t="s">
        <v>16166</v>
      </c>
      <c r="Z5787" s="1" t="s">
        <v>16167</v>
      </c>
      <c r="AA5787" s="1">
        <v>201900000</v>
      </c>
      <c r="AB5787" s="1">
        <v>35</v>
      </c>
    </row>
    <row r="5788" spans="1:28" x14ac:dyDescent="0.2">
      <c r="A5788" s="1">
        <v>14909</v>
      </c>
      <c r="B5788" s="1" t="s">
        <v>6839</v>
      </c>
      <c r="D5788" s="1" t="s">
        <v>15944</v>
      </c>
      <c r="F5788" s="1" t="s">
        <v>15945</v>
      </c>
      <c r="H5788" s="1" t="s">
        <v>15946</v>
      </c>
      <c r="J5788" s="1" t="s">
        <v>5042</v>
      </c>
      <c r="L5788" s="1" t="s">
        <v>2120</v>
      </c>
      <c r="N5788" s="1" t="s">
        <v>2121</v>
      </c>
      <c r="P5788" s="1" t="s">
        <v>1878</v>
      </c>
      <c r="Q5788" s="3">
        <v>0</v>
      </c>
      <c r="R5788" s="23" t="s">
        <v>15987</v>
      </c>
      <c r="S5788" s="23" t="s">
        <v>6847</v>
      </c>
      <c r="T5788" s="23" t="s">
        <v>4866</v>
      </c>
      <c r="U5788" s="3">
        <v>35</v>
      </c>
      <c r="W5788" s="45" t="str">
        <f>HYPERLINK("http://ictvonline.org/taxonomy/p/taxonomy-history?taxnode_id=201904837","ICTVonline=201904837")</f>
        <v>ICTVonline=201904837</v>
      </c>
      <c r="Y5788" s="1" t="s">
        <v>16168</v>
      </c>
      <c r="Z5788" s="1" t="s">
        <v>16169</v>
      </c>
      <c r="AA5788" s="1">
        <v>201900000</v>
      </c>
      <c r="AB5788" s="1">
        <v>35</v>
      </c>
    </row>
    <row r="5789" spans="1:28" x14ac:dyDescent="0.2">
      <c r="A5789" s="1">
        <v>14913</v>
      </c>
      <c r="B5789" s="1" t="s">
        <v>6839</v>
      </c>
      <c r="D5789" s="1" t="s">
        <v>15944</v>
      </c>
      <c r="F5789" s="1" t="s">
        <v>15945</v>
      </c>
      <c r="H5789" s="1" t="s">
        <v>15946</v>
      </c>
      <c r="J5789" s="1" t="s">
        <v>5042</v>
      </c>
      <c r="L5789" s="1" t="s">
        <v>2120</v>
      </c>
      <c r="N5789" s="1" t="s">
        <v>1879</v>
      </c>
      <c r="P5789" s="1" t="s">
        <v>285</v>
      </c>
      <c r="Q5789" s="3">
        <v>0</v>
      </c>
      <c r="R5789" s="23" t="s">
        <v>15987</v>
      </c>
      <c r="S5789" s="23" t="s">
        <v>6847</v>
      </c>
      <c r="T5789" s="23" t="s">
        <v>4866</v>
      </c>
      <c r="U5789" s="3">
        <v>35</v>
      </c>
      <c r="W5789" s="45" t="str">
        <f>HYPERLINK("http://ictvonline.org/taxonomy/p/taxonomy-history?taxnode_id=201904839","ICTVonline=201904839")</f>
        <v>ICTVonline=201904839</v>
      </c>
      <c r="Y5789" s="1" t="s">
        <v>16170</v>
      </c>
      <c r="Z5789" s="1" t="s">
        <v>16171</v>
      </c>
      <c r="AA5789" s="1">
        <v>201900000</v>
      </c>
      <c r="AB5789" s="1">
        <v>35</v>
      </c>
    </row>
    <row r="5790" spans="1:28" x14ac:dyDescent="0.2">
      <c r="A5790" s="1">
        <v>14915</v>
      </c>
      <c r="B5790" s="1" t="s">
        <v>6839</v>
      </c>
      <c r="D5790" s="1" t="s">
        <v>15944</v>
      </c>
      <c r="F5790" s="1" t="s">
        <v>15945</v>
      </c>
      <c r="H5790" s="1" t="s">
        <v>15946</v>
      </c>
      <c r="J5790" s="1" t="s">
        <v>5042</v>
      </c>
      <c r="L5790" s="1" t="s">
        <v>2120</v>
      </c>
      <c r="N5790" s="1" t="s">
        <v>1879</v>
      </c>
      <c r="P5790" s="1" t="s">
        <v>286</v>
      </c>
      <c r="Q5790" s="3">
        <v>0</v>
      </c>
      <c r="R5790" s="23" t="s">
        <v>15987</v>
      </c>
      <c r="S5790" s="23" t="s">
        <v>6847</v>
      </c>
      <c r="T5790" s="23" t="s">
        <v>4866</v>
      </c>
      <c r="U5790" s="3">
        <v>35</v>
      </c>
      <c r="W5790" s="45" t="str">
        <f>HYPERLINK("http://ictvonline.org/taxonomy/p/taxonomy-history?taxnode_id=201904840","ICTVonline=201904840")</f>
        <v>ICTVonline=201904840</v>
      </c>
      <c r="Y5790" s="1" t="s">
        <v>16172</v>
      </c>
      <c r="Z5790" s="1" t="s">
        <v>16173</v>
      </c>
      <c r="AA5790" s="1">
        <v>201900000</v>
      </c>
      <c r="AB5790" s="1">
        <v>35</v>
      </c>
    </row>
    <row r="5791" spans="1:28" x14ac:dyDescent="0.2">
      <c r="A5791" s="1">
        <v>14917</v>
      </c>
      <c r="B5791" s="1" t="s">
        <v>6839</v>
      </c>
      <c r="D5791" s="1" t="s">
        <v>15944</v>
      </c>
      <c r="F5791" s="1" t="s">
        <v>15945</v>
      </c>
      <c r="H5791" s="1" t="s">
        <v>15946</v>
      </c>
      <c r="J5791" s="1" t="s">
        <v>5042</v>
      </c>
      <c r="L5791" s="1" t="s">
        <v>2120</v>
      </c>
      <c r="N5791" s="1" t="s">
        <v>1879</v>
      </c>
      <c r="P5791" s="1" t="s">
        <v>2727</v>
      </c>
      <c r="Q5791" s="3">
        <v>0</v>
      </c>
      <c r="R5791" s="23" t="s">
        <v>15987</v>
      </c>
      <c r="S5791" s="23" t="s">
        <v>6847</v>
      </c>
      <c r="T5791" s="23" t="s">
        <v>4866</v>
      </c>
      <c r="U5791" s="3">
        <v>35</v>
      </c>
      <c r="W5791" s="45" t="str">
        <f>HYPERLINK("http://ictvonline.org/taxonomy/p/taxonomy-history?taxnode_id=201904841","ICTVonline=201904841")</f>
        <v>ICTVonline=201904841</v>
      </c>
      <c r="Y5791" s="1" t="s">
        <v>16174</v>
      </c>
      <c r="Z5791" s="1" t="s">
        <v>16175</v>
      </c>
      <c r="AA5791" s="1">
        <v>201900000</v>
      </c>
      <c r="AB5791" s="1">
        <v>35</v>
      </c>
    </row>
    <row r="5792" spans="1:28" x14ac:dyDescent="0.2">
      <c r="A5792" s="1">
        <v>14919</v>
      </c>
      <c r="B5792" s="1" t="s">
        <v>6839</v>
      </c>
      <c r="D5792" s="1" t="s">
        <v>15944</v>
      </c>
      <c r="F5792" s="1" t="s">
        <v>15945</v>
      </c>
      <c r="H5792" s="1" t="s">
        <v>15946</v>
      </c>
      <c r="J5792" s="1" t="s">
        <v>5042</v>
      </c>
      <c r="L5792" s="1" t="s">
        <v>2120</v>
      </c>
      <c r="N5792" s="1" t="s">
        <v>1879</v>
      </c>
      <c r="P5792" s="1" t="s">
        <v>1277</v>
      </c>
      <c r="Q5792" s="3">
        <v>0</v>
      </c>
      <c r="R5792" s="23" t="s">
        <v>15987</v>
      </c>
      <c r="S5792" s="23" t="s">
        <v>6847</v>
      </c>
      <c r="T5792" s="23" t="s">
        <v>4866</v>
      </c>
      <c r="U5792" s="3">
        <v>35</v>
      </c>
      <c r="W5792" s="45" t="str">
        <f>HYPERLINK("http://ictvonline.org/taxonomy/p/taxonomy-history?taxnode_id=201904842","ICTVonline=201904842")</f>
        <v>ICTVonline=201904842</v>
      </c>
      <c r="Y5792" s="1" t="s">
        <v>16176</v>
      </c>
      <c r="Z5792" s="1" t="s">
        <v>16177</v>
      </c>
      <c r="AA5792" s="1">
        <v>201900000</v>
      </c>
      <c r="AB5792" s="1">
        <v>35</v>
      </c>
    </row>
    <row r="5793" spans="1:28" x14ac:dyDescent="0.2">
      <c r="A5793" s="1">
        <v>14921</v>
      </c>
      <c r="B5793" s="1" t="s">
        <v>6839</v>
      </c>
      <c r="D5793" s="1" t="s">
        <v>15944</v>
      </c>
      <c r="F5793" s="1" t="s">
        <v>15945</v>
      </c>
      <c r="H5793" s="1" t="s">
        <v>15946</v>
      </c>
      <c r="J5793" s="1" t="s">
        <v>5042</v>
      </c>
      <c r="L5793" s="1" t="s">
        <v>2120</v>
      </c>
      <c r="N5793" s="1" t="s">
        <v>1879</v>
      </c>
      <c r="P5793" s="1" t="s">
        <v>1278</v>
      </c>
      <c r="Q5793" s="3">
        <v>0</v>
      </c>
      <c r="R5793" s="23" t="s">
        <v>15987</v>
      </c>
      <c r="S5793" s="23" t="s">
        <v>6847</v>
      </c>
      <c r="T5793" s="23" t="s">
        <v>4866</v>
      </c>
      <c r="U5793" s="3">
        <v>35</v>
      </c>
      <c r="W5793" s="45" t="str">
        <f>HYPERLINK("http://ictvonline.org/taxonomy/p/taxonomy-history?taxnode_id=201904843","ICTVonline=201904843")</f>
        <v>ICTVonline=201904843</v>
      </c>
      <c r="Y5793" s="1" t="s">
        <v>16178</v>
      </c>
      <c r="Z5793" s="1" t="s">
        <v>16179</v>
      </c>
      <c r="AA5793" s="1">
        <v>201900000</v>
      </c>
      <c r="AB5793" s="1">
        <v>35</v>
      </c>
    </row>
    <row r="5794" spans="1:28" x14ac:dyDescent="0.2">
      <c r="A5794" s="1">
        <v>14923</v>
      </c>
      <c r="B5794" s="1" t="s">
        <v>6839</v>
      </c>
      <c r="D5794" s="1" t="s">
        <v>15944</v>
      </c>
      <c r="F5794" s="1" t="s">
        <v>15945</v>
      </c>
      <c r="H5794" s="1" t="s">
        <v>15946</v>
      </c>
      <c r="J5794" s="1" t="s">
        <v>5042</v>
      </c>
      <c r="L5794" s="1" t="s">
        <v>2120</v>
      </c>
      <c r="N5794" s="1" t="s">
        <v>1879</v>
      </c>
      <c r="P5794" s="1" t="s">
        <v>1279</v>
      </c>
      <c r="Q5794" s="3">
        <v>0</v>
      </c>
      <c r="R5794" s="23" t="s">
        <v>15987</v>
      </c>
      <c r="S5794" s="23" t="s">
        <v>6847</v>
      </c>
      <c r="T5794" s="23" t="s">
        <v>4866</v>
      </c>
      <c r="U5794" s="3">
        <v>35</v>
      </c>
      <c r="W5794" s="45" t="str">
        <f>HYPERLINK("http://ictvonline.org/taxonomy/p/taxonomy-history?taxnode_id=201904844","ICTVonline=201904844")</f>
        <v>ICTVonline=201904844</v>
      </c>
      <c r="AA5794" s="1">
        <v>201900000</v>
      </c>
      <c r="AB5794" s="1">
        <v>35</v>
      </c>
    </row>
    <row r="5795" spans="1:28" x14ac:dyDescent="0.2">
      <c r="A5795" s="1">
        <v>14925</v>
      </c>
      <c r="B5795" s="1" t="s">
        <v>6839</v>
      </c>
      <c r="D5795" s="1" t="s">
        <v>15944</v>
      </c>
      <c r="F5795" s="1" t="s">
        <v>15945</v>
      </c>
      <c r="H5795" s="1" t="s">
        <v>15946</v>
      </c>
      <c r="J5795" s="1" t="s">
        <v>5042</v>
      </c>
      <c r="L5795" s="1" t="s">
        <v>2120</v>
      </c>
      <c r="N5795" s="1" t="s">
        <v>1879</v>
      </c>
      <c r="P5795" s="1" t="s">
        <v>1280</v>
      </c>
      <c r="Q5795" s="3">
        <v>0</v>
      </c>
      <c r="R5795" s="23" t="s">
        <v>15987</v>
      </c>
      <c r="S5795" s="23" t="s">
        <v>6847</v>
      </c>
      <c r="T5795" s="23" t="s">
        <v>4866</v>
      </c>
      <c r="U5795" s="3">
        <v>35</v>
      </c>
      <c r="W5795" s="45" t="str">
        <f>HYPERLINK("http://ictvonline.org/taxonomy/p/taxonomy-history?taxnode_id=201904845","ICTVonline=201904845")</f>
        <v>ICTVonline=201904845</v>
      </c>
      <c r="Y5795" s="1" t="s">
        <v>16180</v>
      </c>
      <c r="Z5795" s="1" t="s">
        <v>16181</v>
      </c>
      <c r="AA5795" s="1">
        <v>201900000</v>
      </c>
      <c r="AB5795" s="1">
        <v>35</v>
      </c>
    </row>
    <row r="5796" spans="1:28" x14ac:dyDescent="0.2">
      <c r="A5796" s="1">
        <v>14927</v>
      </c>
      <c r="B5796" s="1" t="s">
        <v>6839</v>
      </c>
      <c r="D5796" s="1" t="s">
        <v>15944</v>
      </c>
      <c r="F5796" s="1" t="s">
        <v>15945</v>
      </c>
      <c r="H5796" s="1" t="s">
        <v>15946</v>
      </c>
      <c r="J5796" s="1" t="s">
        <v>5042</v>
      </c>
      <c r="L5796" s="1" t="s">
        <v>2120</v>
      </c>
      <c r="N5796" s="1" t="s">
        <v>1879</v>
      </c>
      <c r="P5796" s="1" t="s">
        <v>1281</v>
      </c>
      <c r="Q5796" s="3">
        <v>0</v>
      </c>
      <c r="R5796" s="23" t="s">
        <v>15987</v>
      </c>
      <c r="S5796" s="23" t="s">
        <v>6847</v>
      </c>
      <c r="T5796" s="23" t="s">
        <v>4866</v>
      </c>
      <c r="U5796" s="3">
        <v>35</v>
      </c>
      <c r="W5796" s="45" t="str">
        <f>HYPERLINK("http://ictvonline.org/taxonomy/p/taxonomy-history?taxnode_id=201904846","ICTVonline=201904846")</f>
        <v>ICTVonline=201904846</v>
      </c>
      <c r="Y5796" s="1" t="s">
        <v>16182</v>
      </c>
      <c r="Z5796" s="1" t="s">
        <v>16183</v>
      </c>
      <c r="AA5796" s="1">
        <v>201900000</v>
      </c>
      <c r="AB5796" s="1">
        <v>35</v>
      </c>
    </row>
    <row r="5797" spans="1:28" x14ac:dyDescent="0.2">
      <c r="A5797" s="1">
        <v>14929</v>
      </c>
      <c r="B5797" s="1" t="s">
        <v>6839</v>
      </c>
      <c r="D5797" s="1" t="s">
        <v>15944</v>
      </c>
      <c r="F5797" s="1" t="s">
        <v>15945</v>
      </c>
      <c r="H5797" s="1" t="s">
        <v>15946</v>
      </c>
      <c r="J5797" s="1" t="s">
        <v>5042</v>
      </c>
      <c r="L5797" s="1" t="s">
        <v>2120</v>
      </c>
      <c r="N5797" s="1" t="s">
        <v>1879</v>
      </c>
      <c r="P5797" s="1" t="s">
        <v>1282</v>
      </c>
      <c r="Q5797" s="3">
        <v>0</v>
      </c>
      <c r="R5797" s="23" t="s">
        <v>15987</v>
      </c>
      <c r="S5797" s="23" t="s">
        <v>6847</v>
      </c>
      <c r="T5797" s="23" t="s">
        <v>4866</v>
      </c>
      <c r="U5797" s="3">
        <v>35</v>
      </c>
      <c r="W5797" s="45" t="str">
        <f>HYPERLINK("http://ictvonline.org/taxonomy/p/taxonomy-history?taxnode_id=201904847","ICTVonline=201904847")</f>
        <v>ICTVonline=201904847</v>
      </c>
      <c r="Y5797" s="1" t="s">
        <v>16184</v>
      </c>
      <c r="Z5797" s="1" t="s">
        <v>16185</v>
      </c>
      <c r="AA5797" s="1">
        <v>201900000</v>
      </c>
      <c r="AB5797" s="1">
        <v>35</v>
      </c>
    </row>
    <row r="5798" spans="1:28" x14ac:dyDescent="0.2">
      <c r="A5798" s="1">
        <v>14931</v>
      </c>
      <c r="B5798" s="1" t="s">
        <v>6839</v>
      </c>
      <c r="D5798" s="1" t="s">
        <v>15944</v>
      </c>
      <c r="F5798" s="1" t="s">
        <v>15945</v>
      </c>
      <c r="H5798" s="1" t="s">
        <v>15946</v>
      </c>
      <c r="J5798" s="1" t="s">
        <v>5042</v>
      </c>
      <c r="L5798" s="1" t="s">
        <v>2120</v>
      </c>
      <c r="N5798" s="1" t="s">
        <v>1879</v>
      </c>
      <c r="P5798" s="1" t="s">
        <v>1283</v>
      </c>
      <c r="Q5798" s="3">
        <v>0</v>
      </c>
      <c r="R5798" s="23" t="s">
        <v>15987</v>
      </c>
      <c r="S5798" s="23" t="s">
        <v>6847</v>
      </c>
      <c r="T5798" s="23" t="s">
        <v>4866</v>
      </c>
      <c r="U5798" s="3">
        <v>35</v>
      </c>
      <c r="W5798" s="45" t="str">
        <f>HYPERLINK("http://ictvonline.org/taxonomy/p/taxonomy-history?taxnode_id=201904848","ICTVonline=201904848")</f>
        <v>ICTVonline=201904848</v>
      </c>
      <c r="Y5798" s="1" t="s">
        <v>16186</v>
      </c>
      <c r="Z5798" s="1" t="s">
        <v>16187</v>
      </c>
      <c r="AA5798" s="1">
        <v>201900000</v>
      </c>
      <c r="AB5798" s="1">
        <v>35</v>
      </c>
    </row>
    <row r="5799" spans="1:28" x14ac:dyDescent="0.2">
      <c r="A5799" s="1">
        <v>14933</v>
      </c>
      <c r="B5799" s="1" t="s">
        <v>6839</v>
      </c>
      <c r="D5799" s="1" t="s">
        <v>15944</v>
      </c>
      <c r="F5799" s="1" t="s">
        <v>15945</v>
      </c>
      <c r="H5799" s="1" t="s">
        <v>15946</v>
      </c>
      <c r="J5799" s="1" t="s">
        <v>5042</v>
      </c>
      <c r="L5799" s="1" t="s">
        <v>2120</v>
      </c>
      <c r="N5799" s="1" t="s">
        <v>1879</v>
      </c>
      <c r="P5799" s="1" t="s">
        <v>1672</v>
      </c>
      <c r="Q5799" s="3">
        <v>0</v>
      </c>
      <c r="R5799" s="23" t="s">
        <v>15987</v>
      </c>
      <c r="S5799" s="23" t="s">
        <v>6847</v>
      </c>
      <c r="T5799" s="23" t="s">
        <v>4866</v>
      </c>
      <c r="U5799" s="3">
        <v>35</v>
      </c>
      <c r="W5799" s="45" t="str">
        <f>HYPERLINK("http://ictvonline.org/taxonomy/p/taxonomy-history?taxnode_id=201904849","ICTVonline=201904849")</f>
        <v>ICTVonline=201904849</v>
      </c>
      <c r="Y5799" s="1" t="s">
        <v>16188</v>
      </c>
      <c r="Z5799" s="1" t="s">
        <v>16189</v>
      </c>
      <c r="AA5799" s="1">
        <v>201900000</v>
      </c>
      <c r="AB5799" s="1">
        <v>35</v>
      </c>
    </row>
    <row r="5800" spans="1:28" x14ac:dyDescent="0.2">
      <c r="A5800" s="1">
        <v>14935</v>
      </c>
      <c r="B5800" s="1" t="s">
        <v>6839</v>
      </c>
      <c r="D5800" s="1" t="s">
        <v>15944</v>
      </c>
      <c r="F5800" s="1" t="s">
        <v>15945</v>
      </c>
      <c r="H5800" s="1" t="s">
        <v>15946</v>
      </c>
      <c r="J5800" s="1" t="s">
        <v>5042</v>
      </c>
      <c r="L5800" s="1" t="s">
        <v>2120</v>
      </c>
      <c r="N5800" s="1" t="s">
        <v>1879</v>
      </c>
      <c r="P5800" s="1" t="s">
        <v>1673</v>
      </c>
      <c r="Q5800" s="3">
        <v>0</v>
      </c>
      <c r="R5800" s="23" t="s">
        <v>15987</v>
      </c>
      <c r="S5800" s="23" t="s">
        <v>6847</v>
      </c>
      <c r="T5800" s="23" t="s">
        <v>4866</v>
      </c>
      <c r="U5800" s="3">
        <v>35</v>
      </c>
      <c r="W5800" s="45" t="str">
        <f>HYPERLINK("http://ictvonline.org/taxonomy/p/taxonomy-history?taxnode_id=201904850","ICTVonline=201904850")</f>
        <v>ICTVonline=201904850</v>
      </c>
      <c r="Y5800" s="1" t="s">
        <v>16190</v>
      </c>
      <c r="Z5800" s="1" t="s">
        <v>16191</v>
      </c>
      <c r="AA5800" s="1">
        <v>201900000</v>
      </c>
      <c r="AB5800" s="1">
        <v>35</v>
      </c>
    </row>
    <row r="5801" spans="1:28" x14ac:dyDescent="0.2">
      <c r="A5801" s="1">
        <v>14937</v>
      </c>
      <c r="B5801" s="1" t="s">
        <v>6839</v>
      </c>
      <c r="D5801" s="1" t="s">
        <v>15944</v>
      </c>
      <c r="F5801" s="1" t="s">
        <v>15945</v>
      </c>
      <c r="H5801" s="1" t="s">
        <v>15946</v>
      </c>
      <c r="J5801" s="1" t="s">
        <v>5042</v>
      </c>
      <c r="L5801" s="1" t="s">
        <v>2120</v>
      </c>
      <c r="N5801" s="1" t="s">
        <v>1879</v>
      </c>
      <c r="P5801" s="1" t="s">
        <v>1674</v>
      </c>
      <c r="Q5801" s="3">
        <v>0</v>
      </c>
      <c r="R5801" s="23" t="s">
        <v>15987</v>
      </c>
      <c r="S5801" s="23" t="s">
        <v>6847</v>
      </c>
      <c r="T5801" s="23" t="s">
        <v>4866</v>
      </c>
      <c r="U5801" s="3">
        <v>35</v>
      </c>
      <c r="W5801" s="45" t="str">
        <f>HYPERLINK("http://ictvonline.org/taxonomy/p/taxonomy-history?taxnode_id=201904851","ICTVonline=201904851")</f>
        <v>ICTVonline=201904851</v>
      </c>
      <c r="AA5801" s="1">
        <v>201900000</v>
      </c>
      <c r="AB5801" s="1">
        <v>35</v>
      </c>
    </row>
    <row r="5802" spans="1:28" x14ac:dyDescent="0.2">
      <c r="A5802" s="1">
        <v>14939</v>
      </c>
      <c r="B5802" s="1" t="s">
        <v>6839</v>
      </c>
      <c r="D5802" s="1" t="s">
        <v>15944</v>
      </c>
      <c r="F5802" s="1" t="s">
        <v>15945</v>
      </c>
      <c r="H5802" s="1" t="s">
        <v>15946</v>
      </c>
      <c r="J5802" s="1" t="s">
        <v>5042</v>
      </c>
      <c r="L5802" s="1" t="s">
        <v>2120</v>
      </c>
      <c r="N5802" s="1" t="s">
        <v>1879</v>
      </c>
      <c r="P5802" s="1" t="s">
        <v>1675</v>
      </c>
      <c r="Q5802" s="3">
        <v>1</v>
      </c>
      <c r="R5802" s="23" t="s">
        <v>15987</v>
      </c>
      <c r="S5802" s="23" t="s">
        <v>6847</v>
      </c>
      <c r="T5802" s="23" t="s">
        <v>4866</v>
      </c>
      <c r="U5802" s="3">
        <v>35</v>
      </c>
      <c r="W5802" s="45" t="str">
        <f>HYPERLINK("http://ictvonline.org/taxonomy/p/taxonomy-history?taxnode_id=201904852","ICTVonline=201904852")</f>
        <v>ICTVonline=201904852</v>
      </c>
      <c r="Y5802" s="1" t="s">
        <v>16192</v>
      </c>
      <c r="Z5802" s="1" t="s">
        <v>16193</v>
      </c>
      <c r="AA5802" s="1">
        <v>201900000</v>
      </c>
      <c r="AB5802" s="1">
        <v>35</v>
      </c>
    </row>
    <row r="5803" spans="1:28" x14ac:dyDescent="0.2">
      <c r="A5803" s="1">
        <v>14941</v>
      </c>
      <c r="B5803" s="1" t="s">
        <v>6839</v>
      </c>
      <c r="D5803" s="1" t="s">
        <v>15944</v>
      </c>
      <c r="F5803" s="1" t="s">
        <v>15945</v>
      </c>
      <c r="H5803" s="1" t="s">
        <v>15946</v>
      </c>
      <c r="J5803" s="1" t="s">
        <v>5042</v>
      </c>
      <c r="L5803" s="1" t="s">
        <v>2120</v>
      </c>
      <c r="N5803" s="1" t="s">
        <v>1879</v>
      </c>
      <c r="P5803" s="1" t="s">
        <v>1676</v>
      </c>
      <c r="Q5803" s="3">
        <v>0</v>
      </c>
      <c r="R5803" s="23" t="s">
        <v>15987</v>
      </c>
      <c r="S5803" s="23" t="s">
        <v>6847</v>
      </c>
      <c r="T5803" s="23" t="s">
        <v>4866</v>
      </c>
      <c r="U5803" s="3">
        <v>35</v>
      </c>
      <c r="W5803" s="45" t="str">
        <f>HYPERLINK("http://ictvonline.org/taxonomy/p/taxonomy-history?taxnode_id=201904853","ICTVonline=201904853")</f>
        <v>ICTVonline=201904853</v>
      </c>
      <c r="Y5803" s="1" t="s">
        <v>16194</v>
      </c>
      <c r="Z5803" s="1" t="s">
        <v>16195</v>
      </c>
      <c r="AA5803" s="1">
        <v>201900000</v>
      </c>
      <c r="AB5803" s="1">
        <v>35</v>
      </c>
    </row>
    <row r="5804" spans="1:28" x14ac:dyDescent="0.2">
      <c r="A5804" s="1">
        <v>14943</v>
      </c>
      <c r="B5804" s="1" t="s">
        <v>6839</v>
      </c>
      <c r="D5804" s="1" t="s">
        <v>15944</v>
      </c>
      <c r="F5804" s="1" t="s">
        <v>15945</v>
      </c>
      <c r="H5804" s="1" t="s">
        <v>15946</v>
      </c>
      <c r="J5804" s="1" t="s">
        <v>5042</v>
      </c>
      <c r="L5804" s="1" t="s">
        <v>2120</v>
      </c>
      <c r="N5804" s="1" t="s">
        <v>1879</v>
      </c>
      <c r="P5804" s="1" t="s">
        <v>709</v>
      </c>
      <c r="Q5804" s="3">
        <v>0</v>
      </c>
      <c r="R5804" s="23" t="s">
        <v>15987</v>
      </c>
      <c r="S5804" s="23" t="s">
        <v>6847</v>
      </c>
      <c r="T5804" s="23" t="s">
        <v>4866</v>
      </c>
      <c r="U5804" s="3">
        <v>35</v>
      </c>
      <c r="W5804" s="45" t="str">
        <f>HYPERLINK("http://ictvonline.org/taxonomy/p/taxonomy-history?taxnode_id=201904854","ICTVonline=201904854")</f>
        <v>ICTVonline=201904854</v>
      </c>
      <c r="Y5804" s="1" t="s">
        <v>16196</v>
      </c>
      <c r="Z5804" s="1" t="s">
        <v>16197</v>
      </c>
      <c r="AA5804" s="1">
        <v>201900000</v>
      </c>
      <c r="AB5804" s="1">
        <v>35</v>
      </c>
    </row>
    <row r="5805" spans="1:28" x14ac:dyDescent="0.2">
      <c r="A5805" s="1">
        <v>14945</v>
      </c>
      <c r="B5805" s="1" t="s">
        <v>6839</v>
      </c>
      <c r="D5805" s="1" t="s">
        <v>15944</v>
      </c>
      <c r="F5805" s="1" t="s">
        <v>15945</v>
      </c>
      <c r="H5805" s="1" t="s">
        <v>15946</v>
      </c>
      <c r="J5805" s="1" t="s">
        <v>5042</v>
      </c>
      <c r="L5805" s="1" t="s">
        <v>2120</v>
      </c>
      <c r="N5805" s="1" t="s">
        <v>1879</v>
      </c>
      <c r="P5805" s="1" t="s">
        <v>1746</v>
      </c>
      <c r="Q5805" s="3">
        <v>0</v>
      </c>
      <c r="R5805" s="23" t="s">
        <v>15987</v>
      </c>
      <c r="S5805" s="23" t="s">
        <v>6847</v>
      </c>
      <c r="T5805" s="23" t="s">
        <v>4866</v>
      </c>
      <c r="U5805" s="3">
        <v>35</v>
      </c>
      <c r="W5805" s="45" t="str">
        <f>HYPERLINK("http://ictvonline.org/taxonomy/p/taxonomy-history?taxnode_id=201904855","ICTVonline=201904855")</f>
        <v>ICTVonline=201904855</v>
      </c>
      <c r="Y5805" s="1" t="s">
        <v>16198</v>
      </c>
      <c r="Z5805" s="1" t="s">
        <v>16199</v>
      </c>
      <c r="AA5805" s="1">
        <v>201900000</v>
      </c>
      <c r="AB5805" s="1">
        <v>35</v>
      </c>
    </row>
    <row r="5806" spans="1:28" x14ac:dyDescent="0.2">
      <c r="A5806" s="1">
        <v>14947</v>
      </c>
      <c r="B5806" s="1" t="s">
        <v>6839</v>
      </c>
      <c r="D5806" s="1" t="s">
        <v>15944</v>
      </c>
      <c r="F5806" s="1" t="s">
        <v>15945</v>
      </c>
      <c r="H5806" s="1" t="s">
        <v>15946</v>
      </c>
      <c r="J5806" s="1" t="s">
        <v>5042</v>
      </c>
      <c r="L5806" s="1" t="s">
        <v>2120</v>
      </c>
      <c r="N5806" s="1" t="s">
        <v>1879</v>
      </c>
      <c r="P5806" s="1" t="s">
        <v>5057</v>
      </c>
      <c r="Q5806" s="3">
        <v>0</v>
      </c>
      <c r="R5806" s="23" t="s">
        <v>15987</v>
      </c>
      <c r="S5806" s="23" t="s">
        <v>6847</v>
      </c>
      <c r="T5806" s="23" t="s">
        <v>4866</v>
      </c>
      <c r="U5806" s="3">
        <v>35</v>
      </c>
      <c r="W5806" s="45" t="str">
        <f>HYPERLINK("http://ictvonline.org/taxonomy/p/taxonomy-history?taxnode_id=201904856","ICTVonline=201904856")</f>
        <v>ICTVonline=201904856</v>
      </c>
      <c r="AA5806" s="1">
        <v>201900000</v>
      </c>
      <c r="AB5806" s="1">
        <v>35</v>
      </c>
    </row>
    <row r="5807" spans="1:28" x14ac:dyDescent="0.2">
      <c r="A5807" s="1">
        <v>14949</v>
      </c>
      <c r="B5807" s="1" t="s">
        <v>6839</v>
      </c>
      <c r="D5807" s="1" t="s">
        <v>15944</v>
      </c>
      <c r="F5807" s="1" t="s">
        <v>15945</v>
      </c>
      <c r="H5807" s="1" t="s">
        <v>15946</v>
      </c>
      <c r="J5807" s="1" t="s">
        <v>5042</v>
      </c>
      <c r="L5807" s="1" t="s">
        <v>2120</v>
      </c>
      <c r="N5807" s="1" t="s">
        <v>1879</v>
      </c>
      <c r="P5807" s="1" t="s">
        <v>1747</v>
      </c>
      <c r="Q5807" s="3">
        <v>0</v>
      </c>
      <c r="R5807" s="23" t="s">
        <v>15987</v>
      </c>
      <c r="S5807" s="23" t="s">
        <v>6847</v>
      </c>
      <c r="T5807" s="23" t="s">
        <v>4866</v>
      </c>
      <c r="U5807" s="3">
        <v>35</v>
      </c>
      <c r="W5807" s="45" t="str">
        <f>HYPERLINK("http://ictvonline.org/taxonomy/p/taxonomy-history?taxnode_id=201904857","ICTVonline=201904857")</f>
        <v>ICTVonline=201904857</v>
      </c>
      <c r="Y5807" s="1" t="s">
        <v>16200</v>
      </c>
      <c r="Z5807" s="1" t="s">
        <v>16201</v>
      </c>
      <c r="AA5807" s="1">
        <v>201900000</v>
      </c>
      <c r="AB5807" s="1">
        <v>35</v>
      </c>
    </row>
    <row r="5808" spans="1:28" x14ac:dyDescent="0.2">
      <c r="A5808" s="1">
        <v>14951</v>
      </c>
      <c r="B5808" s="1" t="s">
        <v>6839</v>
      </c>
      <c r="D5808" s="1" t="s">
        <v>15944</v>
      </c>
      <c r="F5808" s="1" t="s">
        <v>15945</v>
      </c>
      <c r="H5808" s="1" t="s">
        <v>15946</v>
      </c>
      <c r="J5808" s="1" t="s">
        <v>5042</v>
      </c>
      <c r="L5808" s="1" t="s">
        <v>2120</v>
      </c>
      <c r="N5808" s="1" t="s">
        <v>1879</v>
      </c>
      <c r="P5808" s="1" t="s">
        <v>5058</v>
      </c>
      <c r="Q5808" s="3">
        <v>0</v>
      </c>
      <c r="R5808" s="23" t="s">
        <v>15987</v>
      </c>
      <c r="S5808" s="23" t="s">
        <v>6847</v>
      </c>
      <c r="T5808" s="23" t="s">
        <v>4866</v>
      </c>
      <c r="U5808" s="3">
        <v>35</v>
      </c>
      <c r="W5808" s="45" t="str">
        <f>HYPERLINK("http://ictvonline.org/taxonomy/p/taxonomy-history?taxnode_id=201904858","ICTVonline=201904858")</f>
        <v>ICTVonline=201904858</v>
      </c>
      <c r="Y5808" s="1" t="s">
        <v>16202</v>
      </c>
      <c r="Z5808" s="1" t="s">
        <v>16203</v>
      </c>
      <c r="AA5808" s="1">
        <v>201900000</v>
      </c>
      <c r="AB5808" s="1">
        <v>35</v>
      </c>
    </row>
    <row r="5809" spans="1:28" x14ac:dyDescent="0.2">
      <c r="A5809" s="1">
        <v>14955</v>
      </c>
      <c r="B5809" s="1" t="s">
        <v>6839</v>
      </c>
      <c r="D5809" s="1" t="s">
        <v>15944</v>
      </c>
      <c r="F5809" s="1" t="s">
        <v>15945</v>
      </c>
      <c r="H5809" s="1" t="s">
        <v>15946</v>
      </c>
      <c r="J5809" s="1" t="s">
        <v>5042</v>
      </c>
      <c r="L5809" s="1" t="s">
        <v>2120</v>
      </c>
      <c r="N5809" s="1" t="s">
        <v>712</v>
      </c>
      <c r="P5809" s="1" t="s">
        <v>713</v>
      </c>
      <c r="Q5809" s="3">
        <v>0</v>
      </c>
      <c r="R5809" s="23" t="s">
        <v>15987</v>
      </c>
      <c r="S5809" s="23" t="s">
        <v>6847</v>
      </c>
      <c r="T5809" s="23" t="s">
        <v>4866</v>
      </c>
      <c r="U5809" s="3">
        <v>35</v>
      </c>
      <c r="W5809" s="45" t="str">
        <f>HYPERLINK("http://ictvonline.org/taxonomy/p/taxonomy-history?taxnode_id=201904860","ICTVonline=201904860")</f>
        <v>ICTVonline=201904860</v>
      </c>
      <c r="Y5809" s="1" t="s">
        <v>16204</v>
      </c>
      <c r="Z5809" s="1" t="s">
        <v>16205</v>
      </c>
      <c r="AA5809" s="1">
        <v>201900000</v>
      </c>
      <c r="AB5809" s="1">
        <v>35</v>
      </c>
    </row>
    <row r="5810" spans="1:28" x14ac:dyDescent="0.2">
      <c r="A5810" s="1">
        <v>14957</v>
      </c>
      <c r="B5810" s="1" t="s">
        <v>6839</v>
      </c>
      <c r="D5810" s="1" t="s">
        <v>15944</v>
      </c>
      <c r="F5810" s="1" t="s">
        <v>15945</v>
      </c>
      <c r="H5810" s="1" t="s">
        <v>15946</v>
      </c>
      <c r="J5810" s="1" t="s">
        <v>5042</v>
      </c>
      <c r="L5810" s="1" t="s">
        <v>2120</v>
      </c>
      <c r="N5810" s="1" t="s">
        <v>712</v>
      </c>
      <c r="P5810" s="1" t="s">
        <v>714</v>
      </c>
      <c r="Q5810" s="3">
        <v>1</v>
      </c>
      <c r="R5810" s="23" t="s">
        <v>15987</v>
      </c>
      <c r="S5810" s="23" t="s">
        <v>6847</v>
      </c>
      <c r="T5810" s="23" t="s">
        <v>4866</v>
      </c>
      <c r="U5810" s="3">
        <v>35</v>
      </c>
      <c r="W5810" s="45" t="str">
        <f>HYPERLINK("http://ictvonline.org/taxonomy/p/taxonomy-history?taxnode_id=201904861","ICTVonline=201904861")</f>
        <v>ICTVonline=201904861</v>
      </c>
      <c r="AA5810" s="1">
        <v>201900000</v>
      </c>
      <c r="AB5810" s="1">
        <v>35</v>
      </c>
    </row>
    <row r="5811" spans="1:28" x14ac:dyDescent="0.2">
      <c r="A5811" s="1">
        <v>14959</v>
      </c>
      <c r="B5811" s="1" t="s">
        <v>6839</v>
      </c>
      <c r="D5811" s="1" t="s">
        <v>15944</v>
      </c>
      <c r="F5811" s="1" t="s">
        <v>15945</v>
      </c>
      <c r="H5811" s="1" t="s">
        <v>15946</v>
      </c>
      <c r="J5811" s="1" t="s">
        <v>5042</v>
      </c>
      <c r="L5811" s="1" t="s">
        <v>2120</v>
      </c>
      <c r="N5811" s="1" t="s">
        <v>712</v>
      </c>
      <c r="P5811" s="1" t="s">
        <v>715</v>
      </c>
      <c r="Q5811" s="3">
        <v>0</v>
      </c>
      <c r="R5811" s="23" t="s">
        <v>15987</v>
      </c>
      <c r="S5811" s="23" t="s">
        <v>6847</v>
      </c>
      <c r="T5811" s="23" t="s">
        <v>4866</v>
      </c>
      <c r="U5811" s="3">
        <v>35</v>
      </c>
      <c r="W5811" s="45" t="str">
        <f>HYPERLINK("http://ictvonline.org/taxonomy/p/taxonomy-history?taxnode_id=201904862","ICTVonline=201904862")</f>
        <v>ICTVonline=201904862</v>
      </c>
      <c r="Y5811" s="1" t="s">
        <v>16206</v>
      </c>
      <c r="Z5811" s="1" t="s">
        <v>16207</v>
      </c>
      <c r="AA5811" s="1">
        <v>201900000</v>
      </c>
      <c r="AB5811" s="1">
        <v>35</v>
      </c>
    </row>
    <row r="5812" spans="1:28" x14ac:dyDescent="0.2">
      <c r="A5812" s="1">
        <v>14961</v>
      </c>
      <c r="B5812" s="1" t="s">
        <v>6839</v>
      </c>
      <c r="D5812" s="1" t="s">
        <v>15944</v>
      </c>
      <c r="F5812" s="1" t="s">
        <v>15945</v>
      </c>
      <c r="H5812" s="1" t="s">
        <v>15946</v>
      </c>
      <c r="J5812" s="1" t="s">
        <v>5042</v>
      </c>
      <c r="L5812" s="1" t="s">
        <v>2120</v>
      </c>
      <c r="N5812" s="1" t="s">
        <v>712</v>
      </c>
      <c r="P5812" s="1" t="s">
        <v>5059</v>
      </c>
      <c r="Q5812" s="3">
        <v>0</v>
      </c>
      <c r="R5812" s="23" t="s">
        <v>15987</v>
      </c>
      <c r="S5812" s="23" t="s">
        <v>6847</v>
      </c>
      <c r="T5812" s="23" t="s">
        <v>4866</v>
      </c>
      <c r="U5812" s="3">
        <v>35</v>
      </c>
      <c r="W5812" s="45" t="str">
        <f>HYPERLINK("http://ictvonline.org/taxonomy/p/taxonomy-history?taxnode_id=201904863","ICTVonline=201904863")</f>
        <v>ICTVonline=201904863</v>
      </c>
      <c r="Y5812" s="1" t="s">
        <v>16208</v>
      </c>
      <c r="Z5812" s="1" t="s">
        <v>16209</v>
      </c>
      <c r="AA5812" s="1">
        <v>201900000</v>
      </c>
      <c r="AB5812" s="1">
        <v>35</v>
      </c>
    </row>
    <row r="5813" spans="1:28" x14ac:dyDescent="0.2">
      <c r="A5813" s="1">
        <v>14963</v>
      </c>
      <c r="B5813" s="1" t="s">
        <v>6839</v>
      </c>
      <c r="D5813" s="1" t="s">
        <v>15944</v>
      </c>
      <c r="F5813" s="1" t="s">
        <v>15945</v>
      </c>
      <c r="H5813" s="1" t="s">
        <v>15946</v>
      </c>
      <c r="J5813" s="1" t="s">
        <v>5042</v>
      </c>
      <c r="L5813" s="1" t="s">
        <v>2120</v>
      </c>
      <c r="N5813" s="1" t="s">
        <v>712</v>
      </c>
      <c r="P5813" s="1" t="s">
        <v>5060</v>
      </c>
      <c r="Q5813" s="3">
        <v>0</v>
      </c>
      <c r="R5813" s="23" t="s">
        <v>15987</v>
      </c>
      <c r="S5813" s="23" t="s">
        <v>6847</v>
      </c>
      <c r="T5813" s="23" t="s">
        <v>4866</v>
      </c>
      <c r="U5813" s="3">
        <v>35</v>
      </c>
      <c r="W5813" s="45" t="str">
        <f>HYPERLINK("http://ictvonline.org/taxonomy/p/taxonomy-history?taxnode_id=201904864","ICTVonline=201904864")</f>
        <v>ICTVonline=201904864</v>
      </c>
      <c r="Y5813" s="1" t="s">
        <v>16210</v>
      </c>
      <c r="Z5813" s="1" t="s">
        <v>16211</v>
      </c>
      <c r="AA5813" s="1">
        <v>201900000</v>
      </c>
      <c r="AB5813" s="1">
        <v>35</v>
      </c>
    </row>
    <row r="5814" spans="1:28" x14ac:dyDescent="0.2">
      <c r="A5814" s="1">
        <v>14966</v>
      </c>
      <c r="B5814" s="1" t="s">
        <v>6839</v>
      </c>
      <c r="D5814" s="1" t="s">
        <v>15944</v>
      </c>
      <c r="F5814" s="1" t="s">
        <v>15945</v>
      </c>
      <c r="H5814" s="1" t="s">
        <v>15946</v>
      </c>
      <c r="J5814" s="1" t="s">
        <v>5042</v>
      </c>
      <c r="L5814" s="1" t="s">
        <v>2120</v>
      </c>
      <c r="P5814" s="1" t="s">
        <v>1751</v>
      </c>
      <c r="Q5814" s="3">
        <v>0</v>
      </c>
      <c r="R5814" s="23" t="s">
        <v>15987</v>
      </c>
      <c r="S5814" s="23" t="s">
        <v>6847</v>
      </c>
      <c r="T5814" s="23" t="s">
        <v>4866</v>
      </c>
      <c r="U5814" s="3">
        <v>35</v>
      </c>
      <c r="W5814" s="45" t="str">
        <f>HYPERLINK("http://ictvonline.org/taxonomy/p/taxonomy-history?taxnode_id=201904866","ICTVonline=201904866")</f>
        <v>ICTVonline=201904866</v>
      </c>
      <c r="Y5814" s="1" t="s">
        <v>16212</v>
      </c>
      <c r="Z5814" s="1" t="s">
        <v>16213</v>
      </c>
      <c r="AA5814" s="1">
        <v>201900000</v>
      </c>
      <c r="AB5814" s="1">
        <v>35</v>
      </c>
    </row>
    <row r="5815" spans="1:28" x14ac:dyDescent="0.2">
      <c r="A5815" s="1">
        <v>14972</v>
      </c>
      <c r="B5815" s="1" t="s">
        <v>6839</v>
      </c>
      <c r="D5815" s="1" t="s">
        <v>15944</v>
      </c>
      <c r="F5815" s="1" t="s">
        <v>15945</v>
      </c>
      <c r="H5815" s="1" t="s">
        <v>15946</v>
      </c>
      <c r="J5815" s="1" t="s">
        <v>5042</v>
      </c>
      <c r="L5815" s="1" t="s">
        <v>357</v>
      </c>
      <c r="M5815" s="1" t="s">
        <v>358</v>
      </c>
      <c r="N5815" s="1" t="s">
        <v>359</v>
      </c>
      <c r="P5815" s="1" t="s">
        <v>239</v>
      </c>
      <c r="Q5815" s="3">
        <v>0</v>
      </c>
      <c r="R5815" s="23" t="s">
        <v>15987</v>
      </c>
      <c r="S5815" s="23" t="s">
        <v>6847</v>
      </c>
      <c r="T5815" s="23" t="s">
        <v>4866</v>
      </c>
      <c r="U5815" s="3">
        <v>35</v>
      </c>
      <c r="W5815" s="45" t="str">
        <f>HYPERLINK("http://ictvonline.org/taxonomy/p/taxonomy-history?taxnode_id=201904982","ICTVonline=201904982")</f>
        <v>ICTVonline=201904982</v>
      </c>
      <c r="AA5815" s="1">
        <v>201900000</v>
      </c>
      <c r="AB5815" s="1">
        <v>35</v>
      </c>
    </row>
    <row r="5816" spans="1:28" x14ac:dyDescent="0.2">
      <c r="A5816" s="1">
        <v>14974</v>
      </c>
      <c r="B5816" s="1" t="s">
        <v>6839</v>
      </c>
      <c r="D5816" s="1" t="s">
        <v>15944</v>
      </c>
      <c r="F5816" s="1" t="s">
        <v>15945</v>
      </c>
      <c r="H5816" s="1" t="s">
        <v>15946</v>
      </c>
      <c r="J5816" s="1" t="s">
        <v>5042</v>
      </c>
      <c r="L5816" s="1" t="s">
        <v>357</v>
      </c>
      <c r="M5816" s="1" t="s">
        <v>358</v>
      </c>
      <c r="N5816" s="1" t="s">
        <v>359</v>
      </c>
      <c r="P5816" s="1" t="s">
        <v>363</v>
      </c>
      <c r="Q5816" s="3">
        <v>1</v>
      </c>
      <c r="R5816" s="23" t="s">
        <v>15987</v>
      </c>
      <c r="S5816" s="23" t="s">
        <v>6847</v>
      </c>
      <c r="T5816" s="23" t="s">
        <v>4866</v>
      </c>
      <c r="U5816" s="3">
        <v>35</v>
      </c>
      <c r="W5816" s="45" t="str">
        <f>HYPERLINK("http://ictvonline.org/taxonomy/p/taxonomy-history?taxnode_id=201904983","ICTVonline=201904983")</f>
        <v>ICTVonline=201904983</v>
      </c>
      <c r="AA5816" s="1">
        <v>201900000</v>
      </c>
      <c r="AB5816" s="1">
        <v>35</v>
      </c>
    </row>
    <row r="5817" spans="1:28" x14ac:dyDescent="0.2">
      <c r="A5817" s="1">
        <v>14976</v>
      </c>
      <c r="B5817" s="1" t="s">
        <v>6839</v>
      </c>
      <c r="D5817" s="1" t="s">
        <v>15944</v>
      </c>
      <c r="F5817" s="1" t="s">
        <v>15945</v>
      </c>
      <c r="H5817" s="1" t="s">
        <v>15946</v>
      </c>
      <c r="J5817" s="1" t="s">
        <v>5042</v>
      </c>
      <c r="L5817" s="1" t="s">
        <v>357</v>
      </c>
      <c r="M5817" s="1" t="s">
        <v>358</v>
      </c>
      <c r="N5817" s="1" t="s">
        <v>359</v>
      </c>
      <c r="P5817" s="1" t="s">
        <v>240</v>
      </c>
      <c r="Q5817" s="3">
        <v>0</v>
      </c>
      <c r="R5817" s="23" t="s">
        <v>15987</v>
      </c>
      <c r="S5817" s="23" t="s">
        <v>6847</v>
      </c>
      <c r="T5817" s="23" t="s">
        <v>4866</v>
      </c>
      <c r="U5817" s="3">
        <v>35</v>
      </c>
      <c r="W5817" s="45" t="str">
        <f>HYPERLINK("http://ictvonline.org/taxonomy/p/taxonomy-history?taxnode_id=201904984","ICTVonline=201904984")</f>
        <v>ICTVonline=201904984</v>
      </c>
      <c r="AA5817" s="1">
        <v>201900000</v>
      </c>
      <c r="AB5817" s="1">
        <v>35</v>
      </c>
    </row>
    <row r="5818" spans="1:28" x14ac:dyDescent="0.2">
      <c r="A5818" s="1">
        <v>14978</v>
      </c>
      <c r="B5818" s="1" t="s">
        <v>6839</v>
      </c>
      <c r="D5818" s="1" t="s">
        <v>15944</v>
      </c>
      <c r="F5818" s="1" t="s">
        <v>15945</v>
      </c>
      <c r="H5818" s="1" t="s">
        <v>15946</v>
      </c>
      <c r="J5818" s="1" t="s">
        <v>5042</v>
      </c>
      <c r="L5818" s="1" t="s">
        <v>357</v>
      </c>
      <c r="M5818" s="1" t="s">
        <v>358</v>
      </c>
      <c r="N5818" s="1" t="s">
        <v>359</v>
      </c>
      <c r="P5818" s="1" t="s">
        <v>241</v>
      </c>
      <c r="Q5818" s="3">
        <v>0</v>
      </c>
      <c r="R5818" s="23" t="s">
        <v>15987</v>
      </c>
      <c r="S5818" s="23" t="s">
        <v>6847</v>
      </c>
      <c r="T5818" s="23" t="s">
        <v>4866</v>
      </c>
      <c r="U5818" s="3">
        <v>35</v>
      </c>
      <c r="W5818" s="45" t="str">
        <f>HYPERLINK("http://ictvonline.org/taxonomy/p/taxonomy-history?taxnode_id=201904985","ICTVonline=201904985")</f>
        <v>ICTVonline=201904985</v>
      </c>
      <c r="AA5818" s="1">
        <v>201900000</v>
      </c>
      <c r="AB5818" s="1">
        <v>35</v>
      </c>
    </row>
    <row r="5819" spans="1:28" x14ac:dyDescent="0.2">
      <c r="A5819" s="1">
        <v>14980</v>
      </c>
      <c r="B5819" s="1" t="s">
        <v>6839</v>
      </c>
      <c r="D5819" s="1" t="s">
        <v>15944</v>
      </c>
      <c r="F5819" s="1" t="s">
        <v>15945</v>
      </c>
      <c r="H5819" s="1" t="s">
        <v>15946</v>
      </c>
      <c r="J5819" s="1" t="s">
        <v>5042</v>
      </c>
      <c r="L5819" s="1" t="s">
        <v>357</v>
      </c>
      <c r="M5819" s="1" t="s">
        <v>358</v>
      </c>
      <c r="N5819" s="1" t="s">
        <v>359</v>
      </c>
      <c r="P5819" s="1" t="s">
        <v>242</v>
      </c>
      <c r="Q5819" s="3">
        <v>0</v>
      </c>
      <c r="R5819" s="23" t="s">
        <v>15987</v>
      </c>
      <c r="S5819" s="23" t="s">
        <v>6847</v>
      </c>
      <c r="T5819" s="23" t="s">
        <v>4866</v>
      </c>
      <c r="U5819" s="3">
        <v>35</v>
      </c>
      <c r="W5819" s="45" t="str">
        <f>HYPERLINK("http://ictvonline.org/taxonomy/p/taxonomy-history?taxnode_id=201904986","ICTVonline=201904986")</f>
        <v>ICTVonline=201904986</v>
      </c>
      <c r="AA5819" s="1">
        <v>201900000</v>
      </c>
      <c r="AB5819" s="1">
        <v>35</v>
      </c>
    </row>
    <row r="5820" spans="1:28" x14ac:dyDescent="0.2">
      <c r="A5820" s="1">
        <v>14982</v>
      </c>
      <c r="B5820" s="1" t="s">
        <v>6839</v>
      </c>
      <c r="D5820" s="1" t="s">
        <v>15944</v>
      </c>
      <c r="F5820" s="1" t="s">
        <v>15945</v>
      </c>
      <c r="H5820" s="1" t="s">
        <v>15946</v>
      </c>
      <c r="J5820" s="1" t="s">
        <v>5042</v>
      </c>
      <c r="L5820" s="1" t="s">
        <v>357</v>
      </c>
      <c r="M5820" s="1" t="s">
        <v>358</v>
      </c>
      <c r="N5820" s="1" t="s">
        <v>359</v>
      </c>
      <c r="P5820" s="1" t="s">
        <v>1801</v>
      </c>
      <c r="Q5820" s="3">
        <v>0</v>
      </c>
      <c r="R5820" s="23" t="s">
        <v>15987</v>
      </c>
      <c r="S5820" s="23" t="s">
        <v>6847</v>
      </c>
      <c r="T5820" s="23" t="s">
        <v>4866</v>
      </c>
      <c r="U5820" s="3">
        <v>35</v>
      </c>
      <c r="W5820" s="45" t="str">
        <f>HYPERLINK("http://ictvonline.org/taxonomy/p/taxonomy-history?taxnode_id=201904987","ICTVonline=201904987")</f>
        <v>ICTVonline=201904987</v>
      </c>
      <c r="AA5820" s="1">
        <v>201900000</v>
      </c>
      <c r="AB5820" s="1">
        <v>35</v>
      </c>
    </row>
    <row r="5821" spans="1:28" x14ac:dyDescent="0.2">
      <c r="A5821" s="1">
        <v>14984</v>
      </c>
      <c r="B5821" s="1" t="s">
        <v>6839</v>
      </c>
      <c r="D5821" s="1" t="s">
        <v>15944</v>
      </c>
      <c r="F5821" s="1" t="s">
        <v>15945</v>
      </c>
      <c r="H5821" s="1" t="s">
        <v>15946</v>
      </c>
      <c r="J5821" s="1" t="s">
        <v>5042</v>
      </c>
      <c r="L5821" s="1" t="s">
        <v>357</v>
      </c>
      <c r="M5821" s="1" t="s">
        <v>358</v>
      </c>
      <c r="N5821" s="1" t="s">
        <v>359</v>
      </c>
      <c r="P5821" s="1" t="s">
        <v>1802</v>
      </c>
      <c r="Q5821" s="3">
        <v>0</v>
      </c>
      <c r="R5821" s="23" t="s">
        <v>15987</v>
      </c>
      <c r="S5821" s="23" t="s">
        <v>6847</v>
      </c>
      <c r="T5821" s="23" t="s">
        <v>4866</v>
      </c>
      <c r="U5821" s="3">
        <v>35</v>
      </c>
      <c r="W5821" s="45" t="str">
        <f>HYPERLINK("http://ictvonline.org/taxonomy/p/taxonomy-history?taxnode_id=201904988","ICTVonline=201904988")</f>
        <v>ICTVonline=201904988</v>
      </c>
      <c r="AA5821" s="1">
        <v>201900000</v>
      </c>
      <c r="AB5821" s="1">
        <v>35</v>
      </c>
    </row>
    <row r="5822" spans="1:28" x14ac:dyDescent="0.2">
      <c r="A5822" s="1">
        <v>14986</v>
      </c>
      <c r="B5822" s="1" t="s">
        <v>6839</v>
      </c>
      <c r="D5822" s="1" t="s">
        <v>15944</v>
      </c>
      <c r="F5822" s="1" t="s">
        <v>15945</v>
      </c>
      <c r="H5822" s="1" t="s">
        <v>15946</v>
      </c>
      <c r="J5822" s="1" t="s">
        <v>5042</v>
      </c>
      <c r="L5822" s="1" t="s">
        <v>357</v>
      </c>
      <c r="M5822" s="1" t="s">
        <v>358</v>
      </c>
      <c r="N5822" s="1" t="s">
        <v>359</v>
      </c>
      <c r="P5822" s="1" t="s">
        <v>690</v>
      </c>
      <c r="Q5822" s="3">
        <v>0</v>
      </c>
      <c r="R5822" s="23" t="s">
        <v>15987</v>
      </c>
      <c r="S5822" s="23" t="s">
        <v>6847</v>
      </c>
      <c r="T5822" s="23" t="s">
        <v>4866</v>
      </c>
      <c r="U5822" s="3">
        <v>35</v>
      </c>
      <c r="W5822" s="45" t="str">
        <f>HYPERLINK("http://ictvonline.org/taxonomy/p/taxonomy-history?taxnode_id=201904989","ICTVonline=201904989")</f>
        <v>ICTVonline=201904989</v>
      </c>
      <c r="AA5822" s="1">
        <v>201900000</v>
      </c>
      <c r="AB5822" s="1">
        <v>35</v>
      </c>
    </row>
    <row r="5823" spans="1:28" x14ac:dyDescent="0.2">
      <c r="A5823" s="1">
        <v>14988</v>
      </c>
      <c r="B5823" s="1" t="s">
        <v>6839</v>
      </c>
      <c r="D5823" s="1" t="s">
        <v>15944</v>
      </c>
      <c r="F5823" s="1" t="s">
        <v>15945</v>
      </c>
      <c r="H5823" s="1" t="s">
        <v>15946</v>
      </c>
      <c r="J5823" s="1" t="s">
        <v>5042</v>
      </c>
      <c r="L5823" s="1" t="s">
        <v>357</v>
      </c>
      <c r="M5823" s="1" t="s">
        <v>358</v>
      </c>
      <c r="N5823" s="1" t="s">
        <v>359</v>
      </c>
      <c r="P5823" s="1" t="s">
        <v>691</v>
      </c>
      <c r="Q5823" s="3">
        <v>0</v>
      </c>
      <c r="R5823" s="23" t="s">
        <v>15987</v>
      </c>
      <c r="S5823" s="23" t="s">
        <v>6847</v>
      </c>
      <c r="T5823" s="23" t="s">
        <v>4866</v>
      </c>
      <c r="U5823" s="3">
        <v>35</v>
      </c>
      <c r="W5823" s="45" t="str">
        <f>HYPERLINK("http://ictvonline.org/taxonomy/p/taxonomy-history?taxnode_id=201904990","ICTVonline=201904990")</f>
        <v>ICTVonline=201904990</v>
      </c>
      <c r="AA5823" s="1">
        <v>201900000</v>
      </c>
      <c r="AB5823" s="1">
        <v>35</v>
      </c>
    </row>
    <row r="5824" spans="1:28" x14ac:dyDescent="0.2">
      <c r="A5824" s="1">
        <v>14992</v>
      </c>
      <c r="B5824" s="1" t="s">
        <v>6839</v>
      </c>
      <c r="D5824" s="1" t="s">
        <v>15944</v>
      </c>
      <c r="F5824" s="1" t="s">
        <v>15945</v>
      </c>
      <c r="H5824" s="1" t="s">
        <v>15946</v>
      </c>
      <c r="J5824" s="1" t="s">
        <v>5042</v>
      </c>
      <c r="L5824" s="1" t="s">
        <v>357</v>
      </c>
      <c r="M5824" s="1" t="s">
        <v>358</v>
      </c>
      <c r="N5824" s="1" t="s">
        <v>692</v>
      </c>
      <c r="P5824" s="1" t="s">
        <v>791</v>
      </c>
      <c r="Q5824" s="3">
        <v>0</v>
      </c>
      <c r="R5824" s="23" t="s">
        <v>15987</v>
      </c>
      <c r="S5824" s="23" t="s">
        <v>6847</v>
      </c>
      <c r="T5824" s="23" t="s">
        <v>4866</v>
      </c>
      <c r="U5824" s="3">
        <v>35</v>
      </c>
      <c r="W5824" s="45" t="str">
        <f>HYPERLINK("http://ictvonline.org/taxonomy/p/taxonomy-history?taxnode_id=201904992","ICTVonline=201904992")</f>
        <v>ICTVonline=201904992</v>
      </c>
      <c r="AA5824" s="1">
        <v>201900000</v>
      </c>
      <c r="AB5824" s="1">
        <v>35</v>
      </c>
    </row>
    <row r="5825" spans="1:28" x14ac:dyDescent="0.2">
      <c r="A5825" s="1">
        <v>14994</v>
      </c>
      <c r="B5825" s="1" t="s">
        <v>6839</v>
      </c>
      <c r="D5825" s="1" t="s">
        <v>15944</v>
      </c>
      <c r="F5825" s="1" t="s">
        <v>15945</v>
      </c>
      <c r="H5825" s="1" t="s">
        <v>15946</v>
      </c>
      <c r="J5825" s="1" t="s">
        <v>5042</v>
      </c>
      <c r="L5825" s="1" t="s">
        <v>357</v>
      </c>
      <c r="M5825" s="1" t="s">
        <v>358</v>
      </c>
      <c r="N5825" s="1" t="s">
        <v>692</v>
      </c>
      <c r="P5825" s="1" t="s">
        <v>792</v>
      </c>
      <c r="Q5825" s="3">
        <v>0</v>
      </c>
      <c r="R5825" s="23" t="s">
        <v>15987</v>
      </c>
      <c r="S5825" s="23" t="s">
        <v>6847</v>
      </c>
      <c r="T5825" s="23" t="s">
        <v>4866</v>
      </c>
      <c r="U5825" s="3">
        <v>35</v>
      </c>
      <c r="W5825" s="45" t="str">
        <f>HYPERLINK("http://ictvonline.org/taxonomy/p/taxonomy-history?taxnode_id=201904993","ICTVonline=201904993")</f>
        <v>ICTVonline=201904993</v>
      </c>
      <c r="AA5825" s="1">
        <v>201900000</v>
      </c>
      <c r="AB5825" s="1">
        <v>35</v>
      </c>
    </row>
    <row r="5826" spans="1:28" x14ac:dyDescent="0.2">
      <c r="A5826" s="1">
        <v>14996</v>
      </c>
      <c r="B5826" s="1" t="s">
        <v>6839</v>
      </c>
      <c r="D5826" s="1" t="s">
        <v>15944</v>
      </c>
      <c r="F5826" s="1" t="s">
        <v>15945</v>
      </c>
      <c r="H5826" s="1" t="s">
        <v>15946</v>
      </c>
      <c r="J5826" s="1" t="s">
        <v>5042</v>
      </c>
      <c r="L5826" s="1" t="s">
        <v>357</v>
      </c>
      <c r="M5826" s="1" t="s">
        <v>358</v>
      </c>
      <c r="N5826" s="1" t="s">
        <v>692</v>
      </c>
      <c r="P5826" s="1" t="s">
        <v>793</v>
      </c>
      <c r="Q5826" s="3">
        <v>0</v>
      </c>
      <c r="R5826" s="23" t="s">
        <v>15987</v>
      </c>
      <c r="S5826" s="23" t="s">
        <v>6847</v>
      </c>
      <c r="T5826" s="23" t="s">
        <v>4866</v>
      </c>
      <c r="U5826" s="3">
        <v>35</v>
      </c>
      <c r="W5826" s="45" t="str">
        <f>HYPERLINK("http://ictvonline.org/taxonomy/p/taxonomy-history?taxnode_id=201904994","ICTVonline=201904994")</f>
        <v>ICTVonline=201904994</v>
      </c>
      <c r="AA5826" s="1">
        <v>201900000</v>
      </c>
      <c r="AB5826" s="1">
        <v>35</v>
      </c>
    </row>
    <row r="5827" spans="1:28" x14ac:dyDescent="0.2">
      <c r="A5827" s="1">
        <v>14998</v>
      </c>
      <c r="B5827" s="1" t="s">
        <v>6839</v>
      </c>
      <c r="D5827" s="1" t="s">
        <v>15944</v>
      </c>
      <c r="F5827" s="1" t="s">
        <v>15945</v>
      </c>
      <c r="H5827" s="1" t="s">
        <v>15946</v>
      </c>
      <c r="J5827" s="1" t="s">
        <v>5042</v>
      </c>
      <c r="L5827" s="1" t="s">
        <v>357</v>
      </c>
      <c r="M5827" s="1" t="s">
        <v>358</v>
      </c>
      <c r="N5827" s="1" t="s">
        <v>692</v>
      </c>
      <c r="P5827" s="1" t="s">
        <v>788</v>
      </c>
      <c r="Q5827" s="3">
        <v>1</v>
      </c>
      <c r="R5827" s="23" t="s">
        <v>15987</v>
      </c>
      <c r="S5827" s="23" t="s">
        <v>6847</v>
      </c>
      <c r="T5827" s="23" t="s">
        <v>4866</v>
      </c>
      <c r="U5827" s="3">
        <v>35</v>
      </c>
      <c r="W5827" s="45" t="str">
        <f>HYPERLINK("http://ictvonline.org/taxonomy/p/taxonomy-history?taxnode_id=201904995","ICTVonline=201904995")</f>
        <v>ICTVonline=201904995</v>
      </c>
      <c r="AA5827" s="1">
        <v>201900000</v>
      </c>
      <c r="AB5827" s="1">
        <v>35</v>
      </c>
    </row>
    <row r="5828" spans="1:28" x14ac:dyDescent="0.2">
      <c r="A5828" s="1">
        <v>15000</v>
      </c>
      <c r="B5828" s="1" t="s">
        <v>6839</v>
      </c>
      <c r="D5828" s="1" t="s">
        <v>15944</v>
      </c>
      <c r="F5828" s="1" t="s">
        <v>15945</v>
      </c>
      <c r="H5828" s="1" t="s">
        <v>15946</v>
      </c>
      <c r="J5828" s="1" t="s">
        <v>5042</v>
      </c>
      <c r="L5828" s="1" t="s">
        <v>357</v>
      </c>
      <c r="M5828" s="1" t="s">
        <v>358</v>
      </c>
      <c r="N5828" s="1" t="s">
        <v>692</v>
      </c>
      <c r="P5828" s="1" t="s">
        <v>789</v>
      </c>
      <c r="Q5828" s="3">
        <v>0</v>
      </c>
      <c r="R5828" s="23" t="s">
        <v>15987</v>
      </c>
      <c r="S5828" s="23" t="s">
        <v>6847</v>
      </c>
      <c r="T5828" s="23" t="s">
        <v>4866</v>
      </c>
      <c r="U5828" s="3">
        <v>35</v>
      </c>
      <c r="W5828" s="45" t="str">
        <f>HYPERLINK("http://ictvonline.org/taxonomy/p/taxonomy-history?taxnode_id=201904996","ICTVonline=201904996")</f>
        <v>ICTVonline=201904996</v>
      </c>
      <c r="AA5828" s="1">
        <v>201900000</v>
      </c>
      <c r="AB5828" s="1">
        <v>35</v>
      </c>
    </row>
    <row r="5829" spans="1:28" x14ac:dyDescent="0.2">
      <c r="A5829" s="1">
        <v>15004</v>
      </c>
      <c r="B5829" s="1" t="s">
        <v>6839</v>
      </c>
      <c r="D5829" s="1" t="s">
        <v>15944</v>
      </c>
      <c r="F5829" s="1" t="s">
        <v>15945</v>
      </c>
      <c r="H5829" s="1" t="s">
        <v>15946</v>
      </c>
      <c r="J5829" s="1" t="s">
        <v>5042</v>
      </c>
      <c r="L5829" s="1" t="s">
        <v>357</v>
      </c>
      <c r="M5829" s="1" t="s">
        <v>358</v>
      </c>
      <c r="N5829" s="1" t="s">
        <v>790</v>
      </c>
      <c r="P5829" s="1" t="s">
        <v>1257</v>
      </c>
      <c r="Q5829" s="3">
        <v>1</v>
      </c>
      <c r="R5829" s="23" t="s">
        <v>15987</v>
      </c>
      <c r="S5829" s="23" t="s">
        <v>6847</v>
      </c>
      <c r="T5829" s="23" t="s">
        <v>4866</v>
      </c>
      <c r="U5829" s="3">
        <v>35</v>
      </c>
      <c r="W5829" s="45" t="str">
        <f>HYPERLINK("http://ictvonline.org/taxonomy/p/taxonomy-history?taxnode_id=201904998","ICTVonline=201904998")</f>
        <v>ICTVonline=201904998</v>
      </c>
      <c r="AA5829" s="1">
        <v>201900000</v>
      </c>
      <c r="AB5829" s="1">
        <v>35</v>
      </c>
    </row>
    <row r="5830" spans="1:28" x14ac:dyDescent="0.2">
      <c r="A5830" s="1">
        <v>15006</v>
      </c>
      <c r="B5830" s="1" t="s">
        <v>6839</v>
      </c>
      <c r="D5830" s="1" t="s">
        <v>15944</v>
      </c>
      <c r="F5830" s="1" t="s">
        <v>15945</v>
      </c>
      <c r="H5830" s="1" t="s">
        <v>15946</v>
      </c>
      <c r="J5830" s="1" t="s">
        <v>5042</v>
      </c>
      <c r="L5830" s="1" t="s">
        <v>357</v>
      </c>
      <c r="M5830" s="1" t="s">
        <v>358</v>
      </c>
      <c r="N5830" s="1" t="s">
        <v>790</v>
      </c>
      <c r="P5830" s="1" t="s">
        <v>1258</v>
      </c>
      <c r="Q5830" s="3">
        <v>0</v>
      </c>
      <c r="R5830" s="23" t="s">
        <v>15987</v>
      </c>
      <c r="S5830" s="23" t="s">
        <v>6847</v>
      </c>
      <c r="T5830" s="23" t="s">
        <v>4866</v>
      </c>
      <c r="U5830" s="3">
        <v>35</v>
      </c>
      <c r="W5830" s="45" t="str">
        <f>HYPERLINK("http://ictvonline.org/taxonomy/p/taxonomy-history?taxnode_id=201904999","ICTVonline=201904999")</f>
        <v>ICTVonline=201904999</v>
      </c>
      <c r="AA5830" s="1">
        <v>201900000</v>
      </c>
      <c r="AB5830" s="1">
        <v>35</v>
      </c>
    </row>
    <row r="5831" spans="1:28" x14ac:dyDescent="0.2">
      <c r="A5831" s="1">
        <v>15008</v>
      </c>
      <c r="B5831" s="1" t="s">
        <v>6839</v>
      </c>
      <c r="D5831" s="1" t="s">
        <v>15944</v>
      </c>
      <c r="F5831" s="1" t="s">
        <v>15945</v>
      </c>
      <c r="H5831" s="1" t="s">
        <v>15946</v>
      </c>
      <c r="J5831" s="1" t="s">
        <v>5042</v>
      </c>
      <c r="L5831" s="1" t="s">
        <v>357</v>
      </c>
      <c r="M5831" s="1" t="s">
        <v>358</v>
      </c>
      <c r="N5831" s="1" t="s">
        <v>790</v>
      </c>
      <c r="P5831" s="1" t="s">
        <v>1259</v>
      </c>
      <c r="Q5831" s="3">
        <v>0</v>
      </c>
      <c r="R5831" s="23" t="s">
        <v>15987</v>
      </c>
      <c r="S5831" s="23" t="s">
        <v>6847</v>
      </c>
      <c r="T5831" s="23" t="s">
        <v>4866</v>
      </c>
      <c r="U5831" s="3">
        <v>35</v>
      </c>
      <c r="W5831" s="45" t="str">
        <f>HYPERLINK("http://ictvonline.org/taxonomy/p/taxonomy-history?taxnode_id=201905000","ICTVonline=201905000")</f>
        <v>ICTVonline=201905000</v>
      </c>
      <c r="AA5831" s="1">
        <v>201900000</v>
      </c>
      <c r="AB5831" s="1">
        <v>35</v>
      </c>
    </row>
    <row r="5832" spans="1:28" x14ac:dyDescent="0.2">
      <c r="A5832" s="1">
        <v>15010</v>
      </c>
      <c r="B5832" s="1" t="s">
        <v>6839</v>
      </c>
      <c r="D5832" s="1" t="s">
        <v>15944</v>
      </c>
      <c r="F5832" s="1" t="s">
        <v>15945</v>
      </c>
      <c r="H5832" s="1" t="s">
        <v>15946</v>
      </c>
      <c r="J5832" s="1" t="s">
        <v>5042</v>
      </c>
      <c r="L5832" s="1" t="s">
        <v>357</v>
      </c>
      <c r="M5832" s="1" t="s">
        <v>358</v>
      </c>
      <c r="N5832" s="1" t="s">
        <v>790</v>
      </c>
      <c r="P5832" s="1" t="s">
        <v>794</v>
      </c>
      <c r="Q5832" s="3">
        <v>0</v>
      </c>
      <c r="R5832" s="23" t="s">
        <v>15987</v>
      </c>
      <c r="S5832" s="23" t="s">
        <v>6847</v>
      </c>
      <c r="T5832" s="23" t="s">
        <v>4866</v>
      </c>
      <c r="U5832" s="3">
        <v>35</v>
      </c>
      <c r="W5832" s="45" t="str">
        <f>HYPERLINK("http://ictvonline.org/taxonomy/p/taxonomy-history?taxnode_id=201905001","ICTVonline=201905001")</f>
        <v>ICTVonline=201905001</v>
      </c>
      <c r="AA5832" s="1">
        <v>201900000</v>
      </c>
      <c r="AB5832" s="1">
        <v>35</v>
      </c>
    </row>
    <row r="5833" spans="1:28" x14ac:dyDescent="0.2">
      <c r="A5833" s="1">
        <v>15014</v>
      </c>
      <c r="B5833" s="1" t="s">
        <v>6839</v>
      </c>
      <c r="D5833" s="1" t="s">
        <v>15944</v>
      </c>
      <c r="F5833" s="1" t="s">
        <v>15945</v>
      </c>
      <c r="H5833" s="1" t="s">
        <v>15946</v>
      </c>
      <c r="J5833" s="1" t="s">
        <v>5042</v>
      </c>
      <c r="L5833" s="1" t="s">
        <v>357</v>
      </c>
      <c r="M5833" s="1" t="s">
        <v>358</v>
      </c>
      <c r="N5833" s="1" t="s">
        <v>795</v>
      </c>
      <c r="P5833" s="1" t="s">
        <v>796</v>
      </c>
      <c r="Q5833" s="3">
        <v>1</v>
      </c>
      <c r="R5833" s="23" t="s">
        <v>15987</v>
      </c>
      <c r="S5833" s="23" t="s">
        <v>6847</v>
      </c>
      <c r="T5833" s="23" t="s">
        <v>4866</v>
      </c>
      <c r="U5833" s="3">
        <v>35</v>
      </c>
      <c r="W5833" s="45" t="str">
        <f>HYPERLINK("http://ictvonline.org/taxonomy/p/taxonomy-history?taxnode_id=201905003","ICTVonline=201905003")</f>
        <v>ICTVonline=201905003</v>
      </c>
      <c r="AA5833" s="1">
        <v>201900000</v>
      </c>
      <c r="AB5833" s="1">
        <v>35</v>
      </c>
    </row>
    <row r="5834" spans="1:28" x14ac:dyDescent="0.2">
      <c r="A5834" s="1">
        <v>15016</v>
      </c>
      <c r="B5834" s="1" t="s">
        <v>6839</v>
      </c>
      <c r="D5834" s="1" t="s">
        <v>15944</v>
      </c>
      <c r="F5834" s="1" t="s">
        <v>15945</v>
      </c>
      <c r="H5834" s="1" t="s">
        <v>15946</v>
      </c>
      <c r="J5834" s="1" t="s">
        <v>5042</v>
      </c>
      <c r="L5834" s="1" t="s">
        <v>357</v>
      </c>
      <c r="M5834" s="1" t="s">
        <v>358</v>
      </c>
      <c r="N5834" s="1" t="s">
        <v>795</v>
      </c>
      <c r="P5834" s="1" t="s">
        <v>797</v>
      </c>
      <c r="Q5834" s="3">
        <v>0</v>
      </c>
      <c r="R5834" s="23" t="s">
        <v>15987</v>
      </c>
      <c r="S5834" s="23" t="s">
        <v>6847</v>
      </c>
      <c r="T5834" s="23" t="s">
        <v>4866</v>
      </c>
      <c r="U5834" s="3">
        <v>35</v>
      </c>
      <c r="W5834" s="45" t="str">
        <f>HYPERLINK("http://ictvonline.org/taxonomy/p/taxonomy-history?taxnode_id=201905004","ICTVonline=201905004")</f>
        <v>ICTVonline=201905004</v>
      </c>
      <c r="AA5834" s="1">
        <v>201900000</v>
      </c>
      <c r="AB5834" s="1">
        <v>35</v>
      </c>
    </row>
    <row r="5835" spans="1:28" x14ac:dyDescent="0.2">
      <c r="A5835" s="1">
        <v>15018</v>
      </c>
      <c r="B5835" s="1" t="s">
        <v>6839</v>
      </c>
      <c r="D5835" s="1" t="s">
        <v>15944</v>
      </c>
      <c r="F5835" s="1" t="s">
        <v>15945</v>
      </c>
      <c r="H5835" s="1" t="s">
        <v>15946</v>
      </c>
      <c r="J5835" s="1" t="s">
        <v>5042</v>
      </c>
      <c r="L5835" s="1" t="s">
        <v>357</v>
      </c>
      <c r="M5835" s="1" t="s">
        <v>358</v>
      </c>
      <c r="N5835" s="1" t="s">
        <v>795</v>
      </c>
      <c r="P5835" s="1" t="s">
        <v>798</v>
      </c>
      <c r="Q5835" s="3">
        <v>0</v>
      </c>
      <c r="R5835" s="23" t="s">
        <v>15987</v>
      </c>
      <c r="S5835" s="23" t="s">
        <v>6847</v>
      </c>
      <c r="T5835" s="23" t="s">
        <v>4866</v>
      </c>
      <c r="U5835" s="3">
        <v>35</v>
      </c>
      <c r="W5835" s="45" t="str">
        <f>HYPERLINK("http://ictvonline.org/taxonomy/p/taxonomy-history?taxnode_id=201905005","ICTVonline=201905005")</f>
        <v>ICTVonline=201905005</v>
      </c>
      <c r="AA5835" s="1">
        <v>201900000</v>
      </c>
      <c r="AB5835" s="1">
        <v>35</v>
      </c>
    </row>
    <row r="5836" spans="1:28" x14ac:dyDescent="0.2">
      <c r="A5836" s="1">
        <v>15022</v>
      </c>
      <c r="B5836" s="1" t="s">
        <v>6839</v>
      </c>
      <c r="D5836" s="1" t="s">
        <v>15944</v>
      </c>
      <c r="F5836" s="1" t="s">
        <v>15945</v>
      </c>
      <c r="H5836" s="1" t="s">
        <v>15946</v>
      </c>
      <c r="J5836" s="1" t="s">
        <v>5042</v>
      </c>
      <c r="L5836" s="1" t="s">
        <v>357</v>
      </c>
      <c r="M5836" s="1" t="s">
        <v>358</v>
      </c>
      <c r="N5836" s="1" t="s">
        <v>799</v>
      </c>
      <c r="P5836" s="1" t="s">
        <v>800</v>
      </c>
      <c r="Q5836" s="3">
        <v>0</v>
      </c>
      <c r="R5836" s="23" t="s">
        <v>15987</v>
      </c>
      <c r="S5836" s="23" t="s">
        <v>6847</v>
      </c>
      <c r="T5836" s="23" t="s">
        <v>4866</v>
      </c>
      <c r="U5836" s="3">
        <v>35</v>
      </c>
      <c r="W5836" s="45" t="str">
        <f>HYPERLINK("http://ictvonline.org/taxonomy/p/taxonomy-history?taxnode_id=201905007","ICTVonline=201905007")</f>
        <v>ICTVonline=201905007</v>
      </c>
      <c r="AA5836" s="1">
        <v>201900000</v>
      </c>
      <c r="AB5836" s="1">
        <v>35</v>
      </c>
    </row>
    <row r="5837" spans="1:28" x14ac:dyDescent="0.2">
      <c r="A5837" s="1">
        <v>15024</v>
      </c>
      <c r="B5837" s="1" t="s">
        <v>6839</v>
      </c>
      <c r="D5837" s="1" t="s">
        <v>15944</v>
      </c>
      <c r="F5837" s="1" t="s">
        <v>15945</v>
      </c>
      <c r="H5837" s="1" t="s">
        <v>15946</v>
      </c>
      <c r="J5837" s="1" t="s">
        <v>5042</v>
      </c>
      <c r="L5837" s="1" t="s">
        <v>357</v>
      </c>
      <c r="M5837" s="1" t="s">
        <v>358</v>
      </c>
      <c r="N5837" s="1" t="s">
        <v>799</v>
      </c>
      <c r="P5837" s="1" t="s">
        <v>801</v>
      </c>
      <c r="Q5837" s="3">
        <v>0</v>
      </c>
      <c r="R5837" s="23" t="s">
        <v>15987</v>
      </c>
      <c r="S5837" s="23" t="s">
        <v>6847</v>
      </c>
      <c r="T5837" s="23" t="s">
        <v>4866</v>
      </c>
      <c r="U5837" s="3">
        <v>35</v>
      </c>
      <c r="W5837" s="45" t="str">
        <f>HYPERLINK("http://ictvonline.org/taxonomy/p/taxonomy-history?taxnode_id=201905008","ICTVonline=201905008")</f>
        <v>ICTVonline=201905008</v>
      </c>
      <c r="AA5837" s="1">
        <v>201900000</v>
      </c>
      <c r="AB5837" s="1">
        <v>35</v>
      </c>
    </row>
    <row r="5838" spans="1:28" x14ac:dyDescent="0.2">
      <c r="A5838" s="1">
        <v>15026</v>
      </c>
      <c r="B5838" s="1" t="s">
        <v>6839</v>
      </c>
      <c r="D5838" s="1" t="s">
        <v>15944</v>
      </c>
      <c r="F5838" s="1" t="s">
        <v>15945</v>
      </c>
      <c r="H5838" s="1" t="s">
        <v>15946</v>
      </c>
      <c r="J5838" s="1" t="s">
        <v>5042</v>
      </c>
      <c r="L5838" s="1" t="s">
        <v>357</v>
      </c>
      <c r="M5838" s="1" t="s">
        <v>358</v>
      </c>
      <c r="N5838" s="1" t="s">
        <v>799</v>
      </c>
      <c r="P5838" s="1" t="s">
        <v>802</v>
      </c>
      <c r="Q5838" s="3">
        <v>0</v>
      </c>
      <c r="R5838" s="23" t="s">
        <v>15987</v>
      </c>
      <c r="S5838" s="23" t="s">
        <v>6847</v>
      </c>
      <c r="T5838" s="23" t="s">
        <v>4866</v>
      </c>
      <c r="U5838" s="3">
        <v>35</v>
      </c>
      <c r="W5838" s="45" t="str">
        <f>HYPERLINK("http://ictvonline.org/taxonomy/p/taxonomy-history?taxnode_id=201905009","ICTVonline=201905009")</f>
        <v>ICTVonline=201905009</v>
      </c>
      <c r="AA5838" s="1">
        <v>201900000</v>
      </c>
      <c r="AB5838" s="1">
        <v>35</v>
      </c>
    </row>
    <row r="5839" spans="1:28" x14ac:dyDescent="0.2">
      <c r="A5839" s="1">
        <v>15028</v>
      </c>
      <c r="B5839" s="1" t="s">
        <v>6839</v>
      </c>
      <c r="D5839" s="1" t="s">
        <v>15944</v>
      </c>
      <c r="F5839" s="1" t="s">
        <v>15945</v>
      </c>
      <c r="H5839" s="1" t="s">
        <v>15946</v>
      </c>
      <c r="J5839" s="1" t="s">
        <v>5042</v>
      </c>
      <c r="L5839" s="1" t="s">
        <v>357</v>
      </c>
      <c r="M5839" s="1" t="s">
        <v>358</v>
      </c>
      <c r="N5839" s="1" t="s">
        <v>799</v>
      </c>
      <c r="P5839" s="1" t="s">
        <v>1271</v>
      </c>
      <c r="Q5839" s="3">
        <v>0</v>
      </c>
      <c r="R5839" s="23" t="s">
        <v>15987</v>
      </c>
      <c r="S5839" s="23" t="s">
        <v>6847</v>
      </c>
      <c r="T5839" s="23" t="s">
        <v>4866</v>
      </c>
      <c r="U5839" s="3">
        <v>35</v>
      </c>
      <c r="W5839" s="45" t="str">
        <f>HYPERLINK("http://ictvonline.org/taxonomy/p/taxonomy-history?taxnode_id=201905010","ICTVonline=201905010")</f>
        <v>ICTVonline=201905010</v>
      </c>
      <c r="AA5839" s="1">
        <v>201900000</v>
      </c>
      <c r="AB5839" s="1">
        <v>35</v>
      </c>
    </row>
    <row r="5840" spans="1:28" x14ac:dyDescent="0.2">
      <c r="A5840" s="1">
        <v>15030</v>
      </c>
      <c r="B5840" s="1" t="s">
        <v>6839</v>
      </c>
      <c r="D5840" s="1" t="s">
        <v>15944</v>
      </c>
      <c r="F5840" s="1" t="s">
        <v>15945</v>
      </c>
      <c r="H5840" s="1" t="s">
        <v>15946</v>
      </c>
      <c r="J5840" s="1" t="s">
        <v>5042</v>
      </c>
      <c r="L5840" s="1" t="s">
        <v>357</v>
      </c>
      <c r="M5840" s="1" t="s">
        <v>358</v>
      </c>
      <c r="N5840" s="1" t="s">
        <v>799</v>
      </c>
      <c r="P5840" s="1" t="s">
        <v>1272</v>
      </c>
      <c r="Q5840" s="3">
        <v>0</v>
      </c>
      <c r="R5840" s="23" t="s">
        <v>15987</v>
      </c>
      <c r="S5840" s="23" t="s">
        <v>6847</v>
      </c>
      <c r="T5840" s="23" t="s">
        <v>4866</v>
      </c>
      <c r="U5840" s="3">
        <v>35</v>
      </c>
      <c r="W5840" s="45" t="str">
        <f>HYPERLINK("http://ictvonline.org/taxonomy/p/taxonomy-history?taxnode_id=201905011","ICTVonline=201905011")</f>
        <v>ICTVonline=201905011</v>
      </c>
      <c r="AA5840" s="1">
        <v>201900000</v>
      </c>
      <c r="AB5840" s="1">
        <v>35</v>
      </c>
    </row>
    <row r="5841" spans="1:28" x14ac:dyDescent="0.2">
      <c r="A5841" s="1">
        <v>15032</v>
      </c>
      <c r="B5841" s="1" t="s">
        <v>6839</v>
      </c>
      <c r="D5841" s="1" t="s">
        <v>15944</v>
      </c>
      <c r="F5841" s="1" t="s">
        <v>15945</v>
      </c>
      <c r="H5841" s="1" t="s">
        <v>15946</v>
      </c>
      <c r="J5841" s="1" t="s">
        <v>5042</v>
      </c>
      <c r="L5841" s="1" t="s">
        <v>357</v>
      </c>
      <c r="M5841" s="1" t="s">
        <v>358</v>
      </c>
      <c r="N5841" s="1" t="s">
        <v>799</v>
      </c>
      <c r="P5841" s="1" t="s">
        <v>1273</v>
      </c>
      <c r="Q5841" s="3">
        <v>0</v>
      </c>
      <c r="R5841" s="23" t="s">
        <v>15987</v>
      </c>
      <c r="S5841" s="23" t="s">
        <v>6847</v>
      </c>
      <c r="T5841" s="23" t="s">
        <v>4866</v>
      </c>
      <c r="U5841" s="3">
        <v>35</v>
      </c>
      <c r="W5841" s="45" t="str">
        <f>HYPERLINK("http://ictvonline.org/taxonomy/p/taxonomy-history?taxnode_id=201905012","ICTVonline=201905012")</f>
        <v>ICTVonline=201905012</v>
      </c>
      <c r="AA5841" s="1">
        <v>201900000</v>
      </c>
      <c r="AB5841" s="1">
        <v>35</v>
      </c>
    </row>
    <row r="5842" spans="1:28" x14ac:dyDescent="0.2">
      <c r="A5842" s="1">
        <v>15034</v>
      </c>
      <c r="B5842" s="1" t="s">
        <v>6839</v>
      </c>
      <c r="D5842" s="1" t="s">
        <v>15944</v>
      </c>
      <c r="F5842" s="1" t="s">
        <v>15945</v>
      </c>
      <c r="H5842" s="1" t="s">
        <v>15946</v>
      </c>
      <c r="J5842" s="1" t="s">
        <v>5042</v>
      </c>
      <c r="L5842" s="1" t="s">
        <v>357</v>
      </c>
      <c r="M5842" s="1" t="s">
        <v>358</v>
      </c>
      <c r="N5842" s="1" t="s">
        <v>799</v>
      </c>
      <c r="P5842" s="1" t="s">
        <v>1274</v>
      </c>
      <c r="Q5842" s="3">
        <v>0</v>
      </c>
      <c r="R5842" s="23" t="s">
        <v>15987</v>
      </c>
      <c r="S5842" s="23" t="s">
        <v>6847</v>
      </c>
      <c r="T5842" s="23" t="s">
        <v>4866</v>
      </c>
      <c r="U5842" s="3">
        <v>35</v>
      </c>
      <c r="W5842" s="45" t="str">
        <f>HYPERLINK("http://ictvonline.org/taxonomy/p/taxonomy-history?taxnode_id=201905013","ICTVonline=201905013")</f>
        <v>ICTVonline=201905013</v>
      </c>
      <c r="AA5842" s="1">
        <v>201900000</v>
      </c>
      <c r="AB5842" s="1">
        <v>35</v>
      </c>
    </row>
    <row r="5843" spans="1:28" x14ac:dyDescent="0.2">
      <c r="A5843" s="1">
        <v>15036</v>
      </c>
      <c r="B5843" s="1" t="s">
        <v>6839</v>
      </c>
      <c r="D5843" s="1" t="s">
        <v>15944</v>
      </c>
      <c r="F5843" s="1" t="s">
        <v>15945</v>
      </c>
      <c r="H5843" s="1" t="s">
        <v>15946</v>
      </c>
      <c r="J5843" s="1" t="s">
        <v>5042</v>
      </c>
      <c r="L5843" s="1" t="s">
        <v>357</v>
      </c>
      <c r="M5843" s="1" t="s">
        <v>358</v>
      </c>
      <c r="N5843" s="1" t="s">
        <v>799</v>
      </c>
      <c r="P5843" s="1" t="s">
        <v>1275</v>
      </c>
      <c r="Q5843" s="3">
        <v>0</v>
      </c>
      <c r="R5843" s="23" t="s">
        <v>15987</v>
      </c>
      <c r="S5843" s="23" t="s">
        <v>6847</v>
      </c>
      <c r="T5843" s="23" t="s">
        <v>4866</v>
      </c>
      <c r="U5843" s="3">
        <v>35</v>
      </c>
      <c r="W5843" s="45" t="str">
        <f>HYPERLINK("http://ictvonline.org/taxonomy/p/taxonomy-history?taxnode_id=201905014","ICTVonline=201905014")</f>
        <v>ICTVonline=201905014</v>
      </c>
      <c r="AA5843" s="1">
        <v>201900000</v>
      </c>
      <c r="AB5843" s="1">
        <v>35</v>
      </c>
    </row>
    <row r="5844" spans="1:28" x14ac:dyDescent="0.2">
      <c r="A5844" s="1">
        <v>15038</v>
      </c>
      <c r="B5844" s="1" t="s">
        <v>6839</v>
      </c>
      <c r="D5844" s="1" t="s">
        <v>15944</v>
      </c>
      <c r="F5844" s="1" t="s">
        <v>15945</v>
      </c>
      <c r="H5844" s="1" t="s">
        <v>15946</v>
      </c>
      <c r="J5844" s="1" t="s">
        <v>5042</v>
      </c>
      <c r="L5844" s="1" t="s">
        <v>357</v>
      </c>
      <c r="M5844" s="1" t="s">
        <v>358</v>
      </c>
      <c r="N5844" s="1" t="s">
        <v>799</v>
      </c>
      <c r="P5844" s="1" t="s">
        <v>735</v>
      </c>
      <c r="Q5844" s="3">
        <v>0</v>
      </c>
      <c r="R5844" s="23" t="s">
        <v>15987</v>
      </c>
      <c r="S5844" s="23" t="s">
        <v>6847</v>
      </c>
      <c r="T5844" s="23" t="s">
        <v>4866</v>
      </c>
      <c r="U5844" s="3">
        <v>35</v>
      </c>
      <c r="W5844" s="45" t="str">
        <f>HYPERLINK("http://ictvonline.org/taxonomy/p/taxonomy-history?taxnode_id=201905015","ICTVonline=201905015")</f>
        <v>ICTVonline=201905015</v>
      </c>
      <c r="AA5844" s="1">
        <v>201900000</v>
      </c>
      <c r="AB5844" s="1">
        <v>35</v>
      </c>
    </row>
    <row r="5845" spans="1:28" x14ac:dyDescent="0.2">
      <c r="A5845" s="1">
        <v>15040</v>
      </c>
      <c r="B5845" s="1" t="s">
        <v>6839</v>
      </c>
      <c r="D5845" s="1" t="s">
        <v>15944</v>
      </c>
      <c r="F5845" s="1" t="s">
        <v>15945</v>
      </c>
      <c r="H5845" s="1" t="s">
        <v>15946</v>
      </c>
      <c r="J5845" s="1" t="s">
        <v>5042</v>
      </c>
      <c r="L5845" s="1" t="s">
        <v>357</v>
      </c>
      <c r="M5845" s="1" t="s">
        <v>358</v>
      </c>
      <c r="N5845" s="1" t="s">
        <v>799</v>
      </c>
      <c r="P5845" s="1" t="s">
        <v>4770</v>
      </c>
      <c r="Q5845" s="3">
        <v>0</v>
      </c>
      <c r="R5845" s="23" t="s">
        <v>15987</v>
      </c>
      <c r="S5845" s="23" t="s">
        <v>6847</v>
      </c>
      <c r="T5845" s="23" t="s">
        <v>4866</v>
      </c>
      <c r="U5845" s="3">
        <v>35</v>
      </c>
      <c r="W5845" s="45" t="str">
        <f>HYPERLINK("http://ictvonline.org/taxonomy/p/taxonomy-history?taxnode_id=201905016","ICTVonline=201905016")</f>
        <v>ICTVonline=201905016</v>
      </c>
      <c r="Y5845" s="1" t="s">
        <v>16214</v>
      </c>
      <c r="Z5845" s="1" t="s">
        <v>16215</v>
      </c>
      <c r="AA5845" s="1">
        <v>201900000</v>
      </c>
      <c r="AB5845" s="1">
        <v>35</v>
      </c>
    </row>
    <row r="5846" spans="1:28" x14ac:dyDescent="0.2">
      <c r="A5846" s="1">
        <v>15042</v>
      </c>
      <c r="B5846" s="1" t="s">
        <v>6839</v>
      </c>
      <c r="D5846" s="1" t="s">
        <v>15944</v>
      </c>
      <c r="F5846" s="1" t="s">
        <v>15945</v>
      </c>
      <c r="H5846" s="1" t="s">
        <v>15946</v>
      </c>
      <c r="J5846" s="1" t="s">
        <v>5042</v>
      </c>
      <c r="L5846" s="1" t="s">
        <v>357</v>
      </c>
      <c r="M5846" s="1" t="s">
        <v>358</v>
      </c>
      <c r="N5846" s="1" t="s">
        <v>799</v>
      </c>
      <c r="P5846" s="1" t="s">
        <v>1189</v>
      </c>
      <c r="Q5846" s="3">
        <v>0</v>
      </c>
      <c r="R5846" s="23" t="s">
        <v>15987</v>
      </c>
      <c r="S5846" s="23" t="s">
        <v>6847</v>
      </c>
      <c r="T5846" s="23" t="s">
        <v>4866</v>
      </c>
      <c r="U5846" s="3">
        <v>35</v>
      </c>
      <c r="W5846" s="45" t="str">
        <f>HYPERLINK("http://ictvonline.org/taxonomy/p/taxonomy-history?taxnode_id=201905017","ICTVonline=201905017")</f>
        <v>ICTVonline=201905017</v>
      </c>
      <c r="AA5846" s="1">
        <v>201900000</v>
      </c>
      <c r="AB5846" s="1">
        <v>35</v>
      </c>
    </row>
    <row r="5847" spans="1:28" x14ac:dyDescent="0.2">
      <c r="A5847" s="1">
        <v>15044</v>
      </c>
      <c r="B5847" s="1" t="s">
        <v>6839</v>
      </c>
      <c r="D5847" s="1" t="s">
        <v>15944</v>
      </c>
      <c r="F5847" s="1" t="s">
        <v>15945</v>
      </c>
      <c r="H5847" s="1" t="s">
        <v>15946</v>
      </c>
      <c r="J5847" s="1" t="s">
        <v>5042</v>
      </c>
      <c r="L5847" s="1" t="s">
        <v>357</v>
      </c>
      <c r="M5847" s="1" t="s">
        <v>358</v>
      </c>
      <c r="N5847" s="1" t="s">
        <v>799</v>
      </c>
      <c r="P5847" s="1" t="s">
        <v>1190</v>
      </c>
      <c r="Q5847" s="3">
        <v>1</v>
      </c>
      <c r="R5847" s="23" t="s">
        <v>15987</v>
      </c>
      <c r="S5847" s="23" t="s">
        <v>6847</v>
      </c>
      <c r="T5847" s="23" t="s">
        <v>4866</v>
      </c>
      <c r="U5847" s="3">
        <v>35</v>
      </c>
      <c r="W5847" s="45" t="str">
        <f>HYPERLINK("http://ictvonline.org/taxonomy/p/taxonomy-history?taxnode_id=201905018","ICTVonline=201905018")</f>
        <v>ICTVonline=201905018</v>
      </c>
      <c r="AA5847" s="1">
        <v>201900000</v>
      </c>
      <c r="AB5847" s="1">
        <v>35</v>
      </c>
    </row>
    <row r="5848" spans="1:28" x14ac:dyDescent="0.2">
      <c r="A5848" s="1">
        <v>15046</v>
      </c>
      <c r="B5848" s="1" t="s">
        <v>6839</v>
      </c>
      <c r="D5848" s="1" t="s">
        <v>15944</v>
      </c>
      <c r="F5848" s="1" t="s">
        <v>15945</v>
      </c>
      <c r="H5848" s="1" t="s">
        <v>15946</v>
      </c>
      <c r="J5848" s="1" t="s">
        <v>5042</v>
      </c>
      <c r="L5848" s="1" t="s">
        <v>357</v>
      </c>
      <c r="M5848" s="1" t="s">
        <v>358</v>
      </c>
      <c r="N5848" s="1" t="s">
        <v>799</v>
      </c>
      <c r="P5848" s="1" t="s">
        <v>1191</v>
      </c>
      <c r="Q5848" s="3">
        <v>0</v>
      </c>
      <c r="R5848" s="23" t="s">
        <v>15987</v>
      </c>
      <c r="S5848" s="23" t="s">
        <v>6847</v>
      </c>
      <c r="T5848" s="23" t="s">
        <v>4866</v>
      </c>
      <c r="U5848" s="3">
        <v>35</v>
      </c>
      <c r="W5848" s="45" t="str">
        <f>HYPERLINK("http://ictvonline.org/taxonomy/p/taxonomy-history?taxnode_id=201905019","ICTVonline=201905019")</f>
        <v>ICTVonline=201905019</v>
      </c>
      <c r="AA5848" s="1">
        <v>201900000</v>
      </c>
      <c r="AB5848" s="1">
        <v>35</v>
      </c>
    </row>
    <row r="5849" spans="1:28" x14ac:dyDescent="0.2">
      <c r="A5849" s="1">
        <v>15048</v>
      </c>
      <c r="B5849" s="1" t="s">
        <v>6839</v>
      </c>
      <c r="D5849" s="1" t="s">
        <v>15944</v>
      </c>
      <c r="F5849" s="1" t="s">
        <v>15945</v>
      </c>
      <c r="H5849" s="1" t="s">
        <v>15946</v>
      </c>
      <c r="J5849" s="1" t="s">
        <v>5042</v>
      </c>
      <c r="L5849" s="1" t="s">
        <v>357</v>
      </c>
      <c r="M5849" s="1" t="s">
        <v>358</v>
      </c>
      <c r="N5849" s="1" t="s">
        <v>799</v>
      </c>
      <c r="P5849" s="1" t="s">
        <v>1192</v>
      </c>
      <c r="Q5849" s="3">
        <v>0</v>
      </c>
      <c r="R5849" s="23" t="s">
        <v>15987</v>
      </c>
      <c r="S5849" s="23" t="s">
        <v>6847</v>
      </c>
      <c r="T5849" s="23" t="s">
        <v>4866</v>
      </c>
      <c r="U5849" s="3">
        <v>35</v>
      </c>
      <c r="W5849" s="45" t="str">
        <f>HYPERLINK("http://ictvonline.org/taxonomy/p/taxonomy-history?taxnode_id=201905020","ICTVonline=201905020")</f>
        <v>ICTVonline=201905020</v>
      </c>
      <c r="AA5849" s="1">
        <v>201900000</v>
      </c>
      <c r="AB5849" s="1">
        <v>35</v>
      </c>
    </row>
    <row r="5850" spans="1:28" x14ac:dyDescent="0.2">
      <c r="A5850" s="1">
        <v>15050</v>
      </c>
      <c r="B5850" s="1" t="s">
        <v>6839</v>
      </c>
      <c r="D5850" s="1" t="s">
        <v>15944</v>
      </c>
      <c r="F5850" s="1" t="s">
        <v>15945</v>
      </c>
      <c r="H5850" s="1" t="s">
        <v>15946</v>
      </c>
      <c r="J5850" s="1" t="s">
        <v>5042</v>
      </c>
      <c r="L5850" s="1" t="s">
        <v>357</v>
      </c>
      <c r="M5850" s="1" t="s">
        <v>358</v>
      </c>
      <c r="N5850" s="1" t="s">
        <v>799</v>
      </c>
      <c r="P5850" s="1" t="s">
        <v>1417</v>
      </c>
      <c r="Q5850" s="3">
        <v>0</v>
      </c>
      <c r="R5850" s="23" t="s">
        <v>15987</v>
      </c>
      <c r="S5850" s="23" t="s">
        <v>6847</v>
      </c>
      <c r="T5850" s="23" t="s">
        <v>4866</v>
      </c>
      <c r="U5850" s="3">
        <v>35</v>
      </c>
      <c r="W5850" s="45" t="str">
        <f>HYPERLINK("http://ictvonline.org/taxonomy/p/taxonomy-history?taxnode_id=201905021","ICTVonline=201905021")</f>
        <v>ICTVonline=201905021</v>
      </c>
      <c r="AA5850" s="1">
        <v>201900000</v>
      </c>
      <c r="AB5850" s="1">
        <v>35</v>
      </c>
    </row>
    <row r="5851" spans="1:28" x14ac:dyDescent="0.2">
      <c r="A5851" s="1">
        <v>15052</v>
      </c>
      <c r="B5851" s="1" t="s">
        <v>6839</v>
      </c>
      <c r="D5851" s="1" t="s">
        <v>15944</v>
      </c>
      <c r="F5851" s="1" t="s">
        <v>15945</v>
      </c>
      <c r="H5851" s="1" t="s">
        <v>15946</v>
      </c>
      <c r="J5851" s="1" t="s">
        <v>5042</v>
      </c>
      <c r="L5851" s="1" t="s">
        <v>357</v>
      </c>
      <c r="M5851" s="1" t="s">
        <v>358</v>
      </c>
      <c r="N5851" s="1" t="s">
        <v>799</v>
      </c>
      <c r="P5851" s="1" t="s">
        <v>1418</v>
      </c>
      <c r="Q5851" s="3">
        <v>0</v>
      </c>
      <c r="R5851" s="23" t="s">
        <v>15987</v>
      </c>
      <c r="S5851" s="23" t="s">
        <v>6847</v>
      </c>
      <c r="T5851" s="23" t="s">
        <v>4866</v>
      </c>
      <c r="U5851" s="3">
        <v>35</v>
      </c>
      <c r="W5851" s="45" t="str">
        <f>HYPERLINK("http://ictvonline.org/taxonomy/p/taxonomy-history?taxnode_id=201905022","ICTVonline=201905022")</f>
        <v>ICTVonline=201905022</v>
      </c>
      <c r="AA5851" s="1">
        <v>201900000</v>
      </c>
      <c r="AB5851" s="1">
        <v>35</v>
      </c>
    </row>
    <row r="5852" spans="1:28" x14ac:dyDescent="0.2">
      <c r="A5852" s="1">
        <v>15054</v>
      </c>
      <c r="B5852" s="1" t="s">
        <v>6839</v>
      </c>
      <c r="D5852" s="1" t="s">
        <v>15944</v>
      </c>
      <c r="F5852" s="1" t="s">
        <v>15945</v>
      </c>
      <c r="H5852" s="1" t="s">
        <v>15946</v>
      </c>
      <c r="J5852" s="1" t="s">
        <v>5042</v>
      </c>
      <c r="L5852" s="1" t="s">
        <v>357</v>
      </c>
      <c r="M5852" s="1" t="s">
        <v>358</v>
      </c>
      <c r="N5852" s="1" t="s">
        <v>799</v>
      </c>
      <c r="P5852" s="1" t="s">
        <v>1419</v>
      </c>
      <c r="Q5852" s="3">
        <v>0</v>
      </c>
      <c r="R5852" s="23" t="s">
        <v>15987</v>
      </c>
      <c r="S5852" s="23" t="s">
        <v>6847</v>
      </c>
      <c r="T5852" s="23" t="s">
        <v>4866</v>
      </c>
      <c r="U5852" s="3">
        <v>35</v>
      </c>
      <c r="W5852" s="45" t="str">
        <f>HYPERLINK("http://ictvonline.org/taxonomy/p/taxonomy-history?taxnode_id=201905023","ICTVonline=201905023")</f>
        <v>ICTVonline=201905023</v>
      </c>
      <c r="AA5852" s="1">
        <v>201900000</v>
      </c>
      <c r="AB5852" s="1">
        <v>35</v>
      </c>
    </row>
    <row r="5853" spans="1:28" x14ac:dyDescent="0.2">
      <c r="A5853" s="1">
        <v>15056</v>
      </c>
      <c r="B5853" s="1" t="s">
        <v>6839</v>
      </c>
      <c r="D5853" s="1" t="s">
        <v>15944</v>
      </c>
      <c r="F5853" s="1" t="s">
        <v>15945</v>
      </c>
      <c r="H5853" s="1" t="s">
        <v>15946</v>
      </c>
      <c r="J5853" s="1" t="s">
        <v>5042</v>
      </c>
      <c r="L5853" s="1" t="s">
        <v>357</v>
      </c>
      <c r="M5853" s="1" t="s">
        <v>358</v>
      </c>
      <c r="N5853" s="1" t="s">
        <v>799</v>
      </c>
      <c r="P5853" s="1" t="s">
        <v>1420</v>
      </c>
      <c r="Q5853" s="3">
        <v>0</v>
      </c>
      <c r="R5853" s="23" t="s">
        <v>15987</v>
      </c>
      <c r="S5853" s="23" t="s">
        <v>6847</v>
      </c>
      <c r="T5853" s="23" t="s">
        <v>4866</v>
      </c>
      <c r="U5853" s="3">
        <v>35</v>
      </c>
      <c r="W5853" s="45" t="str">
        <f>HYPERLINK("http://ictvonline.org/taxonomy/p/taxonomy-history?taxnode_id=201905024","ICTVonline=201905024")</f>
        <v>ICTVonline=201905024</v>
      </c>
      <c r="AA5853" s="1">
        <v>201900000</v>
      </c>
      <c r="AB5853" s="1">
        <v>35</v>
      </c>
    </row>
    <row r="5854" spans="1:28" x14ac:dyDescent="0.2">
      <c r="A5854" s="1">
        <v>15060</v>
      </c>
      <c r="B5854" s="1" t="s">
        <v>6839</v>
      </c>
      <c r="D5854" s="1" t="s">
        <v>15944</v>
      </c>
      <c r="F5854" s="1" t="s">
        <v>15945</v>
      </c>
      <c r="H5854" s="1" t="s">
        <v>15946</v>
      </c>
      <c r="J5854" s="1" t="s">
        <v>5042</v>
      </c>
      <c r="L5854" s="1" t="s">
        <v>357</v>
      </c>
      <c r="M5854" s="1" t="s">
        <v>358</v>
      </c>
      <c r="N5854" s="1" t="s">
        <v>1421</v>
      </c>
      <c r="P5854" s="1" t="s">
        <v>1359</v>
      </c>
      <c r="Q5854" s="3">
        <v>0</v>
      </c>
      <c r="R5854" s="23" t="s">
        <v>15987</v>
      </c>
      <c r="S5854" s="23" t="s">
        <v>6847</v>
      </c>
      <c r="T5854" s="23" t="s">
        <v>4866</v>
      </c>
      <c r="U5854" s="3">
        <v>35</v>
      </c>
      <c r="W5854" s="45" t="str">
        <f>HYPERLINK("http://ictvonline.org/taxonomy/p/taxonomy-history?taxnode_id=201905026","ICTVonline=201905026")</f>
        <v>ICTVonline=201905026</v>
      </c>
      <c r="AA5854" s="1">
        <v>201900000</v>
      </c>
      <c r="AB5854" s="1">
        <v>35</v>
      </c>
    </row>
    <row r="5855" spans="1:28" x14ac:dyDescent="0.2">
      <c r="A5855" s="1">
        <v>15062</v>
      </c>
      <c r="B5855" s="1" t="s">
        <v>6839</v>
      </c>
      <c r="D5855" s="1" t="s">
        <v>15944</v>
      </c>
      <c r="F5855" s="1" t="s">
        <v>15945</v>
      </c>
      <c r="H5855" s="1" t="s">
        <v>15946</v>
      </c>
      <c r="J5855" s="1" t="s">
        <v>5042</v>
      </c>
      <c r="L5855" s="1" t="s">
        <v>357</v>
      </c>
      <c r="M5855" s="1" t="s">
        <v>358</v>
      </c>
      <c r="N5855" s="1" t="s">
        <v>1421</v>
      </c>
      <c r="P5855" s="1" t="s">
        <v>1199</v>
      </c>
      <c r="Q5855" s="3">
        <v>0</v>
      </c>
      <c r="R5855" s="23" t="s">
        <v>15987</v>
      </c>
      <c r="S5855" s="23" t="s">
        <v>6847</v>
      </c>
      <c r="T5855" s="23" t="s">
        <v>4866</v>
      </c>
      <c r="U5855" s="3">
        <v>35</v>
      </c>
      <c r="W5855" s="45" t="str">
        <f>HYPERLINK("http://ictvonline.org/taxonomy/p/taxonomy-history?taxnode_id=201905027","ICTVonline=201905027")</f>
        <v>ICTVonline=201905027</v>
      </c>
      <c r="AA5855" s="1">
        <v>201900000</v>
      </c>
      <c r="AB5855" s="1">
        <v>35</v>
      </c>
    </row>
    <row r="5856" spans="1:28" x14ac:dyDescent="0.2">
      <c r="A5856" s="1">
        <v>15064</v>
      </c>
      <c r="B5856" s="1" t="s">
        <v>6839</v>
      </c>
      <c r="D5856" s="1" t="s">
        <v>15944</v>
      </c>
      <c r="F5856" s="1" t="s">
        <v>15945</v>
      </c>
      <c r="H5856" s="1" t="s">
        <v>15946</v>
      </c>
      <c r="J5856" s="1" t="s">
        <v>5042</v>
      </c>
      <c r="L5856" s="1" t="s">
        <v>357</v>
      </c>
      <c r="M5856" s="1" t="s">
        <v>358</v>
      </c>
      <c r="N5856" s="1" t="s">
        <v>1421</v>
      </c>
      <c r="P5856" s="1" t="s">
        <v>1200</v>
      </c>
      <c r="Q5856" s="3">
        <v>0</v>
      </c>
      <c r="R5856" s="23" t="s">
        <v>15987</v>
      </c>
      <c r="S5856" s="23" t="s">
        <v>6847</v>
      </c>
      <c r="T5856" s="23" t="s">
        <v>4866</v>
      </c>
      <c r="U5856" s="3">
        <v>35</v>
      </c>
      <c r="W5856" s="45" t="str">
        <f>HYPERLINK("http://ictvonline.org/taxonomy/p/taxonomy-history?taxnode_id=201905028","ICTVonline=201905028")</f>
        <v>ICTVonline=201905028</v>
      </c>
      <c r="AA5856" s="1">
        <v>201900000</v>
      </c>
      <c r="AB5856" s="1">
        <v>35</v>
      </c>
    </row>
    <row r="5857" spans="1:28" x14ac:dyDescent="0.2">
      <c r="A5857" s="1">
        <v>15066</v>
      </c>
      <c r="B5857" s="1" t="s">
        <v>6839</v>
      </c>
      <c r="D5857" s="1" t="s">
        <v>15944</v>
      </c>
      <c r="F5857" s="1" t="s">
        <v>15945</v>
      </c>
      <c r="H5857" s="1" t="s">
        <v>15946</v>
      </c>
      <c r="J5857" s="1" t="s">
        <v>5042</v>
      </c>
      <c r="L5857" s="1" t="s">
        <v>357</v>
      </c>
      <c r="M5857" s="1" t="s">
        <v>358</v>
      </c>
      <c r="N5857" s="1" t="s">
        <v>1421</v>
      </c>
      <c r="P5857" s="1" t="s">
        <v>1201</v>
      </c>
      <c r="Q5857" s="3">
        <v>0</v>
      </c>
      <c r="R5857" s="23" t="s">
        <v>15987</v>
      </c>
      <c r="S5857" s="23" t="s">
        <v>6847</v>
      </c>
      <c r="T5857" s="23" t="s">
        <v>4866</v>
      </c>
      <c r="U5857" s="3">
        <v>35</v>
      </c>
      <c r="W5857" s="45" t="str">
        <f>HYPERLINK("http://ictvonline.org/taxonomy/p/taxonomy-history?taxnode_id=201905029","ICTVonline=201905029")</f>
        <v>ICTVonline=201905029</v>
      </c>
      <c r="AA5857" s="1">
        <v>201900000</v>
      </c>
      <c r="AB5857" s="1">
        <v>35</v>
      </c>
    </row>
    <row r="5858" spans="1:28" x14ac:dyDescent="0.2">
      <c r="A5858" s="1">
        <v>15068</v>
      </c>
      <c r="B5858" s="1" t="s">
        <v>6839</v>
      </c>
      <c r="D5858" s="1" t="s">
        <v>15944</v>
      </c>
      <c r="F5858" s="1" t="s">
        <v>15945</v>
      </c>
      <c r="H5858" s="1" t="s">
        <v>15946</v>
      </c>
      <c r="J5858" s="1" t="s">
        <v>5042</v>
      </c>
      <c r="L5858" s="1" t="s">
        <v>357</v>
      </c>
      <c r="M5858" s="1" t="s">
        <v>358</v>
      </c>
      <c r="N5858" s="1" t="s">
        <v>1421</v>
      </c>
      <c r="P5858" s="1" t="s">
        <v>1202</v>
      </c>
      <c r="Q5858" s="3">
        <v>1</v>
      </c>
      <c r="R5858" s="23" t="s">
        <v>15987</v>
      </c>
      <c r="S5858" s="23" t="s">
        <v>6847</v>
      </c>
      <c r="T5858" s="23" t="s">
        <v>4866</v>
      </c>
      <c r="U5858" s="3">
        <v>35</v>
      </c>
      <c r="W5858" s="45" t="str">
        <f>HYPERLINK("http://ictvonline.org/taxonomy/p/taxonomy-history?taxnode_id=201905030","ICTVonline=201905030")</f>
        <v>ICTVonline=201905030</v>
      </c>
      <c r="AA5858" s="1">
        <v>201900000</v>
      </c>
      <c r="AB5858" s="1">
        <v>35</v>
      </c>
    </row>
    <row r="5859" spans="1:28" x14ac:dyDescent="0.2">
      <c r="A5859" s="1">
        <v>15070</v>
      </c>
      <c r="B5859" s="1" t="s">
        <v>6839</v>
      </c>
      <c r="D5859" s="1" t="s">
        <v>15944</v>
      </c>
      <c r="F5859" s="1" t="s">
        <v>15945</v>
      </c>
      <c r="H5859" s="1" t="s">
        <v>15946</v>
      </c>
      <c r="J5859" s="1" t="s">
        <v>5042</v>
      </c>
      <c r="L5859" s="1" t="s">
        <v>357</v>
      </c>
      <c r="M5859" s="1" t="s">
        <v>358</v>
      </c>
      <c r="N5859" s="1" t="s">
        <v>1421</v>
      </c>
      <c r="P5859" s="1" t="s">
        <v>1203</v>
      </c>
      <c r="Q5859" s="3">
        <v>0</v>
      </c>
      <c r="R5859" s="23" t="s">
        <v>15987</v>
      </c>
      <c r="S5859" s="23" t="s">
        <v>6847</v>
      </c>
      <c r="T5859" s="23" t="s">
        <v>4866</v>
      </c>
      <c r="U5859" s="3">
        <v>35</v>
      </c>
      <c r="W5859" s="45" t="str">
        <f>HYPERLINK("http://ictvonline.org/taxonomy/p/taxonomy-history?taxnode_id=201905031","ICTVonline=201905031")</f>
        <v>ICTVonline=201905031</v>
      </c>
      <c r="AA5859" s="1">
        <v>201900000</v>
      </c>
      <c r="AB5859" s="1">
        <v>35</v>
      </c>
    </row>
    <row r="5860" spans="1:28" x14ac:dyDescent="0.2">
      <c r="A5860" s="1">
        <v>15072</v>
      </c>
      <c r="B5860" s="1" t="s">
        <v>6839</v>
      </c>
      <c r="D5860" s="1" t="s">
        <v>15944</v>
      </c>
      <c r="F5860" s="1" t="s">
        <v>15945</v>
      </c>
      <c r="H5860" s="1" t="s">
        <v>15946</v>
      </c>
      <c r="J5860" s="1" t="s">
        <v>5042</v>
      </c>
      <c r="L5860" s="1" t="s">
        <v>357</v>
      </c>
      <c r="M5860" s="1" t="s">
        <v>358</v>
      </c>
      <c r="N5860" s="1" t="s">
        <v>1421</v>
      </c>
      <c r="P5860" s="1" t="s">
        <v>4771</v>
      </c>
      <c r="Q5860" s="3">
        <v>0</v>
      </c>
      <c r="R5860" s="23" t="s">
        <v>15987</v>
      </c>
      <c r="S5860" s="23" t="s">
        <v>6847</v>
      </c>
      <c r="T5860" s="23" t="s">
        <v>4866</v>
      </c>
      <c r="U5860" s="3">
        <v>35</v>
      </c>
      <c r="W5860" s="45" t="str">
        <f>HYPERLINK("http://ictvonline.org/taxonomy/p/taxonomy-history?taxnode_id=201905032","ICTVonline=201905032")</f>
        <v>ICTVonline=201905032</v>
      </c>
      <c r="Y5860" s="1" t="s">
        <v>16216</v>
      </c>
      <c r="Z5860" s="1" t="s">
        <v>16217</v>
      </c>
      <c r="AA5860" s="1">
        <v>201900000</v>
      </c>
      <c r="AB5860" s="1">
        <v>35</v>
      </c>
    </row>
    <row r="5861" spans="1:28" x14ac:dyDescent="0.2">
      <c r="A5861" s="1">
        <v>15074</v>
      </c>
      <c r="B5861" s="1" t="s">
        <v>6839</v>
      </c>
      <c r="D5861" s="1" t="s">
        <v>15944</v>
      </c>
      <c r="F5861" s="1" t="s">
        <v>15945</v>
      </c>
      <c r="H5861" s="1" t="s">
        <v>15946</v>
      </c>
      <c r="J5861" s="1" t="s">
        <v>5042</v>
      </c>
      <c r="L5861" s="1" t="s">
        <v>357</v>
      </c>
      <c r="M5861" s="1" t="s">
        <v>358</v>
      </c>
      <c r="N5861" s="1" t="s">
        <v>1421</v>
      </c>
      <c r="P5861" s="1" t="s">
        <v>1204</v>
      </c>
      <c r="Q5861" s="3">
        <v>0</v>
      </c>
      <c r="R5861" s="23" t="s">
        <v>15987</v>
      </c>
      <c r="S5861" s="23" t="s">
        <v>6847</v>
      </c>
      <c r="T5861" s="23" t="s">
        <v>4866</v>
      </c>
      <c r="U5861" s="3">
        <v>35</v>
      </c>
      <c r="W5861" s="45" t="str">
        <f>HYPERLINK("http://ictvonline.org/taxonomy/p/taxonomy-history?taxnode_id=201905033","ICTVonline=201905033")</f>
        <v>ICTVonline=201905033</v>
      </c>
      <c r="AA5861" s="1">
        <v>201900000</v>
      </c>
      <c r="AB5861" s="1">
        <v>35</v>
      </c>
    </row>
    <row r="5862" spans="1:28" x14ac:dyDescent="0.2">
      <c r="A5862" s="1">
        <v>15076</v>
      </c>
      <c r="B5862" s="1" t="s">
        <v>6839</v>
      </c>
      <c r="D5862" s="1" t="s">
        <v>15944</v>
      </c>
      <c r="F5862" s="1" t="s">
        <v>15945</v>
      </c>
      <c r="H5862" s="1" t="s">
        <v>15946</v>
      </c>
      <c r="J5862" s="1" t="s">
        <v>5042</v>
      </c>
      <c r="L5862" s="1" t="s">
        <v>357</v>
      </c>
      <c r="M5862" s="1" t="s">
        <v>358</v>
      </c>
      <c r="N5862" s="1" t="s">
        <v>1421</v>
      </c>
      <c r="P5862" s="1" t="s">
        <v>1205</v>
      </c>
      <c r="Q5862" s="3">
        <v>0</v>
      </c>
      <c r="R5862" s="23" t="s">
        <v>15987</v>
      </c>
      <c r="S5862" s="23" t="s">
        <v>6847</v>
      </c>
      <c r="T5862" s="23" t="s">
        <v>4866</v>
      </c>
      <c r="U5862" s="3">
        <v>35</v>
      </c>
      <c r="W5862" s="45" t="str">
        <f>HYPERLINK("http://ictvonline.org/taxonomy/p/taxonomy-history?taxnode_id=201905034","ICTVonline=201905034")</f>
        <v>ICTVonline=201905034</v>
      </c>
      <c r="AA5862" s="1">
        <v>201900000</v>
      </c>
      <c r="AB5862" s="1">
        <v>35</v>
      </c>
    </row>
    <row r="5863" spans="1:28" x14ac:dyDescent="0.2">
      <c r="A5863" s="1">
        <v>15078</v>
      </c>
      <c r="B5863" s="1" t="s">
        <v>6839</v>
      </c>
      <c r="D5863" s="1" t="s">
        <v>15944</v>
      </c>
      <c r="F5863" s="1" t="s">
        <v>15945</v>
      </c>
      <c r="H5863" s="1" t="s">
        <v>15946</v>
      </c>
      <c r="J5863" s="1" t="s">
        <v>5042</v>
      </c>
      <c r="L5863" s="1" t="s">
        <v>357</v>
      </c>
      <c r="M5863" s="1" t="s">
        <v>358</v>
      </c>
      <c r="N5863" s="1" t="s">
        <v>1421</v>
      </c>
      <c r="P5863" s="1" t="s">
        <v>5061</v>
      </c>
      <c r="Q5863" s="3">
        <v>0</v>
      </c>
      <c r="R5863" s="23" t="s">
        <v>15987</v>
      </c>
      <c r="S5863" s="23" t="s">
        <v>6847</v>
      </c>
      <c r="T5863" s="23" t="s">
        <v>4866</v>
      </c>
      <c r="U5863" s="3">
        <v>35</v>
      </c>
      <c r="W5863" s="45" t="str">
        <f>HYPERLINK("http://ictvonline.org/taxonomy/p/taxonomy-history?taxnode_id=201905035","ICTVonline=201905035")</f>
        <v>ICTVonline=201905035</v>
      </c>
      <c r="AA5863" s="1">
        <v>201900000</v>
      </c>
      <c r="AB5863" s="1">
        <v>35</v>
      </c>
    </row>
    <row r="5864" spans="1:28" x14ac:dyDescent="0.2">
      <c r="A5864" s="1">
        <v>15084</v>
      </c>
      <c r="B5864" s="1" t="s">
        <v>6839</v>
      </c>
      <c r="D5864" s="1" t="s">
        <v>15944</v>
      </c>
      <c r="F5864" s="1" t="s">
        <v>15945</v>
      </c>
      <c r="H5864" s="1" t="s">
        <v>15946</v>
      </c>
      <c r="J5864" s="1" t="s">
        <v>5042</v>
      </c>
      <c r="L5864" s="1" t="s">
        <v>357</v>
      </c>
      <c r="M5864" s="1" t="s">
        <v>1206</v>
      </c>
      <c r="N5864" s="1" t="s">
        <v>5062</v>
      </c>
      <c r="P5864" s="1" t="s">
        <v>1360</v>
      </c>
      <c r="Q5864" s="3">
        <v>1</v>
      </c>
      <c r="R5864" s="23" t="s">
        <v>15987</v>
      </c>
      <c r="S5864" s="23" t="s">
        <v>6847</v>
      </c>
      <c r="T5864" s="23" t="s">
        <v>4866</v>
      </c>
      <c r="U5864" s="3">
        <v>35</v>
      </c>
      <c r="W5864" s="45" t="str">
        <f>HYPERLINK("http://ictvonline.org/taxonomy/p/taxonomy-history?taxnode_id=201905039","ICTVonline=201905039")</f>
        <v>ICTVonline=201905039</v>
      </c>
      <c r="AA5864" s="1">
        <v>201900000</v>
      </c>
      <c r="AB5864" s="1">
        <v>35</v>
      </c>
    </row>
    <row r="5865" spans="1:28" x14ac:dyDescent="0.2">
      <c r="A5865" s="1">
        <v>15088</v>
      </c>
      <c r="B5865" s="1" t="s">
        <v>6839</v>
      </c>
      <c r="D5865" s="1" t="s">
        <v>15944</v>
      </c>
      <c r="F5865" s="1" t="s">
        <v>15945</v>
      </c>
      <c r="H5865" s="1" t="s">
        <v>15946</v>
      </c>
      <c r="J5865" s="1" t="s">
        <v>5042</v>
      </c>
      <c r="L5865" s="1" t="s">
        <v>357</v>
      </c>
      <c r="M5865" s="1" t="s">
        <v>1206</v>
      </c>
      <c r="N5865" s="1" t="s">
        <v>5063</v>
      </c>
      <c r="P5865" s="1" t="s">
        <v>1361</v>
      </c>
      <c r="Q5865" s="3">
        <v>1</v>
      </c>
      <c r="R5865" s="23" t="s">
        <v>15987</v>
      </c>
      <c r="S5865" s="23" t="s">
        <v>6847</v>
      </c>
      <c r="T5865" s="23" t="s">
        <v>4866</v>
      </c>
      <c r="U5865" s="3">
        <v>35</v>
      </c>
      <c r="W5865" s="45" t="str">
        <f>HYPERLINK("http://ictvonline.org/taxonomy/p/taxonomy-history?taxnode_id=201905040","ICTVonline=201905040")</f>
        <v>ICTVonline=201905040</v>
      </c>
      <c r="AA5865" s="1">
        <v>201900000</v>
      </c>
      <c r="AB5865" s="1">
        <v>35</v>
      </c>
    </row>
    <row r="5866" spans="1:28" x14ac:dyDescent="0.2">
      <c r="A5866" s="1">
        <v>15092</v>
      </c>
      <c r="B5866" s="1" t="s">
        <v>6839</v>
      </c>
      <c r="D5866" s="1" t="s">
        <v>15944</v>
      </c>
      <c r="F5866" s="1" t="s">
        <v>15945</v>
      </c>
      <c r="H5866" s="1" t="s">
        <v>15946</v>
      </c>
      <c r="J5866" s="1" t="s">
        <v>5042</v>
      </c>
      <c r="L5866" s="1" t="s">
        <v>357</v>
      </c>
      <c r="M5866" s="1" t="s">
        <v>1206</v>
      </c>
      <c r="N5866" s="1" t="s">
        <v>5064</v>
      </c>
      <c r="P5866" s="1" t="s">
        <v>1362</v>
      </c>
      <c r="Q5866" s="3">
        <v>1</v>
      </c>
      <c r="R5866" s="23" t="s">
        <v>15987</v>
      </c>
      <c r="S5866" s="23" t="s">
        <v>6847</v>
      </c>
      <c r="T5866" s="23" t="s">
        <v>4866</v>
      </c>
      <c r="U5866" s="3">
        <v>35</v>
      </c>
      <c r="W5866" s="45" t="str">
        <f>HYPERLINK("http://ictvonline.org/taxonomy/p/taxonomy-history?taxnode_id=201905041","ICTVonline=201905041")</f>
        <v>ICTVonline=201905041</v>
      </c>
      <c r="AA5866" s="1">
        <v>201900000</v>
      </c>
      <c r="AB5866" s="1">
        <v>35</v>
      </c>
    </row>
    <row r="5867" spans="1:28" x14ac:dyDescent="0.2">
      <c r="A5867" s="1">
        <v>15096</v>
      </c>
      <c r="B5867" s="1" t="s">
        <v>6839</v>
      </c>
      <c r="D5867" s="1" t="s">
        <v>15944</v>
      </c>
      <c r="F5867" s="1" t="s">
        <v>15945</v>
      </c>
      <c r="H5867" s="1" t="s">
        <v>15946</v>
      </c>
      <c r="J5867" s="1" t="s">
        <v>5042</v>
      </c>
      <c r="L5867" s="1" t="s">
        <v>357</v>
      </c>
      <c r="M5867" s="1" t="s">
        <v>1206</v>
      </c>
      <c r="N5867" s="1" t="s">
        <v>5065</v>
      </c>
      <c r="P5867" s="1" t="s">
        <v>5066</v>
      </c>
      <c r="Q5867" s="3">
        <v>1</v>
      </c>
      <c r="R5867" s="23" t="s">
        <v>15987</v>
      </c>
      <c r="S5867" s="23" t="s">
        <v>6847</v>
      </c>
      <c r="T5867" s="23" t="s">
        <v>4866</v>
      </c>
      <c r="U5867" s="3">
        <v>35</v>
      </c>
      <c r="W5867" s="45" t="str">
        <f>HYPERLINK("http://ictvonline.org/taxonomy/p/taxonomy-history?taxnode_id=201905932","ICTVonline=201905932")</f>
        <v>ICTVonline=201905932</v>
      </c>
      <c r="AA5867" s="1">
        <v>201900000</v>
      </c>
      <c r="AB5867" s="1">
        <v>35</v>
      </c>
    </row>
    <row r="5868" spans="1:28" x14ac:dyDescent="0.2">
      <c r="A5868" s="1">
        <v>15100</v>
      </c>
      <c r="B5868" s="1" t="s">
        <v>6839</v>
      </c>
      <c r="D5868" s="1" t="s">
        <v>15944</v>
      </c>
      <c r="F5868" s="1" t="s">
        <v>15945</v>
      </c>
      <c r="H5868" s="1" t="s">
        <v>15946</v>
      </c>
      <c r="J5868" s="1" t="s">
        <v>5042</v>
      </c>
      <c r="L5868" s="1" t="s">
        <v>357</v>
      </c>
      <c r="M5868" s="1" t="s">
        <v>1206</v>
      </c>
      <c r="N5868" s="1" t="s">
        <v>5067</v>
      </c>
      <c r="P5868" s="1" t="s">
        <v>5068</v>
      </c>
      <c r="Q5868" s="3">
        <v>0</v>
      </c>
      <c r="R5868" s="23" t="s">
        <v>15987</v>
      </c>
      <c r="S5868" s="23" t="s">
        <v>6847</v>
      </c>
      <c r="T5868" s="23" t="s">
        <v>4866</v>
      </c>
      <c r="U5868" s="3">
        <v>35</v>
      </c>
      <c r="W5868" s="45" t="str">
        <f>HYPERLINK("http://ictvonline.org/taxonomy/p/taxonomy-history?taxnode_id=201905934","ICTVonline=201905934")</f>
        <v>ICTVonline=201905934</v>
      </c>
      <c r="AA5868" s="1">
        <v>201900000</v>
      </c>
      <c r="AB5868" s="1">
        <v>35</v>
      </c>
    </row>
    <row r="5869" spans="1:28" x14ac:dyDescent="0.2">
      <c r="A5869" s="1">
        <v>15102</v>
      </c>
      <c r="B5869" s="1" t="s">
        <v>6839</v>
      </c>
      <c r="D5869" s="1" t="s">
        <v>15944</v>
      </c>
      <c r="F5869" s="1" t="s">
        <v>15945</v>
      </c>
      <c r="H5869" s="1" t="s">
        <v>15946</v>
      </c>
      <c r="J5869" s="1" t="s">
        <v>5042</v>
      </c>
      <c r="L5869" s="1" t="s">
        <v>357</v>
      </c>
      <c r="M5869" s="1" t="s">
        <v>1206</v>
      </c>
      <c r="N5869" s="1" t="s">
        <v>5067</v>
      </c>
      <c r="P5869" s="1" t="s">
        <v>6606</v>
      </c>
      <c r="Q5869" s="3">
        <v>0</v>
      </c>
      <c r="R5869" s="23" t="s">
        <v>15987</v>
      </c>
      <c r="S5869" s="23" t="s">
        <v>6847</v>
      </c>
      <c r="T5869" s="23" t="s">
        <v>4866</v>
      </c>
      <c r="U5869" s="3">
        <v>35</v>
      </c>
      <c r="W5869" s="45" t="str">
        <f>HYPERLINK("http://ictvonline.org/taxonomy/p/taxonomy-history?taxnode_id=201905935","ICTVonline=201905935")</f>
        <v>ICTVonline=201905935</v>
      </c>
      <c r="X5869" s="1" t="s">
        <v>16218</v>
      </c>
      <c r="Y5869" s="1" t="s">
        <v>16219</v>
      </c>
      <c r="Z5869" s="1" t="s">
        <v>16220</v>
      </c>
      <c r="AA5869" s="1">
        <v>201900000</v>
      </c>
      <c r="AB5869" s="1">
        <v>35</v>
      </c>
    </row>
    <row r="5870" spans="1:28" x14ac:dyDescent="0.2">
      <c r="A5870" s="1">
        <v>15104</v>
      </c>
      <c r="B5870" s="1" t="s">
        <v>6839</v>
      </c>
      <c r="D5870" s="1" t="s">
        <v>15944</v>
      </c>
      <c r="F5870" s="1" t="s">
        <v>15945</v>
      </c>
      <c r="H5870" s="1" t="s">
        <v>15946</v>
      </c>
      <c r="J5870" s="1" t="s">
        <v>5042</v>
      </c>
      <c r="L5870" s="1" t="s">
        <v>357</v>
      </c>
      <c r="M5870" s="1" t="s">
        <v>1206</v>
      </c>
      <c r="N5870" s="1" t="s">
        <v>5067</v>
      </c>
      <c r="P5870" s="1" t="s">
        <v>6607</v>
      </c>
      <c r="Q5870" s="3">
        <v>0</v>
      </c>
      <c r="R5870" s="23" t="s">
        <v>15987</v>
      </c>
      <c r="S5870" s="23" t="s">
        <v>6847</v>
      </c>
      <c r="T5870" s="23" t="s">
        <v>4866</v>
      </c>
      <c r="U5870" s="3">
        <v>35</v>
      </c>
      <c r="W5870" s="45" t="str">
        <f>HYPERLINK("http://ictvonline.org/taxonomy/p/taxonomy-history?taxnode_id=201906445","ICTVonline=201906445")</f>
        <v>ICTVonline=201906445</v>
      </c>
      <c r="X5870" s="1" t="s">
        <v>16221</v>
      </c>
      <c r="Y5870" s="1" t="s">
        <v>16222</v>
      </c>
      <c r="Z5870" s="1" t="s">
        <v>16223</v>
      </c>
      <c r="AA5870" s="1">
        <v>201900000</v>
      </c>
      <c r="AB5870" s="1">
        <v>35</v>
      </c>
    </row>
    <row r="5871" spans="1:28" x14ac:dyDescent="0.2">
      <c r="A5871" s="1">
        <v>15106</v>
      </c>
      <c r="B5871" s="1" t="s">
        <v>6839</v>
      </c>
      <c r="D5871" s="1" t="s">
        <v>15944</v>
      </c>
      <c r="F5871" s="1" t="s">
        <v>15945</v>
      </c>
      <c r="H5871" s="1" t="s">
        <v>15946</v>
      </c>
      <c r="J5871" s="1" t="s">
        <v>5042</v>
      </c>
      <c r="L5871" s="1" t="s">
        <v>357</v>
      </c>
      <c r="M5871" s="1" t="s">
        <v>1206</v>
      </c>
      <c r="N5871" s="1" t="s">
        <v>5067</v>
      </c>
      <c r="P5871" s="1" t="s">
        <v>5069</v>
      </c>
      <c r="Q5871" s="3">
        <v>1</v>
      </c>
      <c r="R5871" s="23" t="s">
        <v>15987</v>
      </c>
      <c r="S5871" s="23" t="s">
        <v>6847</v>
      </c>
      <c r="T5871" s="23" t="s">
        <v>4866</v>
      </c>
      <c r="U5871" s="3">
        <v>35</v>
      </c>
      <c r="W5871" s="45" t="str">
        <f>HYPERLINK("http://ictvonline.org/taxonomy/p/taxonomy-history?taxnode_id=201905043","ICTVonline=201905043")</f>
        <v>ICTVonline=201905043</v>
      </c>
      <c r="AA5871" s="1">
        <v>201900000</v>
      </c>
      <c r="AB5871" s="1">
        <v>35</v>
      </c>
    </row>
    <row r="5872" spans="1:28" x14ac:dyDescent="0.2">
      <c r="A5872" s="1">
        <v>15108</v>
      </c>
      <c r="B5872" s="1" t="s">
        <v>6839</v>
      </c>
      <c r="D5872" s="1" t="s">
        <v>15944</v>
      </c>
      <c r="F5872" s="1" t="s">
        <v>15945</v>
      </c>
      <c r="H5872" s="1" t="s">
        <v>15946</v>
      </c>
      <c r="J5872" s="1" t="s">
        <v>5042</v>
      </c>
      <c r="L5872" s="1" t="s">
        <v>357</v>
      </c>
      <c r="M5872" s="1" t="s">
        <v>1206</v>
      </c>
      <c r="N5872" s="1" t="s">
        <v>5067</v>
      </c>
      <c r="P5872" s="1" t="s">
        <v>5070</v>
      </c>
      <c r="Q5872" s="3">
        <v>0</v>
      </c>
      <c r="R5872" s="23" t="s">
        <v>15987</v>
      </c>
      <c r="S5872" s="23" t="s">
        <v>6847</v>
      </c>
      <c r="T5872" s="23" t="s">
        <v>4866</v>
      </c>
      <c r="U5872" s="3">
        <v>35</v>
      </c>
      <c r="W5872" s="45" t="str">
        <f>HYPERLINK("http://ictvonline.org/taxonomy/p/taxonomy-history?taxnode_id=201905038","ICTVonline=201905038")</f>
        <v>ICTVonline=201905038</v>
      </c>
      <c r="AA5872" s="1">
        <v>201900000</v>
      </c>
      <c r="AB5872" s="1">
        <v>35</v>
      </c>
    </row>
    <row r="5873" spans="1:28" x14ac:dyDescent="0.2">
      <c r="A5873" s="1">
        <v>15110</v>
      </c>
      <c r="B5873" s="1" t="s">
        <v>6839</v>
      </c>
      <c r="D5873" s="1" t="s">
        <v>15944</v>
      </c>
      <c r="F5873" s="1" t="s">
        <v>15945</v>
      </c>
      <c r="H5873" s="1" t="s">
        <v>15946</v>
      </c>
      <c r="J5873" s="1" t="s">
        <v>5042</v>
      </c>
      <c r="L5873" s="1" t="s">
        <v>357</v>
      </c>
      <c r="M5873" s="1" t="s">
        <v>1206</v>
      </c>
      <c r="N5873" s="1" t="s">
        <v>5067</v>
      </c>
      <c r="P5873" s="1" t="s">
        <v>5071</v>
      </c>
      <c r="Q5873" s="3">
        <v>0</v>
      </c>
      <c r="R5873" s="23" t="s">
        <v>15987</v>
      </c>
      <c r="S5873" s="23" t="s">
        <v>6847</v>
      </c>
      <c r="T5873" s="23" t="s">
        <v>4866</v>
      </c>
      <c r="U5873" s="3">
        <v>35</v>
      </c>
      <c r="W5873" s="45" t="str">
        <f>HYPERLINK("http://ictvonline.org/taxonomy/p/taxonomy-history?taxnode_id=201905936","ICTVonline=201905936")</f>
        <v>ICTVonline=201905936</v>
      </c>
      <c r="AA5873" s="1">
        <v>201900000</v>
      </c>
      <c r="AB5873" s="1">
        <v>35</v>
      </c>
    </row>
    <row r="5874" spans="1:28" x14ac:dyDescent="0.2">
      <c r="A5874" s="1">
        <v>15112</v>
      </c>
      <c r="B5874" s="1" t="s">
        <v>6839</v>
      </c>
      <c r="D5874" s="1" t="s">
        <v>15944</v>
      </c>
      <c r="F5874" s="1" t="s">
        <v>15945</v>
      </c>
      <c r="H5874" s="1" t="s">
        <v>15946</v>
      </c>
      <c r="J5874" s="1" t="s">
        <v>5042</v>
      </c>
      <c r="L5874" s="1" t="s">
        <v>357</v>
      </c>
      <c r="M5874" s="1" t="s">
        <v>1206</v>
      </c>
      <c r="N5874" s="1" t="s">
        <v>5067</v>
      </c>
      <c r="P5874" s="1" t="s">
        <v>5072</v>
      </c>
      <c r="Q5874" s="3">
        <v>0</v>
      </c>
      <c r="R5874" s="23" t="s">
        <v>15987</v>
      </c>
      <c r="S5874" s="23" t="s">
        <v>6847</v>
      </c>
      <c r="T5874" s="23" t="s">
        <v>4866</v>
      </c>
      <c r="U5874" s="3">
        <v>35</v>
      </c>
      <c r="W5874" s="45" t="str">
        <f>HYPERLINK("http://ictvonline.org/taxonomy/p/taxonomy-history?taxnode_id=201905937","ICTVonline=201905937")</f>
        <v>ICTVonline=201905937</v>
      </c>
      <c r="AA5874" s="1">
        <v>201900000</v>
      </c>
      <c r="AB5874" s="1">
        <v>35</v>
      </c>
    </row>
    <row r="5875" spans="1:28" x14ac:dyDescent="0.2">
      <c r="A5875" s="1">
        <v>15114</v>
      </c>
      <c r="B5875" s="1" t="s">
        <v>6839</v>
      </c>
      <c r="D5875" s="1" t="s">
        <v>15944</v>
      </c>
      <c r="F5875" s="1" t="s">
        <v>15945</v>
      </c>
      <c r="H5875" s="1" t="s">
        <v>15946</v>
      </c>
      <c r="J5875" s="1" t="s">
        <v>5042</v>
      </c>
      <c r="L5875" s="1" t="s">
        <v>357</v>
      </c>
      <c r="M5875" s="1" t="s">
        <v>1206</v>
      </c>
      <c r="N5875" s="1" t="s">
        <v>5067</v>
      </c>
      <c r="P5875" s="1" t="s">
        <v>5073</v>
      </c>
      <c r="Q5875" s="3">
        <v>0</v>
      </c>
      <c r="R5875" s="23" t="s">
        <v>15987</v>
      </c>
      <c r="S5875" s="23" t="s">
        <v>6847</v>
      </c>
      <c r="T5875" s="23" t="s">
        <v>4866</v>
      </c>
      <c r="U5875" s="3">
        <v>35</v>
      </c>
      <c r="W5875" s="45" t="str">
        <f>HYPERLINK("http://ictvonline.org/taxonomy/p/taxonomy-history?taxnode_id=201905938","ICTVonline=201905938")</f>
        <v>ICTVonline=201905938</v>
      </c>
      <c r="AA5875" s="1">
        <v>201900000</v>
      </c>
      <c r="AB5875" s="1">
        <v>35</v>
      </c>
    </row>
    <row r="5876" spans="1:28" x14ac:dyDescent="0.2">
      <c r="A5876" s="1">
        <v>15116</v>
      </c>
      <c r="B5876" s="1" t="s">
        <v>6839</v>
      </c>
      <c r="D5876" s="1" t="s">
        <v>15944</v>
      </c>
      <c r="F5876" s="1" t="s">
        <v>15945</v>
      </c>
      <c r="H5876" s="1" t="s">
        <v>15946</v>
      </c>
      <c r="J5876" s="1" t="s">
        <v>5042</v>
      </c>
      <c r="L5876" s="1" t="s">
        <v>357</v>
      </c>
      <c r="M5876" s="1" t="s">
        <v>1206</v>
      </c>
      <c r="N5876" s="1" t="s">
        <v>5067</v>
      </c>
      <c r="P5876" s="1" t="s">
        <v>5074</v>
      </c>
      <c r="Q5876" s="3">
        <v>0</v>
      </c>
      <c r="R5876" s="23" t="s">
        <v>15987</v>
      </c>
      <c r="S5876" s="23" t="s">
        <v>6847</v>
      </c>
      <c r="T5876" s="23" t="s">
        <v>4866</v>
      </c>
      <c r="U5876" s="3">
        <v>35</v>
      </c>
      <c r="W5876" s="45" t="str">
        <f>HYPERLINK("http://ictvonline.org/taxonomy/p/taxonomy-history?taxnode_id=201905939","ICTVonline=201905939")</f>
        <v>ICTVonline=201905939</v>
      </c>
      <c r="AA5876" s="1">
        <v>201900000</v>
      </c>
      <c r="AB5876" s="1">
        <v>35</v>
      </c>
    </row>
    <row r="5877" spans="1:28" x14ac:dyDescent="0.2">
      <c r="A5877" s="1">
        <v>15118</v>
      </c>
      <c r="B5877" s="1" t="s">
        <v>6839</v>
      </c>
      <c r="D5877" s="1" t="s">
        <v>15944</v>
      </c>
      <c r="F5877" s="1" t="s">
        <v>15945</v>
      </c>
      <c r="H5877" s="1" t="s">
        <v>15946</v>
      </c>
      <c r="J5877" s="1" t="s">
        <v>5042</v>
      </c>
      <c r="L5877" s="1" t="s">
        <v>357</v>
      </c>
      <c r="M5877" s="1" t="s">
        <v>1206</v>
      </c>
      <c r="N5877" s="1" t="s">
        <v>5067</v>
      </c>
      <c r="P5877" s="1" t="s">
        <v>5075</v>
      </c>
      <c r="Q5877" s="3">
        <v>0</v>
      </c>
      <c r="R5877" s="23" t="s">
        <v>15987</v>
      </c>
      <c r="S5877" s="23" t="s">
        <v>6847</v>
      </c>
      <c r="T5877" s="23" t="s">
        <v>4866</v>
      </c>
      <c r="U5877" s="3">
        <v>35</v>
      </c>
      <c r="W5877" s="45" t="str">
        <f>HYPERLINK("http://ictvonline.org/taxonomy/p/taxonomy-history?taxnode_id=201905940","ICTVonline=201905940")</f>
        <v>ICTVonline=201905940</v>
      </c>
      <c r="AA5877" s="1">
        <v>201900000</v>
      </c>
      <c r="AB5877" s="1">
        <v>35</v>
      </c>
    </row>
    <row r="5878" spans="1:28" x14ac:dyDescent="0.2">
      <c r="A5878" s="1">
        <v>15120</v>
      </c>
      <c r="B5878" s="1" t="s">
        <v>6839</v>
      </c>
      <c r="D5878" s="1" t="s">
        <v>15944</v>
      </c>
      <c r="F5878" s="1" t="s">
        <v>15945</v>
      </c>
      <c r="H5878" s="1" t="s">
        <v>15946</v>
      </c>
      <c r="J5878" s="1" t="s">
        <v>5042</v>
      </c>
      <c r="L5878" s="1" t="s">
        <v>357</v>
      </c>
      <c r="M5878" s="1" t="s">
        <v>1206</v>
      </c>
      <c r="N5878" s="1" t="s">
        <v>5067</v>
      </c>
      <c r="P5878" s="1" t="s">
        <v>5076</v>
      </c>
      <c r="Q5878" s="3">
        <v>0</v>
      </c>
      <c r="R5878" s="23" t="s">
        <v>15987</v>
      </c>
      <c r="S5878" s="23" t="s">
        <v>6847</v>
      </c>
      <c r="T5878" s="23" t="s">
        <v>4866</v>
      </c>
      <c r="U5878" s="3">
        <v>35</v>
      </c>
      <c r="W5878" s="45" t="str">
        <f>HYPERLINK("http://ictvonline.org/taxonomy/p/taxonomy-history?taxnode_id=201905042","ICTVonline=201905042")</f>
        <v>ICTVonline=201905042</v>
      </c>
      <c r="AA5878" s="1">
        <v>201900000</v>
      </c>
      <c r="AB5878" s="1">
        <v>35</v>
      </c>
    </row>
    <row r="5879" spans="1:28" x14ac:dyDescent="0.2">
      <c r="A5879" s="1">
        <v>15122</v>
      </c>
      <c r="B5879" s="1" t="s">
        <v>6839</v>
      </c>
      <c r="D5879" s="1" t="s">
        <v>15944</v>
      </c>
      <c r="F5879" s="1" t="s">
        <v>15945</v>
      </c>
      <c r="H5879" s="1" t="s">
        <v>15946</v>
      </c>
      <c r="J5879" s="1" t="s">
        <v>5042</v>
      </c>
      <c r="L5879" s="1" t="s">
        <v>357</v>
      </c>
      <c r="M5879" s="1" t="s">
        <v>1206</v>
      </c>
      <c r="N5879" s="1" t="s">
        <v>5067</v>
      </c>
      <c r="P5879" s="1" t="s">
        <v>5077</v>
      </c>
      <c r="Q5879" s="3">
        <v>0</v>
      </c>
      <c r="R5879" s="23" t="s">
        <v>15987</v>
      </c>
      <c r="S5879" s="23" t="s">
        <v>6847</v>
      </c>
      <c r="T5879" s="23" t="s">
        <v>4866</v>
      </c>
      <c r="U5879" s="3">
        <v>35</v>
      </c>
      <c r="W5879" s="45" t="str">
        <f>HYPERLINK("http://ictvonline.org/taxonomy/p/taxonomy-history?taxnode_id=201905941","ICTVonline=201905941")</f>
        <v>ICTVonline=201905941</v>
      </c>
      <c r="AA5879" s="1">
        <v>201900000</v>
      </c>
      <c r="AB5879" s="1">
        <v>35</v>
      </c>
    </row>
    <row r="5880" spans="1:28" x14ac:dyDescent="0.2">
      <c r="A5880" s="1">
        <v>15124</v>
      </c>
      <c r="B5880" s="1" t="s">
        <v>6839</v>
      </c>
      <c r="D5880" s="1" t="s">
        <v>15944</v>
      </c>
      <c r="F5880" s="1" t="s">
        <v>15945</v>
      </c>
      <c r="H5880" s="1" t="s">
        <v>15946</v>
      </c>
      <c r="J5880" s="1" t="s">
        <v>5042</v>
      </c>
      <c r="L5880" s="1" t="s">
        <v>357</v>
      </c>
      <c r="M5880" s="1" t="s">
        <v>1206</v>
      </c>
      <c r="N5880" s="1" t="s">
        <v>5067</v>
      </c>
      <c r="P5880" s="1" t="s">
        <v>5078</v>
      </c>
      <c r="Q5880" s="3">
        <v>0</v>
      </c>
      <c r="R5880" s="23" t="s">
        <v>15987</v>
      </c>
      <c r="S5880" s="23" t="s">
        <v>6847</v>
      </c>
      <c r="T5880" s="23" t="s">
        <v>4866</v>
      </c>
      <c r="U5880" s="3">
        <v>35</v>
      </c>
      <c r="W5880" s="45" t="str">
        <f>HYPERLINK("http://ictvonline.org/taxonomy/p/taxonomy-history?taxnode_id=201905942","ICTVonline=201905942")</f>
        <v>ICTVonline=201905942</v>
      </c>
      <c r="AA5880" s="1">
        <v>201900000</v>
      </c>
      <c r="AB5880" s="1">
        <v>35</v>
      </c>
    </row>
    <row r="5881" spans="1:28" x14ac:dyDescent="0.2">
      <c r="A5881" s="1">
        <v>15126</v>
      </c>
      <c r="B5881" s="1" t="s">
        <v>6839</v>
      </c>
      <c r="D5881" s="1" t="s">
        <v>15944</v>
      </c>
      <c r="F5881" s="1" t="s">
        <v>15945</v>
      </c>
      <c r="H5881" s="1" t="s">
        <v>15946</v>
      </c>
      <c r="J5881" s="1" t="s">
        <v>5042</v>
      </c>
      <c r="L5881" s="1" t="s">
        <v>357</v>
      </c>
      <c r="M5881" s="1" t="s">
        <v>1206</v>
      </c>
      <c r="N5881" s="1" t="s">
        <v>5067</v>
      </c>
      <c r="P5881" s="1" t="s">
        <v>5079</v>
      </c>
      <c r="Q5881" s="3">
        <v>0</v>
      </c>
      <c r="R5881" s="23" t="s">
        <v>15987</v>
      </c>
      <c r="S5881" s="23" t="s">
        <v>6847</v>
      </c>
      <c r="T5881" s="23" t="s">
        <v>4866</v>
      </c>
      <c r="U5881" s="3">
        <v>35</v>
      </c>
      <c r="W5881" s="45" t="str">
        <f>HYPERLINK("http://ictvonline.org/taxonomy/p/taxonomy-history?taxnode_id=201905943","ICTVonline=201905943")</f>
        <v>ICTVonline=201905943</v>
      </c>
      <c r="AA5881" s="1">
        <v>201900000</v>
      </c>
      <c r="AB5881" s="1">
        <v>35</v>
      </c>
    </row>
    <row r="5882" spans="1:28" x14ac:dyDescent="0.2">
      <c r="A5882" s="1">
        <v>15128</v>
      </c>
      <c r="B5882" s="1" t="s">
        <v>6839</v>
      </c>
      <c r="D5882" s="1" t="s">
        <v>15944</v>
      </c>
      <c r="F5882" s="1" t="s">
        <v>15945</v>
      </c>
      <c r="H5882" s="1" t="s">
        <v>15946</v>
      </c>
      <c r="J5882" s="1" t="s">
        <v>5042</v>
      </c>
      <c r="L5882" s="1" t="s">
        <v>357</v>
      </c>
      <c r="M5882" s="1" t="s">
        <v>1206</v>
      </c>
      <c r="N5882" s="1" t="s">
        <v>5067</v>
      </c>
      <c r="P5882" s="1" t="s">
        <v>5080</v>
      </c>
      <c r="Q5882" s="3">
        <v>0</v>
      </c>
      <c r="R5882" s="23" t="s">
        <v>15987</v>
      </c>
      <c r="S5882" s="23" t="s">
        <v>6847</v>
      </c>
      <c r="T5882" s="23" t="s">
        <v>4866</v>
      </c>
      <c r="U5882" s="3">
        <v>35</v>
      </c>
      <c r="W5882" s="45" t="str">
        <f>HYPERLINK("http://ictvonline.org/taxonomy/p/taxonomy-history?taxnode_id=201905944","ICTVonline=201905944")</f>
        <v>ICTVonline=201905944</v>
      </c>
      <c r="AA5882" s="1">
        <v>201900000</v>
      </c>
      <c r="AB5882" s="1">
        <v>35</v>
      </c>
    </row>
    <row r="5883" spans="1:28" x14ac:dyDescent="0.2">
      <c r="A5883" s="1">
        <v>15139</v>
      </c>
      <c r="B5883" s="1" t="s">
        <v>6839</v>
      </c>
      <c r="L5883" s="1" t="s">
        <v>16224</v>
      </c>
      <c r="N5883" s="1" t="s">
        <v>16225</v>
      </c>
      <c r="P5883" s="1" t="s">
        <v>16226</v>
      </c>
      <c r="Q5883" s="3">
        <v>1</v>
      </c>
      <c r="R5883" s="23" t="s">
        <v>11739</v>
      </c>
      <c r="S5883" s="23" t="s">
        <v>6849</v>
      </c>
      <c r="T5883" s="23" t="s">
        <v>4864</v>
      </c>
      <c r="U5883" s="3">
        <v>35</v>
      </c>
      <c r="V5883" s="3" t="s">
        <v>16227</v>
      </c>
      <c r="W5883" s="45" t="str">
        <f>HYPERLINK("http://ictvonline.org/taxonomy/p/taxonomy-history?taxnode_id=201908685","ICTVonline=201908685")</f>
        <v>ICTVonline=201908685</v>
      </c>
      <c r="X5883" s="1" t="s">
        <v>16228</v>
      </c>
      <c r="Y5883" s="1" t="s">
        <v>16229</v>
      </c>
      <c r="Z5883" s="1" t="s">
        <v>16230</v>
      </c>
      <c r="AA5883" s="1">
        <v>201900000</v>
      </c>
      <c r="AB5883" s="1">
        <v>35</v>
      </c>
    </row>
    <row r="5884" spans="1:28" x14ac:dyDescent="0.2">
      <c r="A5884" s="1">
        <v>15141</v>
      </c>
      <c r="B5884" s="1" t="s">
        <v>6839</v>
      </c>
      <c r="L5884" s="1" t="s">
        <v>16224</v>
      </c>
      <c r="N5884" s="1" t="s">
        <v>16225</v>
      </c>
      <c r="P5884" s="1" t="s">
        <v>16231</v>
      </c>
      <c r="Q5884" s="3">
        <v>0</v>
      </c>
      <c r="R5884" s="23" t="s">
        <v>11739</v>
      </c>
      <c r="S5884" s="23" t="s">
        <v>6849</v>
      </c>
      <c r="T5884" s="23" t="s">
        <v>4864</v>
      </c>
      <c r="U5884" s="3">
        <v>35</v>
      </c>
      <c r="V5884" s="3" t="s">
        <v>16227</v>
      </c>
      <c r="W5884" s="45" t="str">
        <f>HYPERLINK("http://ictvonline.org/taxonomy/p/taxonomy-history?taxnode_id=201908686","ICTVonline=201908686")</f>
        <v>ICTVonline=201908686</v>
      </c>
      <c r="X5884" s="1" t="s">
        <v>16232</v>
      </c>
      <c r="Y5884" s="1" t="s">
        <v>16233</v>
      </c>
      <c r="Z5884" s="1" t="s">
        <v>16234</v>
      </c>
      <c r="AA5884" s="1">
        <v>201900000</v>
      </c>
      <c r="AB5884" s="1">
        <v>35</v>
      </c>
    </row>
    <row r="5885" spans="1:28" x14ac:dyDescent="0.2">
      <c r="A5885" s="1">
        <v>15143</v>
      </c>
      <c r="B5885" s="1" t="s">
        <v>6839</v>
      </c>
      <c r="L5885" s="1" t="s">
        <v>16224</v>
      </c>
      <c r="N5885" s="1" t="s">
        <v>16225</v>
      </c>
      <c r="P5885" s="1" t="s">
        <v>16235</v>
      </c>
      <c r="Q5885" s="3">
        <v>0</v>
      </c>
      <c r="R5885" s="23" t="s">
        <v>11739</v>
      </c>
      <c r="S5885" s="23" t="s">
        <v>6849</v>
      </c>
      <c r="T5885" s="23" t="s">
        <v>4864</v>
      </c>
      <c r="U5885" s="3">
        <v>35</v>
      </c>
      <c r="V5885" s="3" t="s">
        <v>16227</v>
      </c>
      <c r="W5885" s="45" t="str">
        <f>HYPERLINK("http://ictvonline.org/taxonomy/p/taxonomy-history?taxnode_id=201908687","ICTVonline=201908687")</f>
        <v>ICTVonline=201908687</v>
      </c>
      <c r="X5885" s="1" t="s">
        <v>16236</v>
      </c>
      <c r="Y5885" s="1" t="s">
        <v>16237</v>
      </c>
      <c r="Z5885" s="1" t="s">
        <v>16238</v>
      </c>
      <c r="AA5885" s="1">
        <v>201900000</v>
      </c>
      <c r="AB5885" s="1">
        <v>35</v>
      </c>
    </row>
    <row r="5886" spans="1:28" x14ac:dyDescent="0.2">
      <c r="A5886" s="1">
        <v>15145</v>
      </c>
      <c r="B5886" s="1" t="s">
        <v>6839</v>
      </c>
      <c r="L5886" s="1" t="s">
        <v>16224</v>
      </c>
      <c r="N5886" s="1" t="s">
        <v>16225</v>
      </c>
      <c r="P5886" s="1" t="s">
        <v>16239</v>
      </c>
      <c r="Q5886" s="3">
        <v>0</v>
      </c>
      <c r="R5886" s="23" t="s">
        <v>11739</v>
      </c>
      <c r="S5886" s="23" t="s">
        <v>6849</v>
      </c>
      <c r="T5886" s="23" t="s">
        <v>4864</v>
      </c>
      <c r="U5886" s="3">
        <v>35</v>
      </c>
      <c r="V5886" s="3" t="s">
        <v>16227</v>
      </c>
      <c r="W5886" s="45" t="str">
        <f>HYPERLINK("http://ictvonline.org/taxonomy/p/taxonomy-history?taxnode_id=201908688","ICTVonline=201908688")</f>
        <v>ICTVonline=201908688</v>
      </c>
      <c r="X5886" s="1" t="s">
        <v>16240</v>
      </c>
      <c r="Y5886" s="1" t="s">
        <v>16241</v>
      </c>
      <c r="Z5886" s="1" t="s">
        <v>16242</v>
      </c>
      <c r="AA5886" s="1">
        <v>201900000</v>
      </c>
      <c r="AB5886" s="1">
        <v>35</v>
      </c>
    </row>
    <row r="5887" spans="1:28" x14ac:dyDescent="0.2">
      <c r="A5887" s="1">
        <v>15147</v>
      </c>
      <c r="B5887" s="1" t="s">
        <v>6839</v>
      </c>
      <c r="L5887" s="1" t="s">
        <v>16224</v>
      </c>
      <c r="N5887" s="1" t="s">
        <v>16225</v>
      </c>
      <c r="P5887" s="1" t="s">
        <v>16243</v>
      </c>
      <c r="Q5887" s="3">
        <v>0</v>
      </c>
      <c r="R5887" s="23" t="s">
        <v>11739</v>
      </c>
      <c r="S5887" s="23" t="s">
        <v>6849</v>
      </c>
      <c r="T5887" s="23" t="s">
        <v>4864</v>
      </c>
      <c r="U5887" s="3">
        <v>35</v>
      </c>
      <c r="V5887" s="3" t="s">
        <v>16227</v>
      </c>
      <c r="W5887" s="45" t="str">
        <f>HYPERLINK("http://ictvonline.org/taxonomy/p/taxonomy-history?taxnode_id=201908689","ICTVonline=201908689")</f>
        <v>ICTVonline=201908689</v>
      </c>
      <c r="X5887" s="1" t="s">
        <v>16244</v>
      </c>
      <c r="Y5887" s="1" t="s">
        <v>16245</v>
      </c>
      <c r="Z5887" s="1" t="s">
        <v>16246</v>
      </c>
      <c r="AA5887" s="1">
        <v>201900000</v>
      </c>
      <c r="AB5887" s="1">
        <v>35</v>
      </c>
    </row>
    <row r="5888" spans="1:28" x14ac:dyDescent="0.2">
      <c r="A5888" s="1">
        <v>15149</v>
      </c>
      <c r="B5888" s="1" t="s">
        <v>6839</v>
      </c>
      <c r="L5888" s="1" t="s">
        <v>16224</v>
      </c>
      <c r="N5888" s="1" t="s">
        <v>16225</v>
      </c>
      <c r="P5888" s="1" t="s">
        <v>16247</v>
      </c>
      <c r="Q5888" s="3">
        <v>0</v>
      </c>
      <c r="R5888" s="23" t="s">
        <v>11739</v>
      </c>
      <c r="S5888" s="23" t="s">
        <v>6849</v>
      </c>
      <c r="T5888" s="23" t="s">
        <v>4864</v>
      </c>
      <c r="U5888" s="3">
        <v>35</v>
      </c>
      <c r="V5888" s="3" t="s">
        <v>16227</v>
      </c>
      <c r="W5888" s="45" t="str">
        <f>HYPERLINK("http://ictvonline.org/taxonomy/p/taxonomy-history?taxnode_id=201908690","ICTVonline=201908690")</f>
        <v>ICTVonline=201908690</v>
      </c>
      <c r="X5888" s="1" t="s">
        <v>16248</v>
      </c>
      <c r="Y5888" s="1" t="s">
        <v>16249</v>
      </c>
      <c r="Z5888" s="1" t="s">
        <v>16250</v>
      </c>
      <c r="AA5888" s="1">
        <v>201900000</v>
      </c>
      <c r="AB5888" s="1">
        <v>35</v>
      </c>
    </row>
    <row r="5889" spans="1:28" x14ac:dyDescent="0.2">
      <c r="A5889" s="1">
        <v>15151</v>
      </c>
      <c r="B5889" s="1" t="s">
        <v>6839</v>
      </c>
      <c r="L5889" s="1" t="s">
        <v>16224</v>
      </c>
      <c r="N5889" s="1" t="s">
        <v>16225</v>
      </c>
      <c r="P5889" s="1" t="s">
        <v>16251</v>
      </c>
      <c r="Q5889" s="3">
        <v>0</v>
      </c>
      <c r="R5889" s="23" t="s">
        <v>11739</v>
      </c>
      <c r="S5889" s="23" t="s">
        <v>6849</v>
      </c>
      <c r="T5889" s="23" t="s">
        <v>4864</v>
      </c>
      <c r="U5889" s="3">
        <v>35</v>
      </c>
      <c r="V5889" s="3" t="s">
        <v>16227</v>
      </c>
      <c r="W5889" s="45" t="str">
        <f>HYPERLINK("http://ictvonline.org/taxonomy/p/taxonomy-history?taxnode_id=201908691","ICTVonline=201908691")</f>
        <v>ICTVonline=201908691</v>
      </c>
      <c r="X5889" s="1" t="s">
        <v>16252</v>
      </c>
      <c r="Y5889" s="1" t="s">
        <v>16253</v>
      </c>
      <c r="AA5889" s="1">
        <v>201900000</v>
      </c>
      <c r="AB5889" s="1">
        <v>35</v>
      </c>
    </row>
    <row r="5890" spans="1:28" x14ac:dyDescent="0.2">
      <c r="A5890" s="1">
        <v>15153</v>
      </c>
      <c r="B5890" s="1" t="s">
        <v>6839</v>
      </c>
      <c r="L5890" s="1" t="s">
        <v>16224</v>
      </c>
      <c r="N5890" s="1" t="s">
        <v>16225</v>
      </c>
      <c r="P5890" s="1" t="s">
        <v>16254</v>
      </c>
      <c r="Q5890" s="3">
        <v>0</v>
      </c>
      <c r="R5890" s="23" t="s">
        <v>11739</v>
      </c>
      <c r="S5890" s="23" t="s">
        <v>6849</v>
      </c>
      <c r="T5890" s="23" t="s">
        <v>4864</v>
      </c>
      <c r="U5890" s="3">
        <v>35</v>
      </c>
      <c r="V5890" s="3" t="s">
        <v>16227</v>
      </c>
      <c r="W5890" s="45" t="str">
        <f>HYPERLINK("http://ictvonline.org/taxonomy/p/taxonomy-history?taxnode_id=201908692","ICTVonline=201908692")</f>
        <v>ICTVonline=201908692</v>
      </c>
      <c r="X5890" s="1" t="s">
        <v>16255</v>
      </c>
      <c r="Y5890" s="1" t="s">
        <v>16256</v>
      </c>
      <c r="Z5890" s="1" t="s">
        <v>16257</v>
      </c>
      <c r="AA5890" s="1">
        <v>201900000</v>
      </c>
      <c r="AB5890" s="1">
        <v>35</v>
      </c>
    </row>
    <row r="5891" spans="1:28" x14ac:dyDescent="0.2">
      <c r="A5891" s="1">
        <v>15155</v>
      </c>
      <c r="B5891" s="1" t="s">
        <v>6839</v>
      </c>
      <c r="L5891" s="1" t="s">
        <v>16224</v>
      </c>
      <c r="N5891" s="1" t="s">
        <v>16225</v>
      </c>
      <c r="P5891" s="1" t="s">
        <v>16258</v>
      </c>
      <c r="Q5891" s="3">
        <v>0</v>
      </c>
      <c r="R5891" s="23" t="s">
        <v>11739</v>
      </c>
      <c r="S5891" s="23" t="s">
        <v>6849</v>
      </c>
      <c r="T5891" s="23" t="s">
        <v>4864</v>
      </c>
      <c r="U5891" s="3">
        <v>35</v>
      </c>
      <c r="V5891" s="3" t="s">
        <v>16227</v>
      </c>
      <c r="W5891" s="45" t="str">
        <f>HYPERLINK("http://ictvonline.org/taxonomy/p/taxonomy-history?taxnode_id=201908694","ICTVonline=201908694")</f>
        <v>ICTVonline=201908694</v>
      </c>
      <c r="X5891" s="1" t="s">
        <v>16259</v>
      </c>
      <c r="Y5891" s="1" t="s">
        <v>16260</v>
      </c>
      <c r="Z5891" s="1" t="s">
        <v>12723</v>
      </c>
      <c r="AA5891" s="1">
        <v>201900000</v>
      </c>
      <c r="AB5891" s="1">
        <v>35</v>
      </c>
    </row>
    <row r="5892" spans="1:28" x14ac:dyDescent="0.2">
      <c r="A5892" s="1">
        <v>15157</v>
      </c>
      <c r="B5892" s="1" t="s">
        <v>6839</v>
      </c>
      <c r="L5892" s="1" t="s">
        <v>16224</v>
      </c>
      <c r="N5892" s="1" t="s">
        <v>16225</v>
      </c>
      <c r="P5892" s="1" t="s">
        <v>16261</v>
      </c>
      <c r="Q5892" s="3">
        <v>0</v>
      </c>
      <c r="R5892" s="23" t="s">
        <v>11739</v>
      </c>
      <c r="S5892" s="23" t="s">
        <v>6849</v>
      </c>
      <c r="T5892" s="23" t="s">
        <v>4864</v>
      </c>
      <c r="U5892" s="3">
        <v>35</v>
      </c>
      <c r="V5892" s="3" t="s">
        <v>16227</v>
      </c>
      <c r="W5892" s="45" t="str">
        <f>HYPERLINK("http://ictvonline.org/taxonomy/p/taxonomy-history?taxnode_id=201908693","ICTVonline=201908693")</f>
        <v>ICTVonline=201908693</v>
      </c>
      <c r="X5892" s="1" t="s">
        <v>16262</v>
      </c>
      <c r="Y5892" s="1" t="s">
        <v>16263</v>
      </c>
      <c r="Z5892" s="1" t="s">
        <v>16264</v>
      </c>
      <c r="AA5892" s="1">
        <v>201900000</v>
      </c>
      <c r="AB5892" s="1">
        <v>35</v>
      </c>
    </row>
    <row r="5893" spans="1:28" x14ac:dyDescent="0.2">
      <c r="A5893" s="1">
        <v>15163</v>
      </c>
      <c r="B5893" s="1" t="s">
        <v>6839</v>
      </c>
      <c r="L5893" s="1" t="s">
        <v>3950</v>
      </c>
      <c r="N5893" s="1" t="s">
        <v>3951</v>
      </c>
      <c r="P5893" s="1" t="s">
        <v>3952</v>
      </c>
      <c r="Q5893" s="3">
        <v>1</v>
      </c>
      <c r="R5893" s="23" t="s">
        <v>11933</v>
      </c>
      <c r="S5893" s="23" t="s">
        <v>6847</v>
      </c>
      <c r="W5893" s="45" t="str">
        <f>HYPERLINK("http://ictvonline.org/taxonomy/p/taxonomy-history?taxnode_id=201905047","ICTVonline=201905047")</f>
        <v>ICTVonline=201905047</v>
      </c>
      <c r="X5893" s="1" t="s">
        <v>16265</v>
      </c>
      <c r="Y5893" s="1" t="s">
        <v>16266</v>
      </c>
      <c r="Z5893" s="1" t="s">
        <v>16267</v>
      </c>
      <c r="AA5893" s="1">
        <v>201900000</v>
      </c>
      <c r="AB5893" s="1">
        <v>35</v>
      </c>
    </row>
    <row r="5894" spans="1:28" x14ac:dyDescent="0.2">
      <c r="A5894" s="1">
        <v>15168</v>
      </c>
      <c r="B5894" s="1" t="s">
        <v>6839</v>
      </c>
      <c r="N5894" s="1" t="s">
        <v>3962</v>
      </c>
      <c r="P5894" s="1" t="s">
        <v>3963</v>
      </c>
      <c r="Q5894" s="3">
        <v>1</v>
      </c>
      <c r="R5894" s="23" t="s">
        <v>11933</v>
      </c>
      <c r="S5894" s="23" t="s">
        <v>6848</v>
      </c>
      <c r="W5894" s="45" t="str">
        <f>HYPERLINK("http://ictvonline.org/taxonomy/p/taxonomy-history?taxnode_id=201905333","ICTVonline=201905333")</f>
        <v>ICTVonline=201905333</v>
      </c>
      <c r="X5894" s="1" t="s">
        <v>16268</v>
      </c>
      <c r="Y5894" s="1" t="s">
        <v>16269</v>
      </c>
      <c r="Z5894" s="1" t="s">
        <v>16270</v>
      </c>
      <c r="AA5894" s="1">
        <v>201900000</v>
      </c>
      <c r="AB5894" s="1">
        <v>35</v>
      </c>
    </row>
    <row r="5895" spans="1:28" x14ac:dyDescent="0.2">
      <c r="A5895" s="1">
        <v>15170</v>
      </c>
      <c r="B5895" s="1" t="s">
        <v>6839</v>
      </c>
      <c r="N5895" s="1" t="s">
        <v>3962</v>
      </c>
      <c r="P5895" s="1" t="s">
        <v>3964</v>
      </c>
      <c r="Q5895" s="3">
        <v>0</v>
      </c>
      <c r="R5895" s="23" t="s">
        <v>11933</v>
      </c>
      <c r="S5895" s="23" t="s">
        <v>6848</v>
      </c>
      <c r="W5895" s="45" t="str">
        <f>HYPERLINK("http://ictvonline.org/taxonomy/p/taxonomy-history?taxnode_id=201905334","ICTVonline=201905334")</f>
        <v>ICTVonline=201905334</v>
      </c>
      <c r="X5895" s="1" t="s">
        <v>16271</v>
      </c>
      <c r="Y5895" s="1" t="s">
        <v>16272</v>
      </c>
      <c r="Z5895" s="1" t="s">
        <v>16273</v>
      </c>
      <c r="AA5895" s="1">
        <v>201900000</v>
      </c>
      <c r="AB5895" s="1">
        <v>35</v>
      </c>
    </row>
    <row r="5896" spans="1:28" x14ac:dyDescent="0.2">
      <c r="A5896" s="1">
        <v>15172</v>
      </c>
      <c r="B5896" s="1" t="s">
        <v>6839</v>
      </c>
      <c r="N5896" s="1" t="s">
        <v>3962</v>
      </c>
      <c r="P5896" s="1" t="s">
        <v>3965</v>
      </c>
      <c r="Q5896" s="3">
        <v>0</v>
      </c>
      <c r="R5896" s="23" t="s">
        <v>11933</v>
      </c>
      <c r="S5896" s="23" t="s">
        <v>6848</v>
      </c>
      <c r="W5896" s="45" t="str">
        <f>HYPERLINK("http://ictvonline.org/taxonomy/p/taxonomy-history?taxnode_id=201905335","ICTVonline=201905335")</f>
        <v>ICTVonline=201905335</v>
      </c>
      <c r="X5896" s="1" t="s">
        <v>16274</v>
      </c>
      <c r="Y5896" s="1" t="s">
        <v>16275</v>
      </c>
      <c r="Z5896" s="1" t="s">
        <v>16276</v>
      </c>
      <c r="AA5896" s="1">
        <v>201900000</v>
      </c>
      <c r="AB5896" s="1">
        <v>35</v>
      </c>
    </row>
    <row r="5897" spans="1:28" x14ac:dyDescent="0.2">
      <c r="A5897" s="1">
        <v>15176</v>
      </c>
      <c r="B5897" s="1" t="s">
        <v>6839</v>
      </c>
      <c r="N5897" s="1" t="s">
        <v>3966</v>
      </c>
      <c r="P5897" s="1" t="s">
        <v>3967</v>
      </c>
      <c r="Q5897" s="3">
        <v>1</v>
      </c>
      <c r="R5897" s="23" t="s">
        <v>11933</v>
      </c>
      <c r="S5897" s="23" t="s">
        <v>6848</v>
      </c>
      <c r="W5897" s="45" t="str">
        <f>HYPERLINK("http://ictvonline.org/taxonomy/p/taxonomy-history?taxnode_id=201905337","ICTVonline=201905337")</f>
        <v>ICTVonline=201905337</v>
      </c>
      <c r="X5897" s="1" t="s">
        <v>16277</v>
      </c>
      <c r="Y5897" s="1" t="s">
        <v>16278</v>
      </c>
      <c r="Z5897" s="1" t="s">
        <v>16279</v>
      </c>
      <c r="AA5897" s="1">
        <v>201900000</v>
      </c>
      <c r="AB5897" s="1">
        <v>35</v>
      </c>
    </row>
    <row r="5898" spans="1:28" x14ac:dyDescent="0.2">
      <c r="A5898" s="1">
        <v>15180</v>
      </c>
      <c r="B5898" s="1" t="s">
        <v>6839</v>
      </c>
      <c r="N5898" s="1" t="s">
        <v>3970</v>
      </c>
      <c r="P5898" s="1" t="s">
        <v>3971</v>
      </c>
      <c r="Q5898" s="3">
        <v>1</v>
      </c>
      <c r="R5898" s="23" t="s">
        <v>11933</v>
      </c>
      <c r="S5898" s="23" t="s">
        <v>6848</v>
      </c>
      <c r="W5898" s="45" t="str">
        <f>HYPERLINK("http://ictvonline.org/taxonomy/p/taxonomy-history?taxnode_id=201905360","ICTVonline=201905360")</f>
        <v>ICTVonline=201905360</v>
      </c>
      <c r="X5898" s="1" t="s">
        <v>16280</v>
      </c>
      <c r="Y5898" s="1" t="s">
        <v>16281</v>
      </c>
      <c r="Z5898" s="1" t="s">
        <v>16282</v>
      </c>
      <c r="AA5898" s="1">
        <v>201900000</v>
      </c>
      <c r="AB5898" s="1">
        <v>35</v>
      </c>
    </row>
    <row r="5899" spans="1:28" x14ac:dyDescent="0.2">
      <c r="A5899" s="1">
        <v>15184</v>
      </c>
      <c r="B5899" s="1" t="s">
        <v>6839</v>
      </c>
      <c r="N5899" s="1" t="s">
        <v>3980</v>
      </c>
      <c r="P5899" s="1" t="s">
        <v>3981</v>
      </c>
      <c r="Q5899" s="3">
        <v>1</v>
      </c>
      <c r="R5899" s="23" t="s">
        <v>11933</v>
      </c>
      <c r="S5899" s="23" t="s">
        <v>6848</v>
      </c>
      <c r="W5899" s="45" t="str">
        <f>HYPERLINK("http://ictvonline.org/taxonomy/p/taxonomy-history?taxnode_id=201905393","ICTVonline=201905393")</f>
        <v>ICTVonline=201905393</v>
      </c>
      <c r="X5899" s="1" t="s">
        <v>16283</v>
      </c>
      <c r="Y5899" s="1" t="s">
        <v>16284</v>
      </c>
      <c r="Z5899" s="1" t="s">
        <v>16285</v>
      </c>
      <c r="AA5899" s="1">
        <v>201900000</v>
      </c>
      <c r="AB5899" s="1">
        <v>35</v>
      </c>
    </row>
    <row r="5900" spans="1:28" x14ac:dyDescent="0.2">
      <c r="A5900" s="1">
        <v>15195</v>
      </c>
      <c r="B5900" s="1" t="s">
        <v>16286</v>
      </c>
      <c r="D5900" s="1" t="s">
        <v>16287</v>
      </c>
      <c r="F5900" s="1" t="s">
        <v>16288</v>
      </c>
      <c r="H5900" s="1" t="s">
        <v>16289</v>
      </c>
      <c r="J5900" s="1" t="s">
        <v>16290</v>
      </c>
      <c r="L5900" s="1" t="s">
        <v>1342</v>
      </c>
      <c r="N5900" s="1" t="s">
        <v>1343</v>
      </c>
      <c r="P5900" s="1" t="s">
        <v>189</v>
      </c>
      <c r="Q5900" s="3">
        <v>0</v>
      </c>
      <c r="R5900" s="23" t="s">
        <v>6854</v>
      </c>
      <c r="S5900" s="23" t="s">
        <v>6847</v>
      </c>
      <c r="T5900" s="23" t="s">
        <v>4866</v>
      </c>
      <c r="U5900" s="3">
        <v>35</v>
      </c>
      <c r="W5900" s="45" t="str">
        <f>HYPERLINK("http://ictvonline.org/taxonomy/p/taxonomy-history?taxnode_id=201904293","ICTVonline=201904293")</f>
        <v>ICTVonline=201904293</v>
      </c>
      <c r="AA5900" s="1">
        <v>201900000</v>
      </c>
      <c r="AB5900" s="1">
        <v>35</v>
      </c>
    </row>
    <row r="5901" spans="1:28" x14ac:dyDescent="0.2">
      <c r="A5901" s="1">
        <v>15197</v>
      </c>
      <c r="B5901" s="1" t="s">
        <v>16286</v>
      </c>
      <c r="D5901" s="1" t="s">
        <v>16287</v>
      </c>
      <c r="F5901" s="1" t="s">
        <v>16288</v>
      </c>
      <c r="H5901" s="1" t="s">
        <v>16289</v>
      </c>
      <c r="J5901" s="1" t="s">
        <v>16290</v>
      </c>
      <c r="L5901" s="1" t="s">
        <v>1342</v>
      </c>
      <c r="N5901" s="1" t="s">
        <v>1343</v>
      </c>
      <c r="P5901" s="1" t="s">
        <v>1344</v>
      </c>
      <c r="Q5901" s="3">
        <v>0</v>
      </c>
      <c r="R5901" s="23" t="s">
        <v>6854</v>
      </c>
      <c r="S5901" s="23" t="s">
        <v>6847</v>
      </c>
      <c r="T5901" s="23" t="s">
        <v>4866</v>
      </c>
      <c r="U5901" s="3">
        <v>35</v>
      </c>
      <c r="W5901" s="45" t="str">
        <f>HYPERLINK("http://ictvonline.org/taxonomy/p/taxonomy-history?taxnode_id=201904294","ICTVonline=201904294")</f>
        <v>ICTVonline=201904294</v>
      </c>
      <c r="AA5901" s="1">
        <v>201900000</v>
      </c>
      <c r="AB5901" s="1">
        <v>35</v>
      </c>
    </row>
    <row r="5902" spans="1:28" x14ac:dyDescent="0.2">
      <c r="A5902" s="1">
        <v>15199</v>
      </c>
      <c r="B5902" s="1" t="s">
        <v>16286</v>
      </c>
      <c r="D5902" s="1" t="s">
        <v>16287</v>
      </c>
      <c r="F5902" s="1" t="s">
        <v>16288</v>
      </c>
      <c r="H5902" s="1" t="s">
        <v>16289</v>
      </c>
      <c r="J5902" s="1" t="s">
        <v>16290</v>
      </c>
      <c r="L5902" s="1" t="s">
        <v>1342</v>
      </c>
      <c r="N5902" s="1" t="s">
        <v>1343</v>
      </c>
      <c r="P5902" s="1" t="s">
        <v>1345</v>
      </c>
      <c r="Q5902" s="3">
        <v>1</v>
      </c>
      <c r="R5902" s="23" t="s">
        <v>6854</v>
      </c>
      <c r="S5902" s="23" t="s">
        <v>6847</v>
      </c>
      <c r="T5902" s="23" t="s">
        <v>4866</v>
      </c>
      <c r="U5902" s="3">
        <v>35</v>
      </c>
      <c r="W5902" s="45" t="str">
        <f>HYPERLINK("http://ictvonline.org/taxonomy/p/taxonomy-history?taxnode_id=201904295","ICTVonline=201904295")</f>
        <v>ICTVonline=201904295</v>
      </c>
      <c r="AA5902" s="1">
        <v>201900000</v>
      </c>
      <c r="AB5902" s="1">
        <v>35</v>
      </c>
    </row>
    <row r="5903" spans="1:28" x14ac:dyDescent="0.2">
      <c r="A5903" s="1">
        <v>15201</v>
      </c>
      <c r="B5903" s="1" t="s">
        <v>16286</v>
      </c>
      <c r="D5903" s="1" t="s">
        <v>16287</v>
      </c>
      <c r="F5903" s="1" t="s">
        <v>16288</v>
      </c>
      <c r="H5903" s="1" t="s">
        <v>16289</v>
      </c>
      <c r="J5903" s="1" t="s">
        <v>16290</v>
      </c>
      <c r="L5903" s="1" t="s">
        <v>1342</v>
      </c>
      <c r="N5903" s="1" t="s">
        <v>1343</v>
      </c>
      <c r="P5903" s="1" t="s">
        <v>1346</v>
      </c>
      <c r="Q5903" s="3">
        <v>0</v>
      </c>
      <c r="R5903" s="23" t="s">
        <v>6854</v>
      </c>
      <c r="S5903" s="23" t="s">
        <v>6847</v>
      </c>
      <c r="T5903" s="23" t="s">
        <v>4866</v>
      </c>
      <c r="U5903" s="3">
        <v>35</v>
      </c>
      <c r="W5903" s="45" t="str">
        <f>HYPERLINK("http://ictvonline.org/taxonomy/p/taxonomy-history?taxnode_id=201904296","ICTVonline=201904296")</f>
        <v>ICTVonline=201904296</v>
      </c>
      <c r="AA5903" s="1">
        <v>201900000</v>
      </c>
      <c r="AB5903" s="1">
        <v>35</v>
      </c>
    </row>
    <row r="5904" spans="1:28" x14ac:dyDescent="0.2">
      <c r="A5904" s="1">
        <v>15203</v>
      </c>
      <c r="B5904" s="1" t="s">
        <v>16286</v>
      </c>
      <c r="D5904" s="1" t="s">
        <v>16287</v>
      </c>
      <c r="F5904" s="1" t="s">
        <v>16288</v>
      </c>
      <c r="H5904" s="1" t="s">
        <v>16289</v>
      </c>
      <c r="J5904" s="1" t="s">
        <v>16290</v>
      </c>
      <c r="L5904" s="1" t="s">
        <v>1342</v>
      </c>
      <c r="N5904" s="1" t="s">
        <v>1343</v>
      </c>
      <c r="P5904" s="1" t="s">
        <v>1347</v>
      </c>
      <c r="Q5904" s="3">
        <v>0</v>
      </c>
      <c r="R5904" s="23" t="s">
        <v>6854</v>
      </c>
      <c r="S5904" s="23" t="s">
        <v>6847</v>
      </c>
      <c r="T5904" s="23" t="s">
        <v>4866</v>
      </c>
      <c r="U5904" s="3">
        <v>35</v>
      </c>
      <c r="W5904" s="45" t="str">
        <f>HYPERLINK("http://ictvonline.org/taxonomy/p/taxonomy-history?taxnode_id=201904297","ICTVonline=201904297")</f>
        <v>ICTVonline=201904297</v>
      </c>
      <c r="AA5904" s="1">
        <v>201900000</v>
      </c>
      <c r="AB5904" s="1">
        <v>35</v>
      </c>
    </row>
    <row r="5905" spans="1:28" x14ac:dyDescent="0.2">
      <c r="A5905" s="1">
        <v>15205</v>
      </c>
      <c r="B5905" s="1" t="s">
        <v>16286</v>
      </c>
      <c r="D5905" s="1" t="s">
        <v>16287</v>
      </c>
      <c r="F5905" s="1" t="s">
        <v>16288</v>
      </c>
      <c r="H5905" s="1" t="s">
        <v>16289</v>
      </c>
      <c r="J5905" s="1" t="s">
        <v>16290</v>
      </c>
      <c r="L5905" s="1" t="s">
        <v>1342</v>
      </c>
      <c r="N5905" s="1" t="s">
        <v>1343</v>
      </c>
      <c r="P5905" s="1" t="s">
        <v>992</v>
      </c>
      <c r="Q5905" s="3">
        <v>0</v>
      </c>
      <c r="R5905" s="23" t="s">
        <v>6854</v>
      </c>
      <c r="S5905" s="23" t="s">
        <v>6847</v>
      </c>
      <c r="T5905" s="23" t="s">
        <v>4866</v>
      </c>
      <c r="U5905" s="3">
        <v>35</v>
      </c>
      <c r="W5905" s="45" t="str">
        <f>HYPERLINK("http://ictvonline.org/taxonomy/p/taxonomy-history?taxnode_id=201904298","ICTVonline=201904298")</f>
        <v>ICTVonline=201904298</v>
      </c>
      <c r="AA5905" s="1">
        <v>201900000</v>
      </c>
      <c r="AB5905" s="1">
        <v>35</v>
      </c>
    </row>
    <row r="5906" spans="1:28" x14ac:dyDescent="0.2">
      <c r="A5906" s="1">
        <v>15207</v>
      </c>
      <c r="B5906" s="1" t="s">
        <v>16286</v>
      </c>
      <c r="D5906" s="1" t="s">
        <v>16287</v>
      </c>
      <c r="F5906" s="1" t="s">
        <v>16288</v>
      </c>
      <c r="H5906" s="1" t="s">
        <v>16289</v>
      </c>
      <c r="J5906" s="1" t="s">
        <v>16290</v>
      </c>
      <c r="L5906" s="1" t="s">
        <v>1342</v>
      </c>
      <c r="N5906" s="1" t="s">
        <v>1343</v>
      </c>
      <c r="P5906" s="1" t="s">
        <v>993</v>
      </c>
      <c r="Q5906" s="3">
        <v>0</v>
      </c>
      <c r="R5906" s="23" t="s">
        <v>6854</v>
      </c>
      <c r="S5906" s="23" t="s">
        <v>6847</v>
      </c>
      <c r="T5906" s="23" t="s">
        <v>4866</v>
      </c>
      <c r="U5906" s="3">
        <v>35</v>
      </c>
      <c r="W5906" s="45" t="str">
        <f>HYPERLINK("http://ictvonline.org/taxonomy/p/taxonomy-history?taxnode_id=201904299","ICTVonline=201904299")</f>
        <v>ICTVonline=201904299</v>
      </c>
      <c r="AA5906" s="1">
        <v>201900000</v>
      </c>
      <c r="AB5906" s="1">
        <v>35</v>
      </c>
    </row>
    <row r="5907" spans="1:28" x14ac:dyDescent="0.2">
      <c r="A5907" s="1">
        <v>15209</v>
      </c>
      <c r="B5907" s="1" t="s">
        <v>16286</v>
      </c>
      <c r="D5907" s="1" t="s">
        <v>16287</v>
      </c>
      <c r="F5907" s="1" t="s">
        <v>16288</v>
      </c>
      <c r="H5907" s="1" t="s">
        <v>16289</v>
      </c>
      <c r="J5907" s="1" t="s">
        <v>16290</v>
      </c>
      <c r="L5907" s="1" t="s">
        <v>1342</v>
      </c>
      <c r="N5907" s="1" t="s">
        <v>1343</v>
      </c>
      <c r="P5907" s="1" t="s">
        <v>653</v>
      </c>
      <c r="Q5907" s="3">
        <v>0</v>
      </c>
      <c r="R5907" s="23" t="s">
        <v>6854</v>
      </c>
      <c r="S5907" s="23" t="s">
        <v>6847</v>
      </c>
      <c r="T5907" s="23" t="s">
        <v>4866</v>
      </c>
      <c r="U5907" s="3">
        <v>35</v>
      </c>
      <c r="W5907" s="45" t="str">
        <f>HYPERLINK("http://ictvonline.org/taxonomy/p/taxonomy-history?taxnode_id=201904300","ICTVonline=201904300")</f>
        <v>ICTVonline=201904300</v>
      </c>
      <c r="AA5907" s="1">
        <v>201900000</v>
      </c>
      <c r="AB5907" s="1">
        <v>35</v>
      </c>
    </row>
    <row r="5908" spans="1:28" x14ac:dyDescent="0.2">
      <c r="A5908" s="1">
        <v>15211</v>
      </c>
      <c r="B5908" s="1" t="s">
        <v>16286</v>
      </c>
      <c r="D5908" s="1" t="s">
        <v>16287</v>
      </c>
      <c r="F5908" s="1" t="s">
        <v>16288</v>
      </c>
      <c r="H5908" s="1" t="s">
        <v>16289</v>
      </c>
      <c r="J5908" s="1" t="s">
        <v>16290</v>
      </c>
      <c r="L5908" s="1" t="s">
        <v>1342</v>
      </c>
      <c r="N5908" s="1" t="s">
        <v>1343</v>
      </c>
      <c r="P5908" s="1" t="s">
        <v>654</v>
      </c>
      <c r="Q5908" s="3">
        <v>0</v>
      </c>
      <c r="R5908" s="23" t="s">
        <v>6854</v>
      </c>
      <c r="S5908" s="23" t="s">
        <v>6847</v>
      </c>
      <c r="T5908" s="23" t="s">
        <v>4866</v>
      </c>
      <c r="U5908" s="3">
        <v>35</v>
      </c>
      <c r="W5908" s="45" t="str">
        <f>HYPERLINK("http://ictvonline.org/taxonomy/p/taxonomy-history?taxnode_id=201904301","ICTVonline=201904301")</f>
        <v>ICTVonline=201904301</v>
      </c>
      <c r="AA5908" s="1">
        <v>201900000</v>
      </c>
      <c r="AB5908" s="1">
        <v>35</v>
      </c>
    </row>
    <row r="5909" spans="1:28" x14ac:dyDescent="0.2">
      <c r="A5909" s="1">
        <v>15213</v>
      </c>
      <c r="B5909" s="1" t="s">
        <v>16286</v>
      </c>
      <c r="D5909" s="1" t="s">
        <v>16287</v>
      </c>
      <c r="F5909" s="1" t="s">
        <v>16288</v>
      </c>
      <c r="H5909" s="1" t="s">
        <v>16289</v>
      </c>
      <c r="J5909" s="1" t="s">
        <v>16290</v>
      </c>
      <c r="L5909" s="1" t="s">
        <v>1342</v>
      </c>
      <c r="N5909" s="1" t="s">
        <v>1343</v>
      </c>
      <c r="P5909" s="1" t="s">
        <v>655</v>
      </c>
      <c r="Q5909" s="3">
        <v>0</v>
      </c>
      <c r="R5909" s="23" t="s">
        <v>6854</v>
      </c>
      <c r="S5909" s="23" t="s">
        <v>6847</v>
      </c>
      <c r="T5909" s="23" t="s">
        <v>4866</v>
      </c>
      <c r="U5909" s="3">
        <v>35</v>
      </c>
      <c r="W5909" s="45" t="str">
        <f>HYPERLINK("http://ictvonline.org/taxonomy/p/taxonomy-history?taxnode_id=201904302","ICTVonline=201904302")</f>
        <v>ICTVonline=201904302</v>
      </c>
      <c r="AA5909" s="1">
        <v>201900000</v>
      </c>
      <c r="AB5909" s="1">
        <v>35</v>
      </c>
    </row>
    <row r="5910" spans="1:28" x14ac:dyDescent="0.2">
      <c r="A5910" s="1">
        <v>15215</v>
      </c>
      <c r="B5910" s="1" t="s">
        <v>16286</v>
      </c>
      <c r="D5910" s="1" t="s">
        <v>16287</v>
      </c>
      <c r="F5910" s="1" t="s">
        <v>16288</v>
      </c>
      <c r="H5910" s="1" t="s">
        <v>16289</v>
      </c>
      <c r="J5910" s="1" t="s">
        <v>16290</v>
      </c>
      <c r="L5910" s="1" t="s">
        <v>1342</v>
      </c>
      <c r="N5910" s="1" t="s">
        <v>1343</v>
      </c>
      <c r="P5910" s="1" t="s">
        <v>827</v>
      </c>
      <c r="Q5910" s="3">
        <v>0</v>
      </c>
      <c r="R5910" s="23" t="s">
        <v>6854</v>
      </c>
      <c r="S5910" s="23" t="s">
        <v>6847</v>
      </c>
      <c r="T5910" s="23" t="s">
        <v>4866</v>
      </c>
      <c r="U5910" s="3">
        <v>35</v>
      </c>
      <c r="W5910" s="45" t="str">
        <f>HYPERLINK("http://ictvonline.org/taxonomy/p/taxonomy-history?taxnode_id=201904303","ICTVonline=201904303")</f>
        <v>ICTVonline=201904303</v>
      </c>
      <c r="AA5910" s="1">
        <v>201900000</v>
      </c>
      <c r="AB5910" s="1">
        <v>35</v>
      </c>
    </row>
    <row r="5911" spans="1:28" x14ac:dyDescent="0.2">
      <c r="A5911" s="1">
        <v>15217</v>
      </c>
      <c r="B5911" s="1" t="s">
        <v>16286</v>
      </c>
      <c r="D5911" s="1" t="s">
        <v>16287</v>
      </c>
      <c r="F5911" s="1" t="s">
        <v>16288</v>
      </c>
      <c r="H5911" s="1" t="s">
        <v>16289</v>
      </c>
      <c r="J5911" s="1" t="s">
        <v>16290</v>
      </c>
      <c r="L5911" s="1" t="s">
        <v>1342</v>
      </c>
      <c r="N5911" s="1" t="s">
        <v>1343</v>
      </c>
      <c r="P5911" s="1" t="s">
        <v>1840</v>
      </c>
      <c r="Q5911" s="3">
        <v>0</v>
      </c>
      <c r="R5911" s="23" t="s">
        <v>6854</v>
      </c>
      <c r="S5911" s="23" t="s">
        <v>6847</v>
      </c>
      <c r="T5911" s="23" t="s">
        <v>4866</v>
      </c>
      <c r="U5911" s="3">
        <v>35</v>
      </c>
      <c r="W5911" s="45" t="str">
        <f>HYPERLINK("http://ictvonline.org/taxonomy/p/taxonomy-history?taxnode_id=201904304","ICTVonline=201904304")</f>
        <v>ICTVonline=201904304</v>
      </c>
      <c r="AA5911" s="1">
        <v>201900000</v>
      </c>
      <c r="AB5911" s="1">
        <v>35</v>
      </c>
    </row>
    <row r="5912" spans="1:28" x14ac:dyDescent="0.2">
      <c r="A5912" s="1">
        <v>15219</v>
      </c>
      <c r="B5912" s="1" t="s">
        <v>16286</v>
      </c>
      <c r="D5912" s="1" t="s">
        <v>16287</v>
      </c>
      <c r="F5912" s="1" t="s">
        <v>16288</v>
      </c>
      <c r="H5912" s="1" t="s">
        <v>16289</v>
      </c>
      <c r="J5912" s="1" t="s">
        <v>16290</v>
      </c>
      <c r="L5912" s="1" t="s">
        <v>1342</v>
      </c>
      <c r="N5912" s="1" t="s">
        <v>1343</v>
      </c>
      <c r="P5912" s="1" t="s">
        <v>1841</v>
      </c>
      <c r="Q5912" s="3">
        <v>0</v>
      </c>
      <c r="R5912" s="23" t="s">
        <v>6854</v>
      </c>
      <c r="S5912" s="23" t="s">
        <v>6847</v>
      </c>
      <c r="T5912" s="23" t="s">
        <v>4866</v>
      </c>
      <c r="U5912" s="3">
        <v>35</v>
      </c>
      <c r="W5912" s="45" t="str">
        <f>HYPERLINK("http://ictvonline.org/taxonomy/p/taxonomy-history?taxnode_id=201904305","ICTVonline=201904305")</f>
        <v>ICTVonline=201904305</v>
      </c>
      <c r="AA5912" s="1">
        <v>201900000</v>
      </c>
      <c r="AB5912" s="1">
        <v>35</v>
      </c>
    </row>
    <row r="5913" spans="1:28" x14ac:dyDescent="0.2">
      <c r="A5913" s="1">
        <v>15221</v>
      </c>
      <c r="B5913" s="1" t="s">
        <v>16286</v>
      </c>
      <c r="D5913" s="1" t="s">
        <v>16287</v>
      </c>
      <c r="F5913" s="1" t="s">
        <v>16288</v>
      </c>
      <c r="H5913" s="1" t="s">
        <v>16289</v>
      </c>
      <c r="J5913" s="1" t="s">
        <v>16290</v>
      </c>
      <c r="L5913" s="1" t="s">
        <v>1342</v>
      </c>
      <c r="N5913" s="1" t="s">
        <v>1343</v>
      </c>
      <c r="P5913" s="1" t="s">
        <v>1842</v>
      </c>
      <c r="Q5913" s="3">
        <v>0</v>
      </c>
      <c r="R5913" s="23" t="s">
        <v>6854</v>
      </c>
      <c r="S5913" s="23" t="s">
        <v>6847</v>
      </c>
      <c r="T5913" s="23" t="s">
        <v>4866</v>
      </c>
      <c r="U5913" s="3">
        <v>35</v>
      </c>
      <c r="W5913" s="45" t="str">
        <f>HYPERLINK("http://ictvonline.org/taxonomy/p/taxonomy-history?taxnode_id=201904306","ICTVonline=201904306")</f>
        <v>ICTVonline=201904306</v>
      </c>
      <c r="AA5913" s="1">
        <v>201900000</v>
      </c>
      <c r="AB5913" s="1">
        <v>35</v>
      </c>
    </row>
    <row r="5914" spans="1:28" x14ac:dyDescent="0.2">
      <c r="A5914" s="1">
        <v>15223</v>
      </c>
      <c r="B5914" s="1" t="s">
        <v>16286</v>
      </c>
      <c r="D5914" s="1" t="s">
        <v>16287</v>
      </c>
      <c r="F5914" s="1" t="s">
        <v>16288</v>
      </c>
      <c r="H5914" s="1" t="s">
        <v>16289</v>
      </c>
      <c r="J5914" s="1" t="s">
        <v>16290</v>
      </c>
      <c r="L5914" s="1" t="s">
        <v>1342</v>
      </c>
      <c r="N5914" s="1" t="s">
        <v>1343</v>
      </c>
      <c r="P5914" s="1" t="s">
        <v>831</v>
      </c>
      <c r="Q5914" s="3">
        <v>0</v>
      </c>
      <c r="R5914" s="23" t="s">
        <v>6854</v>
      </c>
      <c r="S5914" s="23" t="s">
        <v>6847</v>
      </c>
      <c r="T5914" s="23" t="s">
        <v>4866</v>
      </c>
      <c r="U5914" s="3">
        <v>35</v>
      </c>
      <c r="W5914" s="45" t="str">
        <f>HYPERLINK("http://ictvonline.org/taxonomy/p/taxonomy-history?taxnode_id=201904307","ICTVonline=201904307")</f>
        <v>ICTVonline=201904307</v>
      </c>
      <c r="AA5914" s="1">
        <v>201900000</v>
      </c>
      <c r="AB5914" s="1">
        <v>35</v>
      </c>
    </row>
    <row r="5915" spans="1:28" x14ac:dyDescent="0.2">
      <c r="A5915" s="1">
        <v>15225</v>
      </c>
      <c r="B5915" s="1" t="s">
        <v>16286</v>
      </c>
      <c r="D5915" s="1" t="s">
        <v>16287</v>
      </c>
      <c r="F5915" s="1" t="s">
        <v>16288</v>
      </c>
      <c r="H5915" s="1" t="s">
        <v>16289</v>
      </c>
      <c r="J5915" s="1" t="s">
        <v>16290</v>
      </c>
      <c r="L5915" s="1" t="s">
        <v>1342</v>
      </c>
      <c r="N5915" s="1" t="s">
        <v>1343</v>
      </c>
      <c r="P5915" s="1" t="s">
        <v>832</v>
      </c>
      <c r="Q5915" s="3">
        <v>0</v>
      </c>
      <c r="R5915" s="23" t="s">
        <v>6854</v>
      </c>
      <c r="S5915" s="23" t="s">
        <v>6847</v>
      </c>
      <c r="T5915" s="23" t="s">
        <v>4866</v>
      </c>
      <c r="U5915" s="3">
        <v>35</v>
      </c>
      <c r="W5915" s="45" t="str">
        <f>HYPERLINK("http://ictvonline.org/taxonomy/p/taxonomy-history?taxnode_id=201904308","ICTVonline=201904308")</f>
        <v>ICTVonline=201904308</v>
      </c>
      <c r="AA5915" s="1">
        <v>201900000</v>
      </c>
      <c r="AB5915" s="1">
        <v>35</v>
      </c>
    </row>
    <row r="5916" spans="1:28" x14ac:dyDescent="0.2">
      <c r="A5916" s="1">
        <v>15227</v>
      </c>
      <c r="B5916" s="1" t="s">
        <v>16286</v>
      </c>
      <c r="D5916" s="1" t="s">
        <v>16287</v>
      </c>
      <c r="F5916" s="1" t="s">
        <v>16288</v>
      </c>
      <c r="H5916" s="1" t="s">
        <v>16289</v>
      </c>
      <c r="J5916" s="1" t="s">
        <v>16290</v>
      </c>
      <c r="L5916" s="1" t="s">
        <v>1342</v>
      </c>
      <c r="N5916" s="1" t="s">
        <v>1343</v>
      </c>
      <c r="P5916" s="1" t="s">
        <v>1846</v>
      </c>
      <c r="Q5916" s="3">
        <v>0</v>
      </c>
      <c r="R5916" s="23" t="s">
        <v>6854</v>
      </c>
      <c r="S5916" s="23" t="s">
        <v>6847</v>
      </c>
      <c r="T5916" s="23" t="s">
        <v>4866</v>
      </c>
      <c r="U5916" s="3">
        <v>35</v>
      </c>
      <c r="W5916" s="45" t="str">
        <f>HYPERLINK("http://ictvonline.org/taxonomy/p/taxonomy-history?taxnode_id=201904309","ICTVonline=201904309")</f>
        <v>ICTVonline=201904309</v>
      </c>
      <c r="AA5916" s="1">
        <v>201900000</v>
      </c>
      <c r="AB5916" s="1">
        <v>35</v>
      </c>
    </row>
    <row r="5917" spans="1:28" x14ac:dyDescent="0.2">
      <c r="A5917" s="1">
        <v>15229</v>
      </c>
      <c r="B5917" s="1" t="s">
        <v>16286</v>
      </c>
      <c r="D5917" s="1" t="s">
        <v>16287</v>
      </c>
      <c r="F5917" s="1" t="s">
        <v>16288</v>
      </c>
      <c r="H5917" s="1" t="s">
        <v>16289</v>
      </c>
      <c r="J5917" s="1" t="s">
        <v>16290</v>
      </c>
      <c r="L5917" s="1" t="s">
        <v>1342</v>
      </c>
      <c r="N5917" s="1" t="s">
        <v>1343</v>
      </c>
      <c r="P5917" s="1" t="s">
        <v>828</v>
      </c>
      <c r="Q5917" s="3">
        <v>0</v>
      </c>
      <c r="R5917" s="23" t="s">
        <v>6854</v>
      </c>
      <c r="S5917" s="23" t="s">
        <v>6847</v>
      </c>
      <c r="T5917" s="23" t="s">
        <v>4866</v>
      </c>
      <c r="U5917" s="3">
        <v>35</v>
      </c>
      <c r="W5917" s="45" t="str">
        <f>HYPERLINK("http://ictvonline.org/taxonomy/p/taxonomy-history?taxnode_id=201904310","ICTVonline=201904310")</f>
        <v>ICTVonline=201904310</v>
      </c>
      <c r="AA5917" s="1">
        <v>201900000</v>
      </c>
      <c r="AB5917" s="1">
        <v>35</v>
      </c>
    </row>
    <row r="5918" spans="1:28" x14ac:dyDescent="0.2">
      <c r="A5918" s="1">
        <v>15231</v>
      </c>
      <c r="B5918" s="1" t="s">
        <v>16286</v>
      </c>
      <c r="D5918" s="1" t="s">
        <v>16287</v>
      </c>
      <c r="F5918" s="1" t="s">
        <v>16288</v>
      </c>
      <c r="H5918" s="1" t="s">
        <v>16289</v>
      </c>
      <c r="J5918" s="1" t="s">
        <v>16290</v>
      </c>
      <c r="L5918" s="1" t="s">
        <v>1342</v>
      </c>
      <c r="N5918" s="1" t="s">
        <v>1343</v>
      </c>
      <c r="P5918" s="1" t="s">
        <v>829</v>
      </c>
      <c r="Q5918" s="3">
        <v>0</v>
      </c>
      <c r="R5918" s="23" t="s">
        <v>6854</v>
      </c>
      <c r="S5918" s="23" t="s">
        <v>6847</v>
      </c>
      <c r="T5918" s="23" t="s">
        <v>4866</v>
      </c>
      <c r="U5918" s="3">
        <v>35</v>
      </c>
      <c r="W5918" s="45" t="str">
        <f>HYPERLINK("http://ictvonline.org/taxonomy/p/taxonomy-history?taxnode_id=201904311","ICTVonline=201904311")</f>
        <v>ICTVonline=201904311</v>
      </c>
      <c r="AA5918" s="1">
        <v>201900000</v>
      </c>
      <c r="AB5918" s="1">
        <v>35</v>
      </c>
    </row>
    <row r="5919" spans="1:28" x14ac:dyDescent="0.2">
      <c r="A5919" s="1">
        <v>15235</v>
      </c>
      <c r="B5919" s="1" t="s">
        <v>16286</v>
      </c>
      <c r="D5919" s="1" t="s">
        <v>16287</v>
      </c>
      <c r="F5919" s="1" t="s">
        <v>16288</v>
      </c>
      <c r="H5919" s="1" t="s">
        <v>16289</v>
      </c>
      <c r="J5919" s="1" t="s">
        <v>16290</v>
      </c>
      <c r="L5919" s="1" t="s">
        <v>1342</v>
      </c>
      <c r="N5919" s="1" t="s">
        <v>830</v>
      </c>
      <c r="P5919" s="1" t="s">
        <v>906</v>
      </c>
      <c r="Q5919" s="3">
        <v>1</v>
      </c>
      <c r="R5919" s="23" t="s">
        <v>6854</v>
      </c>
      <c r="S5919" s="23" t="s">
        <v>6847</v>
      </c>
      <c r="T5919" s="23" t="s">
        <v>4866</v>
      </c>
      <c r="U5919" s="3">
        <v>35</v>
      </c>
      <c r="W5919" s="45" t="str">
        <f>HYPERLINK("http://ictvonline.org/taxonomy/p/taxonomy-history?taxnode_id=201904313","ICTVonline=201904313")</f>
        <v>ICTVonline=201904313</v>
      </c>
      <c r="AA5919" s="1">
        <v>201900000</v>
      </c>
      <c r="AB5919" s="1">
        <v>35</v>
      </c>
    </row>
    <row r="5920" spans="1:28" x14ac:dyDescent="0.2">
      <c r="A5920" s="1">
        <v>15239</v>
      </c>
      <c r="B5920" s="1" t="s">
        <v>16286</v>
      </c>
      <c r="D5920" s="1" t="s">
        <v>16287</v>
      </c>
      <c r="F5920" s="1" t="s">
        <v>16288</v>
      </c>
      <c r="H5920" s="1" t="s">
        <v>16289</v>
      </c>
      <c r="J5920" s="1" t="s">
        <v>16290</v>
      </c>
      <c r="L5920" s="1" t="s">
        <v>1342</v>
      </c>
      <c r="N5920" s="1" t="s">
        <v>907</v>
      </c>
      <c r="P5920" s="1" t="s">
        <v>908</v>
      </c>
      <c r="Q5920" s="3">
        <v>0</v>
      </c>
      <c r="R5920" s="23" t="s">
        <v>6854</v>
      </c>
      <c r="S5920" s="23" t="s">
        <v>6847</v>
      </c>
      <c r="T5920" s="23" t="s">
        <v>4866</v>
      </c>
      <c r="U5920" s="3">
        <v>35</v>
      </c>
      <c r="W5920" s="45" t="str">
        <f>HYPERLINK("http://ictvonline.org/taxonomy/p/taxonomy-history?taxnode_id=201904315","ICTVonline=201904315")</f>
        <v>ICTVonline=201904315</v>
      </c>
      <c r="AA5920" s="1">
        <v>201900000</v>
      </c>
      <c r="AB5920" s="1">
        <v>35</v>
      </c>
    </row>
    <row r="5921" spans="1:28" x14ac:dyDescent="0.2">
      <c r="A5921" s="1">
        <v>15241</v>
      </c>
      <c r="B5921" s="1" t="s">
        <v>16286</v>
      </c>
      <c r="D5921" s="1" t="s">
        <v>16287</v>
      </c>
      <c r="F5921" s="1" t="s">
        <v>16288</v>
      </c>
      <c r="H5921" s="1" t="s">
        <v>16289</v>
      </c>
      <c r="J5921" s="1" t="s">
        <v>16290</v>
      </c>
      <c r="L5921" s="1" t="s">
        <v>1342</v>
      </c>
      <c r="N5921" s="1" t="s">
        <v>907</v>
      </c>
      <c r="P5921" s="1" t="s">
        <v>924</v>
      </c>
      <c r="Q5921" s="3">
        <v>1</v>
      </c>
      <c r="R5921" s="23" t="s">
        <v>6854</v>
      </c>
      <c r="S5921" s="23" t="s">
        <v>6847</v>
      </c>
      <c r="T5921" s="23" t="s">
        <v>4866</v>
      </c>
      <c r="U5921" s="3">
        <v>35</v>
      </c>
      <c r="W5921" s="45" t="str">
        <f>HYPERLINK("http://ictvonline.org/taxonomy/p/taxonomy-history?taxnode_id=201904316","ICTVonline=201904316")</f>
        <v>ICTVonline=201904316</v>
      </c>
      <c r="AA5921" s="1">
        <v>201900000</v>
      </c>
      <c r="AB5921" s="1">
        <v>35</v>
      </c>
    </row>
    <row r="5922" spans="1:28" x14ac:dyDescent="0.2">
      <c r="A5922" s="1">
        <v>15243</v>
      </c>
      <c r="B5922" s="1" t="s">
        <v>16286</v>
      </c>
      <c r="D5922" s="1" t="s">
        <v>16287</v>
      </c>
      <c r="F5922" s="1" t="s">
        <v>16288</v>
      </c>
      <c r="H5922" s="1" t="s">
        <v>16289</v>
      </c>
      <c r="J5922" s="1" t="s">
        <v>16290</v>
      </c>
      <c r="L5922" s="1" t="s">
        <v>1342</v>
      </c>
      <c r="N5922" s="1" t="s">
        <v>907</v>
      </c>
      <c r="P5922" s="1" t="s">
        <v>925</v>
      </c>
      <c r="Q5922" s="3">
        <v>0</v>
      </c>
      <c r="R5922" s="23" t="s">
        <v>6854</v>
      </c>
      <c r="S5922" s="23" t="s">
        <v>6847</v>
      </c>
      <c r="T5922" s="23" t="s">
        <v>4866</v>
      </c>
      <c r="U5922" s="3">
        <v>35</v>
      </c>
      <c r="W5922" s="45" t="str">
        <f>HYPERLINK("http://ictvonline.org/taxonomy/p/taxonomy-history?taxnode_id=201904317","ICTVonline=201904317")</f>
        <v>ICTVonline=201904317</v>
      </c>
      <c r="AA5922" s="1">
        <v>201900000</v>
      </c>
      <c r="AB5922" s="1">
        <v>35</v>
      </c>
    </row>
    <row r="5923" spans="1:28" x14ac:dyDescent="0.2">
      <c r="A5923" s="1">
        <v>15245</v>
      </c>
      <c r="B5923" s="1" t="s">
        <v>16286</v>
      </c>
      <c r="D5923" s="1" t="s">
        <v>16287</v>
      </c>
      <c r="F5923" s="1" t="s">
        <v>16288</v>
      </c>
      <c r="H5923" s="1" t="s">
        <v>16289</v>
      </c>
      <c r="J5923" s="1" t="s">
        <v>16290</v>
      </c>
      <c r="L5923" s="1" t="s">
        <v>1342</v>
      </c>
      <c r="N5923" s="1" t="s">
        <v>907</v>
      </c>
      <c r="P5923" s="1" t="s">
        <v>926</v>
      </c>
      <c r="Q5923" s="3">
        <v>0</v>
      </c>
      <c r="R5923" s="23" t="s">
        <v>6854</v>
      </c>
      <c r="S5923" s="23" t="s">
        <v>6847</v>
      </c>
      <c r="T5923" s="23" t="s">
        <v>4866</v>
      </c>
      <c r="U5923" s="3">
        <v>35</v>
      </c>
      <c r="W5923" s="45" t="str">
        <f>HYPERLINK("http://ictvonline.org/taxonomy/p/taxonomy-history?taxnode_id=201904318","ICTVonline=201904318")</f>
        <v>ICTVonline=201904318</v>
      </c>
      <c r="AA5923" s="1">
        <v>201900000</v>
      </c>
      <c r="AB5923" s="1">
        <v>35</v>
      </c>
    </row>
    <row r="5924" spans="1:28" x14ac:dyDescent="0.2">
      <c r="A5924" s="1">
        <v>15247</v>
      </c>
      <c r="B5924" s="1" t="s">
        <v>16286</v>
      </c>
      <c r="D5924" s="1" t="s">
        <v>16287</v>
      </c>
      <c r="F5924" s="1" t="s">
        <v>16288</v>
      </c>
      <c r="H5924" s="1" t="s">
        <v>16289</v>
      </c>
      <c r="J5924" s="1" t="s">
        <v>16290</v>
      </c>
      <c r="L5924" s="1" t="s">
        <v>1342</v>
      </c>
      <c r="N5924" s="1" t="s">
        <v>907</v>
      </c>
      <c r="P5924" s="1" t="s">
        <v>927</v>
      </c>
      <c r="Q5924" s="3">
        <v>0</v>
      </c>
      <c r="R5924" s="23" t="s">
        <v>6854</v>
      </c>
      <c r="S5924" s="23" t="s">
        <v>6847</v>
      </c>
      <c r="T5924" s="23" t="s">
        <v>4866</v>
      </c>
      <c r="U5924" s="3">
        <v>35</v>
      </c>
      <c r="W5924" s="45" t="str">
        <f>HYPERLINK("http://ictvonline.org/taxonomy/p/taxonomy-history?taxnode_id=201904319","ICTVonline=201904319")</f>
        <v>ICTVonline=201904319</v>
      </c>
      <c r="AA5924" s="1">
        <v>201900000</v>
      </c>
      <c r="AB5924" s="1">
        <v>35</v>
      </c>
    </row>
    <row r="5925" spans="1:28" x14ac:dyDescent="0.2">
      <c r="A5925" s="1">
        <v>15249</v>
      </c>
      <c r="B5925" s="1" t="s">
        <v>16286</v>
      </c>
      <c r="D5925" s="1" t="s">
        <v>16287</v>
      </c>
      <c r="F5925" s="1" t="s">
        <v>16288</v>
      </c>
      <c r="H5925" s="1" t="s">
        <v>16289</v>
      </c>
      <c r="J5925" s="1" t="s">
        <v>16290</v>
      </c>
      <c r="L5925" s="1" t="s">
        <v>1342</v>
      </c>
      <c r="N5925" s="1" t="s">
        <v>907</v>
      </c>
      <c r="P5925" s="1" t="s">
        <v>928</v>
      </c>
      <c r="Q5925" s="3">
        <v>0</v>
      </c>
      <c r="R5925" s="23" t="s">
        <v>6854</v>
      </c>
      <c r="S5925" s="23" t="s">
        <v>6847</v>
      </c>
      <c r="T5925" s="23" t="s">
        <v>4866</v>
      </c>
      <c r="U5925" s="3">
        <v>35</v>
      </c>
      <c r="W5925" s="45" t="str">
        <f>HYPERLINK("http://ictvonline.org/taxonomy/p/taxonomy-history?taxnode_id=201904320","ICTVonline=201904320")</f>
        <v>ICTVonline=201904320</v>
      </c>
      <c r="AA5925" s="1">
        <v>201900000</v>
      </c>
      <c r="AB5925" s="1">
        <v>35</v>
      </c>
    </row>
    <row r="5926" spans="1:28" x14ac:dyDescent="0.2">
      <c r="A5926" s="1">
        <v>15251</v>
      </c>
      <c r="B5926" s="1" t="s">
        <v>16286</v>
      </c>
      <c r="D5926" s="1" t="s">
        <v>16287</v>
      </c>
      <c r="F5926" s="1" t="s">
        <v>16288</v>
      </c>
      <c r="H5926" s="1" t="s">
        <v>16289</v>
      </c>
      <c r="J5926" s="1" t="s">
        <v>16290</v>
      </c>
      <c r="L5926" s="1" t="s">
        <v>1342</v>
      </c>
      <c r="N5926" s="1" t="s">
        <v>907</v>
      </c>
      <c r="P5926" s="1" t="s">
        <v>929</v>
      </c>
      <c r="Q5926" s="3">
        <v>0</v>
      </c>
      <c r="R5926" s="23" t="s">
        <v>6854</v>
      </c>
      <c r="S5926" s="23" t="s">
        <v>6847</v>
      </c>
      <c r="T5926" s="23" t="s">
        <v>4866</v>
      </c>
      <c r="U5926" s="3">
        <v>35</v>
      </c>
      <c r="W5926" s="45" t="str">
        <f>HYPERLINK("http://ictvonline.org/taxonomy/p/taxonomy-history?taxnode_id=201904321","ICTVonline=201904321")</f>
        <v>ICTVonline=201904321</v>
      </c>
      <c r="AA5926" s="1">
        <v>201900000</v>
      </c>
      <c r="AB5926" s="1">
        <v>35</v>
      </c>
    </row>
    <row r="5927" spans="1:28" x14ac:dyDescent="0.2">
      <c r="A5927" s="1">
        <v>15253</v>
      </c>
      <c r="B5927" s="1" t="s">
        <v>16286</v>
      </c>
      <c r="D5927" s="1" t="s">
        <v>16287</v>
      </c>
      <c r="F5927" s="1" t="s">
        <v>16288</v>
      </c>
      <c r="H5927" s="1" t="s">
        <v>16289</v>
      </c>
      <c r="J5927" s="1" t="s">
        <v>16290</v>
      </c>
      <c r="L5927" s="1" t="s">
        <v>1342</v>
      </c>
      <c r="N5927" s="1" t="s">
        <v>907</v>
      </c>
      <c r="P5927" s="1" t="s">
        <v>930</v>
      </c>
      <c r="Q5927" s="3">
        <v>0</v>
      </c>
      <c r="R5927" s="23" t="s">
        <v>6854</v>
      </c>
      <c r="S5927" s="23" t="s">
        <v>6847</v>
      </c>
      <c r="T5927" s="23" t="s">
        <v>4866</v>
      </c>
      <c r="U5927" s="3">
        <v>35</v>
      </c>
      <c r="W5927" s="45" t="str">
        <f>HYPERLINK("http://ictvonline.org/taxonomy/p/taxonomy-history?taxnode_id=201904322","ICTVonline=201904322")</f>
        <v>ICTVonline=201904322</v>
      </c>
      <c r="AA5927" s="1">
        <v>201900000</v>
      </c>
      <c r="AB5927" s="1">
        <v>35</v>
      </c>
    </row>
    <row r="5928" spans="1:28" x14ac:dyDescent="0.2">
      <c r="A5928" s="1">
        <v>15255</v>
      </c>
      <c r="B5928" s="1" t="s">
        <v>16286</v>
      </c>
      <c r="D5928" s="1" t="s">
        <v>16287</v>
      </c>
      <c r="F5928" s="1" t="s">
        <v>16288</v>
      </c>
      <c r="H5928" s="1" t="s">
        <v>16289</v>
      </c>
      <c r="J5928" s="1" t="s">
        <v>16290</v>
      </c>
      <c r="L5928" s="1" t="s">
        <v>1342</v>
      </c>
      <c r="N5928" s="1" t="s">
        <v>907</v>
      </c>
      <c r="P5928" s="1" t="s">
        <v>931</v>
      </c>
      <c r="Q5928" s="3">
        <v>0</v>
      </c>
      <c r="R5928" s="23" t="s">
        <v>6854</v>
      </c>
      <c r="S5928" s="23" t="s">
        <v>6847</v>
      </c>
      <c r="T5928" s="23" t="s">
        <v>4866</v>
      </c>
      <c r="U5928" s="3">
        <v>35</v>
      </c>
      <c r="W5928" s="45" t="str">
        <f>HYPERLINK("http://ictvonline.org/taxonomy/p/taxonomy-history?taxnode_id=201904323","ICTVonline=201904323")</f>
        <v>ICTVonline=201904323</v>
      </c>
      <c r="AA5928" s="1">
        <v>201900000</v>
      </c>
      <c r="AB5928" s="1">
        <v>35</v>
      </c>
    </row>
    <row r="5929" spans="1:28" x14ac:dyDescent="0.2">
      <c r="A5929" s="1">
        <v>15259</v>
      </c>
      <c r="B5929" s="1" t="s">
        <v>16286</v>
      </c>
      <c r="D5929" s="1" t="s">
        <v>16287</v>
      </c>
      <c r="F5929" s="1" t="s">
        <v>16288</v>
      </c>
      <c r="H5929" s="1" t="s">
        <v>16289</v>
      </c>
      <c r="J5929" s="1" t="s">
        <v>16290</v>
      </c>
      <c r="L5929" s="1" t="s">
        <v>1342</v>
      </c>
      <c r="N5929" s="1" t="s">
        <v>932</v>
      </c>
      <c r="P5929" s="1" t="s">
        <v>933</v>
      </c>
      <c r="Q5929" s="3">
        <v>1</v>
      </c>
      <c r="R5929" s="23" t="s">
        <v>6854</v>
      </c>
      <c r="S5929" s="23" t="s">
        <v>6847</v>
      </c>
      <c r="T5929" s="23" t="s">
        <v>4866</v>
      </c>
      <c r="U5929" s="3">
        <v>35</v>
      </c>
      <c r="W5929" s="45" t="str">
        <f>HYPERLINK("http://ictvonline.org/taxonomy/p/taxonomy-history?taxnode_id=201904325","ICTVonline=201904325")</f>
        <v>ICTVonline=201904325</v>
      </c>
      <c r="AA5929" s="1">
        <v>201900000</v>
      </c>
      <c r="AB5929" s="1">
        <v>35</v>
      </c>
    </row>
    <row r="5930" spans="1:28" x14ac:dyDescent="0.2">
      <c r="A5930" s="1">
        <v>15261</v>
      </c>
      <c r="B5930" s="1" t="s">
        <v>16286</v>
      </c>
      <c r="D5930" s="1" t="s">
        <v>16287</v>
      </c>
      <c r="F5930" s="1" t="s">
        <v>16288</v>
      </c>
      <c r="H5930" s="1" t="s">
        <v>16289</v>
      </c>
      <c r="J5930" s="1" t="s">
        <v>16290</v>
      </c>
      <c r="L5930" s="1" t="s">
        <v>1342</v>
      </c>
      <c r="N5930" s="1" t="s">
        <v>932</v>
      </c>
      <c r="P5930" s="1" t="s">
        <v>190</v>
      </c>
      <c r="Q5930" s="3">
        <v>0</v>
      </c>
      <c r="R5930" s="23" t="s">
        <v>6854</v>
      </c>
      <c r="S5930" s="23" t="s">
        <v>6847</v>
      </c>
      <c r="T5930" s="23" t="s">
        <v>4866</v>
      </c>
      <c r="U5930" s="3">
        <v>35</v>
      </c>
      <c r="W5930" s="45" t="str">
        <f>HYPERLINK("http://ictvonline.org/taxonomy/p/taxonomy-history?taxnode_id=201904326","ICTVonline=201904326")</f>
        <v>ICTVonline=201904326</v>
      </c>
      <c r="AA5930" s="1">
        <v>201900000</v>
      </c>
      <c r="AB5930" s="1">
        <v>35</v>
      </c>
    </row>
    <row r="5931" spans="1:28" x14ac:dyDescent="0.2">
      <c r="A5931" s="1">
        <v>15265</v>
      </c>
      <c r="B5931" s="1" t="s">
        <v>16286</v>
      </c>
      <c r="D5931" s="1" t="s">
        <v>16287</v>
      </c>
      <c r="F5931" s="1" t="s">
        <v>16288</v>
      </c>
      <c r="H5931" s="1" t="s">
        <v>16289</v>
      </c>
      <c r="J5931" s="1" t="s">
        <v>16290</v>
      </c>
      <c r="L5931" s="1" t="s">
        <v>1342</v>
      </c>
      <c r="N5931" s="1" t="s">
        <v>934</v>
      </c>
      <c r="P5931" s="1" t="s">
        <v>935</v>
      </c>
      <c r="Q5931" s="3">
        <v>1</v>
      </c>
      <c r="R5931" s="23" t="s">
        <v>6854</v>
      </c>
      <c r="S5931" s="23" t="s">
        <v>6847</v>
      </c>
      <c r="T5931" s="23" t="s">
        <v>4866</v>
      </c>
      <c r="U5931" s="3">
        <v>35</v>
      </c>
      <c r="W5931" s="45" t="str">
        <f>HYPERLINK("http://ictvonline.org/taxonomy/p/taxonomy-history?taxnode_id=201904328","ICTVonline=201904328")</f>
        <v>ICTVonline=201904328</v>
      </c>
      <c r="AA5931" s="1">
        <v>201900000</v>
      </c>
      <c r="AB5931" s="1">
        <v>35</v>
      </c>
    </row>
    <row r="5932" spans="1:28" x14ac:dyDescent="0.2">
      <c r="A5932" s="1">
        <v>15269</v>
      </c>
      <c r="B5932" s="1" t="s">
        <v>16286</v>
      </c>
      <c r="D5932" s="1" t="s">
        <v>16287</v>
      </c>
      <c r="F5932" s="1" t="s">
        <v>16288</v>
      </c>
      <c r="H5932" s="1" t="s">
        <v>16289</v>
      </c>
      <c r="J5932" s="1" t="s">
        <v>16290</v>
      </c>
      <c r="L5932" s="1" t="s">
        <v>1342</v>
      </c>
      <c r="N5932" s="1" t="s">
        <v>936</v>
      </c>
      <c r="P5932" s="1" t="s">
        <v>937</v>
      </c>
      <c r="Q5932" s="3">
        <v>1</v>
      </c>
      <c r="R5932" s="23" t="s">
        <v>6854</v>
      </c>
      <c r="S5932" s="23" t="s">
        <v>6847</v>
      </c>
      <c r="T5932" s="23" t="s">
        <v>4866</v>
      </c>
      <c r="U5932" s="3">
        <v>35</v>
      </c>
      <c r="W5932" s="45" t="str">
        <f>HYPERLINK("http://ictvonline.org/taxonomy/p/taxonomy-history?taxnode_id=201904330","ICTVonline=201904330")</f>
        <v>ICTVonline=201904330</v>
      </c>
      <c r="AA5932" s="1">
        <v>201900000</v>
      </c>
      <c r="AB5932" s="1">
        <v>35</v>
      </c>
    </row>
    <row r="5933" spans="1:28" x14ac:dyDescent="0.2">
      <c r="A5933" s="1">
        <v>15277</v>
      </c>
      <c r="B5933" s="1" t="s">
        <v>16286</v>
      </c>
      <c r="D5933" s="1" t="s">
        <v>16287</v>
      </c>
      <c r="F5933" s="1" t="s">
        <v>16288</v>
      </c>
      <c r="H5933" s="1" t="s">
        <v>16289</v>
      </c>
      <c r="J5933" s="1" t="s">
        <v>16291</v>
      </c>
      <c r="L5933" s="1" t="s">
        <v>2016</v>
      </c>
      <c r="N5933" s="1" t="s">
        <v>2254</v>
      </c>
      <c r="P5933" s="1" t="s">
        <v>2255</v>
      </c>
      <c r="Q5933" s="3">
        <v>1</v>
      </c>
      <c r="R5933" s="23" t="s">
        <v>6854</v>
      </c>
      <c r="S5933" s="23" t="s">
        <v>6847</v>
      </c>
      <c r="T5933" s="23" t="s">
        <v>4866</v>
      </c>
      <c r="U5933" s="3">
        <v>35</v>
      </c>
      <c r="W5933" s="45" t="str">
        <f>HYPERLINK("http://ictvonline.org/taxonomy/p/taxonomy-history?taxnode_id=201903888","ICTVonline=201903888")</f>
        <v>ICTVonline=201903888</v>
      </c>
      <c r="AA5933" s="1">
        <v>201900000</v>
      </c>
      <c r="AB5933" s="1">
        <v>35</v>
      </c>
    </row>
    <row r="5934" spans="1:28" x14ac:dyDescent="0.2">
      <c r="A5934" s="1">
        <v>15281</v>
      </c>
      <c r="B5934" s="1" t="s">
        <v>16286</v>
      </c>
      <c r="D5934" s="1" t="s">
        <v>16287</v>
      </c>
      <c r="F5934" s="1" t="s">
        <v>16288</v>
      </c>
      <c r="H5934" s="1" t="s">
        <v>16289</v>
      </c>
      <c r="J5934" s="1" t="s">
        <v>16291</v>
      </c>
      <c r="L5934" s="1" t="s">
        <v>2016</v>
      </c>
      <c r="N5934" s="1" t="s">
        <v>2017</v>
      </c>
      <c r="P5934" s="1" t="s">
        <v>2018</v>
      </c>
      <c r="Q5934" s="3">
        <v>1</v>
      </c>
      <c r="R5934" s="23" t="s">
        <v>6854</v>
      </c>
      <c r="S5934" s="23" t="s">
        <v>6847</v>
      </c>
      <c r="T5934" s="23" t="s">
        <v>4866</v>
      </c>
      <c r="U5934" s="3">
        <v>35</v>
      </c>
      <c r="W5934" s="45" t="str">
        <f>HYPERLINK("http://ictvonline.org/taxonomy/p/taxonomy-history?taxnode_id=201903890","ICTVonline=201903890")</f>
        <v>ICTVonline=201903890</v>
      </c>
      <c r="AA5934" s="1">
        <v>201900000</v>
      </c>
      <c r="AB5934" s="1">
        <v>35</v>
      </c>
    </row>
    <row r="5935" spans="1:28" x14ac:dyDescent="0.2">
      <c r="A5935" s="1">
        <v>15289</v>
      </c>
      <c r="B5935" s="1" t="s">
        <v>16286</v>
      </c>
      <c r="D5935" s="1" t="s">
        <v>16287</v>
      </c>
      <c r="F5935" s="1" t="s">
        <v>16288</v>
      </c>
      <c r="H5935" s="1" t="s">
        <v>16289</v>
      </c>
      <c r="J5935" s="1" t="s">
        <v>16292</v>
      </c>
      <c r="L5935" s="1" t="s">
        <v>1791</v>
      </c>
      <c r="N5935" s="1" t="s">
        <v>1792</v>
      </c>
      <c r="P5935" s="1" t="s">
        <v>660</v>
      </c>
      <c r="Q5935" s="3">
        <v>0</v>
      </c>
      <c r="R5935" s="23" t="s">
        <v>6854</v>
      </c>
      <c r="S5935" s="23" t="s">
        <v>6847</v>
      </c>
      <c r="T5935" s="23" t="s">
        <v>4866</v>
      </c>
      <c r="U5935" s="3">
        <v>35</v>
      </c>
      <c r="W5935" s="45" t="str">
        <f>HYPERLINK("http://ictvonline.org/taxonomy/p/taxonomy-history?taxnode_id=201902610","ICTVonline=201902610")</f>
        <v>ICTVonline=201902610</v>
      </c>
      <c r="AA5935" s="1">
        <v>201900000</v>
      </c>
      <c r="AB5935" s="1">
        <v>35</v>
      </c>
    </row>
    <row r="5936" spans="1:28" x14ac:dyDescent="0.2">
      <c r="A5936" s="1">
        <v>15291</v>
      </c>
      <c r="B5936" s="1" t="s">
        <v>16286</v>
      </c>
      <c r="D5936" s="1" t="s">
        <v>16287</v>
      </c>
      <c r="F5936" s="1" t="s">
        <v>16288</v>
      </c>
      <c r="H5936" s="1" t="s">
        <v>16289</v>
      </c>
      <c r="J5936" s="1" t="s">
        <v>16292</v>
      </c>
      <c r="L5936" s="1" t="s">
        <v>1791</v>
      </c>
      <c r="N5936" s="1" t="s">
        <v>1792</v>
      </c>
      <c r="P5936" s="1" t="s">
        <v>661</v>
      </c>
      <c r="Q5936" s="3">
        <v>1</v>
      </c>
      <c r="R5936" s="23" t="s">
        <v>6854</v>
      </c>
      <c r="S5936" s="23" t="s">
        <v>6847</v>
      </c>
      <c r="T5936" s="23" t="s">
        <v>4866</v>
      </c>
      <c r="U5936" s="3">
        <v>35</v>
      </c>
      <c r="W5936" s="45" t="str">
        <f>HYPERLINK("http://ictvonline.org/taxonomy/p/taxonomy-history?taxnode_id=201902611","ICTVonline=201902611")</f>
        <v>ICTVonline=201902611</v>
      </c>
      <c r="AA5936" s="1">
        <v>201900000</v>
      </c>
      <c r="AB5936" s="1">
        <v>35</v>
      </c>
    </row>
    <row r="5937" spans="1:28" x14ac:dyDescent="0.2">
      <c r="A5937" s="1">
        <v>15293</v>
      </c>
      <c r="B5937" s="1" t="s">
        <v>16286</v>
      </c>
      <c r="D5937" s="1" t="s">
        <v>16287</v>
      </c>
      <c r="F5937" s="1" t="s">
        <v>16288</v>
      </c>
      <c r="H5937" s="1" t="s">
        <v>16289</v>
      </c>
      <c r="J5937" s="1" t="s">
        <v>16292</v>
      </c>
      <c r="L5937" s="1" t="s">
        <v>1791</v>
      </c>
      <c r="N5937" s="1" t="s">
        <v>1792</v>
      </c>
      <c r="P5937" s="1" t="s">
        <v>1349</v>
      </c>
      <c r="Q5937" s="3">
        <v>0</v>
      </c>
      <c r="R5937" s="23" t="s">
        <v>6854</v>
      </c>
      <c r="S5937" s="23" t="s">
        <v>6847</v>
      </c>
      <c r="T5937" s="23" t="s">
        <v>4866</v>
      </c>
      <c r="U5937" s="3">
        <v>35</v>
      </c>
      <c r="W5937" s="45" t="str">
        <f>HYPERLINK("http://ictvonline.org/taxonomy/p/taxonomy-history?taxnode_id=201902612","ICTVonline=201902612")</f>
        <v>ICTVonline=201902612</v>
      </c>
      <c r="AA5937" s="1">
        <v>201900000</v>
      </c>
      <c r="AB5937" s="1">
        <v>35</v>
      </c>
    </row>
    <row r="5938" spans="1:28" x14ac:dyDescent="0.2">
      <c r="A5938" s="1">
        <v>15297</v>
      </c>
      <c r="B5938" s="1" t="s">
        <v>16286</v>
      </c>
      <c r="D5938" s="1" t="s">
        <v>16287</v>
      </c>
      <c r="F5938" s="1" t="s">
        <v>16288</v>
      </c>
      <c r="H5938" s="1" t="s">
        <v>16289</v>
      </c>
      <c r="J5938" s="1" t="s">
        <v>16292</v>
      </c>
      <c r="L5938" s="1" t="s">
        <v>1791</v>
      </c>
      <c r="N5938" s="1" t="s">
        <v>3632</v>
      </c>
      <c r="P5938" s="1" t="s">
        <v>4890</v>
      </c>
      <c r="Q5938" s="3">
        <v>1</v>
      </c>
      <c r="R5938" s="23" t="s">
        <v>6854</v>
      </c>
      <c r="S5938" s="23" t="s">
        <v>6847</v>
      </c>
      <c r="T5938" s="23" t="s">
        <v>4866</v>
      </c>
      <c r="U5938" s="3">
        <v>35</v>
      </c>
      <c r="W5938" s="45" t="str">
        <f>HYPERLINK("http://ictvonline.org/taxonomy/p/taxonomy-history?taxnode_id=201902614","ICTVonline=201902614")</f>
        <v>ICTVonline=201902614</v>
      </c>
      <c r="AA5938" s="1">
        <v>201900000</v>
      </c>
      <c r="AB5938" s="1">
        <v>35</v>
      </c>
    </row>
    <row r="5939" spans="1:28" x14ac:dyDescent="0.2">
      <c r="A5939" s="1">
        <v>15304</v>
      </c>
      <c r="B5939" s="1" t="s">
        <v>16286</v>
      </c>
      <c r="D5939" s="1" t="s">
        <v>16287</v>
      </c>
      <c r="F5939" s="1" t="s">
        <v>16288</v>
      </c>
      <c r="H5939" s="1" t="s">
        <v>16289</v>
      </c>
      <c r="J5939" s="1" t="s">
        <v>16292</v>
      </c>
      <c r="L5939" s="1" t="s">
        <v>1411</v>
      </c>
      <c r="M5939" s="1" t="s">
        <v>4081</v>
      </c>
      <c r="N5939" s="1" t="s">
        <v>1017</v>
      </c>
      <c r="P5939" s="1" t="s">
        <v>1018</v>
      </c>
      <c r="Q5939" s="3">
        <v>1</v>
      </c>
      <c r="R5939" s="23" t="s">
        <v>6854</v>
      </c>
      <c r="S5939" s="23" t="s">
        <v>6847</v>
      </c>
      <c r="T5939" s="23" t="s">
        <v>4866</v>
      </c>
      <c r="U5939" s="3">
        <v>35</v>
      </c>
      <c r="W5939" s="45" t="str">
        <f>HYPERLINK("http://ictvonline.org/taxonomy/p/taxonomy-history?taxnode_id=201903728","ICTVonline=201903728")</f>
        <v>ICTVonline=201903728</v>
      </c>
      <c r="Y5939" s="1" t="s">
        <v>16293</v>
      </c>
      <c r="Z5939" s="1" t="s">
        <v>16294</v>
      </c>
      <c r="AA5939" s="1">
        <v>201900000</v>
      </c>
      <c r="AB5939" s="1">
        <v>35</v>
      </c>
    </row>
    <row r="5940" spans="1:28" x14ac:dyDescent="0.2">
      <c r="A5940" s="1">
        <v>15306</v>
      </c>
      <c r="B5940" s="1" t="s">
        <v>16286</v>
      </c>
      <c r="D5940" s="1" t="s">
        <v>16287</v>
      </c>
      <c r="F5940" s="1" t="s">
        <v>16288</v>
      </c>
      <c r="H5940" s="1" t="s">
        <v>16289</v>
      </c>
      <c r="J5940" s="1" t="s">
        <v>16292</v>
      </c>
      <c r="L5940" s="1" t="s">
        <v>1411</v>
      </c>
      <c r="M5940" s="1" t="s">
        <v>4081</v>
      </c>
      <c r="N5940" s="1" t="s">
        <v>1017</v>
      </c>
      <c r="P5940" s="1" t="s">
        <v>6781</v>
      </c>
      <c r="Q5940" s="3">
        <v>0</v>
      </c>
      <c r="R5940" s="23" t="s">
        <v>6854</v>
      </c>
      <c r="S5940" s="23" t="s">
        <v>6847</v>
      </c>
      <c r="T5940" s="23" t="s">
        <v>4866</v>
      </c>
      <c r="U5940" s="3">
        <v>35</v>
      </c>
      <c r="W5940" s="45" t="str">
        <f>HYPERLINK("http://ictvonline.org/taxonomy/p/taxonomy-history?taxnode_id=201906332","ICTVonline=201906332")</f>
        <v>ICTVonline=201906332</v>
      </c>
      <c r="X5940" s="1" t="s">
        <v>16295</v>
      </c>
      <c r="Y5940" s="1" t="s">
        <v>16296</v>
      </c>
      <c r="Z5940" s="1" t="s">
        <v>16297</v>
      </c>
      <c r="AA5940" s="1">
        <v>201900000</v>
      </c>
      <c r="AB5940" s="1">
        <v>35</v>
      </c>
    </row>
    <row r="5941" spans="1:28" x14ac:dyDescent="0.2">
      <c r="A5941" s="1">
        <v>15308</v>
      </c>
      <c r="B5941" s="1" t="s">
        <v>16286</v>
      </c>
      <c r="D5941" s="1" t="s">
        <v>16287</v>
      </c>
      <c r="F5941" s="1" t="s">
        <v>16288</v>
      </c>
      <c r="H5941" s="1" t="s">
        <v>16289</v>
      </c>
      <c r="J5941" s="1" t="s">
        <v>16292</v>
      </c>
      <c r="L5941" s="1" t="s">
        <v>1411</v>
      </c>
      <c r="M5941" s="1" t="s">
        <v>4081</v>
      </c>
      <c r="N5941" s="1" t="s">
        <v>1017</v>
      </c>
      <c r="P5941" s="1" t="s">
        <v>6782</v>
      </c>
      <c r="Q5941" s="3">
        <v>0</v>
      </c>
      <c r="R5941" s="23" t="s">
        <v>6854</v>
      </c>
      <c r="S5941" s="23" t="s">
        <v>6847</v>
      </c>
      <c r="T5941" s="23" t="s">
        <v>4866</v>
      </c>
      <c r="U5941" s="3">
        <v>35</v>
      </c>
      <c r="W5941" s="45" t="str">
        <f>HYPERLINK("http://ictvonline.org/taxonomy/p/taxonomy-history?taxnode_id=201906333","ICTVonline=201906333")</f>
        <v>ICTVonline=201906333</v>
      </c>
      <c r="X5941" s="1" t="s">
        <v>16298</v>
      </c>
      <c r="Y5941" s="1" t="s">
        <v>16299</v>
      </c>
      <c r="Z5941" s="1" t="s">
        <v>16300</v>
      </c>
      <c r="AA5941" s="1">
        <v>201900000</v>
      </c>
      <c r="AB5941" s="1">
        <v>35</v>
      </c>
    </row>
    <row r="5942" spans="1:28" x14ac:dyDescent="0.2">
      <c r="A5942" s="1">
        <v>15312</v>
      </c>
      <c r="B5942" s="1" t="s">
        <v>16286</v>
      </c>
      <c r="D5942" s="1" t="s">
        <v>16287</v>
      </c>
      <c r="F5942" s="1" t="s">
        <v>16288</v>
      </c>
      <c r="H5942" s="1" t="s">
        <v>16289</v>
      </c>
      <c r="J5942" s="1" t="s">
        <v>16292</v>
      </c>
      <c r="L5942" s="1" t="s">
        <v>1411</v>
      </c>
      <c r="M5942" s="1" t="s">
        <v>4081</v>
      </c>
      <c r="N5942" s="1" t="s">
        <v>1019</v>
      </c>
      <c r="P5942" s="1" t="s">
        <v>1020</v>
      </c>
      <c r="Q5942" s="3">
        <v>1</v>
      </c>
      <c r="R5942" s="23" t="s">
        <v>6854</v>
      </c>
      <c r="S5942" s="23" t="s">
        <v>6847</v>
      </c>
      <c r="T5942" s="23" t="s">
        <v>4866</v>
      </c>
      <c r="U5942" s="3">
        <v>35</v>
      </c>
      <c r="W5942" s="45" t="str">
        <f>HYPERLINK("http://ictvonline.org/taxonomy/p/taxonomy-history?taxnode_id=201903730","ICTVonline=201903730")</f>
        <v>ICTVonline=201903730</v>
      </c>
      <c r="Y5942" s="1" t="s">
        <v>16301</v>
      </c>
      <c r="Z5942" s="1" t="s">
        <v>16302</v>
      </c>
      <c r="AA5942" s="1">
        <v>201900000</v>
      </c>
      <c r="AB5942" s="1">
        <v>35</v>
      </c>
    </row>
    <row r="5943" spans="1:28" x14ac:dyDescent="0.2">
      <c r="A5943" s="1">
        <v>15314</v>
      </c>
      <c r="B5943" s="1" t="s">
        <v>16286</v>
      </c>
      <c r="D5943" s="1" t="s">
        <v>16287</v>
      </c>
      <c r="F5943" s="1" t="s">
        <v>16288</v>
      </c>
      <c r="H5943" s="1" t="s">
        <v>16289</v>
      </c>
      <c r="J5943" s="1" t="s">
        <v>16292</v>
      </c>
      <c r="L5943" s="1" t="s">
        <v>1411</v>
      </c>
      <c r="M5943" s="1" t="s">
        <v>4081</v>
      </c>
      <c r="N5943" s="1" t="s">
        <v>1019</v>
      </c>
      <c r="P5943" s="1" t="s">
        <v>6783</v>
      </c>
      <c r="Q5943" s="3">
        <v>0</v>
      </c>
      <c r="R5943" s="23" t="s">
        <v>6854</v>
      </c>
      <c r="S5943" s="23" t="s">
        <v>6847</v>
      </c>
      <c r="T5943" s="23" t="s">
        <v>4866</v>
      </c>
      <c r="U5943" s="3">
        <v>35</v>
      </c>
      <c r="W5943" s="45" t="str">
        <f>HYPERLINK("http://ictvonline.org/taxonomy/p/taxonomy-history?taxnode_id=201906331","ICTVonline=201906331")</f>
        <v>ICTVonline=201906331</v>
      </c>
      <c r="X5943" s="1" t="s">
        <v>16303</v>
      </c>
      <c r="Y5943" s="1" t="s">
        <v>16304</v>
      </c>
      <c r="Z5943" s="1" t="s">
        <v>16305</v>
      </c>
      <c r="AA5943" s="1">
        <v>201900000</v>
      </c>
      <c r="AB5943" s="1">
        <v>35</v>
      </c>
    </row>
    <row r="5944" spans="1:28" x14ac:dyDescent="0.2">
      <c r="A5944" s="1">
        <v>15318</v>
      </c>
      <c r="B5944" s="1" t="s">
        <v>16286</v>
      </c>
      <c r="D5944" s="1" t="s">
        <v>16287</v>
      </c>
      <c r="F5944" s="1" t="s">
        <v>16288</v>
      </c>
      <c r="H5944" s="1" t="s">
        <v>16289</v>
      </c>
      <c r="J5944" s="1" t="s">
        <v>16292</v>
      </c>
      <c r="L5944" s="1" t="s">
        <v>1411</v>
      </c>
      <c r="M5944" s="1" t="s">
        <v>4081</v>
      </c>
      <c r="N5944" s="1" t="s">
        <v>1021</v>
      </c>
      <c r="P5944" s="1" t="s">
        <v>1022</v>
      </c>
      <c r="Q5944" s="3">
        <v>0</v>
      </c>
      <c r="R5944" s="23" t="s">
        <v>6854</v>
      </c>
      <c r="S5944" s="23" t="s">
        <v>6847</v>
      </c>
      <c r="T5944" s="23" t="s">
        <v>4866</v>
      </c>
      <c r="U5944" s="3">
        <v>35</v>
      </c>
      <c r="W5944" s="45" t="str">
        <f>HYPERLINK("http://ictvonline.org/taxonomy/p/taxonomy-history?taxnode_id=201903732","ICTVonline=201903732")</f>
        <v>ICTVonline=201903732</v>
      </c>
      <c r="Y5944" s="1" t="s">
        <v>16306</v>
      </c>
      <c r="Z5944" s="1" t="s">
        <v>16307</v>
      </c>
      <c r="AA5944" s="1">
        <v>201900000</v>
      </c>
      <c r="AB5944" s="1">
        <v>35</v>
      </c>
    </row>
    <row r="5945" spans="1:28" x14ac:dyDescent="0.2">
      <c r="A5945" s="1">
        <v>15320</v>
      </c>
      <c r="B5945" s="1" t="s">
        <v>16286</v>
      </c>
      <c r="D5945" s="1" t="s">
        <v>16287</v>
      </c>
      <c r="F5945" s="1" t="s">
        <v>16288</v>
      </c>
      <c r="H5945" s="1" t="s">
        <v>16289</v>
      </c>
      <c r="J5945" s="1" t="s">
        <v>16292</v>
      </c>
      <c r="L5945" s="1" t="s">
        <v>1411</v>
      </c>
      <c r="M5945" s="1" t="s">
        <v>4081</v>
      </c>
      <c r="N5945" s="1" t="s">
        <v>1021</v>
      </c>
      <c r="P5945" s="1" t="s">
        <v>5375</v>
      </c>
      <c r="Q5945" s="3">
        <v>0</v>
      </c>
      <c r="R5945" s="23" t="s">
        <v>6854</v>
      </c>
      <c r="S5945" s="23" t="s">
        <v>6847</v>
      </c>
      <c r="T5945" s="23" t="s">
        <v>4866</v>
      </c>
      <c r="U5945" s="3">
        <v>35</v>
      </c>
      <c r="W5945" s="45" t="str">
        <f>HYPERLINK("http://ictvonline.org/taxonomy/p/taxonomy-history?taxnode_id=201905861","ICTVonline=201905861")</f>
        <v>ICTVonline=201905861</v>
      </c>
      <c r="AA5945" s="1">
        <v>201900000</v>
      </c>
      <c r="AB5945" s="1">
        <v>35</v>
      </c>
    </row>
    <row r="5946" spans="1:28" x14ac:dyDescent="0.2">
      <c r="A5946" s="1">
        <v>15322</v>
      </c>
      <c r="B5946" s="1" t="s">
        <v>16286</v>
      </c>
      <c r="D5946" s="1" t="s">
        <v>16287</v>
      </c>
      <c r="F5946" s="1" t="s">
        <v>16288</v>
      </c>
      <c r="H5946" s="1" t="s">
        <v>16289</v>
      </c>
      <c r="J5946" s="1" t="s">
        <v>16292</v>
      </c>
      <c r="L5946" s="1" t="s">
        <v>1411</v>
      </c>
      <c r="M5946" s="1" t="s">
        <v>4081</v>
      </c>
      <c r="N5946" s="1" t="s">
        <v>1021</v>
      </c>
      <c r="P5946" s="1" t="s">
        <v>1097</v>
      </c>
      <c r="Q5946" s="3">
        <v>0</v>
      </c>
      <c r="R5946" s="23" t="s">
        <v>6854</v>
      </c>
      <c r="S5946" s="23" t="s">
        <v>6847</v>
      </c>
      <c r="T5946" s="23" t="s">
        <v>4866</v>
      </c>
      <c r="U5946" s="3">
        <v>35</v>
      </c>
      <c r="W5946" s="45" t="str">
        <f>HYPERLINK("http://ictvonline.org/taxonomy/p/taxonomy-history?taxnode_id=201903734","ICTVonline=201903734")</f>
        <v>ICTVonline=201903734</v>
      </c>
      <c r="Y5946" s="1" t="s">
        <v>16308</v>
      </c>
      <c r="Z5946" s="1" t="s">
        <v>16309</v>
      </c>
      <c r="AA5946" s="1">
        <v>201900000</v>
      </c>
      <c r="AB5946" s="1">
        <v>35</v>
      </c>
    </row>
    <row r="5947" spans="1:28" x14ac:dyDescent="0.2">
      <c r="A5947" s="1">
        <v>15324</v>
      </c>
      <c r="B5947" s="1" t="s">
        <v>16286</v>
      </c>
      <c r="D5947" s="1" t="s">
        <v>16287</v>
      </c>
      <c r="F5947" s="1" t="s">
        <v>16288</v>
      </c>
      <c r="H5947" s="1" t="s">
        <v>16289</v>
      </c>
      <c r="J5947" s="1" t="s">
        <v>16292</v>
      </c>
      <c r="L5947" s="1" t="s">
        <v>1411</v>
      </c>
      <c r="M5947" s="1" t="s">
        <v>4081</v>
      </c>
      <c r="N5947" s="1" t="s">
        <v>1021</v>
      </c>
      <c r="P5947" s="1" t="s">
        <v>1098</v>
      </c>
      <c r="Q5947" s="3">
        <v>1</v>
      </c>
      <c r="R5947" s="23" t="s">
        <v>6854</v>
      </c>
      <c r="S5947" s="23" t="s">
        <v>6847</v>
      </c>
      <c r="T5947" s="23" t="s">
        <v>4866</v>
      </c>
      <c r="U5947" s="3">
        <v>35</v>
      </c>
      <c r="W5947" s="45" t="str">
        <f>HYPERLINK("http://ictvonline.org/taxonomy/p/taxonomy-history?taxnode_id=201903736","ICTVonline=201903736")</f>
        <v>ICTVonline=201903736</v>
      </c>
      <c r="Y5947" s="1" t="s">
        <v>16310</v>
      </c>
      <c r="Z5947" s="1" t="s">
        <v>16311</v>
      </c>
      <c r="AA5947" s="1">
        <v>201900000</v>
      </c>
      <c r="AB5947" s="1">
        <v>35</v>
      </c>
    </row>
    <row r="5948" spans="1:28" x14ac:dyDescent="0.2">
      <c r="A5948" s="1">
        <v>15326</v>
      </c>
      <c r="B5948" s="1" t="s">
        <v>16286</v>
      </c>
      <c r="D5948" s="1" t="s">
        <v>16287</v>
      </c>
      <c r="F5948" s="1" t="s">
        <v>16288</v>
      </c>
      <c r="H5948" s="1" t="s">
        <v>16289</v>
      </c>
      <c r="J5948" s="1" t="s">
        <v>16292</v>
      </c>
      <c r="L5948" s="1" t="s">
        <v>1411</v>
      </c>
      <c r="M5948" s="1" t="s">
        <v>4081</v>
      </c>
      <c r="N5948" s="1" t="s">
        <v>1021</v>
      </c>
      <c r="P5948" s="1" t="s">
        <v>1099</v>
      </c>
      <c r="Q5948" s="3">
        <v>0</v>
      </c>
      <c r="R5948" s="23" t="s">
        <v>6854</v>
      </c>
      <c r="S5948" s="23" t="s">
        <v>6847</v>
      </c>
      <c r="T5948" s="23" t="s">
        <v>4866</v>
      </c>
      <c r="U5948" s="3">
        <v>35</v>
      </c>
      <c r="W5948" s="45" t="str">
        <f>HYPERLINK("http://ictvonline.org/taxonomy/p/taxonomy-history?taxnode_id=201903737","ICTVonline=201903737")</f>
        <v>ICTVonline=201903737</v>
      </c>
      <c r="Y5948" s="1" t="s">
        <v>16312</v>
      </c>
      <c r="Z5948" s="1" t="s">
        <v>16313</v>
      </c>
      <c r="AA5948" s="1">
        <v>201900000</v>
      </c>
      <c r="AB5948" s="1">
        <v>35</v>
      </c>
    </row>
    <row r="5949" spans="1:28" x14ac:dyDescent="0.2">
      <c r="A5949" s="1">
        <v>15328</v>
      </c>
      <c r="B5949" s="1" t="s">
        <v>16286</v>
      </c>
      <c r="D5949" s="1" t="s">
        <v>16287</v>
      </c>
      <c r="F5949" s="1" t="s">
        <v>16288</v>
      </c>
      <c r="H5949" s="1" t="s">
        <v>16289</v>
      </c>
      <c r="J5949" s="1" t="s">
        <v>16292</v>
      </c>
      <c r="L5949" s="1" t="s">
        <v>1411</v>
      </c>
      <c r="M5949" s="1" t="s">
        <v>4081</v>
      </c>
      <c r="N5949" s="1" t="s">
        <v>1021</v>
      </c>
      <c r="P5949" s="1" t="s">
        <v>4754</v>
      </c>
      <c r="Q5949" s="3">
        <v>0</v>
      </c>
      <c r="R5949" s="23" t="s">
        <v>6854</v>
      </c>
      <c r="S5949" s="23" t="s">
        <v>6847</v>
      </c>
      <c r="T5949" s="23" t="s">
        <v>4866</v>
      </c>
      <c r="U5949" s="3">
        <v>35</v>
      </c>
      <c r="W5949" s="45" t="str">
        <f>HYPERLINK("http://ictvonline.org/taxonomy/p/taxonomy-history?taxnode_id=201903738","ICTVonline=201903738")</f>
        <v>ICTVonline=201903738</v>
      </c>
      <c r="Y5949" s="1" t="s">
        <v>16314</v>
      </c>
      <c r="Z5949" s="1" t="s">
        <v>16315</v>
      </c>
      <c r="AA5949" s="1">
        <v>201900000</v>
      </c>
      <c r="AB5949" s="1">
        <v>35</v>
      </c>
    </row>
    <row r="5950" spans="1:28" x14ac:dyDescent="0.2">
      <c r="A5950" s="1">
        <v>15334</v>
      </c>
      <c r="B5950" s="1" t="s">
        <v>16286</v>
      </c>
      <c r="D5950" s="1" t="s">
        <v>16287</v>
      </c>
      <c r="F5950" s="1" t="s">
        <v>16288</v>
      </c>
      <c r="H5950" s="1" t="s">
        <v>16289</v>
      </c>
      <c r="J5950" s="1" t="s">
        <v>16292</v>
      </c>
      <c r="L5950" s="1" t="s">
        <v>1411</v>
      </c>
      <c r="M5950" s="1" t="s">
        <v>4082</v>
      </c>
      <c r="N5950" s="1" t="s">
        <v>1412</v>
      </c>
      <c r="P5950" s="1" t="s">
        <v>6784</v>
      </c>
      <c r="Q5950" s="3">
        <v>0</v>
      </c>
      <c r="R5950" s="23" t="s">
        <v>6854</v>
      </c>
      <c r="S5950" s="23" t="s">
        <v>6847</v>
      </c>
      <c r="T5950" s="23" t="s">
        <v>4866</v>
      </c>
      <c r="U5950" s="3">
        <v>35</v>
      </c>
      <c r="W5950" s="45" t="str">
        <f>HYPERLINK("http://ictvonline.org/taxonomy/p/taxonomy-history?taxnode_id=201906338","ICTVonline=201906338")</f>
        <v>ICTVonline=201906338</v>
      </c>
      <c r="X5950" s="1" t="s">
        <v>16316</v>
      </c>
      <c r="Y5950" s="1" t="s">
        <v>16317</v>
      </c>
      <c r="Z5950" s="1" t="s">
        <v>16318</v>
      </c>
      <c r="AA5950" s="1">
        <v>201900000</v>
      </c>
      <c r="AB5950" s="1">
        <v>35</v>
      </c>
    </row>
    <row r="5951" spans="1:28" x14ac:dyDescent="0.2">
      <c r="A5951" s="1">
        <v>15336</v>
      </c>
      <c r="B5951" s="1" t="s">
        <v>16286</v>
      </c>
      <c r="D5951" s="1" t="s">
        <v>16287</v>
      </c>
      <c r="F5951" s="1" t="s">
        <v>16288</v>
      </c>
      <c r="H5951" s="1" t="s">
        <v>16289</v>
      </c>
      <c r="J5951" s="1" t="s">
        <v>16292</v>
      </c>
      <c r="L5951" s="1" t="s">
        <v>1411</v>
      </c>
      <c r="M5951" s="1" t="s">
        <v>4082</v>
      </c>
      <c r="N5951" s="1" t="s">
        <v>1412</v>
      </c>
      <c r="P5951" s="1" t="s">
        <v>1413</v>
      </c>
      <c r="Q5951" s="3">
        <v>1</v>
      </c>
      <c r="R5951" s="23" t="s">
        <v>6854</v>
      </c>
      <c r="S5951" s="23" t="s">
        <v>6847</v>
      </c>
      <c r="T5951" s="23" t="s">
        <v>4866</v>
      </c>
      <c r="U5951" s="3">
        <v>35</v>
      </c>
      <c r="W5951" s="45" t="str">
        <f>HYPERLINK("http://ictvonline.org/taxonomy/p/taxonomy-history?taxnode_id=201903741","ICTVonline=201903741")</f>
        <v>ICTVonline=201903741</v>
      </c>
      <c r="Y5951" s="1" t="s">
        <v>16319</v>
      </c>
      <c r="Z5951" s="1" t="s">
        <v>16320</v>
      </c>
      <c r="AA5951" s="1">
        <v>201900000</v>
      </c>
      <c r="AB5951" s="1">
        <v>35</v>
      </c>
    </row>
    <row r="5952" spans="1:28" x14ac:dyDescent="0.2">
      <c r="A5952" s="1">
        <v>15338</v>
      </c>
      <c r="B5952" s="1" t="s">
        <v>16286</v>
      </c>
      <c r="D5952" s="1" t="s">
        <v>16287</v>
      </c>
      <c r="F5952" s="1" t="s">
        <v>16288</v>
      </c>
      <c r="H5952" s="1" t="s">
        <v>16289</v>
      </c>
      <c r="J5952" s="1" t="s">
        <v>16292</v>
      </c>
      <c r="L5952" s="1" t="s">
        <v>1411</v>
      </c>
      <c r="M5952" s="1" t="s">
        <v>4082</v>
      </c>
      <c r="N5952" s="1" t="s">
        <v>1412</v>
      </c>
      <c r="P5952" s="1" t="s">
        <v>6785</v>
      </c>
      <c r="Q5952" s="3">
        <v>0</v>
      </c>
      <c r="R5952" s="23" t="s">
        <v>6854</v>
      </c>
      <c r="S5952" s="23" t="s">
        <v>6847</v>
      </c>
      <c r="T5952" s="23" t="s">
        <v>4866</v>
      </c>
      <c r="U5952" s="3">
        <v>35</v>
      </c>
      <c r="W5952" s="45" t="str">
        <f>HYPERLINK("http://ictvonline.org/taxonomy/p/taxonomy-history?taxnode_id=201906336","ICTVonline=201906336")</f>
        <v>ICTVonline=201906336</v>
      </c>
      <c r="X5952" s="1" t="s">
        <v>16321</v>
      </c>
      <c r="Y5952" s="1" t="s">
        <v>16322</v>
      </c>
      <c r="Z5952" s="1" t="s">
        <v>6785</v>
      </c>
      <c r="AA5952" s="1">
        <v>201900000</v>
      </c>
      <c r="AB5952" s="1">
        <v>35</v>
      </c>
    </row>
    <row r="5953" spans="1:28" x14ac:dyDescent="0.2">
      <c r="A5953" s="1">
        <v>15340</v>
      </c>
      <c r="B5953" s="1" t="s">
        <v>16286</v>
      </c>
      <c r="D5953" s="1" t="s">
        <v>16287</v>
      </c>
      <c r="F5953" s="1" t="s">
        <v>16288</v>
      </c>
      <c r="H5953" s="1" t="s">
        <v>16289</v>
      </c>
      <c r="J5953" s="1" t="s">
        <v>16292</v>
      </c>
      <c r="L5953" s="1" t="s">
        <v>1411</v>
      </c>
      <c r="M5953" s="1" t="s">
        <v>4082</v>
      </c>
      <c r="N5953" s="1" t="s">
        <v>1412</v>
      </c>
      <c r="P5953" s="1" t="s">
        <v>6786</v>
      </c>
      <c r="Q5953" s="3">
        <v>0</v>
      </c>
      <c r="R5953" s="23" t="s">
        <v>6854</v>
      </c>
      <c r="S5953" s="23" t="s">
        <v>6847</v>
      </c>
      <c r="T5953" s="23" t="s">
        <v>4866</v>
      </c>
      <c r="U5953" s="3">
        <v>35</v>
      </c>
      <c r="W5953" s="45" t="str">
        <f>HYPERLINK("http://ictvonline.org/taxonomy/p/taxonomy-history?taxnode_id=201906335","ICTVonline=201906335")</f>
        <v>ICTVonline=201906335</v>
      </c>
      <c r="X5953" s="1" t="s">
        <v>16323</v>
      </c>
      <c r="Y5953" s="1" t="s">
        <v>16324</v>
      </c>
      <c r="Z5953" s="1" t="s">
        <v>6786</v>
      </c>
      <c r="AA5953" s="1">
        <v>201900000</v>
      </c>
      <c r="AB5953" s="1">
        <v>35</v>
      </c>
    </row>
    <row r="5954" spans="1:28" x14ac:dyDescent="0.2">
      <c r="A5954" s="1">
        <v>15342</v>
      </c>
      <c r="B5954" s="1" t="s">
        <v>16286</v>
      </c>
      <c r="D5954" s="1" t="s">
        <v>16287</v>
      </c>
      <c r="F5954" s="1" t="s">
        <v>16288</v>
      </c>
      <c r="H5954" s="1" t="s">
        <v>16289</v>
      </c>
      <c r="J5954" s="1" t="s">
        <v>16292</v>
      </c>
      <c r="L5954" s="1" t="s">
        <v>1411</v>
      </c>
      <c r="M5954" s="1" t="s">
        <v>4082</v>
      </c>
      <c r="N5954" s="1" t="s">
        <v>1412</v>
      </c>
      <c r="P5954" s="1" t="s">
        <v>6787</v>
      </c>
      <c r="Q5954" s="3">
        <v>0</v>
      </c>
      <c r="R5954" s="23" t="s">
        <v>6854</v>
      </c>
      <c r="S5954" s="23" t="s">
        <v>6847</v>
      </c>
      <c r="T5954" s="23" t="s">
        <v>4866</v>
      </c>
      <c r="U5954" s="3">
        <v>35</v>
      </c>
      <c r="W5954" s="45" t="str">
        <f>HYPERLINK("http://ictvonline.org/taxonomy/p/taxonomy-history?taxnode_id=201906337","ICTVonline=201906337")</f>
        <v>ICTVonline=201906337</v>
      </c>
      <c r="X5954" s="1" t="s">
        <v>16325</v>
      </c>
      <c r="Y5954" s="1" t="s">
        <v>16326</v>
      </c>
      <c r="Z5954" s="1" t="s">
        <v>6787</v>
      </c>
      <c r="AA5954" s="1">
        <v>201900000</v>
      </c>
      <c r="AB5954" s="1">
        <v>35</v>
      </c>
    </row>
    <row r="5955" spans="1:28" x14ac:dyDescent="0.2">
      <c r="A5955" s="1">
        <v>15346</v>
      </c>
      <c r="B5955" s="1" t="s">
        <v>16286</v>
      </c>
      <c r="D5955" s="1" t="s">
        <v>16287</v>
      </c>
      <c r="F5955" s="1" t="s">
        <v>16288</v>
      </c>
      <c r="H5955" s="1" t="s">
        <v>16289</v>
      </c>
      <c r="J5955" s="1" t="s">
        <v>16292</v>
      </c>
      <c r="L5955" s="1" t="s">
        <v>1411</v>
      </c>
      <c r="M5955" s="1" t="s">
        <v>4082</v>
      </c>
      <c r="N5955" s="1" t="s">
        <v>6788</v>
      </c>
      <c r="P5955" s="1" t="s">
        <v>6789</v>
      </c>
      <c r="Q5955" s="3">
        <v>1</v>
      </c>
      <c r="R5955" s="23" t="s">
        <v>6854</v>
      </c>
      <c r="S5955" s="23" t="s">
        <v>6847</v>
      </c>
      <c r="T5955" s="23" t="s">
        <v>4866</v>
      </c>
      <c r="U5955" s="3">
        <v>35</v>
      </c>
      <c r="W5955" s="45" t="str">
        <f>HYPERLINK("http://ictvonline.org/taxonomy/p/taxonomy-history?taxnode_id=201906295","ICTVonline=201906295")</f>
        <v>ICTVonline=201906295</v>
      </c>
      <c r="X5955" s="1" t="s">
        <v>16327</v>
      </c>
      <c r="Y5955" s="1" t="s">
        <v>16328</v>
      </c>
      <c r="Z5955" s="1" t="s">
        <v>16329</v>
      </c>
      <c r="AA5955" s="1">
        <v>201900000</v>
      </c>
      <c r="AB5955" s="1">
        <v>35</v>
      </c>
    </row>
    <row r="5956" spans="1:28" x14ac:dyDescent="0.2">
      <c r="A5956" s="1">
        <v>15350</v>
      </c>
      <c r="B5956" s="1" t="s">
        <v>16286</v>
      </c>
      <c r="D5956" s="1" t="s">
        <v>16287</v>
      </c>
      <c r="F5956" s="1" t="s">
        <v>16288</v>
      </c>
      <c r="H5956" s="1" t="s">
        <v>16289</v>
      </c>
      <c r="J5956" s="1" t="s">
        <v>16292</v>
      </c>
      <c r="L5956" s="1" t="s">
        <v>1411</v>
      </c>
      <c r="M5956" s="1" t="s">
        <v>4082</v>
      </c>
      <c r="N5956" s="1" t="s">
        <v>1023</v>
      </c>
      <c r="P5956" s="1" t="s">
        <v>1016</v>
      </c>
      <c r="Q5956" s="3">
        <v>1</v>
      </c>
      <c r="R5956" s="23" t="s">
        <v>6854</v>
      </c>
      <c r="S5956" s="23" t="s">
        <v>6847</v>
      </c>
      <c r="T5956" s="23" t="s">
        <v>4866</v>
      </c>
      <c r="U5956" s="3">
        <v>35</v>
      </c>
      <c r="W5956" s="45" t="str">
        <f>HYPERLINK("http://ictvonline.org/taxonomy/p/taxonomy-history?taxnode_id=201903744","ICTVonline=201903744")</f>
        <v>ICTVonline=201903744</v>
      </c>
      <c r="Y5956" s="1" t="s">
        <v>16330</v>
      </c>
      <c r="Z5956" s="1" t="s">
        <v>16331</v>
      </c>
      <c r="AA5956" s="1">
        <v>201900000</v>
      </c>
      <c r="AB5956" s="1">
        <v>35</v>
      </c>
    </row>
    <row r="5957" spans="1:28" x14ac:dyDescent="0.2">
      <c r="A5957" s="1">
        <v>15352</v>
      </c>
      <c r="B5957" s="1" t="s">
        <v>16286</v>
      </c>
      <c r="D5957" s="1" t="s">
        <v>16287</v>
      </c>
      <c r="F5957" s="1" t="s">
        <v>16288</v>
      </c>
      <c r="H5957" s="1" t="s">
        <v>16289</v>
      </c>
      <c r="J5957" s="1" t="s">
        <v>16292</v>
      </c>
      <c r="L5957" s="1" t="s">
        <v>1411</v>
      </c>
      <c r="M5957" s="1" t="s">
        <v>4082</v>
      </c>
      <c r="N5957" s="1" t="s">
        <v>1023</v>
      </c>
      <c r="P5957" s="1" t="s">
        <v>6790</v>
      </c>
      <c r="Q5957" s="3">
        <v>0</v>
      </c>
      <c r="R5957" s="23" t="s">
        <v>6854</v>
      </c>
      <c r="S5957" s="23" t="s">
        <v>6847</v>
      </c>
      <c r="T5957" s="23" t="s">
        <v>4866</v>
      </c>
      <c r="U5957" s="3">
        <v>35</v>
      </c>
      <c r="W5957" s="45" t="str">
        <f>HYPERLINK("http://ictvonline.org/taxonomy/p/taxonomy-history?taxnode_id=201906334","ICTVonline=201906334")</f>
        <v>ICTVonline=201906334</v>
      </c>
      <c r="X5957" s="1" t="s">
        <v>16332</v>
      </c>
      <c r="Y5957" s="1" t="s">
        <v>16333</v>
      </c>
      <c r="Z5957" s="1" t="s">
        <v>6790</v>
      </c>
      <c r="AA5957" s="1">
        <v>201900000</v>
      </c>
      <c r="AB5957" s="1">
        <v>35</v>
      </c>
    </row>
    <row r="5958" spans="1:28" x14ac:dyDescent="0.2">
      <c r="A5958" s="1">
        <v>15359</v>
      </c>
      <c r="B5958" s="1" t="s">
        <v>16286</v>
      </c>
      <c r="D5958" s="1" t="s">
        <v>16287</v>
      </c>
      <c r="F5958" s="1" t="s">
        <v>16288</v>
      </c>
      <c r="H5958" s="1" t="s">
        <v>16289</v>
      </c>
      <c r="J5958" s="1" t="s">
        <v>16292</v>
      </c>
      <c r="L5958" s="1" t="s">
        <v>2458</v>
      </c>
      <c r="N5958" s="1" t="s">
        <v>2459</v>
      </c>
      <c r="P5958" s="1" t="s">
        <v>2460</v>
      </c>
      <c r="Q5958" s="3">
        <v>1</v>
      </c>
      <c r="R5958" s="23" t="s">
        <v>6854</v>
      </c>
      <c r="S5958" s="23" t="s">
        <v>6847</v>
      </c>
      <c r="T5958" s="23" t="s">
        <v>4866</v>
      </c>
      <c r="U5958" s="3">
        <v>35</v>
      </c>
      <c r="W5958" s="45" t="str">
        <f>HYPERLINK("http://ictvonline.org/taxonomy/p/taxonomy-history?taxnode_id=201903802","ICTVonline=201903802")</f>
        <v>ICTVonline=201903802</v>
      </c>
      <c r="AA5958" s="1">
        <v>201900000</v>
      </c>
      <c r="AB5958" s="1">
        <v>35</v>
      </c>
    </row>
    <row r="5959" spans="1:28" x14ac:dyDescent="0.2">
      <c r="A5959" s="1">
        <v>15361</v>
      </c>
      <c r="B5959" s="1" t="s">
        <v>16286</v>
      </c>
      <c r="D5959" s="1" t="s">
        <v>16287</v>
      </c>
      <c r="F5959" s="1" t="s">
        <v>16288</v>
      </c>
      <c r="H5959" s="1" t="s">
        <v>16289</v>
      </c>
      <c r="J5959" s="1" t="s">
        <v>16292</v>
      </c>
      <c r="L5959" s="1" t="s">
        <v>2458</v>
      </c>
      <c r="N5959" s="1" t="s">
        <v>2459</v>
      </c>
      <c r="P5959" s="1" t="s">
        <v>2461</v>
      </c>
      <c r="Q5959" s="3">
        <v>0</v>
      </c>
      <c r="R5959" s="23" t="s">
        <v>6854</v>
      </c>
      <c r="S5959" s="23" t="s">
        <v>6847</v>
      </c>
      <c r="T5959" s="23" t="s">
        <v>4866</v>
      </c>
      <c r="U5959" s="3">
        <v>35</v>
      </c>
      <c r="W5959" s="45" t="str">
        <f>HYPERLINK("http://ictvonline.org/taxonomy/p/taxonomy-history?taxnode_id=201903803","ICTVonline=201903803")</f>
        <v>ICTVonline=201903803</v>
      </c>
      <c r="AA5959" s="1">
        <v>201900000</v>
      </c>
      <c r="AB5959" s="1">
        <v>35</v>
      </c>
    </row>
    <row r="5960" spans="1:28" x14ac:dyDescent="0.2">
      <c r="A5960" s="1">
        <v>15364</v>
      </c>
      <c r="B5960" s="1" t="s">
        <v>16286</v>
      </c>
      <c r="D5960" s="1" t="s">
        <v>16287</v>
      </c>
      <c r="F5960" s="1" t="s">
        <v>16288</v>
      </c>
      <c r="H5960" s="1" t="s">
        <v>16289</v>
      </c>
      <c r="J5960" s="1" t="s">
        <v>16292</v>
      </c>
      <c r="L5960" s="1" t="s">
        <v>2458</v>
      </c>
      <c r="P5960" s="1" t="s">
        <v>2462</v>
      </c>
      <c r="Q5960" s="3">
        <v>0</v>
      </c>
      <c r="R5960" s="23" t="s">
        <v>6854</v>
      </c>
      <c r="S5960" s="23" t="s">
        <v>6847</v>
      </c>
      <c r="T5960" s="23" t="s">
        <v>4866</v>
      </c>
      <c r="U5960" s="3">
        <v>35</v>
      </c>
      <c r="W5960" s="45" t="str">
        <f>HYPERLINK("http://ictvonline.org/taxonomy/p/taxonomy-history?taxnode_id=201903805","ICTVonline=201903805")</f>
        <v>ICTVonline=201903805</v>
      </c>
      <c r="AA5960" s="1">
        <v>201900000</v>
      </c>
      <c r="AB5960" s="1">
        <v>35</v>
      </c>
    </row>
    <row r="5961" spans="1:28" x14ac:dyDescent="0.2">
      <c r="A5961" s="1">
        <v>15366</v>
      </c>
      <c r="B5961" s="1" t="s">
        <v>16286</v>
      </c>
      <c r="D5961" s="1" t="s">
        <v>16287</v>
      </c>
      <c r="F5961" s="1" t="s">
        <v>16288</v>
      </c>
      <c r="H5961" s="1" t="s">
        <v>16289</v>
      </c>
      <c r="J5961" s="1" t="s">
        <v>16292</v>
      </c>
      <c r="L5961" s="1" t="s">
        <v>2458</v>
      </c>
      <c r="P5961" s="1" t="s">
        <v>2463</v>
      </c>
      <c r="Q5961" s="3">
        <v>0</v>
      </c>
      <c r="R5961" s="23" t="s">
        <v>6854</v>
      </c>
      <c r="S5961" s="23" t="s">
        <v>6847</v>
      </c>
      <c r="T5961" s="23" t="s">
        <v>4866</v>
      </c>
      <c r="U5961" s="3">
        <v>35</v>
      </c>
      <c r="W5961" s="45" t="str">
        <f>HYPERLINK("http://ictvonline.org/taxonomy/p/taxonomy-history?taxnode_id=201903806","ICTVonline=201903806")</f>
        <v>ICTVonline=201903806</v>
      </c>
      <c r="AA5961" s="1">
        <v>201900000</v>
      </c>
      <c r="AB5961" s="1">
        <v>35</v>
      </c>
    </row>
    <row r="5962" spans="1:28" x14ac:dyDescent="0.2">
      <c r="A5962" s="1">
        <v>15375</v>
      </c>
      <c r="B5962" s="1" t="s">
        <v>16286</v>
      </c>
      <c r="D5962" s="1" t="s">
        <v>16287</v>
      </c>
      <c r="F5962" s="1" t="s">
        <v>16288</v>
      </c>
      <c r="H5962" s="1" t="s">
        <v>16334</v>
      </c>
      <c r="J5962" s="1" t="s">
        <v>16335</v>
      </c>
      <c r="L5962" s="1" t="s">
        <v>664</v>
      </c>
      <c r="N5962" s="1" t="s">
        <v>665</v>
      </c>
      <c r="P5962" s="1" t="s">
        <v>666</v>
      </c>
      <c r="Q5962" s="3">
        <v>1</v>
      </c>
      <c r="R5962" s="23" t="s">
        <v>6854</v>
      </c>
      <c r="S5962" s="23" t="s">
        <v>6847</v>
      </c>
      <c r="T5962" s="23" t="s">
        <v>4866</v>
      </c>
      <c r="U5962" s="3">
        <v>35</v>
      </c>
      <c r="W5962" s="45" t="str">
        <f>HYPERLINK("http://ictvonline.org/taxonomy/p/taxonomy-history?taxnode_id=201902618","ICTVonline=201902618")</f>
        <v>ICTVonline=201902618</v>
      </c>
      <c r="AA5962" s="1">
        <v>201900000</v>
      </c>
      <c r="AB5962" s="1">
        <v>35</v>
      </c>
    </row>
    <row r="5963" spans="1:28" x14ac:dyDescent="0.2">
      <c r="A5963" s="1">
        <v>15384</v>
      </c>
      <c r="B5963" s="1" t="s">
        <v>16286</v>
      </c>
      <c r="D5963" s="1" t="s">
        <v>16287</v>
      </c>
      <c r="F5963" s="1" t="s">
        <v>16288</v>
      </c>
      <c r="H5963" s="1" t="s">
        <v>16334</v>
      </c>
      <c r="J5963" s="1" t="s">
        <v>16336</v>
      </c>
      <c r="L5963" s="1" t="s">
        <v>2066</v>
      </c>
      <c r="M5963" s="1" t="s">
        <v>2067</v>
      </c>
      <c r="N5963" s="1" t="s">
        <v>2068</v>
      </c>
      <c r="P5963" s="1" t="s">
        <v>497</v>
      </c>
      <c r="Q5963" s="3">
        <v>0</v>
      </c>
      <c r="R5963" s="23" t="s">
        <v>6854</v>
      </c>
      <c r="S5963" s="23" t="s">
        <v>6847</v>
      </c>
      <c r="T5963" s="23" t="s">
        <v>4866</v>
      </c>
      <c r="U5963" s="3">
        <v>35</v>
      </c>
      <c r="W5963" s="45" t="str">
        <f>HYPERLINK("http://ictvonline.org/taxonomy/p/taxonomy-history?taxnode_id=201904740","ICTVonline=201904740")</f>
        <v>ICTVonline=201904740</v>
      </c>
      <c r="AA5963" s="1">
        <v>201900000</v>
      </c>
      <c r="AB5963" s="1">
        <v>35</v>
      </c>
    </row>
    <row r="5964" spans="1:28" x14ac:dyDescent="0.2">
      <c r="A5964" s="1">
        <v>15386</v>
      </c>
      <c r="B5964" s="1" t="s">
        <v>16286</v>
      </c>
      <c r="D5964" s="1" t="s">
        <v>16287</v>
      </c>
      <c r="F5964" s="1" t="s">
        <v>16288</v>
      </c>
      <c r="H5964" s="1" t="s">
        <v>16334</v>
      </c>
      <c r="J5964" s="1" t="s">
        <v>16336</v>
      </c>
      <c r="L5964" s="1" t="s">
        <v>2066</v>
      </c>
      <c r="M5964" s="1" t="s">
        <v>2067</v>
      </c>
      <c r="N5964" s="1" t="s">
        <v>2068</v>
      </c>
      <c r="P5964" s="1" t="s">
        <v>16337</v>
      </c>
      <c r="Q5964" s="3">
        <v>0</v>
      </c>
      <c r="R5964" s="23" t="s">
        <v>6854</v>
      </c>
      <c r="S5964" s="23" t="s">
        <v>6849</v>
      </c>
      <c r="T5964" s="23" t="s">
        <v>4864</v>
      </c>
      <c r="U5964" s="3">
        <v>35</v>
      </c>
      <c r="V5964" s="3" t="s">
        <v>16338</v>
      </c>
      <c r="W5964" s="45" t="str">
        <f>HYPERLINK("http://ictvonline.org/taxonomy/p/taxonomy-history?taxnode_id=201907141","ICTVonline=201907141")</f>
        <v>ICTVonline=201907141</v>
      </c>
      <c r="X5964" s="1" t="s">
        <v>16339</v>
      </c>
      <c r="Y5964" s="1" t="s">
        <v>16340</v>
      </c>
      <c r="Z5964" s="1" t="s">
        <v>16341</v>
      </c>
      <c r="AA5964" s="1">
        <v>201900000</v>
      </c>
      <c r="AB5964" s="1">
        <v>35</v>
      </c>
    </row>
    <row r="5965" spans="1:28" x14ac:dyDescent="0.2">
      <c r="A5965" s="1">
        <v>15388</v>
      </c>
      <c r="B5965" s="1" t="s">
        <v>16286</v>
      </c>
      <c r="D5965" s="1" t="s">
        <v>16287</v>
      </c>
      <c r="F5965" s="1" t="s">
        <v>16288</v>
      </c>
      <c r="H5965" s="1" t="s">
        <v>16334</v>
      </c>
      <c r="J5965" s="1" t="s">
        <v>16336</v>
      </c>
      <c r="L5965" s="1" t="s">
        <v>2066</v>
      </c>
      <c r="M5965" s="1" t="s">
        <v>2067</v>
      </c>
      <c r="N5965" s="1" t="s">
        <v>2068</v>
      </c>
      <c r="P5965" s="1" t="s">
        <v>498</v>
      </c>
      <c r="Q5965" s="3">
        <v>1</v>
      </c>
      <c r="R5965" s="23" t="s">
        <v>6854</v>
      </c>
      <c r="S5965" s="23" t="s">
        <v>6847</v>
      </c>
      <c r="T5965" s="23" t="s">
        <v>4866</v>
      </c>
      <c r="U5965" s="3">
        <v>35</v>
      </c>
      <c r="W5965" s="45" t="str">
        <f>HYPERLINK("http://ictvonline.org/taxonomy/p/taxonomy-history?taxnode_id=201904741","ICTVonline=201904741")</f>
        <v>ICTVonline=201904741</v>
      </c>
      <c r="AA5965" s="1">
        <v>201900000</v>
      </c>
      <c r="AB5965" s="1">
        <v>35</v>
      </c>
    </row>
    <row r="5966" spans="1:28" x14ac:dyDescent="0.2">
      <c r="A5966" s="1">
        <v>15390</v>
      </c>
      <c r="B5966" s="1" t="s">
        <v>16286</v>
      </c>
      <c r="D5966" s="1" t="s">
        <v>16287</v>
      </c>
      <c r="F5966" s="1" t="s">
        <v>16288</v>
      </c>
      <c r="H5966" s="1" t="s">
        <v>16334</v>
      </c>
      <c r="J5966" s="1" t="s">
        <v>16336</v>
      </c>
      <c r="L5966" s="1" t="s">
        <v>2066</v>
      </c>
      <c r="M5966" s="1" t="s">
        <v>2067</v>
      </c>
      <c r="N5966" s="1" t="s">
        <v>2068</v>
      </c>
      <c r="P5966" s="1" t="s">
        <v>499</v>
      </c>
      <c r="Q5966" s="3">
        <v>0</v>
      </c>
      <c r="R5966" s="23" t="s">
        <v>6854</v>
      </c>
      <c r="S5966" s="23" t="s">
        <v>6847</v>
      </c>
      <c r="T5966" s="23" t="s">
        <v>4866</v>
      </c>
      <c r="U5966" s="3">
        <v>35</v>
      </c>
      <c r="W5966" s="45" t="str">
        <f>HYPERLINK("http://ictvonline.org/taxonomy/p/taxonomy-history?taxnode_id=201904742","ICTVonline=201904742")</f>
        <v>ICTVonline=201904742</v>
      </c>
      <c r="AA5966" s="1">
        <v>201900000</v>
      </c>
      <c r="AB5966" s="1">
        <v>35</v>
      </c>
    </row>
    <row r="5967" spans="1:28" x14ac:dyDescent="0.2">
      <c r="A5967" s="1">
        <v>15392</v>
      </c>
      <c r="B5967" s="1" t="s">
        <v>16286</v>
      </c>
      <c r="D5967" s="1" t="s">
        <v>16287</v>
      </c>
      <c r="F5967" s="1" t="s">
        <v>16288</v>
      </c>
      <c r="H5967" s="1" t="s">
        <v>16334</v>
      </c>
      <c r="J5967" s="1" t="s">
        <v>16336</v>
      </c>
      <c r="L5967" s="1" t="s">
        <v>2066</v>
      </c>
      <c r="M5967" s="1" t="s">
        <v>2067</v>
      </c>
      <c r="N5967" s="1" t="s">
        <v>2068</v>
      </c>
      <c r="P5967" s="1" t="s">
        <v>500</v>
      </c>
      <c r="Q5967" s="3">
        <v>0</v>
      </c>
      <c r="R5967" s="23" t="s">
        <v>6854</v>
      </c>
      <c r="S5967" s="23" t="s">
        <v>6847</v>
      </c>
      <c r="T5967" s="23" t="s">
        <v>4866</v>
      </c>
      <c r="U5967" s="3">
        <v>35</v>
      </c>
      <c r="W5967" s="45" t="str">
        <f>HYPERLINK("http://ictvonline.org/taxonomy/p/taxonomy-history?taxnode_id=201904743","ICTVonline=201904743")</f>
        <v>ICTVonline=201904743</v>
      </c>
      <c r="AA5967" s="1">
        <v>201900000</v>
      </c>
      <c r="AB5967" s="1">
        <v>35</v>
      </c>
    </row>
    <row r="5968" spans="1:28" x14ac:dyDescent="0.2">
      <c r="A5968" s="1">
        <v>15394</v>
      </c>
      <c r="B5968" s="1" t="s">
        <v>16286</v>
      </c>
      <c r="D5968" s="1" t="s">
        <v>16287</v>
      </c>
      <c r="F5968" s="1" t="s">
        <v>16288</v>
      </c>
      <c r="H5968" s="1" t="s">
        <v>16334</v>
      </c>
      <c r="J5968" s="1" t="s">
        <v>16336</v>
      </c>
      <c r="L5968" s="1" t="s">
        <v>2066</v>
      </c>
      <c r="M5968" s="1" t="s">
        <v>2067</v>
      </c>
      <c r="N5968" s="1" t="s">
        <v>2068</v>
      </c>
      <c r="P5968" s="1" t="s">
        <v>16342</v>
      </c>
      <c r="Q5968" s="3">
        <v>0</v>
      </c>
      <c r="R5968" s="23" t="s">
        <v>6854</v>
      </c>
      <c r="S5968" s="23" t="s">
        <v>6849</v>
      </c>
      <c r="T5968" s="23" t="s">
        <v>4864</v>
      </c>
      <c r="U5968" s="3">
        <v>35</v>
      </c>
      <c r="V5968" s="3" t="s">
        <v>16338</v>
      </c>
      <c r="W5968" s="45" t="str">
        <f>HYPERLINK("http://ictvonline.org/taxonomy/p/taxonomy-history?taxnode_id=201907142","ICTVonline=201907142")</f>
        <v>ICTVonline=201907142</v>
      </c>
      <c r="X5968" s="1" t="s">
        <v>16343</v>
      </c>
      <c r="Y5968" s="1" t="s">
        <v>16344</v>
      </c>
      <c r="Z5968" s="1" t="s">
        <v>16345</v>
      </c>
      <c r="AA5968" s="1">
        <v>201900000</v>
      </c>
      <c r="AB5968" s="1">
        <v>35</v>
      </c>
    </row>
    <row r="5969" spans="1:28" x14ac:dyDescent="0.2">
      <c r="A5969" s="1">
        <v>15396</v>
      </c>
      <c r="B5969" s="1" t="s">
        <v>16286</v>
      </c>
      <c r="D5969" s="1" t="s">
        <v>16287</v>
      </c>
      <c r="F5969" s="1" t="s">
        <v>16288</v>
      </c>
      <c r="H5969" s="1" t="s">
        <v>16334</v>
      </c>
      <c r="J5969" s="1" t="s">
        <v>16336</v>
      </c>
      <c r="L5969" s="1" t="s">
        <v>2066</v>
      </c>
      <c r="M5969" s="1" t="s">
        <v>2067</v>
      </c>
      <c r="N5969" s="1" t="s">
        <v>2068</v>
      </c>
      <c r="P5969" s="1" t="s">
        <v>501</v>
      </c>
      <c r="Q5969" s="3">
        <v>0</v>
      </c>
      <c r="R5969" s="23" t="s">
        <v>6854</v>
      </c>
      <c r="S5969" s="23" t="s">
        <v>6847</v>
      </c>
      <c r="T5969" s="23" t="s">
        <v>4866</v>
      </c>
      <c r="U5969" s="3">
        <v>35</v>
      </c>
      <c r="W5969" s="45" t="str">
        <f>HYPERLINK("http://ictvonline.org/taxonomy/p/taxonomy-history?taxnode_id=201904744","ICTVonline=201904744")</f>
        <v>ICTVonline=201904744</v>
      </c>
      <c r="AA5969" s="1">
        <v>201900000</v>
      </c>
      <c r="AB5969" s="1">
        <v>35</v>
      </c>
    </row>
    <row r="5970" spans="1:28" x14ac:dyDescent="0.2">
      <c r="A5970" s="1">
        <v>15398</v>
      </c>
      <c r="B5970" s="1" t="s">
        <v>16286</v>
      </c>
      <c r="D5970" s="1" t="s">
        <v>16287</v>
      </c>
      <c r="F5970" s="1" t="s">
        <v>16288</v>
      </c>
      <c r="H5970" s="1" t="s">
        <v>16334</v>
      </c>
      <c r="J5970" s="1" t="s">
        <v>16336</v>
      </c>
      <c r="L5970" s="1" t="s">
        <v>2066</v>
      </c>
      <c r="M5970" s="1" t="s">
        <v>2067</v>
      </c>
      <c r="N5970" s="1" t="s">
        <v>2068</v>
      </c>
      <c r="P5970" s="1" t="s">
        <v>502</v>
      </c>
      <c r="Q5970" s="3">
        <v>0</v>
      </c>
      <c r="R5970" s="23" t="s">
        <v>6854</v>
      </c>
      <c r="S5970" s="23" t="s">
        <v>6847</v>
      </c>
      <c r="T5970" s="23" t="s">
        <v>4866</v>
      </c>
      <c r="U5970" s="3">
        <v>35</v>
      </c>
      <c r="W5970" s="45" t="str">
        <f>HYPERLINK("http://ictvonline.org/taxonomy/p/taxonomy-history?taxnode_id=201904745","ICTVonline=201904745")</f>
        <v>ICTVonline=201904745</v>
      </c>
      <c r="AA5970" s="1">
        <v>201900000</v>
      </c>
      <c r="AB5970" s="1">
        <v>35</v>
      </c>
    </row>
    <row r="5971" spans="1:28" x14ac:dyDescent="0.2">
      <c r="A5971" s="1">
        <v>15400</v>
      </c>
      <c r="B5971" s="1" t="s">
        <v>16286</v>
      </c>
      <c r="D5971" s="1" t="s">
        <v>16287</v>
      </c>
      <c r="F5971" s="1" t="s">
        <v>16288</v>
      </c>
      <c r="H5971" s="1" t="s">
        <v>16334</v>
      </c>
      <c r="J5971" s="1" t="s">
        <v>16336</v>
      </c>
      <c r="L5971" s="1" t="s">
        <v>2066</v>
      </c>
      <c r="M5971" s="1" t="s">
        <v>2067</v>
      </c>
      <c r="N5971" s="1" t="s">
        <v>2068</v>
      </c>
      <c r="P5971" s="1" t="s">
        <v>503</v>
      </c>
      <c r="Q5971" s="3">
        <v>0</v>
      </c>
      <c r="R5971" s="23" t="s">
        <v>6854</v>
      </c>
      <c r="S5971" s="23" t="s">
        <v>6847</v>
      </c>
      <c r="T5971" s="23" t="s">
        <v>4866</v>
      </c>
      <c r="U5971" s="3">
        <v>35</v>
      </c>
      <c r="W5971" s="45" t="str">
        <f>HYPERLINK("http://ictvonline.org/taxonomy/p/taxonomy-history?taxnode_id=201904746","ICTVonline=201904746")</f>
        <v>ICTVonline=201904746</v>
      </c>
      <c r="AA5971" s="1">
        <v>201900000</v>
      </c>
      <c r="AB5971" s="1">
        <v>35</v>
      </c>
    </row>
    <row r="5972" spans="1:28" x14ac:dyDescent="0.2">
      <c r="A5972" s="1">
        <v>15402</v>
      </c>
      <c r="B5972" s="1" t="s">
        <v>16286</v>
      </c>
      <c r="D5972" s="1" t="s">
        <v>16287</v>
      </c>
      <c r="F5972" s="1" t="s">
        <v>16288</v>
      </c>
      <c r="H5972" s="1" t="s">
        <v>16334</v>
      </c>
      <c r="J5972" s="1" t="s">
        <v>16336</v>
      </c>
      <c r="L5972" s="1" t="s">
        <v>2066</v>
      </c>
      <c r="M5972" s="1" t="s">
        <v>2067</v>
      </c>
      <c r="N5972" s="1" t="s">
        <v>2068</v>
      </c>
      <c r="P5972" s="1" t="s">
        <v>504</v>
      </c>
      <c r="Q5972" s="3">
        <v>0</v>
      </c>
      <c r="R5972" s="23" t="s">
        <v>6854</v>
      </c>
      <c r="S5972" s="23" t="s">
        <v>6847</v>
      </c>
      <c r="T5972" s="23" t="s">
        <v>4866</v>
      </c>
      <c r="U5972" s="3">
        <v>35</v>
      </c>
      <c r="W5972" s="45" t="str">
        <f>HYPERLINK("http://ictvonline.org/taxonomy/p/taxonomy-history?taxnode_id=201904747","ICTVonline=201904747")</f>
        <v>ICTVonline=201904747</v>
      </c>
      <c r="AA5972" s="1">
        <v>201900000</v>
      </c>
      <c r="AB5972" s="1">
        <v>35</v>
      </c>
    </row>
    <row r="5973" spans="1:28" x14ac:dyDescent="0.2">
      <c r="A5973" s="1">
        <v>15404</v>
      </c>
      <c r="B5973" s="1" t="s">
        <v>16286</v>
      </c>
      <c r="D5973" s="1" t="s">
        <v>16287</v>
      </c>
      <c r="F5973" s="1" t="s">
        <v>16288</v>
      </c>
      <c r="H5973" s="1" t="s">
        <v>16334</v>
      </c>
      <c r="J5973" s="1" t="s">
        <v>16336</v>
      </c>
      <c r="L5973" s="1" t="s">
        <v>2066</v>
      </c>
      <c r="M5973" s="1" t="s">
        <v>2067</v>
      </c>
      <c r="N5973" s="1" t="s">
        <v>2068</v>
      </c>
      <c r="P5973" s="1" t="s">
        <v>505</v>
      </c>
      <c r="Q5973" s="3">
        <v>0</v>
      </c>
      <c r="R5973" s="23" t="s">
        <v>6854</v>
      </c>
      <c r="S5973" s="23" t="s">
        <v>6847</v>
      </c>
      <c r="T5973" s="23" t="s">
        <v>4866</v>
      </c>
      <c r="U5973" s="3">
        <v>35</v>
      </c>
      <c r="W5973" s="45" t="str">
        <f>HYPERLINK("http://ictvonline.org/taxonomy/p/taxonomy-history?taxnode_id=201904748","ICTVonline=201904748")</f>
        <v>ICTVonline=201904748</v>
      </c>
      <c r="AA5973" s="1">
        <v>201900000</v>
      </c>
      <c r="AB5973" s="1">
        <v>35</v>
      </c>
    </row>
    <row r="5974" spans="1:28" x14ac:dyDescent="0.2">
      <c r="A5974" s="1">
        <v>15406</v>
      </c>
      <c r="B5974" s="1" t="s">
        <v>16286</v>
      </c>
      <c r="D5974" s="1" t="s">
        <v>16287</v>
      </c>
      <c r="F5974" s="1" t="s">
        <v>16288</v>
      </c>
      <c r="H5974" s="1" t="s">
        <v>16334</v>
      </c>
      <c r="J5974" s="1" t="s">
        <v>16336</v>
      </c>
      <c r="L5974" s="1" t="s">
        <v>2066</v>
      </c>
      <c r="M5974" s="1" t="s">
        <v>2067</v>
      </c>
      <c r="N5974" s="1" t="s">
        <v>2068</v>
      </c>
      <c r="P5974" s="1" t="s">
        <v>506</v>
      </c>
      <c r="Q5974" s="3">
        <v>0</v>
      </c>
      <c r="R5974" s="23" t="s">
        <v>6854</v>
      </c>
      <c r="S5974" s="23" t="s">
        <v>6847</v>
      </c>
      <c r="T5974" s="23" t="s">
        <v>4866</v>
      </c>
      <c r="U5974" s="3">
        <v>35</v>
      </c>
      <c r="W5974" s="45" t="str">
        <f>HYPERLINK("http://ictvonline.org/taxonomy/p/taxonomy-history?taxnode_id=201904749","ICTVonline=201904749")</f>
        <v>ICTVonline=201904749</v>
      </c>
      <c r="AA5974" s="1">
        <v>201900000</v>
      </c>
      <c r="AB5974" s="1">
        <v>35</v>
      </c>
    </row>
    <row r="5975" spans="1:28" x14ac:dyDescent="0.2">
      <c r="A5975" s="1">
        <v>15410</v>
      </c>
      <c r="B5975" s="1" t="s">
        <v>16286</v>
      </c>
      <c r="D5975" s="1" t="s">
        <v>16287</v>
      </c>
      <c r="F5975" s="1" t="s">
        <v>16288</v>
      </c>
      <c r="H5975" s="1" t="s">
        <v>16334</v>
      </c>
      <c r="J5975" s="1" t="s">
        <v>16336</v>
      </c>
      <c r="L5975" s="1" t="s">
        <v>2066</v>
      </c>
      <c r="M5975" s="1" t="s">
        <v>2067</v>
      </c>
      <c r="N5975" s="1" t="s">
        <v>507</v>
      </c>
      <c r="P5975" s="1" t="s">
        <v>1554</v>
      </c>
      <c r="Q5975" s="3">
        <v>0</v>
      </c>
      <c r="R5975" s="23" t="s">
        <v>6854</v>
      </c>
      <c r="S5975" s="23" t="s">
        <v>6847</v>
      </c>
      <c r="T5975" s="23" t="s">
        <v>4866</v>
      </c>
      <c r="U5975" s="3">
        <v>35</v>
      </c>
      <c r="W5975" s="45" t="str">
        <f>HYPERLINK("http://ictvonline.org/taxonomy/p/taxonomy-history?taxnode_id=201904751","ICTVonline=201904751")</f>
        <v>ICTVonline=201904751</v>
      </c>
      <c r="AA5975" s="1">
        <v>201900000</v>
      </c>
      <c r="AB5975" s="1">
        <v>35</v>
      </c>
    </row>
    <row r="5976" spans="1:28" x14ac:dyDescent="0.2">
      <c r="A5976" s="1">
        <v>15412</v>
      </c>
      <c r="B5976" s="1" t="s">
        <v>16286</v>
      </c>
      <c r="D5976" s="1" t="s">
        <v>16287</v>
      </c>
      <c r="F5976" s="1" t="s">
        <v>16288</v>
      </c>
      <c r="H5976" s="1" t="s">
        <v>16334</v>
      </c>
      <c r="J5976" s="1" t="s">
        <v>16336</v>
      </c>
      <c r="L5976" s="1" t="s">
        <v>2066</v>
      </c>
      <c r="M5976" s="1" t="s">
        <v>2067</v>
      </c>
      <c r="N5976" s="1" t="s">
        <v>507</v>
      </c>
      <c r="P5976" s="1" t="s">
        <v>1555</v>
      </c>
      <c r="Q5976" s="3">
        <v>0</v>
      </c>
      <c r="R5976" s="23" t="s">
        <v>6854</v>
      </c>
      <c r="S5976" s="23" t="s">
        <v>6847</v>
      </c>
      <c r="T5976" s="23" t="s">
        <v>4866</v>
      </c>
      <c r="U5976" s="3">
        <v>35</v>
      </c>
      <c r="W5976" s="45" t="str">
        <f>HYPERLINK("http://ictvonline.org/taxonomy/p/taxonomy-history?taxnode_id=201904752","ICTVonline=201904752")</f>
        <v>ICTVonline=201904752</v>
      </c>
      <c r="AA5976" s="1">
        <v>201900000</v>
      </c>
      <c r="AB5976" s="1">
        <v>35</v>
      </c>
    </row>
    <row r="5977" spans="1:28" x14ac:dyDescent="0.2">
      <c r="A5977" s="1">
        <v>15414</v>
      </c>
      <c r="B5977" s="1" t="s">
        <v>16286</v>
      </c>
      <c r="D5977" s="1" t="s">
        <v>16287</v>
      </c>
      <c r="F5977" s="1" t="s">
        <v>16288</v>
      </c>
      <c r="H5977" s="1" t="s">
        <v>16334</v>
      </c>
      <c r="J5977" s="1" t="s">
        <v>16336</v>
      </c>
      <c r="L5977" s="1" t="s">
        <v>2066</v>
      </c>
      <c r="M5977" s="1" t="s">
        <v>2067</v>
      </c>
      <c r="N5977" s="1" t="s">
        <v>507</v>
      </c>
      <c r="P5977" s="1" t="s">
        <v>1556</v>
      </c>
      <c r="Q5977" s="3">
        <v>1</v>
      </c>
      <c r="R5977" s="23" t="s">
        <v>6854</v>
      </c>
      <c r="S5977" s="23" t="s">
        <v>6847</v>
      </c>
      <c r="T5977" s="23" t="s">
        <v>4866</v>
      </c>
      <c r="U5977" s="3">
        <v>35</v>
      </c>
      <c r="W5977" s="45" t="str">
        <f>HYPERLINK("http://ictvonline.org/taxonomy/p/taxonomy-history?taxnode_id=201904753","ICTVonline=201904753")</f>
        <v>ICTVonline=201904753</v>
      </c>
      <c r="AA5977" s="1">
        <v>201900000</v>
      </c>
      <c r="AB5977" s="1">
        <v>35</v>
      </c>
    </row>
    <row r="5978" spans="1:28" x14ac:dyDescent="0.2">
      <c r="A5978" s="1">
        <v>15418</v>
      </c>
      <c r="B5978" s="1" t="s">
        <v>16286</v>
      </c>
      <c r="D5978" s="1" t="s">
        <v>16287</v>
      </c>
      <c r="F5978" s="1" t="s">
        <v>16288</v>
      </c>
      <c r="H5978" s="1" t="s">
        <v>16334</v>
      </c>
      <c r="J5978" s="1" t="s">
        <v>16336</v>
      </c>
      <c r="L5978" s="1" t="s">
        <v>2066</v>
      </c>
      <c r="M5978" s="1" t="s">
        <v>2067</v>
      </c>
      <c r="N5978" s="1" t="s">
        <v>4766</v>
      </c>
      <c r="P5978" s="1" t="s">
        <v>16346</v>
      </c>
      <c r="Q5978" s="3">
        <v>0</v>
      </c>
      <c r="R5978" s="23" t="s">
        <v>6854</v>
      </c>
      <c r="S5978" s="23" t="s">
        <v>6849</v>
      </c>
      <c r="T5978" s="23" t="s">
        <v>4864</v>
      </c>
      <c r="U5978" s="3">
        <v>35</v>
      </c>
      <c r="V5978" s="3" t="s">
        <v>16338</v>
      </c>
      <c r="W5978" s="45" t="str">
        <f>HYPERLINK("http://ictvonline.org/taxonomy/p/taxonomy-history?taxnode_id=201907143","ICTVonline=201907143")</f>
        <v>ICTVonline=201907143</v>
      </c>
      <c r="X5978" s="1" t="s">
        <v>16347</v>
      </c>
      <c r="Y5978" s="1" t="s">
        <v>16348</v>
      </c>
      <c r="Z5978" s="1" t="s">
        <v>16349</v>
      </c>
      <c r="AA5978" s="1">
        <v>201900000</v>
      </c>
      <c r="AB5978" s="1">
        <v>35</v>
      </c>
    </row>
    <row r="5979" spans="1:28" x14ac:dyDescent="0.2">
      <c r="A5979" s="1">
        <v>15420</v>
      </c>
      <c r="B5979" s="1" t="s">
        <v>16286</v>
      </c>
      <c r="D5979" s="1" t="s">
        <v>16287</v>
      </c>
      <c r="F5979" s="1" t="s">
        <v>16288</v>
      </c>
      <c r="H5979" s="1" t="s">
        <v>16334</v>
      </c>
      <c r="J5979" s="1" t="s">
        <v>16336</v>
      </c>
      <c r="L5979" s="1" t="s">
        <v>2066</v>
      </c>
      <c r="M5979" s="1" t="s">
        <v>2067</v>
      </c>
      <c r="N5979" s="1" t="s">
        <v>4766</v>
      </c>
      <c r="P5979" s="1" t="s">
        <v>4767</v>
      </c>
      <c r="Q5979" s="3">
        <v>1</v>
      </c>
      <c r="R5979" s="23" t="s">
        <v>6854</v>
      </c>
      <c r="S5979" s="23" t="s">
        <v>6847</v>
      </c>
      <c r="T5979" s="23" t="s">
        <v>4866</v>
      </c>
      <c r="U5979" s="3">
        <v>35</v>
      </c>
      <c r="W5979" s="45" t="str">
        <f>HYPERLINK("http://ictvonline.org/taxonomy/p/taxonomy-history?taxnode_id=201904755","ICTVonline=201904755")</f>
        <v>ICTVonline=201904755</v>
      </c>
      <c r="Y5979" s="1" t="s">
        <v>16350</v>
      </c>
      <c r="Z5979" s="1" t="s">
        <v>4767</v>
      </c>
      <c r="AA5979" s="1">
        <v>201900000</v>
      </c>
      <c r="AB5979" s="1">
        <v>35</v>
      </c>
    </row>
    <row r="5980" spans="1:28" x14ac:dyDescent="0.2">
      <c r="A5980" s="1">
        <v>15424</v>
      </c>
      <c r="B5980" s="1" t="s">
        <v>16286</v>
      </c>
      <c r="D5980" s="1" t="s">
        <v>16287</v>
      </c>
      <c r="F5980" s="1" t="s">
        <v>16288</v>
      </c>
      <c r="H5980" s="1" t="s">
        <v>16334</v>
      </c>
      <c r="J5980" s="1" t="s">
        <v>16336</v>
      </c>
      <c r="L5980" s="1" t="s">
        <v>2066</v>
      </c>
      <c r="M5980" s="1" t="s">
        <v>2067</v>
      </c>
      <c r="N5980" s="1" t="s">
        <v>1557</v>
      </c>
      <c r="P5980" s="1" t="s">
        <v>198</v>
      </c>
      <c r="Q5980" s="3">
        <v>1</v>
      </c>
      <c r="R5980" s="23" t="s">
        <v>6854</v>
      </c>
      <c r="S5980" s="23" t="s">
        <v>6847</v>
      </c>
      <c r="T5980" s="23" t="s">
        <v>4866</v>
      </c>
      <c r="U5980" s="3">
        <v>35</v>
      </c>
      <c r="W5980" s="45" t="str">
        <f>HYPERLINK("http://ictvonline.org/taxonomy/p/taxonomy-history?taxnode_id=201904757","ICTVonline=201904757")</f>
        <v>ICTVonline=201904757</v>
      </c>
      <c r="AA5980" s="1">
        <v>201900000</v>
      </c>
      <c r="AB5980" s="1">
        <v>35</v>
      </c>
    </row>
    <row r="5981" spans="1:28" x14ac:dyDescent="0.2">
      <c r="A5981" s="1">
        <v>15428</v>
      </c>
      <c r="B5981" s="1" t="s">
        <v>16286</v>
      </c>
      <c r="D5981" s="1" t="s">
        <v>16287</v>
      </c>
      <c r="F5981" s="1" t="s">
        <v>16288</v>
      </c>
      <c r="H5981" s="1" t="s">
        <v>16334</v>
      </c>
      <c r="J5981" s="1" t="s">
        <v>16336</v>
      </c>
      <c r="L5981" s="1" t="s">
        <v>2066</v>
      </c>
      <c r="M5981" s="1" t="s">
        <v>2067</v>
      </c>
      <c r="N5981" s="1" t="s">
        <v>199</v>
      </c>
      <c r="P5981" s="1" t="s">
        <v>200</v>
      </c>
      <c r="Q5981" s="3">
        <v>1</v>
      </c>
      <c r="R5981" s="23" t="s">
        <v>6854</v>
      </c>
      <c r="S5981" s="23" t="s">
        <v>6847</v>
      </c>
      <c r="T5981" s="23" t="s">
        <v>4866</v>
      </c>
      <c r="U5981" s="3">
        <v>35</v>
      </c>
      <c r="W5981" s="45" t="str">
        <f>HYPERLINK("http://ictvonline.org/taxonomy/p/taxonomy-history?taxnode_id=201904759","ICTVonline=201904759")</f>
        <v>ICTVonline=201904759</v>
      </c>
      <c r="AA5981" s="1">
        <v>201900000</v>
      </c>
      <c r="AB5981" s="1">
        <v>35</v>
      </c>
    </row>
    <row r="5982" spans="1:28" x14ac:dyDescent="0.2">
      <c r="A5982" s="1">
        <v>15432</v>
      </c>
      <c r="B5982" s="1" t="s">
        <v>16286</v>
      </c>
      <c r="D5982" s="1" t="s">
        <v>16287</v>
      </c>
      <c r="F5982" s="1" t="s">
        <v>16288</v>
      </c>
      <c r="H5982" s="1" t="s">
        <v>16334</v>
      </c>
      <c r="J5982" s="1" t="s">
        <v>16336</v>
      </c>
      <c r="L5982" s="1" t="s">
        <v>2066</v>
      </c>
      <c r="M5982" s="1" t="s">
        <v>2067</v>
      </c>
      <c r="N5982" s="1" t="s">
        <v>494</v>
      </c>
      <c r="P5982" s="1" t="s">
        <v>495</v>
      </c>
      <c r="Q5982" s="3">
        <v>0</v>
      </c>
      <c r="R5982" s="23" t="s">
        <v>6854</v>
      </c>
      <c r="S5982" s="23" t="s">
        <v>6847</v>
      </c>
      <c r="T5982" s="23" t="s">
        <v>4866</v>
      </c>
      <c r="U5982" s="3">
        <v>35</v>
      </c>
      <c r="W5982" s="45" t="str">
        <f>HYPERLINK("http://ictvonline.org/taxonomy/p/taxonomy-history?taxnode_id=201904761","ICTVonline=201904761")</f>
        <v>ICTVonline=201904761</v>
      </c>
      <c r="AA5982" s="1">
        <v>201900000</v>
      </c>
      <c r="AB5982" s="1">
        <v>35</v>
      </c>
    </row>
    <row r="5983" spans="1:28" x14ac:dyDescent="0.2">
      <c r="A5983" s="1">
        <v>15434</v>
      </c>
      <c r="B5983" s="1" t="s">
        <v>16286</v>
      </c>
      <c r="D5983" s="1" t="s">
        <v>16287</v>
      </c>
      <c r="F5983" s="1" t="s">
        <v>16288</v>
      </c>
      <c r="H5983" s="1" t="s">
        <v>16334</v>
      </c>
      <c r="J5983" s="1" t="s">
        <v>16336</v>
      </c>
      <c r="L5983" s="1" t="s">
        <v>2066</v>
      </c>
      <c r="M5983" s="1" t="s">
        <v>2067</v>
      </c>
      <c r="N5983" s="1" t="s">
        <v>494</v>
      </c>
      <c r="P5983" s="1" t="s">
        <v>496</v>
      </c>
      <c r="Q5983" s="3">
        <v>1</v>
      </c>
      <c r="R5983" s="23" t="s">
        <v>6854</v>
      </c>
      <c r="S5983" s="23" t="s">
        <v>6847</v>
      </c>
      <c r="T5983" s="23" t="s">
        <v>4866</v>
      </c>
      <c r="U5983" s="3">
        <v>35</v>
      </c>
      <c r="W5983" s="45" t="str">
        <f>HYPERLINK("http://ictvonline.org/taxonomy/p/taxonomy-history?taxnode_id=201904762","ICTVonline=201904762")</f>
        <v>ICTVonline=201904762</v>
      </c>
      <c r="AA5983" s="1">
        <v>201900000</v>
      </c>
      <c r="AB5983" s="1">
        <v>35</v>
      </c>
    </row>
    <row r="5984" spans="1:28" x14ac:dyDescent="0.2">
      <c r="A5984" s="1">
        <v>15436</v>
      </c>
      <c r="B5984" s="1" t="s">
        <v>16286</v>
      </c>
      <c r="D5984" s="1" t="s">
        <v>16287</v>
      </c>
      <c r="F5984" s="1" t="s">
        <v>16288</v>
      </c>
      <c r="H5984" s="1" t="s">
        <v>16334</v>
      </c>
      <c r="J5984" s="1" t="s">
        <v>16336</v>
      </c>
      <c r="L5984" s="1" t="s">
        <v>2066</v>
      </c>
      <c r="M5984" s="1" t="s">
        <v>2067</v>
      </c>
      <c r="N5984" s="1" t="s">
        <v>494</v>
      </c>
      <c r="P5984" s="1" t="s">
        <v>489</v>
      </c>
      <c r="Q5984" s="3">
        <v>0</v>
      </c>
      <c r="R5984" s="23" t="s">
        <v>6854</v>
      </c>
      <c r="S5984" s="23" t="s">
        <v>6847</v>
      </c>
      <c r="T5984" s="23" t="s">
        <v>4866</v>
      </c>
      <c r="U5984" s="3">
        <v>35</v>
      </c>
      <c r="W5984" s="45" t="str">
        <f>HYPERLINK("http://ictvonline.org/taxonomy/p/taxonomy-history?taxnode_id=201904763","ICTVonline=201904763")</f>
        <v>ICTVonline=201904763</v>
      </c>
      <c r="AA5984" s="1">
        <v>201900000</v>
      </c>
      <c r="AB5984" s="1">
        <v>35</v>
      </c>
    </row>
    <row r="5985" spans="1:28" x14ac:dyDescent="0.2">
      <c r="A5985" s="1">
        <v>15438</v>
      </c>
      <c r="B5985" s="1" t="s">
        <v>16286</v>
      </c>
      <c r="D5985" s="1" t="s">
        <v>16287</v>
      </c>
      <c r="F5985" s="1" t="s">
        <v>16288</v>
      </c>
      <c r="H5985" s="1" t="s">
        <v>16334</v>
      </c>
      <c r="J5985" s="1" t="s">
        <v>16336</v>
      </c>
      <c r="L5985" s="1" t="s">
        <v>2066</v>
      </c>
      <c r="M5985" s="1" t="s">
        <v>2067</v>
      </c>
      <c r="N5985" s="1" t="s">
        <v>494</v>
      </c>
      <c r="P5985" s="1" t="s">
        <v>490</v>
      </c>
      <c r="Q5985" s="3">
        <v>0</v>
      </c>
      <c r="R5985" s="23" t="s">
        <v>6854</v>
      </c>
      <c r="S5985" s="23" t="s">
        <v>6847</v>
      </c>
      <c r="T5985" s="23" t="s">
        <v>4866</v>
      </c>
      <c r="U5985" s="3">
        <v>35</v>
      </c>
      <c r="W5985" s="45" t="str">
        <f>HYPERLINK("http://ictvonline.org/taxonomy/p/taxonomy-history?taxnode_id=201904764","ICTVonline=201904764")</f>
        <v>ICTVonline=201904764</v>
      </c>
      <c r="AA5985" s="1">
        <v>201900000</v>
      </c>
      <c r="AB5985" s="1">
        <v>35</v>
      </c>
    </row>
    <row r="5986" spans="1:28" x14ac:dyDescent="0.2">
      <c r="A5986" s="1">
        <v>15442</v>
      </c>
      <c r="B5986" s="1" t="s">
        <v>16286</v>
      </c>
      <c r="D5986" s="1" t="s">
        <v>16287</v>
      </c>
      <c r="F5986" s="1" t="s">
        <v>16288</v>
      </c>
      <c r="H5986" s="1" t="s">
        <v>16334</v>
      </c>
      <c r="J5986" s="1" t="s">
        <v>16336</v>
      </c>
      <c r="L5986" s="1" t="s">
        <v>2066</v>
      </c>
      <c r="M5986" s="1" t="s">
        <v>2067</v>
      </c>
      <c r="N5986" s="1" t="s">
        <v>16351</v>
      </c>
      <c r="P5986" s="1" t="s">
        <v>16352</v>
      </c>
      <c r="Q5986" s="3">
        <v>1</v>
      </c>
      <c r="R5986" s="23" t="s">
        <v>6854</v>
      </c>
      <c r="S5986" s="23" t="s">
        <v>6849</v>
      </c>
      <c r="T5986" s="23" t="s">
        <v>4864</v>
      </c>
      <c r="U5986" s="3">
        <v>35</v>
      </c>
      <c r="V5986" s="3" t="s">
        <v>16338</v>
      </c>
      <c r="W5986" s="45" t="str">
        <f>HYPERLINK("http://ictvonline.org/taxonomy/p/taxonomy-history?taxnode_id=201907145","ICTVonline=201907145")</f>
        <v>ICTVonline=201907145</v>
      </c>
      <c r="X5986" s="1" t="s">
        <v>16353</v>
      </c>
      <c r="Y5986" s="1" t="s">
        <v>16354</v>
      </c>
      <c r="Z5986" s="1" t="s">
        <v>16355</v>
      </c>
      <c r="AA5986" s="1">
        <v>201900000</v>
      </c>
      <c r="AB5986" s="1">
        <v>35</v>
      </c>
    </row>
    <row r="5987" spans="1:28" x14ac:dyDescent="0.2">
      <c r="A5987" s="1">
        <v>15444</v>
      </c>
      <c r="B5987" s="1" t="s">
        <v>16286</v>
      </c>
      <c r="D5987" s="1" t="s">
        <v>16287</v>
      </c>
      <c r="F5987" s="1" t="s">
        <v>16288</v>
      </c>
      <c r="H5987" s="1" t="s">
        <v>16334</v>
      </c>
      <c r="J5987" s="1" t="s">
        <v>16336</v>
      </c>
      <c r="L5987" s="1" t="s">
        <v>2066</v>
      </c>
      <c r="M5987" s="1" t="s">
        <v>2067</v>
      </c>
      <c r="N5987" s="1" t="s">
        <v>16351</v>
      </c>
      <c r="P5987" s="1" t="s">
        <v>16356</v>
      </c>
      <c r="Q5987" s="3">
        <v>0</v>
      </c>
      <c r="R5987" s="23" t="s">
        <v>6854</v>
      </c>
      <c r="S5987" s="23" t="s">
        <v>6849</v>
      </c>
      <c r="T5987" s="23" t="s">
        <v>4864</v>
      </c>
      <c r="U5987" s="3">
        <v>35</v>
      </c>
      <c r="V5987" s="3" t="s">
        <v>16338</v>
      </c>
      <c r="W5987" s="45" t="str">
        <f>HYPERLINK("http://ictvonline.org/taxonomy/p/taxonomy-history?taxnode_id=201907146","ICTVonline=201907146")</f>
        <v>ICTVonline=201907146</v>
      </c>
      <c r="X5987" s="1" t="s">
        <v>16357</v>
      </c>
      <c r="Y5987" s="1" t="s">
        <v>16358</v>
      </c>
      <c r="Z5987" s="1" t="s">
        <v>16359</v>
      </c>
      <c r="AA5987" s="1">
        <v>201900000</v>
      </c>
      <c r="AB5987" s="1">
        <v>35</v>
      </c>
    </row>
    <row r="5988" spans="1:28" x14ac:dyDescent="0.2">
      <c r="A5988" s="1">
        <v>15448</v>
      </c>
      <c r="B5988" s="1" t="s">
        <v>16286</v>
      </c>
      <c r="D5988" s="1" t="s">
        <v>16287</v>
      </c>
      <c r="F5988" s="1" t="s">
        <v>16288</v>
      </c>
      <c r="H5988" s="1" t="s">
        <v>16334</v>
      </c>
      <c r="J5988" s="1" t="s">
        <v>16336</v>
      </c>
      <c r="L5988" s="1" t="s">
        <v>2066</v>
      </c>
      <c r="M5988" s="1" t="s">
        <v>2067</v>
      </c>
      <c r="N5988" s="1" t="s">
        <v>491</v>
      </c>
      <c r="P5988" s="1" t="s">
        <v>1915</v>
      </c>
      <c r="Q5988" s="3">
        <v>1</v>
      </c>
      <c r="R5988" s="23" t="s">
        <v>6854</v>
      </c>
      <c r="S5988" s="23" t="s">
        <v>6847</v>
      </c>
      <c r="T5988" s="23" t="s">
        <v>4866</v>
      </c>
      <c r="U5988" s="3">
        <v>35</v>
      </c>
      <c r="W5988" s="45" t="str">
        <f>HYPERLINK("http://ictvonline.org/taxonomy/p/taxonomy-history?taxnode_id=201904766","ICTVonline=201904766")</f>
        <v>ICTVonline=201904766</v>
      </c>
      <c r="AA5988" s="1">
        <v>201900000</v>
      </c>
      <c r="AB5988" s="1">
        <v>35</v>
      </c>
    </row>
    <row r="5989" spans="1:28" x14ac:dyDescent="0.2">
      <c r="A5989" s="1">
        <v>15452</v>
      </c>
      <c r="B5989" s="1" t="s">
        <v>16286</v>
      </c>
      <c r="D5989" s="1" t="s">
        <v>16287</v>
      </c>
      <c r="F5989" s="1" t="s">
        <v>16288</v>
      </c>
      <c r="H5989" s="1" t="s">
        <v>16334</v>
      </c>
      <c r="J5989" s="1" t="s">
        <v>16336</v>
      </c>
      <c r="L5989" s="1" t="s">
        <v>2066</v>
      </c>
      <c r="M5989" s="1" t="s">
        <v>2067</v>
      </c>
      <c r="N5989" s="1" t="s">
        <v>16360</v>
      </c>
      <c r="P5989" s="1" t="s">
        <v>16361</v>
      </c>
      <c r="Q5989" s="3">
        <v>1</v>
      </c>
      <c r="R5989" s="23" t="s">
        <v>6854</v>
      </c>
      <c r="S5989" s="23" t="s">
        <v>6849</v>
      </c>
      <c r="T5989" s="23" t="s">
        <v>4864</v>
      </c>
      <c r="U5989" s="3">
        <v>35</v>
      </c>
      <c r="V5989" s="3" t="s">
        <v>16338</v>
      </c>
      <c r="W5989" s="45" t="str">
        <f>HYPERLINK("http://ictvonline.org/taxonomy/p/taxonomy-history?taxnode_id=201907148","ICTVonline=201907148")</f>
        <v>ICTVonline=201907148</v>
      </c>
      <c r="X5989" s="1" t="s">
        <v>16362</v>
      </c>
      <c r="Y5989" s="1" t="s">
        <v>16363</v>
      </c>
      <c r="Z5989" s="1" t="s">
        <v>16364</v>
      </c>
      <c r="AA5989" s="1">
        <v>201900000</v>
      </c>
      <c r="AB5989" s="1">
        <v>35</v>
      </c>
    </row>
    <row r="5990" spans="1:28" x14ac:dyDescent="0.2">
      <c r="A5990" s="1">
        <v>15456</v>
      </c>
      <c r="B5990" s="1" t="s">
        <v>16286</v>
      </c>
      <c r="D5990" s="1" t="s">
        <v>16287</v>
      </c>
      <c r="F5990" s="1" t="s">
        <v>16288</v>
      </c>
      <c r="H5990" s="1" t="s">
        <v>16334</v>
      </c>
      <c r="J5990" s="1" t="s">
        <v>16336</v>
      </c>
      <c r="L5990" s="1" t="s">
        <v>2066</v>
      </c>
      <c r="M5990" s="1" t="s">
        <v>2067</v>
      </c>
      <c r="N5990" s="1" t="s">
        <v>1213</v>
      </c>
      <c r="P5990" s="1" t="s">
        <v>16365</v>
      </c>
      <c r="Q5990" s="3">
        <v>0</v>
      </c>
      <c r="R5990" s="23" t="s">
        <v>6854</v>
      </c>
      <c r="S5990" s="23" t="s">
        <v>6849</v>
      </c>
      <c r="T5990" s="23" t="s">
        <v>4864</v>
      </c>
      <c r="U5990" s="3">
        <v>35</v>
      </c>
      <c r="V5990" s="3" t="s">
        <v>16338</v>
      </c>
      <c r="W5990" s="45" t="str">
        <f>HYPERLINK("http://ictvonline.org/taxonomy/p/taxonomy-history?taxnode_id=201907149","ICTVonline=201907149")</f>
        <v>ICTVonline=201907149</v>
      </c>
      <c r="X5990" s="1" t="s">
        <v>16366</v>
      </c>
      <c r="Y5990" s="1" t="s">
        <v>16367</v>
      </c>
      <c r="AA5990" s="1">
        <v>201900000</v>
      </c>
      <c r="AB5990" s="1">
        <v>35</v>
      </c>
    </row>
    <row r="5991" spans="1:28" x14ac:dyDescent="0.2">
      <c r="A5991" s="1">
        <v>15458</v>
      </c>
      <c r="B5991" s="1" t="s">
        <v>16286</v>
      </c>
      <c r="D5991" s="1" t="s">
        <v>16287</v>
      </c>
      <c r="F5991" s="1" t="s">
        <v>16288</v>
      </c>
      <c r="H5991" s="1" t="s">
        <v>16334</v>
      </c>
      <c r="J5991" s="1" t="s">
        <v>16336</v>
      </c>
      <c r="L5991" s="1" t="s">
        <v>2066</v>
      </c>
      <c r="M5991" s="1" t="s">
        <v>2067</v>
      </c>
      <c r="N5991" s="1" t="s">
        <v>1213</v>
      </c>
      <c r="P5991" s="1" t="s">
        <v>16368</v>
      </c>
      <c r="Q5991" s="3">
        <v>0</v>
      </c>
      <c r="R5991" s="23" t="s">
        <v>6854</v>
      </c>
      <c r="S5991" s="23" t="s">
        <v>6849</v>
      </c>
      <c r="T5991" s="23" t="s">
        <v>4864</v>
      </c>
      <c r="U5991" s="3">
        <v>35</v>
      </c>
      <c r="V5991" s="3" t="s">
        <v>16338</v>
      </c>
      <c r="W5991" s="45" t="str">
        <f>HYPERLINK("http://ictvonline.org/taxonomy/p/taxonomy-history?taxnode_id=201907150","ICTVonline=201907150")</f>
        <v>ICTVonline=201907150</v>
      </c>
      <c r="X5991" s="1" t="s">
        <v>16369</v>
      </c>
      <c r="Y5991" s="1" t="s">
        <v>16370</v>
      </c>
      <c r="Z5991" s="1" t="s">
        <v>16371</v>
      </c>
      <c r="AA5991" s="1">
        <v>201900000</v>
      </c>
      <c r="AB5991" s="1">
        <v>35</v>
      </c>
    </row>
    <row r="5992" spans="1:28" x14ac:dyDescent="0.2">
      <c r="A5992" s="1">
        <v>15460</v>
      </c>
      <c r="B5992" s="1" t="s">
        <v>16286</v>
      </c>
      <c r="D5992" s="1" t="s">
        <v>16287</v>
      </c>
      <c r="F5992" s="1" t="s">
        <v>16288</v>
      </c>
      <c r="H5992" s="1" t="s">
        <v>16334</v>
      </c>
      <c r="J5992" s="1" t="s">
        <v>16336</v>
      </c>
      <c r="L5992" s="1" t="s">
        <v>2066</v>
      </c>
      <c r="M5992" s="1" t="s">
        <v>2067</v>
      </c>
      <c r="N5992" s="1" t="s">
        <v>1213</v>
      </c>
      <c r="P5992" s="1" t="s">
        <v>1214</v>
      </c>
      <c r="Q5992" s="3">
        <v>0</v>
      </c>
      <c r="R5992" s="23" t="s">
        <v>6854</v>
      </c>
      <c r="S5992" s="23" t="s">
        <v>6847</v>
      </c>
      <c r="T5992" s="23" t="s">
        <v>4866</v>
      </c>
      <c r="U5992" s="3">
        <v>35</v>
      </c>
      <c r="W5992" s="45" t="str">
        <f>HYPERLINK("http://ictvonline.org/taxonomy/p/taxonomy-history?taxnode_id=201904768","ICTVonline=201904768")</f>
        <v>ICTVonline=201904768</v>
      </c>
      <c r="AA5992" s="1">
        <v>201900000</v>
      </c>
      <c r="AB5992" s="1">
        <v>35</v>
      </c>
    </row>
    <row r="5993" spans="1:28" x14ac:dyDescent="0.2">
      <c r="A5993" s="1">
        <v>15462</v>
      </c>
      <c r="B5993" s="1" t="s">
        <v>16286</v>
      </c>
      <c r="D5993" s="1" t="s">
        <v>16287</v>
      </c>
      <c r="F5993" s="1" t="s">
        <v>16288</v>
      </c>
      <c r="H5993" s="1" t="s">
        <v>16334</v>
      </c>
      <c r="J5993" s="1" t="s">
        <v>16336</v>
      </c>
      <c r="L5993" s="1" t="s">
        <v>2066</v>
      </c>
      <c r="M5993" s="1" t="s">
        <v>2067</v>
      </c>
      <c r="N5993" s="1" t="s">
        <v>1213</v>
      </c>
      <c r="P5993" s="1" t="s">
        <v>1215</v>
      </c>
      <c r="Q5993" s="3">
        <v>0</v>
      </c>
      <c r="R5993" s="23" t="s">
        <v>6854</v>
      </c>
      <c r="S5993" s="23" t="s">
        <v>6847</v>
      </c>
      <c r="T5993" s="23" t="s">
        <v>4866</v>
      </c>
      <c r="U5993" s="3">
        <v>35</v>
      </c>
      <c r="W5993" s="45" t="str">
        <f>HYPERLINK("http://ictvonline.org/taxonomy/p/taxonomy-history?taxnode_id=201904769","ICTVonline=201904769")</f>
        <v>ICTVonline=201904769</v>
      </c>
      <c r="AA5993" s="1">
        <v>201900000</v>
      </c>
      <c r="AB5993" s="1">
        <v>35</v>
      </c>
    </row>
    <row r="5994" spans="1:28" x14ac:dyDescent="0.2">
      <c r="A5994" s="1">
        <v>15464</v>
      </c>
      <c r="B5994" s="1" t="s">
        <v>16286</v>
      </c>
      <c r="D5994" s="1" t="s">
        <v>16287</v>
      </c>
      <c r="F5994" s="1" t="s">
        <v>16288</v>
      </c>
      <c r="H5994" s="1" t="s">
        <v>16334</v>
      </c>
      <c r="J5994" s="1" t="s">
        <v>16336</v>
      </c>
      <c r="L5994" s="1" t="s">
        <v>2066</v>
      </c>
      <c r="M5994" s="1" t="s">
        <v>2067</v>
      </c>
      <c r="N5994" s="1" t="s">
        <v>1213</v>
      </c>
      <c r="P5994" s="1" t="s">
        <v>1216</v>
      </c>
      <c r="Q5994" s="3">
        <v>0</v>
      </c>
      <c r="R5994" s="23" t="s">
        <v>6854</v>
      </c>
      <c r="S5994" s="23" t="s">
        <v>6847</v>
      </c>
      <c r="T5994" s="23" t="s">
        <v>4866</v>
      </c>
      <c r="U5994" s="3">
        <v>35</v>
      </c>
      <c r="W5994" s="45" t="str">
        <f>HYPERLINK("http://ictvonline.org/taxonomy/p/taxonomy-history?taxnode_id=201904770","ICTVonline=201904770")</f>
        <v>ICTVonline=201904770</v>
      </c>
      <c r="AA5994" s="1">
        <v>201900000</v>
      </c>
      <c r="AB5994" s="1">
        <v>35</v>
      </c>
    </row>
    <row r="5995" spans="1:28" x14ac:dyDescent="0.2">
      <c r="A5995" s="1">
        <v>15466</v>
      </c>
      <c r="B5995" s="1" t="s">
        <v>16286</v>
      </c>
      <c r="D5995" s="1" t="s">
        <v>16287</v>
      </c>
      <c r="F5995" s="1" t="s">
        <v>16288</v>
      </c>
      <c r="H5995" s="1" t="s">
        <v>16334</v>
      </c>
      <c r="J5995" s="1" t="s">
        <v>16336</v>
      </c>
      <c r="L5995" s="1" t="s">
        <v>2066</v>
      </c>
      <c r="M5995" s="1" t="s">
        <v>2067</v>
      </c>
      <c r="N5995" s="1" t="s">
        <v>1213</v>
      </c>
      <c r="P5995" s="1" t="s">
        <v>1217</v>
      </c>
      <c r="Q5995" s="3">
        <v>0</v>
      </c>
      <c r="R5995" s="23" t="s">
        <v>6854</v>
      </c>
      <c r="S5995" s="23" t="s">
        <v>6847</v>
      </c>
      <c r="T5995" s="23" t="s">
        <v>4866</v>
      </c>
      <c r="U5995" s="3">
        <v>35</v>
      </c>
      <c r="W5995" s="45" t="str">
        <f>HYPERLINK("http://ictvonline.org/taxonomy/p/taxonomy-history?taxnode_id=201904771","ICTVonline=201904771")</f>
        <v>ICTVonline=201904771</v>
      </c>
      <c r="AA5995" s="1">
        <v>201900000</v>
      </c>
      <c r="AB5995" s="1">
        <v>35</v>
      </c>
    </row>
    <row r="5996" spans="1:28" x14ac:dyDescent="0.2">
      <c r="A5996" s="1">
        <v>15468</v>
      </c>
      <c r="B5996" s="1" t="s">
        <v>16286</v>
      </c>
      <c r="D5996" s="1" t="s">
        <v>16287</v>
      </c>
      <c r="F5996" s="1" t="s">
        <v>16288</v>
      </c>
      <c r="H5996" s="1" t="s">
        <v>16334</v>
      </c>
      <c r="J5996" s="1" t="s">
        <v>16336</v>
      </c>
      <c r="L5996" s="1" t="s">
        <v>2066</v>
      </c>
      <c r="M5996" s="1" t="s">
        <v>2067</v>
      </c>
      <c r="N5996" s="1" t="s">
        <v>1213</v>
      </c>
      <c r="P5996" s="1" t="s">
        <v>1218</v>
      </c>
      <c r="Q5996" s="3">
        <v>0</v>
      </c>
      <c r="R5996" s="23" t="s">
        <v>6854</v>
      </c>
      <c r="S5996" s="23" t="s">
        <v>6847</v>
      </c>
      <c r="T5996" s="23" t="s">
        <v>4866</v>
      </c>
      <c r="U5996" s="3">
        <v>35</v>
      </c>
      <c r="W5996" s="45" t="str">
        <f>HYPERLINK("http://ictvonline.org/taxonomy/p/taxonomy-history?taxnode_id=201904772","ICTVonline=201904772")</f>
        <v>ICTVonline=201904772</v>
      </c>
      <c r="AA5996" s="1">
        <v>201900000</v>
      </c>
      <c r="AB5996" s="1">
        <v>35</v>
      </c>
    </row>
    <row r="5997" spans="1:28" x14ac:dyDescent="0.2">
      <c r="A5997" s="1">
        <v>15470</v>
      </c>
      <c r="B5997" s="1" t="s">
        <v>16286</v>
      </c>
      <c r="D5997" s="1" t="s">
        <v>16287</v>
      </c>
      <c r="F5997" s="1" t="s">
        <v>16288</v>
      </c>
      <c r="H5997" s="1" t="s">
        <v>16334</v>
      </c>
      <c r="J5997" s="1" t="s">
        <v>16336</v>
      </c>
      <c r="L5997" s="1" t="s">
        <v>2066</v>
      </c>
      <c r="M5997" s="1" t="s">
        <v>2067</v>
      </c>
      <c r="N5997" s="1" t="s">
        <v>1213</v>
      </c>
      <c r="P5997" s="1" t="s">
        <v>201</v>
      </c>
      <c r="Q5997" s="3">
        <v>0</v>
      </c>
      <c r="R5997" s="23" t="s">
        <v>6854</v>
      </c>
      <c r="S5997" s="23" t="s">
        <v>6847</v>
      </c>
      <c r="T5997" s="23" t="s">
        <v>4866</v>
      </c>
      <c r="U5997" s="3">
        <v>35</v>
      </c>
      <c r="W5997" s="45" t="str">
        <f>HYPERLINK("http://ictvonline.org/taxonomy/p/taxonomy-history?taxnode_id=201904773","ICTVonline=201904773")</f>
        <v>ICTVonline=201904773</v>
      </c>
      <c r="AA5997" s="1">
        <v>201900000</v>
      </c>
      <c r="AB5997" s="1">
        <v>35</v>
      </c>
    </row>
    <row r="5998" spans="1:28" x14ac:dyDescent="0.2">
      <c r="A5998" s="1">
        <v>15472</v>
      </c>
      <c r="B5998" s="1" t="s">
        <v>16286</v>
      </c>
      <c r="D5998" s="1" t="s">
        <v>16287</v>
      </c>
      <c r="F5998" s="1" t="s">
        <v>16288</v>
      </c>
      <c r="H5998" s="1" t="s">
        <v>16334</v>
      </c>
      <c r="J5998" s="1" t="s">
        <v>16336</v>
      </c>
      <c r="L5998" s="1" t="s">
        <v>2066</v>
      </c>
      <c r="M5998" s="1" t="s">
        <v>2067</v>
      </c>
      <c r="N5998" s="1" t="s">
        <v>1213</v>
      </c>
      <c r="P5998" s="1" t="s">
        <v>1219</v>
      </c>
      <c r="Q5998" s="3">
        <v>0</v>
      </c>
      <c r="R5998" s="23" t="s">
        <v>6854</v>
      </c>
      <c r="S5998" s="23" t="s">
        <v>6847</v>
      </c>
      <c r="T5998" s="23" t="s">
        <v>4866</v>
      </c>
      <c r="U5998" s="3">
        <v>35</v>
      </c>
      <c r="W5998" s="45" t="str">
        <f>HYPERLINK("http://ictvonline.org/taxonomy/p/taxonomy-history?taxnode_id=201904774","ICTVonline=201904774")</f>
        <v>ICTVonline=201904774</v>
      </c>
      <c r="AA5998" s="1">
        <v>201900000</v>
      </c>
      <c r="AB5998" s="1">
        <v>35</v>
      </c>
    </row>
    <row r="5999" spans="1:28" x14ac:dyDescent="0.2">
      <c r="A5999" s="1">
        <v>15474</v>
      </c>
      <c r="B5999" s="1" t="s">
        <v>16286</v>
      </c>
      <c r="D5999" s="1" t="s">
        <v>16287</v>
      </c>
      <c r="F5999" s="1" t="s">
        <v>16288</v>
      </c>
      <c r="H5999" s="1" t="s">
        <v>16334</v>
      </c>
      <c r="J5999" s="1" t="s">
        <v>16336</v>
      </c>
      <c r="L5999" s="1" t="s">
        <v>2066</v>
      </c>
      <c r="M5999" s="1" t="s">
        <v>2067</v>
      </c>
      <c r="N5999" s="1" t="s">
        <v>1213</v>
      </c>
      <c r="P5999" s="1" t="s">
        <v>1220</v>
      </c>
      <c r="Q5999" s="3">
        <v>1</v>
      </c>
      <c r="R5999" s="23" t="s">
        <v>6854</v>
      </c>
      <c r="S5999" s="23" t="s">
        <v>6847</v>
      </c>
      <c r="T5999" s="23" t="s">
        <v>4866</v>
      </c>
      <c r="U5999" s="3">
        <v>35</v>
      </c>
      <c r="W5999" s="45" t="str">
        <f>HYPERLINK("http://ictvonline.org/taxonomy/p/taxonomy-history?taxnode_id=201904775","ICTVonline=201904775")</f>
        <v>ICTVonline=201904775</v>
      </c>
      <c r="AA5999" s="1">
        <v>201900000</v>
      </c>
      <c r="AB5999" s="1">
        <v>35</v>
      </c>
    </row>
    <row r="6000" spans="1:28" x14ac:dyDescent="0.2">
      <c r="A6000" s="1">
        <v>15476</v>
      </c>
      <c r="B6000" s="1" t="s">
        <v>16286</v>
      </c>
      <c r="D6000" s="1" t="s">
        <v>16287</v>
      </c>
      <c r="F6000" s="1" t="s">
        <v>16288</v>
      </c>
      <c r="H6000" s="1" t="s">
        <v>16334</v>
      </c>
      <c r="J6000" s="1" t="s">
        <v>16336</v>
      </c>
      <c r="L6000" s="1" t="s">
        <v>2066</v>
      </c>
      <c r="M6000" s="1" t="s">
        <v>2067</v>
      </c>
      <c r="N6000" s="1" t="s">
        <v>1213</v>
      </c>
      <c r="P6000" s="1" t="s">
        <v>1221</v>
      </c>
      <c r="Q6000" s="3">
        <v>0</v>
      </c>
      <c r="R6000" s="23" t="s">
        <v>6854</v>
      </c>
      <c r="S6000" s="23" t="s">
        <v>6847</v>
      </c>
      <c r="T6000" s="23" t="s">
        <v>4866</v>
      </c>
      <c r="U6000" s="3">
        <v>35</v>
      </c>
      <c r="W6000" s="45" t="str">
        <f>HYPERLINK("http://ictvonline.org/taxonomy/p/taxonomy-history?taxnode_id=201904776","ICTVonline=201904776")</f>
        <v>ICTVonline=201904776</v>
      </c>
      <c r="AA6000" s="1">
        <v>201900000</v>
      </c>
      <c r="AB6000" s="1">
        <v>35</v>
      </c>
    </row>
    <row r="6001" spans="1:28" x14ac:dyDescent="0.2">
      <c r="A6001" s="1">
        <v>15478</v>
      </c>
      <c r="B6001" s="1" t="s">
        <v>16286</v>
      </c>
      <c r="D6001" s="1" t="s">
        <v>16287</v>
      </c>
      <c r="F6001" s="1" t="s">
        <v>16288</v>
      </c>
      <c r="H6001" s="1" t="s">
        <v>16334</v>
      </c>
      <c r="J6001" s="1" t="s">
        <v>16336</v>
      </c>
      <c r="L6001" s="1" t="s">
        <v>2066</v>
      </c>
      <c r="M6001" s="1" t="s">
        <v>2067</v>
      </c>
      <c r="N6001" s="1" t="s">
        <v>1213</v>
      </c>
      <c r="P6001" s="1" t="s">
        <v>1222</v>
      </c>
      <c r="Q6001" s="3">
        <v>0</v>
      </c>
      <c r="R6001" s="23" t="s">
        <v>6854</v>
      </c>
      <c r="S6001" s="23" t="s">
        <v>6847</v>
      </c>
      <c r="T6001" s="23" t="s">
        <v>4866</v>
      </c>
      <c r="U6001" s="3">
        <v>35</v>
      </c>
      <c r="W6001" s="45" t="str">
        <f>HYPERLINK("http://ictvonline.org/taxonomy/p/taxonomy-history?taxnode_id=201904777","ICTVonline=201904777")</f>
        <v>ICTVonline=201904777</v>
      </c>
      <c r="AA6001" s="1">
        <v>201900000</v>
      </c>
      <c r="AB6001" s="1">
        <v>35</v>
      </c>
    </row>
    <row r="6002" spans="1:28" x14ac:dyDescent="0.2">
      <c r="A6002" s="1">
        <v>15482</v>
      </c>
      <c r="B6002" s="1" t="s">
        <v>16286</v>
      </c>
      <c r="D6002" s="1" t="s">
        <v>16287</v>
      </c>
      <c r="F6002" s="1" t="s">
        <v>16288</v>
      </c>
      <c r="H6002" s="1" t="s">
        <v>16334</v>
      </c>
      <c r="J6002" s="1" t="s">
        <v>16336</v>
      </c>
      <c r="L6002" s="1" t="s">
        <v>2066</v>
      </c>
      <c r="M6002" s="1" t="s">
        <v>2067</v>
      </c>
      <c r="N6002" s="1" t="s">
        <v>16372</v>
      </c>
      <c r="P6002" s="1" t="s">
        <v>16373</v>
      </c>
      <c r="Q6002" s="3">
        <v>1</v>
      </c>
      <c r="R6002" s="23" t="s">
        <v>6854</v>
      </c>
      <c r="S6002" s="23" t="s">
        <v>6849</v>
      </c>
      <c r="T6002" s="23" t="s">
        <v>4864</v>
      </c>
      <c r="U6002" s="3">
        <v>35</v>
      </c>
      <c r="V6002" s="3" t="s">
        <v>16338</v>
      </c>
      <c r="W6002" s="45" t="str">
        <f>HYPERLINK("http://ictvonline.org/taxonomy/p/taxonomy-history?taxnode_id=201907152","ICTVonline=201907152")</f>
        <v>ICTVonline=201907152</v>
      </c>
      <c r="X6002" s="1" t="s">
        <v>16374</v>
      </c>
      <c r="Y6002" s="1" t="s">
        <v>16375</v>
      </c>
      <c r="Z6002" s="1" t="s">
        <v>16376</v>
      </c>
      <c r="AA6002" s="1">
        <v>201900000</v>
      </c>
      <c r="AB6002" s="1">
        <v>35</v>
      </c>
    </row>
    <row r="6003" spans="1:28" x14ac:dyDescent="0.2">
      <c r="A6003" s="1">
        <v>15486</v>
      </c>
      <c r="B6003" s="1" t="s">
        <v>16286</v>
      </c>
      <c r="D6003" s="1" t="s">
        <v>16287</v>
      </c>
      <c r="F6003" s="1" t="s">
        <v>16288</v>
      </c>
      <c r="H6003" s="1" t="s">
        <v>16334</v>
      </c>
      <c r="J6003" s="1" t="s">
        <v>16336</v>
      </c>
      <c r="L6003" s="1" t="s">
        <v>2066</v>
      </c>
      <c r="M6003" s="1" t="s">
        <v>2067</v>
      </c>
      <c r="N6003" s="1" t="s">
        <v>1223</v>
      </c>
      <c r="P6003" s="1" t="s">
        <v>1224</v>
      </c>
      <c r="Q6003" s="3">
        <v>0</v>
      </c>
      <c r="R6003" s="23" t="s">
        <v>6854</v>
      </c>
      <c r="S6003" s="23" t="s">
        <v>6847</v>
      </c>
      <c r="T6003" s="23" t="s">
        <v>4866</v>
      </c>
      <c r="U6003" s="3">
        <v>35</v>
      </c>
      <c r="W6003" s="45" t="str">
        <f>HYPERLINK("http://ictvonline.org/taxonomy/p/taxonomy-history?taxnode_id=201904779","ICTVonline=201904779")</f>
        <v>ICTVonline=201904779</v>
      </c>
      <c r="AA6003" s="1">
        <v>201900000</v>
      </c>
      <c r="AB6003" s="1">
        <v>35</v>
      </c>
    </row>
    <row r="6004" spans="1:28" x14ac:dyDescent="0.2">
      <c r="A6004" s="1">
        <v>15488</v>
      </c>
      <c r="B6004" s="1" t="s">
        <v>16286</v>
      </c>
      <c r="D6004" s="1" t="s">
        <v>16287</v>
      </c>
      <c r="F6004" s="1" t="s">
        <v>16288</v>
      </c>
      <c r="H6004" s="1" t="s">
        <v>16334</v>
      </c>
      <c r="J6004" s="1" t="s">
        <v>16336</v>
      </c>
      <c r="L6004" s="1" t="s">
        <v>2066</v>
      </c>
      <c r="M6004" s="1" t="s">
        <v>2067</v>
      </c>
      <c r="N6004" s="1" t="s">
        <v>1223</v>
      </c>
      <c r="P6004" s="1" t="s">
        <v>16377</v>
      </c>
      <c r="Q6004" s="3">
        <v>0</v>
      </c>
      <c r="R6004" s="23" t="s">
        <v>6854</v>
      </c>
      <c r="S6004" s="23" t="s">
        <v>6849</v>
      </c>
      <c r="T6004" s="23" t="s">
        <v>4864</v>
      </c>
      <c r="U6004" s="3">
        <v>35</v>
      </c>
      <c r="V6004" s="3" t="s">
        <v>16338</v>
      </c>
      <c r="W6004" s="45" t="str">
        <f>HYPERLINK("http://ictvonline.org/taxonomy/p/taxonomy-history?taxnode_id=201907153","ICTVonline=201907153")</f>
        <v>ICTVonline=201907153</v>
      </c>
      <c r="X6004" s="1" t="s">
        <v>16378</v>
      </c>
      <c r="Y6004" s="1" t="s">
        <v>16379</v>
      </c>
      <c r="Z6004" s="1" t="s">
        <v>16380</v>
      </c>
      <c r="AA6004" s="1">
        <v>201900000</v>
      </c>
      <c r="AB6004" s="1">
        <v>35</v>
      </c>
    </row>
    <row r="6005" spans="1:28" x14ac:dyDescent="0.2">
      <c r="A6005" s="1">
        <v>15490</v>
      </c>
      <c r="B6005" s="1" t="s">
        <v>16286</v>
      </c>
      <c r="D6005" s="1" t="s">
        <v>16287</v>
      </c>
      <c r="F6005" s="1" t="s">
        <v>16288</v>
      </c>
      <c r="H6005" s="1" t="s">
        <v>16334</v>
      </c>
      <c r="J6005" s="1" t="s">
        <v>16336</v>
      </c>
      <c r="L6005" s="1" t="s">
        <v>2066</v>
      </c>
      <c r="M6005" s="1" t="s">
        <v>2067</v>
      </c>
      <c r="N6005" s="1" t="s">
        <v>1223</v>
      </c>
      <c r="P6005" s="1" t="s">
        <v>1225</v>
      </c>
      <c r="Q6005" s="3">
        <v>1</v>
      </c>
      <c r="R6005" s="23" t="s">
        <v>6854</v>
      </c>
      <c r="S6005" s="23" t="s">
        <v>6847</v>
      </c>
      <c r="T6005" s="23" t="s">
        <v>4866</v>
      </c>
      <c r="U6005" s="3">
        <v>35</v>
      </c>
      <c r="W6005" s="45" t="str">
        <f>HYPERLINK("http://ictvonline.org/taxonomy/p/taxonomy-history?taxnode_id=201904780","ICTVonline=201904780")</f>
        <v>ICTVonline=201904780</v>
      </c>
      <c r="AA6005" s="1">
        <v>201900000</v>
      </c>
      <c r="AB6005" s="1">
        <v>35</v>
      </c>
    </row>
    <row r="6006" spans="1:28" x14ac:dyDescent="0.2">
      <c r="A6006" s="1">
        <v>15492</v>
      </c>
      <c r="B6006" s="1" t="s">
        <v>16286</v>
      </c>
      <c r="D6006" s="1" t="s">
        <v>16287</v>
      </c>
      <c r="F6006" s="1" t="s">
        <v>16288</v>
      </c>
      <c r="H6006" s="1" t="s">
        <v>16334</v>
      </c>
      <c r="J6006" s="1" t="s">
        <v>16336</v>
      </c>
      <c r="L6006" s="1" t="s">
        <v>2066</v>
      </c>
      <c r="M6006" s="1" t="s">
        <v>2067</v>
      </c>
      <c r="N6006" s="1" t="s">
        <v>1223</v>
      </c>
      <c r="P6006" s="1" t="s">
        <v>1226</v>
      </c>
      <c r="Q6006" s="3">
        <v>0</v>
      </c>
      <c r="R6006" s="23" t="s">
        <v>6854</v>
      </c>
      <c r="S6006" s="23" t="s">
        <v>6847</v>
      </c>
      <c r="T6006" s="23" t="s">
        <v>4866</v>
      </c>
      <c r="U6006" s="3">
        <v>35</v>
      </c>
      <c r="W6006" s="45" t="str">
        <f>HYPERLINK("http://ictvonline.org/taxonomy/p/taxonomy-history?taxnode_id=201904782","ICTVonline=201904782")</f>
        <v>ICTVonline=201904782</v>
      </c>
      <c r="AA6006" s="1">
        <v>201900000</v>
      </c>
      <c r="AB6006" s="1">
        <v>35</v>
      </c>
    </row>
    <row r="6007" spans="1:28" x14ac:dyDescent="0.2">
      <c r="A6007" s="1">
        <v>15494</v>
      </c>
      <c r="B6007" s="1" t="s">
        <v>16286</v>
      </c>
      <c r="D6007" s="1" t="s">
        <v>16287</v>
      </c>
      <c r="F6007" s="1" t="s">
        <v>16288</v>
      </c>
      <c r="H6007" s="1" t="s">
        <v>16334</v>
      </c>
      <c r="J6007" s="1" t="s">
        <v>16336</v>
      </c>
      <c r="L6007" s="1" t="s">
        <v>2066</v>
      </c>
      <c r="M6007" s="1" t="s">
        <v>2067</v>
      </c>
      <c r="N6007" s="1" t="s">
        <v>1223</v>
      </c>
      <c r="P6007" s="1" t="s">
        <v>16381</v>
      </c>
      <c r="Q6007" s="3">
        <v>0</v>
      </c>
      <c r="R6007" s="23" t="s">
        <v>6854</v>
      </c>
      <c r="S6007" s="23" t="s">
        <v>6849</v>
      </c>
      <c r="T6007" s="23" t="s">
        <v>4865</v>
      </c>
      <c r="U6007" s="3">
        <v>35</v>
      </c>
      <c r="V6007" s="3" t="s">
        <v>16338</v>
      </c>
      <c r="W6007" s="45" t="str">
        <f>HYPERLINK("http://ictvonline.org/taxonomy/p/taxonomy-history?taxnode_id=201904781","ICTVonline=201904781")</f>
        <v>ICTVonline=201904781</v>
      </c>
      <c r="X6007" s="1" t="s">
        <v>16382</v>
      </c>
      <c r="Y6007" s="1" t="s">
        <v>16383</v>
      </c>
      <c r="Z6007" s="1" t="s">
        <v>16384</v>
      </c>
      <c r="AA6007" s="1">
        <v>201900000</v>
      </c>
      <c r="AB6007" s="1">
        <v>35</v>
      </c>
    </row>
    <row r="6008" spans="1:28" x14ac:dyDescent="0.2">
      <c r="A6008" s="1">
        <v>15498</v>
      </c>
      <c r="B6008" s="1" t="s">
        <v>16286</v>
      </c>
      <c r="D6008" s="1" t="s">
        <v>16287</v>
      </c>
      <c r="F6008" s="1" t="s">
        <v>16288</v>
      </c>
      <c r="H6008" s="1" t="s">
        <v>16334</v>
      </c>
      <c r="J6008" s="1" t="s">
        <v>16336</v>
      </c>
      <c r="L6008" s="1" t="s">
        <v>2066</v>
      </c>
      <c r="M6008" s="1" t="s">
        <v>2067</v>
      </c>
      <c r="N6008" s="1" t="s">
        <v>16385</v>
      </c>
      <c r="P6008" s="1" t="s">
        <v>4768</v>
      </c>
      <c r="Q6008" s="3">
        <v>1</v>
      </c>
      <c r="R6008" s="23" t="s">
        <v>6854</v>
      </c>
      <c r="S6008" s="23" t="s">
        <v>6849</v>
      </c>
      <c r="T6008" s="23" t="s">
        <v>6395</v>
      </c>
      <c r="U6008" s="3">
        <v>35</v>
      </c>
      <c r="V6008" s="3" t="s">
        <v>16338</v>
      </c>
      <c r="W6008" s="45" t="str">
        <f>HYPERLINK("http://ictvonline.org/taxonomy/p/taxonomy-history?taxnode_id=201904786","ICTVonline=201904786")</f>
        <v>ICTVonline=201904786</v>
      </c>
      <c r="X6008" s="1" t="s">
        <v>16386</v>
      </c>
      <c r="Y6008" s="1" t="s">
        <v>16387</v>
      </c>
      <c r="Z6008" s="1" t="s">
        <v>11206</v>
      </c>
      <c r="AA6008" s="1">
        <v>201900000</v>
      </c>
      <c r="AB6008" s="1">
        <v>35</v>
      </c>
    </row>
    <row r="6009" spans="1:28" x14ac:dyDescent="0.2">
      <c r="A6009" s="1">
        <v>15502</v>
      </c>
      <c r="B6009" s="1" t="s">
        <v>16286</v>
      </c>
      <c r="D6009" s="1" t="s">
        <v>16287</v>
      </c>
      <c r="F6009" s="1" t="s">
        <v>16288</v>
      </c>
      <c r="H6009" s="1" t="s">
        <v>16334</v>
      </c>
      <c r="J6009" s="1" t="s">
        <v>16336</v>
      </c>
      <c r="L6009" s="1" t="s">
        <v>2066</v>
      </c>
      <c r="M6009" s="1" t="s">
        <v>2067</v>
      </c>
      <c r="N6009" s="1" t="s">
        <v>16388</v>
      </c>
      <c r="P6009" s="1" t="s">
        <v>16389</v>
      </c>
      <c r="Q6009" s="3">
        <v>1</v>
      </c>
      <c r="R6009" s="23" t="s">
        <v>6854</v>
      </c>
      <c r="S6009" s="23" t="s">
        <v>6849</v>
      </c>
      <c r="T6009" s="23" t="s">
        <v>4864</v>
      </c>
      <c r="U6009" s="3">
        <v>35</v>
      </c>
      <c r="V6009" s="3" t="s">
        <v>16338</v>
      </c>
      <c r="W6009" s="45" t="str">
        <f>HYPERLINK("http://ictvonline.org/taxonomy/p/taxonomy-history?taxnode_id=201907156","ICTVonline=201907156")</f>
        <v>ICTVonline=201907156</v>
      </c>
      <c r="X6009" s="1" t="s">
        <v>16390</v>
      </c>
      <c r="Y6009" s="1" t="s">
        <v>16391</v>
      </c>
      <c r="AA6009" s="1">
        <v>201900000</v>
      </c>
      <c r="AB6009" s="1">
        <v>35</v>
      </c>
    </row>
    <row r="6010" spans="1:28" x14ac:dyDescent="0.2">
      <c r="A6010" s="1">
        <v>15506</v>
      </c>
      <c r="B6010" s="1" t="s">
        <v>16286</v>
      </c>
      <c r="D6010" s="1" t="s">
        <v>16287</v>
      </c>
      <c r="F6010" s="1" t="s">
        <v>16288</v>
      </c>
      <c r="H6010" s="1" t="s">
        <v>16334</v>
      </c>
      <c r="J6010" s="1" t="s">
        <v>16336</v>
      </c>
      <c r="L6010" s="1" t="s">
        <v>2066</v>
      </c>
      <c r="M6010" s="1" t="s">
        <v>2067</v>
      </c>
      <c r="N6010" s="1" t="s">
        <v>16392</v>
      </c>
      <c r="P6010" s="1" t="s">
        <v>202</v>
      </c>
      <c r="Q6010" s="3">
        <v>1</v>
      </c>
      <c r="R6010" s="23" t="s">
        <v>6854</v>
      </c>
      <c r="S6010" s="23" t="s">
        <v>6849</v>
      </c>
      <c r="T6010" s="23" t="s">
        <v>6395</v>
      </c>
      <c r="U6010" s="3">
        <v>35</v>
      </c>
      <c r="V6010" s="3" t="s">
        <v>16338</v>
      </c>
      <c r="W6010" s="45" t="str">
        <f>HYPERLINK("http://ictvonline.org/taxonomy/p/taxonomy-history?taxnode_id=201904787","ICTVonline=201904787")</f>
        <v>ICTVonline=201904787</v>
      </c>
      <c r="X6010" s="1" t="s">
        <v>16393</v>
      </c>
      <c r="Y6010" s="1" t="s">
        <v>16394</v>
      </c>
      <c r="Z6010" s="1" t="s">
        <v>16395</v>
      </c>
      <c r="AA6010" s="1">
        <v>201900000</v>
      </c>
      <c r="AB6010" s="1">
        <v>35</v>
      </c>
    </row>
    <row r="6011" spans="1:28" x14ac:dyDescent="0.2">
      <c r="A6011" s="1">
        <v>15510</v>
      </c>
      <c r="B6011" s="1" t="s">
        <v>16286</v>
      </c>
      <c r="D6011" s="1" t="s">
        <v>16287</v>
      </c>
      <c r="F6011" s="1" t="s">
        <v>16288</v>
      </c>
      <c r="H6011" s="1" t="s">
        <v>16334</v>
      </c>
      <c r="J6011" s="1" t="s">
        <v>16336</v>
      </c>
      <c r="L6011" s="1" t="s">
        <v>2066</v>
      </c>
      <c r="M6011" s="1" t="s">
        <v>2067</v>
      </c>
      <c r="N6011" s="1" t="s">
        <v>1227</v>
      </c>
      <c r="P6011" s="1" t="s">
        <v>1228</v>
      </c>
      <c r="Q6011" s="3">
        <v>1</v>
      </c>
      <c r="R6011" s="23" t="s">
        <v>6854</v>
      </c>
      <c r="S6011" s="23" t="s">
        <v>6847</v>
      </c>
      <c r="T6011" s="23" t="s">
        <v>4866</v>
      </c>
      <c r="U6011" s="3">
        <v>35</v>
      </c>
      <c r="W6011" s="45" t="str">
        <f>HYPERLINK("http://ictvonline.org/taxonomy/p/taxonomy-history?taxnode_id=201904784","ICTVonline=201904784")</f>
        <v>ICTVonline=201904784</v>
      </c>
      <c r="AA6011" s="1">
        <v>201900000</v>
      </c>
      <c r="AB6011" s="1">
        <v>35</v>
      </c>
    </row>
    <row r="6012" spans="1:28" x14ac:dyDescent="0.2">
      <c r="A6012" s="1">
        <v>15514</v>
      </c>
      <c r="B6012" s="1" t="s">
        <v>16286</v>
      </c>
      <c r="D6012" s="1" t="s">
        <v>16287</v>
      </c>
      <c r="F6012" s="1" t="s">
        <v>16288</v>
      </c>
      <c r="H6012" s="1" t="s">
        <v>16334</v>
      </c>
      <c r="J6012" s="1" t="s">
        <v>16336</v>
      </c>
      <c r="L6012" s="1" t="s">
        <v>2066</v>
      </c>
      <c r="M6012" s="1" t="s">
        <v>2067</v>
      </c>
      <c r="N6012" s="1" t="s">
        <v>16396</v>
      </c>
      <c r="P6012" s="1" t="s">
        <v>16397</v>
      </c>
      <c r="Q6012" s="3">
        <v>1</v>
      </c>
      <c r="R6012" s="23" t="s">
        <v>6854</v>
      </c>
      <c r="S6012" s="23" t="s">
        <v>6849</v>
      </c>
      <c r="T6012" s="23" t="s">
        <v>4864</v>
      </c>
      <c r="U6012" s="3">
        <v>35</v>
      </c>
      <c r="V6012" s="3" t="s">
        <v>16338</v>
      </c>
      <c r="W6012" s="45" t="str">
        <f>HYPERLINK("http://ictvonline.org/taxonomy/p/taxonomy-history?taxnode_id=201907159","ICTVonline=201907159")</f>
        <v>ICTVonline=201907159</v>
      </c>
      <c r="X6012" s="1" t="s">
        <v>16398</v>
      </c>
      <c r="Y6012" s="1" t="s">
        <v>16399</v>
      </c>
      <c r="Z6012" s="1" t="s">
        <v>15666</v>
      </c>
      <c r="AA6012" s="1">
        <v>201900000</v>
      </c>
      <c r="AB6012" s="1">
        <v>35</v>
      </c>
    </row>
    <row r="6013" spans="1:28" x14ac:dyDescent="0.2">
      <c r="A6013" s="1">
        <v>15518</v>
      </c>
      <c r="B6013" s="1" t="s">
        <v>16286</v>
      </c>
      <c r="D6013" s="1" t="s">
        <v>16287</v>
      </c>
      <c r="F6013" s="1" t="s">
        <v>16288</v>
      </c>
      <c r="H6013" s="1" t="s">
        <v>16334</v>
      </c>
      <c r="J6013" s="1" t="s">
        <v>16336</v>
      </c>
      <c r="L6013" s="1" t="s">
        <v>2066</v>
      </c>
      <c r="M6013" s="1" t="s">
        <v>2067</v>
      </c>
      <c r="N6013" s="1" t="s">
        <v>765</v>
      </c>
      <c r="P6013" s="1" t="s">
        <v>766</v>
      </c>
      <c r="Q6013" s="3">
        <v>0</v>
      </c>
      <c r="R6013" s="23" t="s">
        <v>6854</v>
      </c>
      <c r="S6013" s="23" t="s">
        <v>6847</v>
      </c>
      <c r="T6013" s="23" t="s">
        <v>4866</v>
      </c>
      <c r="U6013" s="3">
        <v>35</v>
      </c>
      <c r="W6013" s="45" t="str">
        <f>HYPERLINK("http://ictvonline.org/taxonomy/p/taxonomy-history?taxnode_id=201904789","ICTVonline=201904789")</f>
        <v>ICTVonline=201904789</v>
      </c>
      <c r="AA6013" s="1">
        <v>201900000</v>
      </c>
      <c r="AB6013" s="1">
        <v>35</v>
      </c>
    </row>
    <row r="6014" spans="1:28" x14ac:dyDescent="0.2">
      <c r="A6014" s="1">
        <v>15520</v>
      </c>
      <c r="B6014" s="1" t="s">
        <v>16286</v>
      </c>
      <c r="D6014" s="1" t="s">
        <v>16287</v>
      </c>
      <c r="F6014" s="1" t="s">
        <v>16288</v>
      </c>
      <c r="H6014" s="1" t="s">
        <v>16334</v>
      </c>
      <c r="J6014" s="1" t="s">
        <v>16336</v>
      </c>
      <c r="L6014" s="1" t="s">
        <v>2066</v>
      </c>
      <c r="M6014" s="1" t="s">
        <v>2067</v>
      </c>
      <c r="N6014" s="1" t="s">
        <v>765</v>
      </c>
      <c r="P6014" s="1" t="s">
        <v>764</v>
      </c>
      <c r="Q6014" s="3">
        <v>1</v>
      </c>
      <c r="R6014" s="23" t="s">
        <v>6854</v>
      </c>
      <c r="S6014" s="23" t="s">
        <v>6847</v>
      </c>
      <c r="T6014" s="23" t="s">
        <v>4866</v>
      </c>
      <c r="U6014" s="3">
        <v>35</v>
      </c>
      <c r="W6014" s="45" t="str">
        <f>HYPERLINK("http://ictvonline.org/taxonomy/p/taxonomy-history?taxnode_id=201904790","ICTVonline=201904790")</f>
        <v>ICTVonline=201904790</v>
      </c>
      <c r="AA6014" s="1">
        <v>201900000</v>
      </c>
      <c r="AB6014" s="1">
        <v>35</v>
      </c>
    </row>
    <row r="6015" spans="1:28" x14ac:dyDescent="0.2">
      <c r="A6015" s="1">
        <v>15526</v>
      </c>
      <c r="B6015" s="1" t="s">
        <v>16286</v>
      </c>
      <c r="D6015" s="1" t="s">
        <v>16287</v>
      </c>
      <c r="F6015" s="1" t="s">
        <v>16288</v>
      </c>
      <c r="H6015" s="1" t="s">
        <v>16334</v>
      </c>
      <c r="J6015" s="1" t="s">
        <v>16336</v>
      </c>
      <c r="L6015" s="1" t="s">
        <v>2066</v>
      </c>
      <c r="M6015" s="1" t="s">
        <v>767</v>
      </c>
      <c r="N6015" s="1" t="s">
        <v>1793</v>
      </c>
      <c r="P6015" s="1" t="s">
        <v>662</v>
      </c>
      <c r="Q6015" s="3">
        <v>0</v>
      </c>
      <c r="R6015" s="23" t="s">
        <v>6854</v>
      </c>
      <c r="S6015" s="23" t="s">
        <v>6847</v>
      </c>
      <c r="T6015" s="23" t="s">
        <v>4866</v>
      </c>
      <c r="U6015" s="3">
        <v>35</v>
      </c>
      <c r="W6015" s="45" t="str">
        <f>HYPERLINK("http://ictvonline.org/taxonomy/p/taxonomy-history?taxnode_id=201904793","ICTVonline=201904793")</f>
        <v>ICTVonline=201904793</v>
      </c>
      <c r="AA6015" s="1">
        <v>201900000</v>
      </c>
      <c r="AB6015" s="1">
        <v>35</v>
      </c>
    </row>
    <row r="6016" spans="1:28" x14ac:dyDescent="0.2">
      <c r="A6016" s="1">
        <v>15528</v>
      </c>
      <c r="B6016" s="1" t="s">
        <v>16286</v>
      </c>
      <c r="D6016" s="1" t="s">
        <v>16287</v>
      </c>
      <c r="F6016" s="1" t="s">
        <v>16288</v>
      </c>
      <c r="H6016" s="1" t="s">
        <v>16334</v>
      </c>
      <c r="J6016" s="1" t="s">
        <v>16336</v>
      </c>
      <c r="L6016" s="1" t="s">
        <v>2066</v>
      </c>
      <c r="M6016" s="1" t="s">
        <v>767</v>
      </c>
      <c r="N6016" s="1" t="s">
        <v>1793</v>
      </c>
      <c r="P6016" s="1" t="s">
        <v>663</v>
      </c>
      <c r="Q6016" s="3">
        <v>0</v>
      </c>
      <c r="R6016" s="23" t="s">
        <v>6854</v>
      </c>
      <c r="S6016" s="23" t="s">
        <v>6847</v>
      </c>
      <c r="T6016" s="23" t="s">
        <v>4866</v>
      </c>
      <c r="U6016" s="3">
        <v>35</v>
      </c>
      <c r="W6016" s="45" t="str">
        <f>HYPERLINK("http://ictvonline.org/taxonomy/p/taxonomy-history?taxnode_id=201904794","ICTVonline=201904794")</f>
        <v>ICTVonline=201904794</v>
      </c>
      <c r="AA6016" s="1">
        <v>201900000</v>
      </c>
      <c r="AB6016" s="1">
        <v>35</v>
      </c>
    </row>
    <row r="6017" spans="1:28" x14ac:dyDescent="0.2">
      <c r="A6017" s="1">
        <v>15530</v>
      </c>
      <c r="B6017" s="1" t="s">
        <v>16286</v>
      </c>
      <c r="D6017" s="1" t="s">
        <v>16287</v>
      </c>
      <c r="F6017" s="1" t="s">
        <v>16288</v>
      </c>
      <c r="H6017" s="1" t="s">
        <v>16334</v>
      </c>
      <c r="J6017" s="1" t="s">
        <v>16336</v>
      </c>
      <c r="L6017" s="1" t="s">
        <v>2066</v>
      </c>
      <c r="M6017" s="1" t="s">
        <v>767</v>
      </c>
      <c r="N6017" s="1" t="s">
        <v>1793</v>
      </c>
      <c r="P6017" s="1" t="s">
        <v>2683</v>
      </c>
      <c r="Q6017" s="3">
        <v>0</v>
      </c>
      <c r="R6017" s="23" t="s">
        <v>6854</v>
      </c>
      <c r="S6017" s="23" t="s">
        <v>6847</v>
      </c>
      <c r="T6017" s="23" t="s">
        <v>4866</v>
      </c>
      <c r="U6017" s="3">
        <v>35</v>
      </c>
      <c r="W6017" s="45" t="str">
        <f>HYPERLINK("http://ictvonline.org/taxonomy/p/taxonomy-history?taxnode_id=201904795","ICTVonline=201904795")</f>
        <v>ICTVonline=201904795</v>
      </c>
      <c r="AA6017" s="1">
        <v>201900000</v>
      </c>
      <c r="AB6017" s="1">
        <v>35</v>
      </c>
    </row>
    <row r="6018" spans="1:28" x14ac:dyDescent="0.2">
      <c r="A6018" s="1">
        <v>15532</v>
      </c>
      <c r="B6018" s="1" t="s">
        <v>16286</v>
      </c>
      <c r="D6018" s="1" t="s">
        <v>16287</v>
      </c>
      <c r="F6018" s="1" t="s">
        <v>16288</v>
      </c>
      <c r="H6018" s="1" t="s">
        <v>16334</v>
      </c>
      <c r="J6018" s="1" t="s">
        <v>16336</v>
      </c>
      <c r="L6018" s="1" t="s">
        <v>2066</v>
      </c>
      <c r="M6018" s="1" t="s">
        <v>767</v>
      </c>
      <c r="N6018" s="1" t="s">
        <v>1793</v>
      </c>
      <c r="P6018" s="1" t="s">
        <v>1794</v>
      </c>
      <c r="Q6018" s="3">
        <v>0</v>
      </c>
      <c r="R6018" s="23" t="s">
        <v>6854</v>
      </c>
      <c r="S6018" s="23" t="s">
        <v>6847</v>
      </c>
      <c r="T6018" s="23" t="s">
        <v>4866</v>
      </c>
      <c r="U6018" s="3">
        <v>35</v>
      </c>
      <c r="W6018" s="45" t="str">
        <f>HYPERLINK("http://ictvonline.org/taxonomy/p/taxonomy-history?taxnode_id=201904796","ICTVonline=201904796")</f>
        <v>ICTVonline=201904796</v>
      </c>
      <c r="AA6018" s="1">
        <v>201900000</v>
      </c>
      <c r="AB6018" s="1">
        <v>35</v>
      </c>
    </row>
    <row r="6019" spans="1:28" x14ac:dyDescent="0.2">
      <c r="A6019" s="1">
        <v>15534</v>
      </c>
      <c r="B6019" s="1" t="s">
        <v>16286</v>
      </c>
      <c r="D6019" s="1" t="s">
        <v>16287</v>
      </c>
      <c r="F6019" s="1" t="s">
        <v>16288</v>
      </c>
      <c r="H6019" s="1" t="s">
        <v>16334</v>
      </c>
      <c r="J6019" s="1" t="s">
        <v>16336</v>
      </c>
      <c r="L6019" s="1" t="s">
        <v>2066</v>
      </c>
      <c r="M6019" s="1" t="s">
        <v>767</v>
      </c>
      <c r="N6019" s="1" t="s">
        <v>1793</v>
      </c>
      <c r="P6019" s="1" t="s">
        <v>2684</v>
      </c>
      <c r="Q6019" s="3">
        <v>0</v>
      </c>
      <c r="R6019" s="23" t="s">
        <v>6854</v>
      </c>
      <c r="S6019" s="23" t="s">
        <v>6847</v>
      </c>
      <c r="T6019" s="23" t="s">
        <v>4866</v>
      </c>
      <c r="U6019" s="3">
        <v>35</v>
      </c>
      <c r="W6019" s="45" t="str">
        <f>HYPERLINK("http://ictvonline.org/taxonomy/p/taxonomy-history?taxnode_id=201904797","ICTVonline=201904797")</f>
        <v>ICTVonline=201904797</v>
      </c>
      <c r="AA6019" s="1">
        <v>201900000</v>
      </c>
      <c r="AB6019" s="1">
        <v>35</v>
      </c>
    </row>
    <row r="6020" spans="1:28" x14ac:dyDescent="0.2">
      <c r="A6020" s="1">
        <v>15536</v>
      </c>
      <c r="B6020" s="1" t="s">
        <v>16286</v>
      </c>
      <c r="D6020" s="1" t="s">
        <v>16287</v>
      </c>
      <c r="F6020" s="1" t="s">
        <v>16288</v>
      </c>
      <c r="H6020" s="1" t="s">
        <v>16334</v>
      </c>
      <c r="J6020" s="1" t="s">
        <v>16336</v>
      </c>
      <c r="L6020" s="1" t="s">
        <v>2066</v>
      </c>
      <c r="M6020" s="1" t="s">
        <v>767</v>
      </c>
      <c r="N6020" s="1" t="s">
        <v>1793</v>
      </c>
      <c r="P6020" s="1" t="s">
        <v>1795</v>
      </c>
      <c r="Q6020" s="3">
        <v>0</v>
      </c>
      <c r="R6020" s="23" t="s">
        <v>6854</v>
      </c>
      <c r="S6020" s="23" t="s">
        <v>6847</v>
      </c>
      <c r="T6020" s="23" t="s">
        <v>4866</v>
      </c>
      <c r="U6020" s="3">
        <v>35</v>
      </c>
      <c r="W6020" s="45" t="str">
        <f>HYPERLINK("http://ictvonline.org/taxonomy/p/taxonomy-history?taxnode_id=201904798","ICTVonline=201904798")</f>
        <v>ICTVonline=201904798</v>
      </c>
      <c r="AA6020" s="1">
        <v>201900000</v>
      </c>
      <c r="AB6020" s="1">
        <v>35</v>
      </c>
    </row>
    <row r="6021" spans="1:28" x14ac:dyDescent="0.2">
      <c r="A6021" s="1">
        <v>15538</v>
      </c>
      <c r="B6021" s="1" t="s">
        <v>16286</v>
      </c>
      <c r="D6021" s="1" t="s">
        <v>16287</v>
      </c>
      <c r="F6021" s="1" t="s">
        <v>16288</v>
      </c>
      <c r="H6021" s="1" t="s">
        <v>16334</v>
      </c>
      <c r="J6021" s="1" t="s">
        <v>16336</v>
      </c>
      <c r="L6021" s="1" t="s">
        <v>2066</v>
      </c>
      <c r="M6021" s="1" t="s">
        <v>767</v>
      </c>
      <c r="N6021" s="1" t="s">
        <v>1793</v>
      </c>
      <c r="P6021" s="1" t="s">
        <v>669</v>
      </c>
      <c r="Q6021" s="3">
        <v>1</v>
      </c>
      <c r="R6021" s="23" t="s">
        <v>6854</v>
      </c>
      <c r="S6021" s="23" t="s">
        <v>6847</v>
      </c>
      <c r="T6021" s="23" t="s">
        <v>4866</v>
      </c>
      <c r="U6021" s="3">
        <v>35</v>
      </c>
      <c r="W6021" s="45" t="str">
        <f>HYPERLINK("http://ictvonline.org/taxonomy/p/taxonomy-history?taxnode_id=201904799","ICTVonline=201904799")</f>
        <v>ICTVonline=201904799</v>
      </c>
      <c r="AA6021" s="1">
        <v>201900000</v>
      </c>
      <c r="AB6021" s="1">
        <v>35</v>
      </c>
    </row>
    <row r="6022" spans="1:28" x14ac:dyDescent="0.2">
      <c r="A6022" s="1">
        <v>15542</v>
      </c>
      <c r="B6022" s="1" t="s">
        <v>16286</v>
      </c>
      <c r="D6022" s="1" t="s">
        <v>16287</v>
      </c>
      <c r="F6022" s="1" t="s">
        <v>16288</v>
      </c>
      <c r="H6022" s="1" t="s">
        <v>16334</v>
      </c>
      <c r="J6022" s="1" t="s">
        <v>16336</v>
      </c>
      <c r="L6022" s="1" t="s">
        <v>2066</v>
      </c>
      <c r="M6022" s="1" t="s">
        <v>767</v>
      </c>
      <c r="N6022" s="1" t="s">
        <v>670</v>
      </c>
      <c r="P6022" s="1" t="s">
        <v>2685</v>
      </c>
      <c r="Q6022" s="3">
        <v>0</v>
      </c>
      <c r="R6022" s="23" t="s">
        <v>6854</v>
      </c>
      <c r="S6022" s="23" t="s">
        <v>6847</v>
      </c>
      <c r="T6022" s="23" t="s">
        <v>4866</v>
      </c>
      <c r="U6022" s="3">
        <v>35</v>
      </c>
      <c r="W6022" s="45" t="str">
        <f>HYPERLINK("http://ictvonline.org/taxonomy/p/taxonomy-history?taxnode_id=201904801","ICTVonline=201904801")</f>
        <v>ICTVonline=201904801</v>
      </c>
      <c r="AA6022" s="1">
        <v>201900000</v>
      </c>
      <c r="AB6022" s="1">
        <v>35</v>
      </c>
    </row>
    <row r="6023" spans="1:28" x14ac:dyDescent="0.2">
      <c r="A6023" s="1">
        <v>15544</v>
      </c>
      <c r="B6023" s="1" t="s">
        <v>16286</v>
      </c>
      <c r="D6023" s="1" t="s">
        <v>16287</v>
      </c>
      <c r="F6023" s="1" t="s">
        <v>16288</v>
      </c>
      <c r="H6023" s="1" t="s">
        <v>16334</v>
      </c>
      <c r="J6023" s="1" t="s">
        <v>16336</v>
      </c>
      <c r="L6023" s="1" t="s">
        <v>2066</v>
      </c>
      <c r="M6023" s="1" t="s">
        <v>767</v>
      </c>
      <c r="N6023" s="1" t="s">
        <v>670</v>
      </c>
      <c r="P6023" s="1" t="s">
        <v>2686</v>
      </c>
      <c r="Q6023" s="3">
        <v>0</v>
      </c>
      <c r="R6023" s="23" t="s">
        <v>6854</v>
      </c>
      <c r="S6023" s="23" t="s">
        <v>6847</v>
      </c>
      <c r="T6023" s="23" t="s">
        <v>4866</v>
      </c>
      <c r="U6023" s="3">
        <v>35</v>
      </c>
      <c r="W6023" s="45" t="str">
        <f>HYPERLINK("http://ictvonline.org/taxonomy/p/taxonomy-history?taxnode_id=201904802","ICTVonline=201904802")</f>
        <v>ICTVonline=201904802</v>
      </c>
      <c r="X6023" s="1" t="s">
        <v>16400</v>
      </c>
      <c r="Y6023" s="1" t="s">
        <v>16401</v>
      </c>
      <c r="AA6023" s="1">
        <v>201900000</v>
      </c>
      <c r="AB6023" s="1">
        <v>35</v>
      </c>
    </row>
    <row r="6024" spans="1:28" x14ac:dyDescent="0.2">
      <c r="A6024" s="1">
        <v>15546</v>
      </c>
      <c r="B6024" s="1" t="s">
        <v>16286</v>
      </c>
      <c r="D6024" s="1" t="s">
        <v>16287</v>
      </c>
      <c r="F6024" s="1" t="s">
        <v>16288</v>
      </c>
      <c r="H6024" s="1" t="s">
        <v>16334</v>
      </c>
      <c r="J6024" s="1" t="s">
        <v>16336</v>
      </c>
      <c r="L6024" s="1" t="s">
        <v>2066</v>
      </c>
      <c r="M6024" s="1" t="s">
        <v>767</v>
      </c>
      <c r="N6024" s="1" t="s">
        <v>670</v>
      </c>
      <c r="P6024" s="1" t="s">
        <v>2687</v>
      </c>
      <c r="Q6024" s="3">
        <v>1</v>
      </c>
      <c r="R6024" s="23" t="s">
        <v>6854</v>
      </c>
      <c r="S6024" s="23" t="s">
        <v>6847</v>
      </c>
      <c r="T6024" s="23" t="s">
        <v>4866</v>
      </c>
      <c r="U6024" s="3">
        <v>35</v>
      </c>
      <c r="W6024" s="45" t="str">
        <f>HYPERLINK("http://ictvonline.org/taxonomy/p/taxonomy-history?taxnode_id=201904803","ICTVonline=201904803")</f>
        <v>ICTVonline=201904803</v>
      </c>
      <c r="AA6024" s="1">
        <v>201900000</v>
      </c>
      <c r="AB6024" s="1">
        <v>35</v>
      </c>
    </row>
    <row r="6025" spans="1:28" x14ac:dyDescent="0.2">
      <c r="A6025" s="1">
        <v>15548</v>
      </c>
      <c r="B6025" s="1" t="s">
        <v>16286</v>
      </c>
      <c r="D6025" s="1" t="s">
        <v>16287</v>
      </c>
      <c r="F6025" s="1" t="s">
        <v>16288</v>
      </c>
      <c r="H6025" s="1" t="s">
        <v>16334</v>
      </c>
      <c r="J6025" s="1" t="s">
        <v>16336</v>
      </c>
      <c r="L6025" s="1" t="s">
        <v>2066</v>
      </c>
      <c r="M6025" s="1" t="s">
        <v>767</v>
      </c>
      <c r="N6025" s="1" t="s">
        <v>670</v>
      </c>
      <c r="P6025" s="1" t="s">
        <v>2688</v>
      </c>
      <c r="Q6025" s="3">
        <v>0</v>
      </c>
      <c r="R6025" s="23" t="s">
        <v>6854</v>
      </c>
      <c r="S6025" s="23" t="s">
        <v>6847</v>
      </c>
      <c r="T6025" s="23" t="s">
        <v>4866</v>
      </c>
      <c r="U6025" s="3">
        <v>35</v>
      </c>
      <c r="W6025" s="45" t="str">
        <f>HYPERLINK("http://ictvonline.org/taxonomy/p/taxonomy-history?taxnode_id=201904804","ICTVonline=201904804")</f>
        <v>ICTVonline=201904804</v>
      </c>
      <c r="AA6025" s="1">
        <v>201900000</v>
      </c>
      <c r="AB6025" s="1">
        <v>35</v>
      </c>
    </row>
    <row r="6026" spans="1:28" x14ac:dyDescent="0.2">
      <c r="A6026" s="1">
        <v>15550</v>
      </c>
      <c r="B6026" s="1" t="s">
        <v>16286</v>
      </c>
      <c r="D6026" s="1" t="s">
        <v>16287</v>
      </c>
      <c r="F6026" s="1" t="s">
        <v>16288</v>
      </c>
      <c r="H6026" s="1" t="s">
        <v>16334</v>
      </c>
      <c r="J6026" s="1" t="s">
        <v>16336</v>
      </c>
      <c r="L6026" s="1" t="s">
        <v>2066</v>
      </c>
      <c r="M6026" s="1" t="s">
        <v>767</v>
      </c>
      <c r="N6026" s="1" t="s">
        <v>670</v>
      </c>
      <c r="P6026" s="1" t="s">
        <v>2689</v>
      </c>
      <c r="Q6026" s="3">
        <v>0</v>
      </c>
      <c r="R6026" s="23" t="s">
        <v>6854</v>
      </c>
      <c r="S6026" s="23" t="s">
        <v>6847</v>
      </c>
      <c r="T6026" s="23" t="s">
        <v>4866</v>
      </c>
      <c r="U6026" s="3">
        <v>35</v>
      </c>
      <c r="W6026" s="45" t="str">
        <f>HYPERLINK("http://ictvonline.org/taxonomy/p/taxonomy-history?taxnode_id=201904805","ICTVonline=201904805")</f>
        <v>ICTVonline=201904805</v>
      </c>
      <c r="AA6026" s="1">
        <v>201900000</v>
      </c>
      <c r="AB6026" s="1">
        <v>35</v>
      </c>
    </row>
    <row r="6027" spans="1:28" x14ac:dyDescent="0.2">
      <c r="A6027" s="1">
        <v>15552</v>
      </c>
      <c r="B6027" s="1" t="s">
        <v>16286</v>
      </c>
      <c r="D6027" s="1" t="s">
        <v>16287</v>
      </c>
      <c r="F6027" s="1" t="s">
        <v>16288</v>
      </c>
      <c r="H6027" s="1" t="s">
        <v>16334</v>
      </c>
      <c r="J6027" s="1" t="s">
        <v>16336</v>
      </c>
      <c r="L6027" s="1" t="s">
        <v>2066</v>
      </c>
      <c r="M6027" s="1" t="s">
        <v>767</v>
      </c>
      <c r="N6027" s="1" t="s">
        <v>670</v>
      </c>
      <c r="P6027" s="1" t="s">
        <v>2690</v>
      </c>
      <c r="Q6027" s="3">
        <v>0</v>
      </c>
      <c r="R6027" s="23" t="s">
        <v>6854</v>
      </c>
      <c r="S6027" s="23" t="s">
        <v>6847</v>
      </c>
      <c r="T6027" s="23" t="s">
        <v>4866</v>
      </c>
      <c r="U6027" s="3">
        <v>35</v>
      </c>
      <c r="W6027" s="45" t="str">
        <f>HYPERLINK("http://ictvonline.org/taxonomy/p/taxonomy-history?taxnode_id=201904806","ICTVonline=201904806")</f>
        <v>ICTVonline=201904806</v>
      </c>
      <c r="AA6027" s="1">
        <v>201900000</v>
      </c>
      <c r="AB6027" s="1">
        <v>35</v>
      </c>
    </row>
    <row r="6028" spans="1:28" x14ac:dyDescent="0.2">
      <c r="A6028" s="1">
        <v>15554</v>
      </c>
      <c r="B6028" s="1" t="s">
        <v>16286</v>
      </c>
      <c r="D6028" s="1" t="s">
        <v>16287</v>
      </c>
      <c r="F6028" s="1" t="s">
        <v>16288</v>
      </c>
      <c r="H6028" s="1" t="s">
        <v>16334</v>
      </c>
      <c r="J6028" s="1" t="s">
        <v>16336</v>
      </c>
      <c r="L6028" s="1" t="s">
        <v>2066</v>
      </c>
      <c r="M6028" s="1" t="s">
        <v>767</v>
      </c>
      <c r="N6028" s="1" t="s">
        <v>670</v>
      </c>
      <c r="P6028" s="1" t="s">
        <v>2691</v>
      </c>
      <c r="Q6028" s="3">
        <v>0</v>
      </c>
      <c r="R6028" s="23" t="s">
        <v>6854</v>
      </c>
      <c r="S6028" s="23" t="s">
        <v>6847</v>
      </c>
      <c r="T6028" s="23" t="s">
        <v>4866</v>
      </c>
      <c r="U6028" s="3">
        <v>35</v>
      </c>
      <c r="W6028" s="45" t="str">
        <f>HYPERLINK("http://ictvonline.org/taxonomy/p/taxonomy-history?taxnode_id=201904807","ICTVonline=201904807")</f>
        <v>ICTVonline=201904807</v>
      </c>
      <c r="AA6028" s="1">
        <v>201900000</v>
      </c>
      <c r="AB6028" s="1">
        <v>35</v>
      </c>
    </row>
    <row r="6029" spans="1:28" x14ac:dyDescent="0.2">
      <c r="A6029" s="1">
        <v>15556</v>
      </c>
      <c r="B6029" s="1" t="s">
        <v>16286</v>
      </c>
      <c r="D6029" s="1" t="s">
        <v>16287</v>
      </c>
      <c r="F6029" s="1" t="s">
        <v>16288</v>
      </c>
      <c r="H6029" s="1" t="s">
        <v>16334</v>
      </c>
      <c r="J6029" s="1" t="s">
        <v>16336</v>
      </c>
      <c r="L6029" s="1" t="s">
        <v>2066</v>
      </c>
      <c r="M6029" s="1" t="s">
        <v>767</v>
      </c>
      <c r="N6029" s="1" t="s">
        <v>670</v>
      </c>
      <c r="P6029" s="1" t="s">
        <v>2692</v>
      </c>
      <c r="Q6029" s="3">
        <v>0</v>
      </c>
      <c r="R6029" s="23" t="s">
        <v>6854</v>
      </c>
      <c r="S6029" s="23" t="s">
        <v>6847</v>
      </c>
      <c r="T6029" s="23" t="s">
        <v>4866</v>
      </c>
      <c r="U6029" s="3">
        <v>35</v>
      </c>
      <c r="W6029" s="45" t="str">
        <f>HYPERLINK("http://ictvonline.org/taxonomy/p/taxonomy-history?taxnode_id=201904808","ICTVonline=201904808")</f>
        <v>ICTVonline=201904808</v>
      </c>
      <c r="AA6029" s="1">
        <v>201900000</v>
      </c>
      <c r="AB6029" s="1">
        <v>35</v>
      </c>
    </row>
    <row r="6030" spans="1:28" x14ac:dyDescent="0.2">
      <c r="A6030" s="1">
        <v>15558</v>
      </c>
      <c r="B6030" s="1" t="s">
        <v>16286</v>
      </c>
      <c r="D6030" s="1" t="s">
        <v>16287</v>
      </c>
      <c r="F6030" s="1" t="s">
        <v>16288</v>
      </c>
      <c r="H6030" s="1" t="s">
        <v>16334</v>
      </c>
      <c r="J6030" s="1" t="s">
        <v>16336</v>
      </c>
      <c r="L6030" s="1" t="s">
        <v>2066</v>
      </c>
      <c r="M6030" s="1" t="s">
        <v>767</v>
      </c>
      <c r="N6030" s="1" t="s">
        <v>670</v>
      </c>
      <c r="P6030" s="1" t="s">
        <v>2693</v>
      </c>
      <c r="Q6030" s="3">
        <v>0</v>
      </c>
      <c r="R6030" s="23" t="s">
        <v>6854</v>
      </c>
      <c r="S6030" s="23" t="s">
        <v>6847</v>
      </c>
      <c r="T6030" s="23" t="s">
        <v>4866</v>
      </c>
      <c r="U6030" s="3">
        <v>35</v>
      </c>
      <c r="W6030" s="45" t="str">
        <f>HYPERLINK("http://ictvonline.org/taxonomy/p/taxonomy-history?taxnode_id=201904809","ICTVonline=201904809")</f>
        <v>ICTVonline=201904809</v>
      </c>
      <c r="X6030" s="1" t="s">
        <v>16402</v>
      </c>
      <c r="Y6030" s="1" t="s">
        <v>16403</v>
      </c>
      <c r="AA6030" s="1">
        <v>201900000</v>
      </c>
      <c r="AB6030" s="1">
        <v>35</v>
      </c>
    </row>
    <row r="6031" spans="1:28" x14ac:dyDescent="0.2">
      <c r="A6031" s="1">
        <v>15560</v>
      </c>
      <c r="B6031" s="1" t="s">
        <v>16286</v>
      </c>
      <c r="D6031" s="1" t="s">
        <v>16287</v>
      </c>
      <c r="F6031" s="1" t="s">
        <v>16288</v>
      </c>
      <c r="H6031" s="1" t="s">
        <v>16334</v>
      </c>
      <c r="J6031" s="1" t="s">
        <v>16336</v>
      </c>
      <c r="L6031" s="1" t="s">
        <v>2066</v>
      </c>
      <c r="M6031" s="1" t="s">
        <v>767</v>
      </c>
      <c r="N6031" s="1" t="s">
        <v>670</v>
      </c>
      <c r="P6031" s="1" t="s">
        <v>2694</v>
      </c>
      <c r="Q6031" s="3">
        <v>0</v>
      </c>
      <c r="R6031" s="23" t="s">
        <v>6854</v>
      </c>
      <c r="S6031" s="23" t="s">
        <v>6847</v>
      </c>
      <c r="T6031" s="23" t="s">
        <v>4866</v>
      </c>
      <c r="U6031" s="3">
        <v>35</v>
      </c>
      <c r="W6031" s="45" t="str">
        <f>HYPERLINK("http://ictvonline.org/taxonomy/p/taxonomy-history?taxnode_id=201904810","ICTVonline=201904810")</f>
        <v>ICTVonline=201904810</v>
      </c>
      <c r="AA6031" s="1">
        <v>201900000</v>
      </c>
      <c r="AB6031" s="1">
        <v>35</v>
      </c>
    </row>
    <row r="6032" spans="1:28" x14ac:dyDescent="0.2">
      <c r="A6032" s="1">
        <v>15562</v>
      </c>
      <c r="B6032" s="1" t="s">
        <v>16286</v>
      </c>
      <c r="D6032" s="1" t="s">
        <v>16287</v>
      </c>
      <c r="F6032" s="1" t="s">
        <v>16288</v>
      </c>
      <c r="H6032" s="1" t="s">
        <v>16334</v>
      </c>
      <c r="J6032" s="1" t="s">
        <v>16336</v>
      </c>
      <c r="L6032" s="1" t="s">
        <v>2066</v>
      </c>
      <c r="M6032" s="1" t="s">
        <v>767</v>
      </c>
      <c r="N6032" s="1" t="s">
        <v>670</v>
      </c>
      <c r="P6032" s="1" t="s">
        <v>2695</v>
      </c>
      <c r="Q6032" s="3">
        <v>0</v>
      </c>
      <c r="R6032" s="23" t="s">
        <v>6854</v>
      </c>
      <c r="S6032" s="23" t="s">
        <v>6847</v>
      </c>
      <c r="T6032" s="23" t="s">
        <v>4866</v>
      </c>
      <c r="U6032" s="3">
        <v>35</v>
      </c>
      <c r="W6032" s="45" t="str">
        <f>HYPERLINK("http://ictvonline.org/taxonomy/p/taxonomy-history?taxnode_id=201904811","ICTVonline=201904811")</f>
        <v>ICTVonline=201904811</v>
      </c>
      <c r="AA6032" s="1">
        <v>201900000</v>
      </c>
      <c r="AB6032" s="1">
        <v>35</v>
      </c>
    </row>
    <row r="6033" spans="1:28" x14ac:dyDescent="0.2">
      <c r="A6033" s="1">
        <v>15564</v>
      </c>
      <c r="B6033" s="1" t="s">
        <v>16286</v>
      </c>
      <c r="D6033" s="1" t="s">
        <v>16287</v>
      </c>
      <c r="F6033" s="1" t="s">
        <v>16288</v>
      </c>
      <c r="H6033" s="1" t="s">
        <v>16334</v>
      </c>
      <c r="J6033" s="1" t="s">
        <v>16336</v>
      </c>
      <c r="L6033" s="1" t="s">
        <v>2066</v>
      </c>
      <c r="M6033" s="1" t="s">
        <v>767</v>
      </c>
      <c r="N6033" s="1" t="s">
        <v>670</v>
      </c>
      <c r="P6033" s="1" t="s">
        <v>2696</v>
      </c>
      <c r="Q6033" s="3">
        <v>0</v>
      </c>
      <c r="R6033" s="23" t="s">
        <v>6854</v>
      </c>
      <c r="S6033" s="23" t="s">
        <v>6847</v>
      </c>
      <c r="T6033" s="23" t="s">
        <v>4866</v>
      </c>
      <c r="U6033" s="3">
        <v>35</v>
      </c>
      <c r="W6033" s="45" t="str">
        <f>HYPERLINK("http://ictvonline.org/taxonomy/p/taxonomy-history?taxnode_id=201904812","ICTVonline=201904812")</f>
        <v>ICTVonline=201904812</v>
      </c>
      <c r="AA6033" s="1">
        <v>201900000</v>
      </c>
      <c r="AB6033" s="1">
        <v>35</v>
      </c>
    </row>
    <row r="6034" spans="1:28" x14ac:dyDescent="0.2">
      <c r="A6034" s="1">
        <v>15566</v>
      </c>
      <c r="B6034" s="1" t="s">
        <v>16286</v>
      </c>
      <c r="D6034" s="1" t="s">
        <v>16287</v>
      </c>
      <c r="F6034" s="1" t="s">
        <v>16288</v>
      </c>
      <c r="H6034" s="1" t="s">
        <v>16334</v>
      </c>
      <c r="J6034" s="1" t="s">
        <v>16336</v>
      </c>
      <c r="L6034" s="1" t="s">
        <v>2066</v>
      </c>
      <c r="M6034" s="1" t="s">
        <v>767</v>
      </c>
      <c r="N6034" s="1" t="s">
        <v>670</v>
      </c>
      <c r="P6034" s="1" t="s">
        <v>2697</v>
      </c>
      <c r="Q6034" s="3">
        <v>0</v>
      </c>
      <c r="R6034" s="23" t="s">
        <v>6854</v>
      </c>
      <c r="S6034" s="23" t="s">
        <v>6847</v>
      </c>
      <c r="T6034" s="23" t="s">
        <v>4866</v>
      </c>
      <c r="U6034" s="3">
        <v>35</v>
      </c>
      <c r="W6034" s="45" t="str">
        <f>HYPERLINK("http://ictvonline.org/taxonomy/p/taxonomy-history?taxnode_id=201904813","ICTVonline=201904813")</f>
        <v>ICTVonline=201904813</v>
      </c>
      <c r="X6034" s="1" t="s">
        <v>16404</v>
      </c>
      <c r="Y6034" s="1" t="s">
        <v>16405</v>
      </c>
      <c r="AA6034" s="1">
        <v>201900000</v>
      </c>
      <c r="AB6034" s="1">
        <v>35</v>
      </c>
    </row>
    <row r="6035" spans="1:28" x14ac:dyDescent="0.2">
      <c r="A6035" s="1">
        <v>15568</v>
      </c>
      <c r="B6035" s="1" t="s">
        <v>16286</v>
      </c>
      <c r="D6035" s="1" t="s">
        <v>16287</v>
      </c>
      <c r="F6035" s="1" t="s">
        <v>16288</v>
      </c>
      <c r="H6035" s="1" t="s">
        <v>16334</v>
      </c>
      <c r="J6035" s="1" t="s">
        <v>16336</v>
      </c>
      <c r="L6035" s="1" t="s">
        <v>2066</v>
      </c>
      <c r="M6035" s="1" t="s">
        <v>767</v>
      </c>
      <c r="N6035" s="1" t="s">
        <v>670</v>
      </c>
      <c r="P6035" s="1" t="s">
        <v>2698</v>
      </c>
      <c r="Q6035" s="3">
        <v>0</v>
      </c>
      <c r="R6035" s="23" t="s">
        <v>6854</v>
      </c>
      <c r="S6035" s="23" t="s">
        <v>6847</v>
      </c>
      <c r="T6035" s="23" t="s">
        <v>4866</v>
      </c>
      <c r="U6035" s="3">
        <v>35</v>
      </c>
      <c r="W6035" s="45" t="str">
        <f>HYPERLINK("http://ictvonline.org/taxonomy/p/taxonomy-history?taxnode_id=201904814","ICTVonline=201904814")</f>
        <v>ICTVonline=201904814</v>
      </c>
      <c r="AA6035" s="1">
        <v>201900000</v>
      </c>
      <c r="AB6035" s="1">
        <v>35</v>
      </c>
    </row>
    <row r="6036" spans="1:28" x14ac:dyDescent="0.2">
      <c r="A6036" s="1">
        <v>15570</v>
      </c>
      <c r="B6036" s="1" t="s">
        <v>16286</v>
      </c>
      <c r="D6036" s="1" t="s">
        <v>16287</v>
      </c>
      <c r="F6036" s="1" t="s">
        <v>16288</v>
      </c>
      <c r="H6036" s="1" t="s">
        <v>16334</v>
      </c>
      <c r="J6036" s="1" t="s">
        <v>16336</v>
      </c>
      <c r="L6036" s="1" t="s">
        <v>2066</v>
      </c>
      <c r="M6036" s="1" t="s">
        <v>767</v>
      </c>
      <c r="N6036" s="1" t="s">
        <v>670</v>
      </c>
      <c r="P6036" s="1" t="s">
        <v>2699</v>
      </c>
      <c r="Q6036" s="3">
        <v>0</v>
      </c>
      <c r="R6036" s="23" t="s">
        <v>6854</v>
      </c>
      <c r="S6036" s="23" t="s">
        <v>6847</v>
      </c>
      <c r="T6036" s="23" t="s">
        <v>4866</v>
      </c>
      <c r="U6036" s="3">
        <v>35</v>
      </c>
      <c r="W6036" s="45" t="str">
        <f>HYPERLINK("http://ictvonline.org/taxonomy/p/taxonomy-history?taxnode_id=201904815","ICTVonline=201904815")</f>
        <v>ICTVonline=201904815</v>
      </c>
      <c r="AA6036" s="1">
        <v>201900000</v>
      </c>
      <c r="AB6036" s="1">
        <v>35</v>
      </c>
    </row>
    <row r="6037" spans="1:28" x14ac:dyDescent="0.2">
      <c r="A6037" s="1">
        <v>15572</v>
      </c>
      <c r="B6037" s="1" t="s">
        <v>16286</v>
      </c>
      <c r="D6037" s="1" t="s">
        <v>16287</v>
      </c>
      <c r="F6037" s="1" t="s">
        <v>16288</v>
      </c>
      <c r="H6037" s="1" t="s">
        <v>16334</v>
      </c>
      <c r="J6037" s="1" t="s">
        <v>16336</v>
      </c>
      <c r="L6037" s="1" t="s">
        <v>2066</v>
      </c>
      <c r="M6037" s="1" t="s">
        <v>767</v>
      </c>
      <c r="N6037" s="1" t="s">
        <v>670</v>
      </c>
      <c r="P6037" s="1" t="s">
        <v>2700</v>
      </c>
      <c r="Q6037" s="3">
        <v>0</v>
      </c>
      <c r="R6037" s="23" t="s">
        <v>6854</v>
      </c>
      <c r="S6037" s="23" t="s">
        <v>6847</v>
      </c>
      <c r="T6037" s="23" t="s">
        <v>4866</v>
      </c>
      <c r="U6037" s="3">
        <v>35</v>
      </c>
      <c r="W6037" s="45" t="str">
        <f>HYPERLINK("http://ictvonline.org/taxonomy/p/taxonomy-history?taxnode_id=201904816","ICTVonline=201904816")</f>
        <v>ICTVonline=201904816</v>
      </c>
      <c r="AA6037" s="1">
        <v>201900000</v>
      </c>
      <c r="AB6037" s="1">
        <v>35</v>
      </c>
    </row>
    <row r="6038" spans="1:28" x14ac:dyDescent="0.2">
      <c r="A6038" s="1">
        <v>15576</v>
      </c>
      <c r="B6038" s="1" t="s">
        <v>16286</v>
      </c>
      <c r="D6038" s="1" t="s">
        <v>16287</v>
      </c>
      <c r="F6038" s="1" t="s">
        <v>16288</v>
      </c>
      <c r="H6038" s="1" t="s">
        <v>16334</v>
      </c>
      <c r="J6038" s="1" t="s">
        <v>16336</v>
      </c>
      <c r="L6038" s="1" t="s">
        <v>2066</v>
      </c>
      <c r="M6038" s="1" t="s">
        <v>767</v>
      </c>
      <c r="N6038" s="1" t="s">
        <v>16406</v>
      </c>
      <c r="P6038" s="1" t="s">
        <v>5465</v>
      </c>
      <c r="Q6038" s="3">
        <v>1</v>
      </c>
      <c r="R6038" s="23" t="s">
        <v>6854</v>
      </c>
      <c r="S6038" s="23" t="s">
        <v>6849</v>
      </c>
      <c r="T6038" s="23" t="s">
        <v>6395</v>
      </c>
      <c r="U6038" s="3">
        <v>35</v>
      </c>
      <c r="V6038" s="3" t="s">
        <v>16338</v>
      </c>
      <c r="W6038" s="45" t="str">
        <f>HYPERLINK("http://ictvonline.org/taxonomy/p/taxonomy-history?taxnode_id=201904826","ICTVonline=201904826")</f>
        <v>ICTVonline=201904826</v>
      </c>
      <c r="X6038" s="1" t="s">
        <v>16407</v>
      </c>
      <c r="Y6038" s="1" t="s">
        <v>16408</v>
      </c>
      <c r="Z6038" s="1" t="s">
        <v>16409</v>
      </c>
      <c r="AA6038" s="1">
        <v>201900000</v>
      </c>
      <c r="AB6038" s="1">
        <v>35</v>
      </c>
    </row>
    <row r="6039" spans="1:28" x14ac:dyDescent="0.2">
      <c r="A6039" s="1">
        <v>15580</v>
      </c>
      <c r="B6039" s="1" t="s">
        <v>16286</v>
      </c>
      <c r="D6039" s="1" t="s">
        <v>16287</v>
      </c>
      <c r="F6039" s="1" t="s">
        <v>16288</v>
      </c>
      <c r="H6039" s="1" t="s">
        <v>16334</v>
      </c>
      <c r="J6039" s="1" t="s">
        <v>16336</v>
      </c>
      <c r="L6039" s="1" t="s">
        <v>2066</v>
      </c>
      <c r="M6039" s="1" t="s">
        <v>767</v>
      </c>
      <c r="N6039" s="1" t="s">
        <v>1536</v>
      </c>
      <c r="P6039" s="1" t="s">
        <v>1537</v>
      </c>
      <c r="Q6039" s="3">
        <v>0</v>
      </c>
      <c r="R6039" s="23" t="s">
        <v>6854</v>
      </c>
      <c r="S6039" s="23" t="s">
        <v>6847</v>
      </c>
      <c r="T6039" s="23" t="s">
        <v>4866</v>
      </c>
      <c r="U6039" s="3">
        <v>35</v>
      </c>
      <c r="W6039" s="45" t="str">
        <f>HYPERLINK("http://ictvonline.org/taxonomy/p/taxonomy-history?taxnode_id=201904818","ICTVonline=201904818")</f>
        <v>ICTVonline=201904818</v>
      </c>
      <c r="AA6039" s="1">
        <v>201900000</v>
      </c>
      <c r="AB6039" s="1">
        <v>35</v>
      </c>
    </row>
    <row r="6040" spans="1:28" x14ac:dyDescent="0.2">
      <c r="A6040" s="1">
        <v>15582</v>
      </c>
      <c r="B6040" s="1" t="s">
        <v>16286</v>
      </c>
      <c r="D6040" s="1" t="s">
        <v>16287</v>
      </c>
      <c r="F6040" s="1" t="s">
        <v>16288</v>
      </c>
      <c r="H6040" s="1" t="s">
        <v>16334</v>
      </c>
      <c r="J6040" s="1" t="s">
        <v>16336</v>
      </c>
      <c r="L6040" s="1" t="s">
        <v>2066</v>
      </c>
      <c r="M6040" s="1" t="s">
        <v>767</v>
      </c>
      <c r="N6040" s="1" t="s">
        <v>1536</v>
      </c>
      <c r="P6040" s="1" t="s">
        <v>1810</v>
      </c>
      <c r="Q6040" s="3">
        <v>0</v>
      </c>
      <c r="R6040" s="23" t="s">
        <v>6854</v>
      </c>
      <c r="S6040" s="23" t="s">
        <v>6847</v>
      </c>
      <c r="T6040" s="23" t="s">
        <v>4866</v>
      </c>
      <c r="U6040" s="3">
        <v>35</v>
      </c>
      <c r="W6040" s="45" t="str">
        <f>HYPERLINK("http://ictvonline.org/taxonomy/p/taxonomy-history?taxnode_id=201904819","ICTVonline=201904819")</f>
        <v>ICTVonline=201904819</v>
      </c>
      <c r="AA6040" s="1">
        <v>201900000</v>
      </c>
      <c r="AB6040" s="1">
        <v>35</v>
      </c>
    </row>
    <row r="6041" spans="1:28" x14ac:dyDescent="0.2">
      <c r="A6041" s="1">
        <v>15584</v>
      </c>
      <c r="B6041" s="1" t="s">
        <v>16286</v>
      </c>
      <c r="D6041" s="1" t="s">
        <v>16287</v>
      </c>
      <c r="F6041" s="1" t="s">
        <v>16288</v>
      </c>
      <c r="H6041" s="1" t="s">
        <v>16334</v>
      </c>
      <c r="J6041" s="1" t="s">
        <v>16336</v>
      </c>
      <c r="L6041" s="1" t="s">
        <v>2066</v>
      </c>
      <c r="M6041" s="1" t="s">
        <v>767</v>
      </c>
      <c r="N6041" s="1" t="s">
        <v>1536</v>
      </c>
      <c r="P6041" s="1" t="s">
        <v>2008</v>
      </c>
      <c r="Q6041" s="3">
        <v>0</v>
      </c>
      <c r="R6041" s="23" t="s">
        <v>6854</v>
      </c>
      <c r="S6041" s="23" t="s">
        <v>6847</v>
      </c>
      <c r="T6041" s="23" t="s">
        <v>4866</v>
      </c>
      <c r="U6041" s="3">
        <v>35</v>
      </c>
      <c r="W6041" s="45" t="str">
        <f>HYPERLINK("http://ictvonline.org/taxonomy/p/taxonomy-history?taxnode_id=201904820","ICTVonline=201904820")</f>
        <v>ICTVonline=201904820</v>
      </c>
      <c r="AA6041" s="1">
        <v>201900000</v>
      </c>
      <c r="AB6041" s="1">
        <v>35</v>
      </c>
    </row>
    <row r="6042" spans="1:28" x14ac:dyDescent="0.2">
      <c r="A6042" s="1">
        <v>15586</v>
      </c>
      <c r="B6042" s="1" t="s">
        <v>16286</v>
      </c>
      <c r="D6042" s="1" t="s">
        <v>16287</v>
      </c>
      <c r="F6042" s="1" t="s">
        <v>16288</v>
      </c>
      <c r="H6042" s="1" t="s">
        <v>16334</v>
      </c>
      <c r="J6042" s="1" t="s">
        <v>16336</v>
      </c>
      <c r="L6042" s="1" t="s">
        <v>2066</v>
      </c>
      <c r="M6042" s="1" t="s">
        <v>767</v>
      </c>
      <c r="N6042" s="1" t="s">
        <v>1536</v>
      </c>
      <c r="P6042" s="1" t="s">
        <v>2117</v>
      </c>
      <c r="Q6042" s="3">
        <v>1</v>
      </c>
      <c r="R6042" s="23" t="s">
        <v>6854</v>
      </c>
      <c r="S6042" s="23" t="s">
        <v>6847</v>
      </c>
      <c r="T6042" s="23" t="s">
        <v>4866</v>
      </c>
      <c r="U6042" s="3">
        <v>35</v>
      </c>
      <c r="W6042" s="45" t="str">
        <f>HYPERLINK("http://ictvonline.org/taxonomy/p/taxonomy-history?taxnode_id=201904821","ICTVonline=201904821")</f>
        <v>ICTVonline=201904821</v>
      </c>
      <c r="AA6042" s="1">
        <v>201900000</v>
      </c>
      <c r="AB6042" s="1">
        <v>35</v>
      </c>
    </row>
    <row r="6043" spans="1:28" x14ac:dyDescent="0.2">
      <c r="A6043" s="1">
        <v>15588</v>
      </c>
      <c r="B6043" s="1" t="s">
        <v>16286</v>
      </c>
      <c r="D6043" s="1" t="s">
        <v>16287</v>
      </c>
      <c r="F6043" s="1" t="s">
        <v>16288</v>
      </c>
      <c r="H6043" s="1" t="s">
        <v>16334</v>
      </c>
      <c r="J6043" s="1" t="s">
        <v>16336</v>
      </c>
      <c r="L6043" s="1" t="s">
        <v>2066</v>
      </c>
      <c r="M6043" s="1" t="s">
        <v>767</v>
      </c>
      <c r="N6043" s="1" t="s">
        <v>1536</v>
      </c>
      <c r="P6043" s="1" t="s">
        <v>1510</v>
      </c>
      <c r="Q6043" s="3">
        <v>0</v>
      </c>
      <c r="R6043" s="23" t="s">
        <v>6854</v>
      </c>
      <c r="S6043" s="23" t="s">
        <v>6847</v>
      </c>
      <c r="T6043" s="23" t="s">
        <v>4866</v>
      </c>
      <c r="U6043" s="3">
        <v>35</v>
      </c>
      <c r="W6043" s="45" t="str">
        <f>HYPERLINK("http://ictvonline.org/taxonomy/p/taxonomy-history?taxnode_id=201904822","ICTVonline=201904822")</f>
        <v>ICTVonline=201904822</v>
      </c>
      <c r="AA6043" s="1">
        <v>201900000</v>
      </c>
      <c r="AB6043" s="1">
        <v>35</v>
      </c>
    </row>
    <row r="6044" spans="1:28" x14ac:dyDescent="0.2">
      <c r="A6044" s="1">
        <v>15590</v>
      </c>
      <c r="B6044" s="1" t="s">
        <v>16286</v>
      </c>
      <c r="D6044" s="1" t="s">
        <v>16287</v>
      </c>
      <c r="F6044" s="1" t="s">
        <v>16288</v>
      </c>
      <c r="H6044" s="1" t="s">
        <v>16334</v>
      </c>
      <c r="J6044" s="1" t="s">
        <v>16336</v>
      </c>
      <c r="L6044" s="1" t="s">
        <v>2066</v>
      </c>
      <c r="M6044" s="1" t="s">
        <v>767</v>
      </c>
      <c r="N6044" s="1" t="s">
        <v>1536</v>
      </c>
      <c r="P6044" s="1" t="s">
        <v>2701</v>
      </c>
      <c r="Q6044" s="3">
        <v>0</v>
      </c>
      <c r="R6044" s="23" t="s">
        <v>6854</v>
      </c>
      <c r="S6044" s="23" t="s">
        <v>6847</v>
      </c>
      <c r="T6044" s="23" t="s">
        <v>4866</v>
      </c>
      <c r="U6044" s="3">
        <v>35</v>
      </c>
      <c r="W6044" s="45" t="str">
        <f>HYPERLINK("http://ictvonline.org/taxonomy/p/taxonomy-history?taxnode_id=201904823","ICTVonline=201904823")</f>
        <v>ICTVonline=201904823</v>
      </c>
      <c r="AA6044" s="1">
        <v>201900000</v>
      </c>
      <c r="AB6044" s="1">
        <v>35</v>
      </c>
    </row>
    <row r="6045" spans="1:28" x14ac:dyDescent="0.2">
      <c r="A6045" s="1">
        <v>15593</v>
      </c>
      <c r="B6045" s="1" t="s">
        <v>16286</v>
      </c>
      <c r="D6045" s="1" t="s">
        <v>16287</v>
      </c>
      <c r="F6045" s="1" t="s">
        <v>16288</v>
      </c>
      <c r="H6045" s="1" t="s">
        <v>16334</v>
      </c>
      <c r="J6045" s="1" t="s">
        <v>16336</v>
      </c>
      <c r="L6045" s="1" t="s">
        <v>2066</v>
      </c>
      <c r="M6045" s="1" t="s">
        <v>767</v>
      </c>
      <c r="P6045" s="1" t="s">
        <v>2119</v>
      </c>
      <c r="Q6045" s="3">
        <v>0</v>
      </c>
      <c r="R6045" s="23" t="s">
        <v>6854</v>
      </c>
      <c r="S6045" s="23" t="s">
        <v>6847</v>
      </c>
      <c r="T6045" s="23" t="s">
        <v>4866</v>
      </c>
      <c r="U6045" s="3">
        <v>35</v>
      </c>
      <c r="W6045" s="45" t="str">
        <f>HYPERLINK("http://ictvonline.org/taxonomy/p/taxonomy-history?taxnode_id=201904825","ICTVonline=201904825")</f>
        <v>ICTVonline=201904825</v>
      </c>
      <c r="AA6045" s="1">
        <v>201900000</v>
      </c>
      <c r="AB6045" s="1">
        <v>35</v>
      </c>
    </row>
    <row r="6046" spans="1:28" x14ac:dyDescent="0.2">
      <c r="A6046" s="1">
        <v>15605</v>
      </c>
      <c r="B6046" s="1" t="s">
        <v>16286</v>
      </c>
      <c r="D6046" s="1" t="s">
        <v>16287</v>
      </c>
      <c r="F6046" s="1" t="s">
        <v>16410</v>
      </c>
      <c r="H6046" s="1" t="s">
        <v>16411</v>
      </c>
      <c r="J6046" s="1" t="s">
        <v>16412</v>
      </c>
      <c r="L6046" s="1" t="s">
        <v>3790</v>
      </c>
      <c r="N6046" s="1" t="s">
        <v>3791</v>
      </c>
      <c r="P6046" s="1" t="s">
        <v>3792</v>
      </c>
      <c r="Q6046" s="3">
        <v>1</v>
      </c>
      <c r="R6046" s="23" t="s">
        <v>6854</v>
      </c>
      <c r="S6046" s="23" t="s">
        <v>6847</v>
      </c>
      <c r="T6046" s="23" t="s">
        <v>4866</v>
      </c>
      <c r="U6046" s="3">
        <v>35</v>
      </c>
      <c r="W6046" s="45" t="str">
        <f>HYPERLINK("http://ictvonline.org/taxonomy/p/taxonomy-history?taxnode_id=201903747","ICTVonline=201903747")</f>
        <v>ICTVonline=201903747</v>
      </c>
      <c r="Y6046" s="1" t="s">
        <v>16413</v>
      </c>
      <c r="Z6046" s="1" t="s">
        <v>16414</v>
      </c>
      <c r="AA6046" s="1">
        <v>201900000</v>
      </c>
      <c r="AB6046" s="1">
        <v>35</v>
      </c>
    </row>
    <row r="6047" spans="1:28" x14ac:dyDescent="0.2">
      <c r="A6047" s="1">
        <v>15609</v>
      </c>
      <c r="B6047" s="1" t="s">
        <v>16286</v>
      </c>
      <c r="D6047" s="1" t="s">
        <v>16287</v>
      </c>
      <c r="F6047" s="1" t="s">
        <v>16410</v>
      </c>
      <c r="H6047" s="1" t="s">
        <v>16411</v>
      </c>
      <c r="J6047" s="1" t="s">
        <v>16412</v>
      </c>
      <c r="L6047" s="1" t="s">
        <v>3790</v>
      </c>
      <c r="N6047" s="1" t="s">
        <v>3793</v>
      </c>
      <c r="P6047" s="1" t="s">
        <v>3794</v>
      </c>
      <c r="Q6047" s="3">
        <v>1</v>
      </c>
      <c r="R6047" s="23" t="s">
        <v>6854</v>
      </c>
      <c r="S6047" s="23" t="s">
        <v>6847</v>
      </c>
      <c r="T6047" s="23" t="s">
        <v>4866</v>
      </c>
      <c r="U6047" s="3">
        <v>35</v>
      </c>
      <c r="W6047" s="45" t="str">
        <f>HYPERLINK("http://ictvonline.org/taxonomy/p/taxonomy-history?taxnode_id=201903749","ICTVonline=201903749")</f>
        <v>ICTVonline=201903749</v>
      </c>
      <c r="Y6047" s="1" t="s">
        <v>16415</v>
      </c>
      <c r="Z6047" s="1" t="s">
        <v>16416</v>
      </c>
      <c r="AA6047" s="1">
        <v>201900000</v>
      </c>
      <c r="AB6047" s="1">
        <v>35</v>
      </c>
    </row>
    <row r="6048" spans="1:28" x14ac:dyDescent="0.2">
      <c r="A6048" s="1">
        <v>15611</v>
      </c>
      <c r="B6048" s="1" t="s">
        <v>16286</v>
      </c>
      <c r="D6048" s="1" t="s">
        <v>16287</v>
      </c>
      <c r="F6048" s="1" t="s">
        <v>16410</v>
      </c>
      <c r="H6048" s="1" t="s">
        <v>16411</v>
      </c>
      <c r="J6048" s="1" t="s">
        <v>16412</v>
      </c>
      <c r="L6048" s="1" t="s">
        <v>3790</v>
      </c>
      <c r="N6048" s="1" t="s">
        <v>3793</v>
      </c>
      <c r="P6048" s="1" t="s">
        <v>3795</v>
      </c>
      <c r="Q6048" s="3">
        <v>0</v>
      </c>
      <c r="R6048" s="23" t="s">
        <v>6854</v>
      </c>
      <c r="S6048" s="23" t="s">
        <v>6847</v>
      </c>
      <c r="T6048" s="23" t="s">
        <v>4866</v>
      </c>
      <c r="U6048" s="3">
        <v>35</v>
      </c>
      <c r="W6048" s="45" t="str">
        <f>HYPERLINK("http://ictvonline.org/taxonomy/p/taxonomy-history?taxnode_id=201903750","ICTVonline=201903750")</f>
        <v>ICTVonline=201903750</v>
      </c>
      <c r="Y6048" s="1" t="s">
        <v>16417</v>
      </c>
      <c r="Z6048" s="1" t="s">
        <v>16418</v>
      </c>
      <c r="AA6048" s="1">
        <v>201900000</v>
      </c>
      <c r="AB6048" s="1">
        <v>35</v>
      </c>
    </row>
    <row r="6049" spans="1:28" x14ac:dyDescent="0.2">
      <c r="A6049" s="1">
        <v>15621</v>
      </c>
      <c r="B6049" s="1" t="s">
        <v>16286</v>
      </c>
      <c r="D6049" s="1" t="s">
        <v>16287</v>
      </c>
      <c r="F6049" s="1" t="s">
        <v>16410</v>
      </c>
      <c r="H6049" s="1" t="s">
        <v>16419</v>
      </c>
      <c r="J6049" s="1" t="s">
        <v>16420</v>
      </c>
      <c r="L6049" s="1" t="s">
        <v>2593</v>
      </c>
      <c r="N6049" s="1" t="s">
        <v>2594</v>
      </c>
      <c r="P6049" s="1" t="s">
        <v>2595</v>
      </c>
      <c r="Q6049" s="3">
        <v>1</v>
      </c>
      <c r="R6049" s="23" t="s">
        <v>6854</v>
      </c>
      <c r="S6049" s="23" t="s">
        <v>6847</v>
      </c>
      <c r="T6049" s="23" t="s">
        <v>4866</v>
      </c>
      <c r="U6049" s="3">
        <v>35</v>
      </c>
      <c r="W6049" s="45" t="str">
        <f>HYPERLINK("http://ictvonline.org/taxonomy/p/taxonomy-history?taxnode_id=201905328","ICTVonline=201905328")</f>
        <v>ICTVonline=201905328</v>
      </c>
      <c r="Y6049" s="1" t="s">
        <v>16421</v>
      </c>
      <c r="AA6049" s="1">
        <v>201900000</v>
      </c>
      <c r="AB6049" s="1">
        <v>35</v>
      </c>
    </row>
    <row r="6050" spans="1:28" x14ac:dyDescent="0.2">
      <c r="A6050" s="1">
        <v>15623</v>
      </c>
      <c r="B6050" s="1" t="s">
        <v>16286</v>
      </c>
      <c r="D6050" s="1" t="s">
        <v>16287</v>
      </c>
      <c r="F6050" s="1" t="s">
        <v>16410</v>
      </c>
      <c r="H6050" s="1" t="s">
        <v>16419</v>
      </c>
      <c r="J6050" s="1" t="s">
        <v>16420</v>
      </c>
      <c r="L6050" s="1" t="s">
        <v>2593</v>
      </c>
      <c r="N6050" s="1" t="s">
        <v>2594</v>
      </c>
      <c r="P6050" s="1" t="s">
        <v>2596</v>
      </c>
      <c r="Q6050" s="3">
        <v>0</v>
      </c>
      <c r="R6050" s="23" t="s">
        <v>6854</v>
      </c>
      <c r="S6050" s="23" t="s">
        <v>6847</v>
      </c>
      <c r="T6050" s="23" t="s">
        <v>4866</v>
      </c>
      <c r="U6050" s="3">
        <v>35</v>
      </c>
      <c r="W6050" s="45" t="str">
        <f>HYPERLINK("http://ictvonline.org/taxonomy/p/taxonomy-history?taxnode_id=201905329","ICTVonline=201905329")</f>
        <v>ICTVonline=201905329</v>
      </c>
      <c r="Y6050" s="1" t="s">
        <v>16422</v>
      </c>
      <c r="AA6050" s="1">
        <v>201900000</v>
      </c>
      <c r="AB6050" s="1">
        <v>35</v>
      </c>
    </row>
    <row r="6051" spans="1:28" x14ac:dyDescent="0.2">
      <c r="A6051" s="1">
        <v>15631</v>
      </c>
      <c r="B6051" s="1" t="s">
        <v>16286</v>
      </c>
      <c r="D6051" s="1" t="s">
        <v>16287</v>
      </c>
      <c r="F6051" s="1" t="s">
        <v>16410</v>
      </c>
      <c r="H6051" s="1" t="s">
        <v>16419</v>
      </c>
      <c r="J6051" s="1" t="s">
        <v>16423</v>
      </c>
      <c r="L6051" s="1" t="s">
        <v>1576</v>
      </c>
      <c r="N6051" s="1" t="s">
        <v>5517</v>
      </c>
      <c r="P6051" s="1" t="s">
        <v>5518</v>
      </c>
      <c r="Q6051" s="3">
        <v>0</v>
      </c>
      <c r="R6051" s="23" t="s">
        <v>6854</v>
      </c>
      <c r="S6051" s="23" t="s">
        <v>6847</v>
      </c>
      <c r="T6051" s="23" t="s">
        <v>4866</v>
      </c>
      <c r="U6051" s="3">
        <v>35</v>
      </c>
      <c r="W6051" s="45" t="str">
        <f>HYPERLINK("http://ictvonline.org/taxonomy/p/taxonomy-history?taxnode_id=201905994","ICTVonline=201905994")</f>
        <v>ICTVonline=201905994</v>
      </c>
      <c r="AA6051" s="1">
        <v>201900000</v>
      </c>
      <c r="AB6051" s="1">
        <v>35</v>
      </c>
    </row>
    <row r="6052" spans="1:28" x14ac:dyDescent="0.2">
      <c r="A6052" s="1">
        <v>15633</v>
      </c>
      <c r="B6052" s="1" t="s">
        <v>16286</v>
      </c>
      <c r="D6052" s="1" t="s">
        <v>16287</v>
      </c>
      <c r="F6052" s="1" t="s">
        <v>16410</v>
      </c>
      <c r="H6052" s="1" t="s">
        <v>16419</v>
      </c>
      <c r="J6052" s="1" t="s">
        <v>16423</v>
      </c>
      <c r="L6052" s="1" t="s">
        <v>1576</v>
      </c>
      <c r="N6052" s="1" t="s">
        <v>5517</v>
      </c>
      <c r="P6052" s="1" t="s">
        <v>5519</v>
      </c>
      <c r="Q6052" s="3">
        <v>1</v>
      </c>
      <c r="R6052" s="23" t="s">
        <v>6854</v>
      </c>
      <c r="S6052" s="23" t="s">
        <v>6847</v>
      </c>
      <c r="T6052" s="23" t="s">
        <v>4866</v>
      </c>
      <c r="U6052" s="3">
        <v>35</v>
      </c>
      <c r="W6052" s="45" t="str">
        <f>HYPERLINK("http://ictvonline.org/taxonomy/p/taxonomy-history?taxnode_id=201905076","ICTVonline=201905076")</f>
        <v>ICTVonline=201905076</v>
      </c>
      <c r="AA6052" s="1">
        <v>201900000</v>
      </c>
      <c r="AB6052" s="1">
        <v>35</v>
      </c>
    </row>
    <row r="6053" spans="1:28" x14ac:dyDescent="0.2">
      <c r="A6053" s="1">
        <v>15637</v>
      </c>
      <c r="B6053" s="1" t="s">
        <v>16286</v>
      </c>
      <c r="D6053" s="1" t="s">
        <v>16287</v>
      </c>
      <c r="F6053" s="1" t="s">
        <v>16410</v>
      </c>
      <c r="H6053" s="1" t="s">
        <v>16419</v>
      </c>
      <c r="J6053" s="1" t="s">
        <v>16423</v>
      </c>
      <c r="L6053" s="1" t="s">
        <v>1576</v>
      </c>
      <c r="N6053" s="1" t="s">
        <v>5520</v>
      </c>
      <c r="P6053" s="1" t="s">
        <v>3955</v>
      </c>
      <c r="Q6053" s="3">
        <v>0</v>
      </c>
      <c r="R6053" s="23" t="s">
        <v>6854</v>
      </c>
      <c r="S6053" s="23" t="s">
        <v>6847</v>
      </c>
      <c r="T6053" s="23" t="s">
        <v>4866</v>
      </c>
      <c r="U6053" s="3">
        <v>35</v>
      </c>
      <c r="W6053" s="45" t="str">
        <f>HYPERLINK("http://ictvonline.org/taxonomy/p/taxonomy-history?taxnode_id=201905074","ICTVonline=201905074")</f>
        <v>ICTVonline=201905074</v>
      </c>
      <c r="AA6053" s="1">
        <v>201900000</v>
      </c>
      <c r="AB6053" s="1">
        <v>35</v>
      </c>
    </row>
    <row r="6054" spans="1:28" x14ac:dyDescent="0.2">
      <c r="A6054" s="1">
        <v>15639</v>
      </c>
      <c r="B6054" s="1" t="s">
        <v>16286</v>
      </c>
      <c r="D6054" s="1" t="s">
        <v>16287</v>
      </c>
      <c r="F6054" s="1" t="s">
        <v>16410</v>
      </c>
      <c r="H6054" s="1" t="s">
        <v>16419</v>
      </c>
      <c r="J6054" s="1" t="s">
        <v>16423</v>
      </c>
      <c r="L6054" s="1" t="s">
        <v>1576</v>
      </c>
      <c r="N6054" s="1" t="s">
        <v>5520</v>
      </c>
      <c r="P6054" s="1" t="s">
        <v>3956</v>
      </c>
      <c r="Q6054" s="3">
        <v>1</v>
      </c>
      <c r="R6054" s="23" t="s">
        <v>6854</v>
      </c>
      <c r="S6054" s="23" t="s">
        <v>6847</v>
      </c>
      <c r="T6054" s="23" t="s">
        <v>4866</v>
      </c>
      <c r="U6054" s="3">
        <v>35</v>
      </c>
      <c r="W6054" s="45" t="str">
        <f>HYPERLINK("http://ictvonline.org/taxonomy/p/taxonomy-history?taxnode_id=201905075","ICTVonline=201905075")</f>
        <v>ICTVonline=201905075</v>
      </c>
      <c r="AA6054" s="1">
        <v>201900000</v>
      </c>
      <c r="AB6054" s="1">
        <v>35</v>
      </c>
    </row>
    <row r="6055" spans="1:28" x14ac:dyDescent="0.2">
      <c r="A6055" s="1">
        <v>15641</v>
      </c>
      <c r="B6055" s="1" t="s">
        <v>16286</v>
      </c>
      <c r="D6055" s="1" t="s">
        <v>16287</v>
      </c>
      <c r="F6055" s="1" t="s">
        <v>16410</v>
      </c>
      <c r="H6055" s="1" t="s">
        <v>16419</v>
      </c>
      <c r="J6055" s="1" t="s">
        <v>16423</v>
      </c>
      <c r="L6055" s="1" t="s">
        <v>1576</v>
      </c>
      <c r="N6055" s="1" t="s">
        <v>5520</v>
      </c>
      <c r="P6055" s="1" t="s">
        <v>5521</v>
      </c>
      <c r="Q6055" s="3">
        <v>0</v>
      </c>
      <c r="R6055" s="23" t="s">
        <v>6854</v>
      </c>
      <c r="S6055" s="23" t="s">
        <v>6847</v>
      </c>
      <c r="T6055" s="23" t="s">
        <v>4866</v>
      </c>
      <c r="U6055" s="3">
        <v>35</v>
      </c>
      <c r="W6055" s="45" t="str">
        <f>HYPERLINK("http://ictvonline.org/taxonomy/p/taxonomy-history?taxnode_id=201905995","ICTVonline=201905995")</f>
        <v>ICTVonline=201905995</v>
      </c>
      <c r="AA6055" s="1">
        <v>201900000</v>
      </c>
      <c r="AB6055" s="1">
        <v>35</v>
      </c>
    </row>
    <row r="6056" spans="1:28" x14ac:dyDescent="0.2">
      <c r="A6056" s="1">
        <v>15643</v>
      </c>
      <c r="B6056" s="1" t="s">
        <v>16286</v>
      </c>
      <c r="D6056" s="1" t="s">
        <v>16287</v>
      </c>
      <c r="F6056" s="1" t="s">
        <v>16410</v>
      </c>
      <c r="H6056" s="1" t="s">
        <v>16419</v>
      </c>
      <c r="J6056" s="1" t="s">
        <v>16423</v>
      </c>
      <c r="L6056" s="1" t="s">
        <v>1576</v>
      </c>
      <c r="N6056" s="1" t="s">
        <v>5520</v>
      </c>
      <c r="P6056" s="1" t="s">
        <v>5522</v>
      </c>
      <c r="Q6056" s="3">
        <v>0</v>
      </c>
      <c r="R6056" s="23" t="s">
        <v>6854</v>
      </c>
      <c r="S6056" s="23" t="s">
        <v>6847</v>
      </c>
      <c r="T6056" s="23" t="s">
        <v>4866</v>
      </c>
      <c r="U6056" s="3">
        <v>35</v>
      </c>
      <c r="W6056" s="45" t="str">
        <f>HYPERLINK("http://ictvonline.org/taxonomy/p/taxonomy-history?taxnode_id=201905996","ICTVonline=201905996")</f>
        <v>ICTVonline=201905996</v>
      </c>
      <c r="AA6056" s="1">
        <v>201900000</v>
      </c>
      <c r="AB6056" s="1">
        <v>35</v>
      </c>
    </row>
    <row r="6057" spans="1:28" x14ac:dyDescent="0.2">
      <c r="A6057" s="1">
        <v>15647</v>
      </c>
      <c r="B6057" s="1" t="s">
        <v>16286</v>
      </c>
      <c r="D6057" s="1" t="s">
        <v>16287</v>
      </c>
      <c r="F6057" s="1" t="s">
        <v>16410</v>
      </c>
      <c r="H6057" s="1" t="s">
        <v>16419</v>
      </c>
      <c r="J6057" s="1" t="s">
        <v>16423</v>
      </c>
      <c r="L6057" s="1" t="s">
        <v>1576</v>
      </c>
      <c r="N6057" s="1" t="s">
        <v>6830</v>
      </c>
      <c r="P6057" s="1" t="s">
        <v>6831</v>
      </c>
      <c r="Q6057" s="3">
        <v>1</v>
      </c>
      <c r="R6057" s="23" t="s">
        <v>6854</v>
      </c>
      <c r="S6057" s="23" t="s">
        <v>6847</v>
      </c>
      <c r="T6057" s="23" t="s">
        <v>4866</v>
      </c>
      <c r="U6057" s="3">
        <v>35</v>
      </c>
      <c r="W6057" s="45" t="str">
        <f>HYPERLINK("http://ictvonline.org/taxonomy/p/taxonomy-history?taxnode_id=201906875","ICTVonline=201906875")</f>
        <v>ICTVonline=201906875</v>
      </c>
      <c r="Y6057" s="1" t="s">
        <v>16424</v>
      </c>
      <c r="Z6057" s="1" t="s">
        <v>16425</v>
      </c>
      <c r="AA6057" s="1">
        <v>201900000</v>
      </c>
      <c r="AB6057" s="1">
        <v>35</v>
      </c>
    </row>
    <row r="6058" spans="1:28" x14ac:dyDescent="0.2">
      <c r="A6058" s="1">
        <v>15655</v>
      </c>
      <c r="B6058" s="1" t="s">
        <v>16286</v>
      </c>
      <c r="D6058" s="1" t="s">
        <v>16287</v>
      </c>
      <c r="F6058" s="1" t="s">
        <v>16410</v>
      </c>
      <c r="H6058" s="1" t="s">
        <v>16419</v>
      </c>
      <c r="J6058" s="1" t="s">
        <v>16426</v>
      </c>
      <c r="L6058" s="1" t="s">
        <v>1769</v>
      </c>
      <c r="N6058" s="1" t="s">
        <v>1770</v>
      </c>
      <c r="P6058" s="1" t="s">
        <v>2315</v>
      </c>
      <c r="Q6058" s="3">
        <v>0</v>
      </c>
      <c r="R6058" s="23" t="s">
        <v>6854</v>
      </c>
      <c r="S6058" s="23" t="s">
        <v>6847</v>
      </c>
      <c r="T6058" s="23" t="s">
        <v>4866</v>
      </c>
      <c r="U6058" s="3">
        <v>35</v>
      </c>
      <c r="W6058" s="45" t="str">
        <f>HYPERLINK("http://ictvonline.org/taxonomy/p/taxonomy-history?taxnode_id=201902390","ICTVonline=201902390")</f>
        <v>ICTVonline=201902390</v>
      </c>
      <c r="AA6058" s="1">
        <v>201900000</v>
      </c>
      <c r="AB6058" s="1">
        <v>35</v>
      </c>
    </row>
    <row r="6059" spans="1:28" x14ac:dyDescent="0.2">
      <c r="A6059" s="1">
        <v>15657</v>
      </c>
      <c r="B6059" s="1" t="s">
        <v>16286</v>
      </c>
      <c r="D6059" s="1" t="s">
        <v>16287</v>
      </c>
      <c r="F6059" s="1" t="s">
        <v>16410</v>
      </c>
      <c r="H6059" s="1" t="s">
        <v>16419</v>
      </c>
      <c r="J6059" s="1" t="s">
        <v>16426</v>
      </c>
      <c r="L6059" s="1" t="s">
        <v>1769</v>
      </c>
      <c r="N6059" s="1" t="s">
        <v>1770</v>
      </c>
      <c r="P6059" s="1" t="s">
        <v>5151</v>
      </c>
      <c r="Q6059" s="3">
        <v>0</v>
      </c>
      <c r="R6059" s="23" t="s">
        <v>6854</v>
      </c>
      <c r="S6059" s="23" t="s">
        <v>6847</v>
      </c>
      <c r="T6059" s="23" t="s">
        <v>4866</v>
      </c>
      <c r="U6059" s="3">
        <v>35</v>
      </c>
      <c r="W6059" s="45" t="str">
        <f>HYPERLINK("http://ictvonline.org/taxonomy/p/taxonomy-history?taxnode_id=201905652","ICTVonline=201905652")</f>
        <v>ICTVonline=201905652</v>
      </c>
      <c r="AA6059" s="1">
        <v>201900000</v>
      </c>
      <c r="AB6059" s="1">
        <v>35</v>
      </c>
    </row>
    <row r="6060" spans="1:28" x14ac:dyDescent="0.2">
      <c r="A6060" s="1">
        <v>15659</v>
      </c>
      <c r="B6060" s="1" t="s">
        <v>16286</v>
      </c>
      <c r="D6060" s="1" t="s">
        <v>16287</v>
      </c>
      <c r="F6060" s="1" t="s">
        <v>16410</v>
      </c>
      <c r="H6060" s="1" t="s">
        <v>16419</v>
      </c>
      <c r="J6060" s="1" t="s">
        <v>16426</v>
      </c>
      <c r="L6060" s="1" t="s">
        <v>1769</v>
      </c>
      <c r="N6060" s="1" t="s">
        <v>1770</v>
      </c>
      <c r="P6060" s="1" t="s">
        <v>2316</v>
      </c>
      <c r="Q6060" s="3">
        <v>0</v>
      </c>
      <c r="R6060" s="23" t="s">
        <v>6854</v>
      </c>
      <c r="S6060" s="23" t="s">
        <v>6847</v>
      </c>
      <c r="T6060" s="23" t="s">
        <v>4866</v>
      </c>
      <c r="U6060" s="3">
        <v>35</v>
      </c>
      <c r="W6060" s="45" t="str">
        <f>HYPERLINK("http://ictvonline.org/taxonomy/p/taxonomy-history?taxnode_id=201902391","ICTVonline=201902391")</f>
        <v>ICTVonline=201902391</v>
      </c>
      <c r="AA6060" s="1">
        <v>201900000</v>
      </c>
      <c r="AB6060" s="1">
        <v>35</v>
      </c>
    </row>
    <row r="6061" spans="1:28" x14ac:dyDescent="0.2">
      <c r="A6061" s="1">
        <v>15661</v>
      </c>
      <c r="B6061" s="1" t="s">
        <v>16286</v>
      </c>
      <c r="D6061" s="1" t="s">
        <v>16287</v>
      </c>
      <c r="F6061" s="1" t="s">
        <v>16410</v>
      </c>
      <c r="H6061" s="1" t="s">
        <v>16419</v>
      </c>
      <c r="J6061" s="1" t="s">
        <v>16426</v>
      </c>
      <c r="L6061" s="1" t="s">
        <v>1769</v>
      </c>
      <c r="N6061" s="1" t="s">
        <v>1770</v>
      </c>
      <c r="P6061" s="1" t="s">
        <v>4558</v>
      </c>
      <c r="Q6061" s="3">
        <v>0</v>
      </c>
      <c r="R6061" s="23" t="s">
        <v>6854</v>
      </c>
      <c r="S6061" s="23" t="s">
        <v>6847</v>
      </c>
      <c r="T6061" s="23" t="s">
        <v>4866</v>
      </c>
      <c r="U6061" s="3">
        <v>35</v>
      </c>
      <c r="W6061" s="45" t="str">
        <f>HYPERLINK("http://ictvonline.org/taxonomy/p/taxonomy-history?taxnode_id=201902392","ICTVonline=201902392")</f>
        <v>ICTVonline=201902392</v>
      </c>
      <c r="Y6061" s="1" t="s">
        <v>16427</v>
      </c>
      <c r="Z6061" s="1" t="s">
        <v>16428</v>
      </c>
      <c r="AA6061" s="1">
        <v>201900000</v>
      </c>
      <c r="AB6061" s="1">
        <v>35</v>
      </c>
    </row>
    <row r="6062" spans="1:28" x14ac:dyDescent="0.2">
      <c r="A6062" s="1">
        <v>15663</v>
      </c>
      <c r="B6062" s="1" t="s">
        <v>16286</v>
      </c>
      <c r="D6062" s="1" t="s">
        <v>16287</v>
      </c>
      <c r="F6062" s="1" t="s">
        <v>16410</v>
      </c>
      <c r="H6062" s="1" t="s">
        <v>16419</v>
      </c>
      <c r="J6062" s="1" t="s">
        <v>16426</v>
      </c>
      <c r="L6062" s="1" t="s">
        <v>1769</v>
      </c>
      <c r="N6062" s="1" t="s">
        <v>1770</v>
      </c>
      <c r="P6062" s="1" t="s">
        <v>2317</v>
      </c>
      <c r="Q6062" s="3">
        <v>1</v>
      </c>
      <c r="R6062" s="23" t="s">
        <v>6854</v>
      </c>
      <c r="S6062" s="23" t="s">
        <v>6847</v>
      </c>
      <c r="T6062" s="23" t="s">
        <v>4866</v>
      </c>
      <c r="U6062" s="3">
        <v>35</v>
      </c>
      <c r="W6062" s="45" t="str">
        <f>HYPERLINK("http://ictvonline.org/taxonomy/p/taxonomy-history?taxnode_id=201902393","ICTVonline=201902393")</f>
        <v>ICTVonline=201902393</v>
      </c>
      <c r="AA6062" s="1">
        <v>201900000</v>
      </c>
      <c r="AB6062" s="1">
        <v>35</v>
      </c>
    </row>
    <row r="6063" spans="1:28" x14ac:dyDescent="0.2">
      <c r="A6063" s="1">
        <v>15665</v>
      </c>
      <c r="B6063" s="1" t="s">
        <v>16286</v>
      </c>
      <c r="D6063" s="1" t="s">
        <v>16287</v>
      </c>
      <c r="F6063" s="1" t="s">
        <v>16410</v>
      </c>
      <c r="H6063" s="1" t="s">
        <v>16419</v>
      </c>
      <c r="J6063" s="1" t="s">
        <v>16426</v>
      </c>
      <c r="L6063" s="1" t="s">
        <v>1769</v>
      </c>
      <c r="N6063" s="1" t="s">
        <v>1770</v>
      </c>
      <c r="P6063" s="1" t="s">
        <v>2318</v>
      </c>
      <c r="Q6063" s="3">
        <v>0</v>
      </c>
      <c r="R6063" s="23" t="s">
        <v>6854</v>
      </c>
      <c r="S6063" s="23" t="s">
        <v>6847</v>
      </c>
      <c r="T6063" s="23" t="s">
        <v>4866</v>
      </c>
      <c r="U6063" s="3">
        <v>35</v>
      </c>
      <c r="W6063" s="45" t="str">
        <f>HYPERLINK("http://ictvonline.org/taxonomy/p/taxonomy-history?taxnode_id=201902394","ICTVonline=201902394")</f>
        <v>ICTVonline=201902394</v>
      </c>
      <c r="AA6063" s="1">
        <v>201900000</v>
      </c>
      <c r="AB6063" s="1">
        <v>35</v>
      </c>
    </row>
    <row r="6064" spans="1:28" x14ac:dyDescent="0.2">
      <c r="A6064" s="1">
        <v>15667</v>
      </c>
      <c r="B6064" s="1" t="s">
        <v>16286</v>
      </c>
      <c r="D6064" s="1" t="s">
        <v>16287</v>
      </c>
      <c r="F6064" s="1" t="s">
        <v>16410</v>
      </c>
      <c r="H6064" s="1" t="s">
        <v>16419</v>
      </c>
      <c r="J6064" s="1" t="s">
        <v>16426</v>
      </c>
      <c r="L6064" s="1" t="s">
        <v>1769</v>
      </c>
      <c r="N6064" s="1" t="s">
        <v>1770</v>
      </c>
      <c r="P6064" s="1" t="s">
        <v>4559</v>
      </c>
      <c r="Q6064" s="3">
        <v>0</v>
      </c>
      <c r="R6064" s="23" t="s">
        <v>6854</v>
      </c>
      <c r="S6064" s="23" t="s">
        <v>6847</v>
      </c>
      <c r="T6064" s="23" t="s">
        <v>4866</v>
      </c>
      <c r="U6064" s="3">
        <v>35</v>
      </c>
      <c r="W6064" s="45" t="str">
        <f>HYPERLINK("http://ictvonline.org/taxonomy/p/taxonomy-history?taxnode_id=201902395","ICTVonline=201902395")</f>
        <v>ICTVonline=201902395</v>
      </c>
      <c r="Y6064" s="1" t="s">
        <v>16429</v>
      </c>
      <c r="Z6064" s="1" t="s">
        <v>16430</v>
      </c>
      <c r="AA6064" s="1">
        <v>201900000</v>
      </c>
      <c r="AB6064" s="1">
        <v>35</v>
      </c>
    </row>
    <row r="6065" spans="1:28" x14ac:dyDescent="0.2">
      <c r="A6065" s="1">
        <v>15669</v>
      </c>
      <c r="B6065" s="1" t="s">
        <v>16286</v>
      </c>
      <c r="D6065" s="1" t="s">
        <v>16287</v>
      </c>
      <c r="F6065" s="1" t="s">
        <v>16410</v>
      </c>
      <c r="H6065" s="1" t="s">
        <v>16419</v>
      </c>
      <c r="J6065" s="1" t="s">
        <v>16426</v>
      </c>
      <c r="L6065" s="1" t="s">
        <v>1769</v>
      </c>
      <c r="N6065" s="1" t="s">
        <v>1770</v>
      </c>
      <c r="P6065" s="1" t="s">
        <v>2319</v>
      </c>
      <c r="Q6065" s="3">
        <v>0</v>
      </c>
      <c r="R6065" s="23" t="s">
        <v>6854</v>
      </c>
      <c r="S6065" s="23" t="s">
        <v>6847</v>
      </c>
      <c r="T6065" s="23" t="s">
        <v>4866</v>
      </c>
      <c r="U6065" s="3">
        <v>35</v>
      </c>
      <c r="W6065" s="45" t="str">
        <f>HYPERLINK("http://ictvonline.org/taxonomy/p/taxonomy-history?taxnode_id=201902396","ICTVonline=201902396")</f>
        <v>ICTVonline=201902396</v>
      </c>
      <c r="AA6065" s="1">
        <v>201900000</v>
      </c>
      <c r="AB6065" s="1">
        <v>35</v>
      </c>
    </row>
    <row r="6066" spans="1:28" x14ac:dyDescent="0.2">
      <c r="A6066" s="1">
        <v>15673</v>
      </c>
      <c r="B6066" s="1" t="s">
        <v>16286</v>
      </c>
      <c r="D6066" s="1" t="s">
        <v>16287</v>
      </c>
      <c r="F6066" s="1" t="s">
        <v>16410</v>
      </c>
      <c r="H6066" s="1" t="s">
        <v>16419</v>
      </c>
      <c r="J6066" s="1" t="s">
        <v>16426</v>
      </c>
      <c r="L6066" s="1" t="s">
        <v>1769</v>
      </c>
      <c r="N6066" s="1" t="s">
        <v>1375</v>
      </c>
      <c r="P6066" s="1" t="s">
        <v>3620</v>
      </c>
      <c r="Q6066" s="3">
        <v>0</v>
      </c>
      <c r="R6066" s="23" t="s">
        <v>6854</v>
      </c>
      <c r="S6066" s="23" t="s">
        <v>6847</v>
      </c>
      <c r="T6066" s="23" t="s">
        <v>4866</v>
      </c>
      <c r="U6066" s="3">
        <v>35</v>
      </c>
      <c r="W6066" s="45" t="str">
        <f>HYPERLINK("http://ictvonline.org/taxonomy/p/taxonomy-history?taxnode_id=201902398","ICTVonline=201902398")</f>
        <v>ICTVonline=201902398</v>
      </c>
      <c r="Y6066" s="1" t="s">
        <v>16431</v>
      </c>
      <c r="Z6066" s="1" t="s">
        <v>16432</v>
      </c>
      <c r="AA6066" s="1">
        <v>201900000</v>
      </c>
      <c r="AB6066" s="1">
        <v>35</v>
      </c>
    </row>
    <row r="6067" spans="1:28" x14ac:dyDescent="0.2">
      <c r="A6067" s="1">
        <v>15675</v>
      </c>
      <c r="B6067" s="1" t="s">
        <v>16286</v>
      </c>
      <c r="D6067" s="1" t="s">
        <v>16287</v>
      </c>
      <c r="F6067" s="1" t="s">
        <v>16410</v>
      </c>
      <c r="H6067" s="1" t="s">
        <v>16419</v>
      </c>
      <c r="J6067" s="1" t="s">
        <v>16426</v>
      </c>
      <c r="L6067" s="1" t="s">
        <v>1769</v>
      </c>
      <c r="N6067" s="1" t="s">
        <v>1375</v>
      </c>
      <c r="P6067" s="1" t="s">
        <v>2320</v>
      </c>
      <c r="Q6067" s="3">
        <v>0</v>
      </c>
      <c r="R6067" s="23" t="s">
        <v>6854</v>
      </c>
      <c r="S6067" s="23" t="s">
        <v>6847</v>
      </c>
      <c r="T6067" s="23" t="s">
        <v>4866</v>
      </c>
      <c r="U6067" s="3">
        <v>35</v>
      </c>
      <c r="W6067" s="45" t="str">
        <f>HYPERLINK("http://ictvonline.org/taxonomy/p/taxonomy-history?taxnode_id=201902399","ICTVonline=201902399")</f>
        <v>ICTVonline=201902399</v>
      </c>
      <c r="AA6067" s="1">
        <v>201900000</v>
      </c>
      <c r="AB6067" s="1">
        <v>35</v>
      </c>
    </row>
    <row r="6068" spans="1:28" x14ac:dyDescent="0.2">
      <c r="A6068" s="1">
        <v>15677</v>
      </c>
      <c r="B6068" s="1" t="s">
        <v>16286</v>
      </c>
      <c r="D6068" s="1" t="s">
        <v>16287</v>
      </c>
      <c r="F6068" s="1" t="s">
        <v>16410</v>
      </c>
      <c r="H6068" s="1" t="s">
        <v>16419</v>
      </c>
      <c r="J6068" s="1" t="s">
        <v>16426</v>
      </c>
      <c r="L6068" s="1" t="s">
        <v>1769</v>
      </c>
      <c r="N6068" s="1" t="s">
        <v>1375</v>
      </c>
      <c r="P6068" s="1" t="s">
        <v>2321</v>
      </c>
      <c r="Q6068" s="3">
        <v>1</v>
      </c>
      <c r="R6068" s="23" t="s">
        <v>6854</v>
      </c>
      <c r="S6068" s="23" t="s">
        <v>6847</v>
      </c>
      <c r="T6068" s="23" t="s">
        <v>4866</v>
      </c>
      <c r="U6068" s="3">
        <v>35</v>
      </c>
      <c r="W6068" s="45" t="str">
        <f>HYPERLINK("http://ictvonline.org/taxonomy/p/taxonomy-history?taxnode_id=201902400","ICTVonline=201902400")</f>
        <v>ICTVonline=201902400</v>
      </c>
      <c r="AA6068" s="1">
        <v>201900000</v>
      </c>
      <c r="AB6068" s="1">
        <v>35</v>
      </c>
    </row>
    <row r="6069" spans="1:28" x14ac:dyDescent="0.2">
      <c r="A6069" s="1">
        <v>15679</v>
      </c>
      <c r="B6069" s="1" t="s">
        <v>16286</v>
      </c>
      <c r="D6069" s="1" t="s">
        <v>16287</v>
      </c>
      <c r="F6069" s="1" t="s">
        <v>16410</v>
      </c>
      <c r="H6069" s="1" t="s">
        <v>16419</v>
      </c>
      <c r="J6069" s="1" t="s">
        <v>16426</v>
      </c>
      <c r="L6069" s="1" t="s">
        <v>1769</v>
      </c>
      <c r="N6069" s="1" t="s">
        <v>1375</v>
      </c>
      <c r="P6069" s="1" t="s">
        <v>2322</v>
      </c>
      <c r="Q6069" s="3">
        <v>0</v>
      </c>
      <c r="R6069" s="23" t="s">
        <v>6854</v>
      </c>
      <c r="S6069" s="23" t="s">
        <v>6847</v>
      </c>
      <c r="T6069" s="23" t="s">
        <v>4866</v>
      </c>
      <c r="U6069" s="3">
        <v>35</v>
      </c>
      <c r="W6069" s="45" t="str">
        <f>HYPERLINK("http://ictvonline.org/taxonomy/p/taxonomy-history?taxnode_id=201902401","ICTVonline=201902401")</f>
        <v>ICTVonline=201902401</v>
      </c>
      <c r="AA6069" s="1">
        <v>201900000</v>
      </c>
      <c r="AB6069" s="1">
        <v>35</v>
      </c>
    </row>
    <row r="6070" spans="1:28" x14ac:dyDescent="0.2">
      <c r="A6070" s="1">
        <v>15681</v>
      </c>
      <c r="B6070" s="1" t="s">
        <v>16286</v>
      </c>
      <c r="D6070" s="1" t="s">
        <v>16287</v>
      </c>
      <c r="F6070" s="1" t="s">
        <v>16410</v>
      </c>
      <c r="H6070" s="1" t="s">
        <v>16419</v>
      </c>
      <c r="J6070" s="1" t="s">
        <v>16426</v>
      </c>
      <c r="L6070" s="1" t="s">
        <v>1769</v>
      </c>
      <c r="N6070" s="1" t="s">
        <v>1375</v>
      </c>
      <c r="P6070" s="1" t="s">
        <v>2323</v>
      </c>
      <c r="Q6070" s="3">
        <v>0</v>
      </c>
      <c r="R6070" s="23" t="s">
        <v>6854</v>
      </c>
      <c r="S6070" s="23" t="s">
        <v>6847</v>
      </c>
      <c r="T6070" s="23" t="s">
        <v>4866</v>
      </c>
      <c r="U6070" s="3">
        <v>35</v>
      </c>
      <c r="W6070" s="45" t="str">
        <f>HYPERLINK("http://ictvonline.org/taxonomy/p/taxonomy-history?taxnode_id=201902402","ICTVonline=201902402")</f>
        <v>ICTVonline=201902402</v>
      </c>
      <c r="AA6070" s="1">
        <v>201900000</v>
      </c>
      <c r="AB6070" s="1">
        <v>35</v>
      </c>
    </row>
    <row r="6071" spans="1:28" x14ac:dyDescent="0.2">
      <c r="A6071" s="1">
        <v>15683</v>
      </c>
      <c r="B6071" s="1" t="s">
        <v>16286</v>
      </c>
      <c r="D6071" s="1" t="s">
        <v>16287</v>
      </c>
      <c r="F6071" s="1" t="s">
        <v>16410</v>
      </c>
      <c r="H6071" s="1" t="s">
        <v>16419</v>
      </c>
      <c r="J6071" s="1" t="s">
        <v>16426</v>
      </c>
      <c r="L6071" s="1" t="s">
        <v>1769</v>
      </c>
      <c r="N6071" s="1" t="s">
        <v>1375</v>
      </c>
      <c r="P6071" s="1" t="s">
        <v>2324</v>
      </c>
      <c r="Q6071" s="3">
        <v>0</v>
      </c>
      <c r="R6071" s="23" t="s">
        <v>6854</v>
      </c>
      <c r="S6071" s="23" t="s">
        <v>6847</v>
      </c>
      <c r="T6071" s="23" t="s">
        <v>4866</v>
      </c>
      <c r="U6071" s="3">
        <v>35</v>
      </c>
      <c r="W6071" s="45" t="str">
        <f>HYPERLINK("http://ictvonline.org/taxonomy/p/taxonomy-history?taxnode_id=201902403","ICTVonline=201902403")</f>
        <v>ICTVonline=201902403</v>
      </c>
      <c r="AA6071" s="1">
        <v>201900000</v>
      </c>
      <c r="AB6071" s="1">
        <v>35</v>
      </c>
    </row>
    <row r="6072" spans="1:28" x14ac:dyDescent="0.2">
      <c r="A6072" s="1">
        <v>15685</v>
      </c>
      <c r="B6072" s="1" t="s">
        <v>16286</v>
      </c>
      <c r="D6072" s="1" t="s">
        <v>16287</v>
      </c>
      <c r="F6072" s="1" t="s">
        <v>16410</v>
      </c>
      <c r="H6072" s="1" t="s">
        <v>16419</v>
      </c>
      <c r="J6072" s="1" t="s">
        <v>16426</v>
      </c>
      <c r="L6072" s="1" t="s">
        <v>1769</v>
      </c>
      <c r="N6072" s="1" t="s">
        <v>1375</v>
      </c>
      <c r="P6072" s="1" t="s">
        <v>2325</v>
      </c>
      <c r="Q6072" s="3">
        <v>0</v>
      </c>
      <c r="R6072" s="23" t="s">
        <v>6854</v>
      </c>
      <c r="S6072" s="23" t="s">
        <v>6847</v>
      </c>
      <c r="T6072" s="23" t="s">
        <v>4866</v>
      </c>
      <c r="U6072" s="3">
        <v>35</v>
      </c>
      <c r="W6072" s="45" t="str">
        <f>HYPERLINK("http://ictvonline.org/taxonomy/p/taxonomy-history?taxnode_id=201902404","ICTVonline=201902404")</f>
        <v>ICTVonline=201902404</v>
      </c>
      <c r="AA6072" s="1">
        <v>201900000</v>
      </c>
      <c r="AB6072" s="1">
        <v>35</v>
      </c>
    </row>
    <row r="6073" spans="1:28" x14ac:dyDescent="0.2">
      <c r="A6073" s="1">
        <v>15687</v>
      </c>
      <c r="B6073" s="1" t="s">
        <v>16286</v>
      </c>
      <c r="D6073" s="1" t="s">
        <v>16287</v>
      </c>
      <c r="F6073" s="1" t="s">
        <v>16410</v>
      </c>
      <c r="H6073" s="1" t="s">
        <v>16419</v>
      </c>
      <c r="J6073" s="1" t="s">
        <v>16426</v>
      </c>
      <c r="L6073" s="1" t="s">
        <v>1769</v>
      </c>
      <c r="N6073" s="1" t="s">
        <v>1375</v>
      </c>
      <c r="P6073" s="1" t="s">
        <v>2326</v>
      </c>
      <c r="Q6073" s="3">
        <v>0</v>
      </c>
      <c r="R6073" s="23" t="s">
        <v>6854</v>
      </c>
      <c r="S6073" s="23" t="s">
        <v>6847</v>
      </c>
      <c r="T6073" s="23" t="s">
        <v>4866</v>
      </c>
      <c r="U6073" s="3">
        <v>35</v>
      </c>
      <c r="W6073" s="45" t="str">
        <f>HYPERLINK("http://ictvonline.org/taxonomy/p/taxonomy-history?taxnode_id=201902405","ICTVonline=201902405")</f>
        <v>ICTVonline=201902405</v>
      </c>
      <c r="AA6073" s="1">
        <v>201900000</v>
      </c>
      <c r="AB6073" s="1">
        <v>35</v>
      </c>
    </row>
    <row r="6074" spans="1:28" x14ac:dyDescent="0.2">
      <c r="A6074" s="1">
        <v>15689</v>
      </c>
      <c r="B6074" s="1" t="s">
        <v>16286</v>
      </c>
      <c r="D6074" s="1" t="s">
        <v>16287</v>
      </c>
      <c r="F6074" s="1" t="s">
        <v>16410</v>
      </c>
      <c r="H6074" s="1" t="s">
        <v>16419</v>
      </c>
      <c r="J6074" s="1" t="s">
        <v>16426</v>
      </c>
      <c r="L6074" s="1" t="s">
        <v>1769</v>
      </c>
      <c r="N6074" s="1" t="s">
        <v>1375</v>
      </c>
      <c r="P6074" s="1" t="s">
        <v>3621</v>
      </c>
      <c r="Q6074" s="3">
        <v>0</v>
      </c>
      <c r="R6074" s="23" t="s">
        <v>6854</v>
      </c>
      <c r="S6074" s="23" t="s">
        <v>6847</v>
      </c>
      <c r="T6074" s="23" t="s">
        <v>4866</v>
      </c>
      <c r="U6074" s="3">
        <v>35</v>
      </c>
      <c r="W6074" s="45" t="str">
        <f>HYPERLINK("http://ictvonline.org/taxonomy/p/taxonomy-history?taxnode_id=201902406","ICTVonline=201902406")</f>
        <v>ICTVonline=201902406</v>
      </c>
      <c r="Y6074" s="1" t="s">
        <v>16433</v>
      </c>
      <c r="Z6074" s="1" t="s">
        <v>16434</v>
      </c>
      <c r="AA6074" s="1">
        <v>201900000</v>
      </c>
      <c r="AB6074" s="1">
        <v>35</v>
      </c>
    </row>
    <row r="6075" spans="1:28" x14ac:dyDescent="0.2">
      <c r="A6075" s="1">
        <v>15691</v>
      </c>
      <c r="B6075" s="1" t="s">
        <v>16286</v>
      </c>
      <c r="D6075" s="1" t="s">
        <v>16287</v>
      </c>
      <c r="F6075" s="1" t="s">
        <v>16410</v>
      </c>
      <c r="H6075" s="1" t="s">
        <v>16419</v>
      </c>
      <c r="J6075" s="1" t="s">
        <v>16426</v>
      </c>
      <c r="L6075" s="1" t="s">
        <v>1769</v>
      </c>
      <c r="N6075" s="1" t="s">
        <v>1375</v>
      </c>
      <c r="P6075" s="1" t="s">
        <v>5152</v>
      </c>
      <c r="Q6075" s="3">
        <v>0</v>
      </c>
      <c r="R6075" s="23" t="s">
        <v>6854</v>
      </c>
      <c r="S6075" s="23" t="s">
        <v>6847</v>
      </c>
      <c r="T6075" s="23" t="s">
        <v>4866</v>
      </c>
      <c r="U6075" s="3">
        <v>35</v>
      </c>
      <c r="W6075" s="45" t="str">
        <f>HYPERLINK("http://ictvonline.org/taxonomy/p/taxonomy-history?taxnode_id=201905653","ICTVonline=201905653")</f>
        <v>ICTVonline=201905653</v>
      </c>
      <c r="AA6075" s="1">
        <v>201900000</v>
      </c>
      <c r="AB6075" s="1">
        <v>35</v>
      </c>
    </row>
    <row r="6076" spans="1:28" x14ac:dyDescent="0.2">
      <c r="A6076" s="1">
        <v>15693</v>
      </c>
      <c r="B6076" s="1" t="s">
        <v>16286</v>
      </c>
      <c r="D6076" s="1" t="s">
        <v>16287</v>
      </c>
      <c r="F6076" s="1" t="s">
        <v>16410</v>
      </c>
      <c r="H6076" s="1" t="s">
        <v>16419</v>
      </c>
      <c r="J6076" s="1" t="s">
        <v>16426</v>
      </c>
      <c r="L6076" s="1" t="s">
        <v>1769</v>
      </c>
      <c r="N6076" s="1" t="s">
        <v>1375</v>
      </c>
      <c r="P6076" s="1" t="s">
        <v>5153</v>
      </c>
      <c r="Q6076" s="3">
        <v>0</v>
      </c>
      <c r="R6076" s="23" t="s">
        <v>6854</v>
      </c>
      <c r="S6076" s="23" t="s">
        <v>6847</v>
      </c>
      <c r="T6076" s="23" t="s">
        <v>4866</v>
      </c>
      <c r="U6076" s="3">
        <v>35</v>
      </c>
      <c r="W6076" s="45" t="str">
        <f>HYPERLINK("http://ictvonline.org/taxonomy/p/taxonomy-history?taxnode_id=201905654","ICTVonline=201905654")</f>
        <v>ICTVonline=201905654</v>
      </c>
      <c r="AA6076" s="1">
        <v>201900000</v>
      </c>
      <c r="AB6076" s="1">
        <v>35</v>
      </c>
    </row>
    <row r="6077" spans="1:28" x14ac:dyDescent="0.2">
      <c r="A6077" s="1">
        <v>15695</v>
      </c>
      <c r="B6077" s="1" t="s">
        <v>16286</v>
      </c>
      <c r="D6077" s="1" t="s">
        <v>16287</v>
      </c>
      <c r="F6077" s="1" t="s">
        <v>16410</v>
      </c>
      <c r="H6077" s="1" t="s">
        <v>16419</v>
      </c>
      <c r="J6077" s="1" t="s">
        <v>16426</v>
      </c>
      <c r="L6077" s="1" t="s">
        <v>1769</v>
      </c>
      <c r="N6077" s="1" t="s">
        <v>1375</v>
      </c>
      <c r="P6077" s="1" t="s">
        <v>16435</v>
      </c>
      <c r="Q6077" s="3">
        <v>0</v>
      </c>
      <c r="R6077" s="23" t="s">
        <v>6854</v>
      </c>
      <c r="S6077" s="23" t="s">
        <v>6849</v>
      </c>
      <c r="T6077" s="23" t="s">
        <v>4864</v>
      </c>
      <c r="U6077" s="3">
        <v>35</v>
      </c>
      <c r="V6077" s="3" t="s">
        <v>16436</v>
      </c>
      <c r="W6077" s="45" t="str">
        <f>HYPERLINK("http://ictvonline.org/taxonomy/p/taxonomy-history?taxnode_id=201907192","ICTVonline=201907192")</f>
        <v>ICTVonline=201907192</v>
      </c>
      <c r="X6077" s="1" t="s">
        <v>16437</v>
      </c>
      <c r="Y6077" s="1" t="s">
        <v>16438</v>
      </c>
      <c r="AA6077" s="1">
        <v>201900000</v>
      </c>
      <c r="AB6077" s="1">
        <v>35</v>
      </c>
    </row>
    <row r="6078" spans="1:28" x14ac:dyDescent="0.2">
      <c r="A6078" s="1">
        <v>15697</v>
      </c>
      <c r="B6078" s="1" t="s">
        <v>16286</v>
      </c>
      <c r="D6078" s="1" t="s">
        <v>16287</v>
      </c>
      <c r="F6078" s="1" t="s">
        <v>16410</v>
      </c>
      <c r="H6078" s="1" t="s">
        <v>16419</v>
      </c>
      <c r="J6078" s="1" t="s">
        <v>16426</v>
      </c>
      <c r="L6078" s="1" t="s">
        <v>1769</v>
      </c>
      <c r="N6078" s="1" t="s">
        <v>1375</v>
      </c>
      <c r="P6078" s="1" t="s">
        <v>2327</v>
      </c>
      <c r="Q6078" s="3">
        <v>0</v>
      </c>
      <c r="R6078" s="23" t="s">
        <v>6854</v>
      </c>
      <c r="S6078" s="23" t="s">
        <v>6847</v>
      </c>
      <c r="T6078" s="23" t="s">
        <v>4866</v>
      </c>
      <c r="U6078" s="3">
        <v>35</v>
      </c>
      <c r="W6078" s="45" t="str">
        <f>HYPERLINK("http://ictvonline.org/taxonomy/p/taxonomy-history?taxnode_id=201902407","ICTVonline=201902407")</f>
        <v>ICTVonline=201902407</v>
      </c>
      <c r="AA6078" s="1">
        <v>201900000</v>
      </c>
      <c r="AB6078" s="1">
        <v>35</v>
      </c>
    </row>
    <row r="6079" spans="1:28" x14ac:dyDescent="0.2">
      <c r="A6079" s="1">
        <v>15699</v>
      </c>
      <c r="B6079" s="1" t="s">
        <v>16286</v>
      </c>
      <c r="D6079" s="1" t="s">
        <v>16287</v>
      </c>
      <c r="F6079" s="1" t="s">
        <v>16410</v>
      </c>
      <c r="H6079" s="1" t="s">
        <v>16419</v>
      </c>
      <c r="J6079" s="1" t="s">
        <v>16426</v>
      </c>
      <c r="L6079" s="1" t="s">
        <v>1769</v>
      </c>
      <c r="N6079" s="1" t="s">
        <v>1375</v>
      </c>
      <c r="P6079" s="1" t="s">
        <v>3622</v>
      </c>
      <c r="Q6079" s="3">
        <v>0</v>
      </c>
      <c r="R6079" s="23" t="s">
        <v>6854</v>
      </c>
      <c r="S6079" s="23" t="s">
        <v>6847</v>
      </c>
      <c r="T6079" s="23" t="s">
        <v>4866</v>
      </c>
      <c r="U6079" s="3">
        <v>35</v>
      </c>
      <c r="W6079" s="45" t="str">
        <f>HYPERLINK("http://ictvonline.org/taxonomy/p/taxonomy-history?taxnode_id=201902408","ICTVonline=201902408")</f>
        <v>ICTVonline=201902408</v>
      </c>
      <c r="Y6079" s="1" t="s">
        <v>16439</v>
      </c>
      <c r="Z6079" s="1" t="s">
        <v>16440</v>
      </c>
      <c r="AA6079" s="1">
        <v>201900000</v>
      </c>
      <c r="AB6079" s="1">
        <v>35</v>
      </c>
    </row>
    <row r="6080" spans="1:28" x14ac:dyDescent="0.2">
      <c r="A6080" s="1">
        <v>15701</v>
      </c>
      <c r="B6080" s="1" t="s">
        <v>16286</v>
      </c>
      <c r="D6080" s="1" t="s">
        <v>16287</v>
      </c>
      <c r="F6080" s="1" t="s">
        <v>16410</v>
      </c>
      <c r="H6080" s="1" t="s">
        <v>16419</v>
      </c>
      <c r="J6080" s="1" t="s">
        <v>16426</v>
      </c>
      <c r="L6080" s="1" t="s">
        <v>1769</v>
      </c>
      <c r="N6080" s="1" t="s">
        <v>1375</v>
      </c>
      <c r="P6080" s="1" t="s">
        <v>3623</v>
      </c>
      <c r="Q6080" s="3">
        <v>0</v>
      </c>
      <c r="R6080" s="23" t="s">
        <v>6854</v>
      </c>
      <c r="S6080" s="23" t="s">
        <v>6847</v>
      </c>
      <c r="T6080" s="23" t="s">
        <v>4866</v>
      </c>
      <c r="U6080" s="3">
        <v>35</v>
      </c>
      <c r="W6080" s="45" t="str">
        <f>HYPERLINK("http://ictvonline.org/taxonomy/p/taxonomy-history?taxnode_id=201902409","ICTVonline=201902409")</f>
        <v>ICTVonline=201902409</v>
      </c>
      <c r="Y6080" s="1" t="s">
        <v>16441</v>
      </c>
      <c r="Z6080" s="1" t="s">
        <v>16442</v>
      </c>
      <c r="AA6080" s="1">
        <v>201900000</v>
      </c>
      <c r="AB6080" s="1">
        <v>35</v>
      </c>
    </row>
    <row r="6081" spans="1:28" x14ac:dyDescent="0.2">
      <c r="A6081" s="1">
        <v>15705</v>
      </c>
      <c r="B6081" s="1" t="s">
        <v>16286</v>
      </c>
      <c r="D6081" s="1" t="s">
        <v>16287</v>
      </c>
      <c r="F6081" s="1" t="s">
        <v>16410</v>
      </c>
      <c r="H6081" s="1" t="s">
        <v>16419</v>
      </c>
      <c r="J6081" s="1" t="s">
        <v>16426</v>
      </c>
      <c r="L6081" s="1" t="s">
        <v>1769</v>
      </c>
      <c r="N6081" s="1" t="s">
        <v>1000</v>
      </c>
      <c r="P6081" s="1" t="s">
        <v>2328</v>
      </c>
      <c r="Q6081" s="3">
        <v>1</v>
      </c>
      <c r="R6081" s="23" t="s">
        <v>6854</v>
      </c>
      <c r="S6081" s="23" t="s">
        <v>6847</v>
      </c>
      <c r="T6081" s="23" t="s">
        <v>4866</v>
      </c>
      <c r="U6081" s="3">
        <v>35</v>
      </c>
      <c r="W6081" s="45" t="str">
        <f>HYPERLINK("http://ictvonline.org/taxonomy/p/taxonomy-history?taxnode_id=201902411","ICTVonline=201902411")</f>
        <v>ICTVonline=201902411</v>
      </c>
      <c r="AA6081" s="1">
        <v>201900000</v>
      </c>
      <c r="AB6081" s="1">
        <v>35</v>
      </c>
    </row>
    <row r="6082" spans="1:28" x14ac:dyDescent="0.2">
      <c r="A6082" s="1">
        <v>15709</v>
      </c>
      <c r="B6082" s="1" t="s">
        <v>16286</v>
      </c>
      <c r="D6082" s="1" t="s">
        <v>16287</v>
      </c>
      <c r="F6082" s="1" t="s">
        <v>16410</v>
      </c>
      <c r="H6082" s="1" t="s">
        <v>16419</v>
      </c>
      <c r="J6082" s="1" t="s">
        <v>16426</v>
      </c>
      <c r="L6082" s="1" t="s">
        <v>1769</v>
      </c>
      <c r="N6082" s="1" t="s">
        <v>1430</v>
      </c>
      <c r="P6082" s="1" t="s">
        <v>2329</v>
      </c>
      <c r="Q6082" s="3">
        <v>0</v>
      </c>
      <c r="R6082" s="23" t="s">
        <v>6854</v>
      </c>
      <c r="S6082" s="23" t="s">
        <v>6847</v>
      </c>
      <c r="T6082" s="23" t="s">
        <v>4866</v>
      </c>
      <c r="U6082" s="3">
        <v>35</v>
      </c>
      <c r="W6082" s="45" t="str">
        <f>HYPERLINK("http://ictvonline.org/taxonomy/p/taxonomy-history?taxnode_id=201902413","ICTVonline=201902413")</f>
        <v>ICTVonline=201902413</v>
      </c>
      <c r="AA6082" s="1">
        <v>201900000</v>
      </c>
      <c r="AB6082" s="1">
        <v>35</v>
      </c>
    </row>
    <row r="6083" spans="1:28" x14ac:dyDescent="0.2">
      <c r="A6083" s="1">
        <v>15711</v>
      </c>
      <c r="B6083" s="1" t="s">
        <v>16286</v>
      </c>
      <c r="D6083" s="1" t="s">
        <v>16287</v>
      </c>
      <c r="F6083" s="1" t="s">
        <v>16410</v>
      </c>
      <c r="H6083" s="1" t="s">
        <v>16419</v>
      </c>
      <c r="J6083" s="1" t="s">
        <v>16426</v>
      </c>
      <c r="L6083" s="1" t="s">
        <v>1769</v>
      </c>
      <c r="N6083" s="1" t="s">
        <v>1430</v>
      </c>
      <c r="P6083" s="1" t="s">
        <v>2330</v>
      </c>
      <c r="Q6083" s="3">
        <v>0</v>
      </c>
      <c r="R6083" s="23" t="s">
        <v>6854</v>
      </c>
      <c r="S6083" s="23" t="s">
        <v>6847</v>
      </c>
      <c r="T6083" s="23" t="s">
        <v>4866</v>
      </c>
      <c r="U6083" s="3">
        <v>35</v>
      </c>
      <c r="W6083" s="45" t="str">
        <f>HYPERLINK("http://ictvonline.org/taxonomy/p/taxonomy-history?taxnode_id=201902414","ICTVonline=201902414")</f>
        <v>ICTVonline=201902414</v>
      </c>
      <c r="AA6083" s="1">
        <v>201900000</v>
      </c>
      <c r="AB6083" s="1">
        <v>35</v>
      </c>
    </row>
    <row r="6084" spans="1:28" x14ac:dyDescent="0.2">
      <c r="A6084" s="1">
        <v>15713</v>
      </c>
      <c r="B6084" s="1" t="s">
        <v>16286</v>
      </c>
      <c r="D6084" s="1" t="s">
        <v>16287</v>
      </c>
      <c r="F6084" s="1" t="s">
        <v>16410</v>
      </c>
      <c r="H6084" s="1" t="s">
        <v>16419</v>
      </c>
      <c r="J6084" s="1" t="s">
        <v>16426</v>
      </c>
      <c r="L6084" s="1" t="s">
        <v>1769</v>
      </c>
      <c r="N6084" s="1" t="s">
        <v>1430</v>
      </c>
      <c r="P6084" s="1" t="s">
        <v>5154</v>
      </c>
      <c r="Q6084" s="3">
        <v>0</v>
      </c>
      <c r="R6084" s="23" t="s">
        <v>6854</v>
      </c>
      <c r="S6084" s="23" t="s">
        <v>6847</v>
      </c>
      <c r="T6084" s="23" t="s">
        <v>4866</v>
      </c>
      <c r="U6084" s="3">
        <v>35</v>
      </c>
      <c r="W6084" s="45" t="str">
        <f>HYPERLINK("http://ictvonline.org/taxonomy/p/taxonomy-history?taxnode_id=201905655","ICTVonline=201905655")</f>
        <v>ICTVonline=201905655</v>
      </c>
      <c r="AA6084" s="1">
        <v>201900000</v>
      </c>
      <c r="AB6084" s="1">
        <v>35</v>
      </c>
    </row>
    <row r="6085" spans="1:28" x14ac:dyDescent="0.2">
      <c r="A6085" s="1">
        <v>15715</v>
      </c>
      <c r="B6085" s="1" t="s">
        <v>16286</v>
      </c>
      <c r="D6085" s="1" t="s">
        <v>16287</v>
      </c>
      <c r="F6085" s="1" t="s">
        <v>16410</v>
      </c>
      <c r="H6085" s="1" t="s">
        <v>16419</v>
      </c>
      <c r="J6085" s="1" t="s">
        <v>16426</v>
      </c>
      <c r="L6085" s="1" t="s">
        <v>1769</v>
      </c>
      <c r="N6085" s="1" t="s">
        <v>1430</v>
      </c>
      <c r="P6085" s="1" t="s">
        <v>5155</v>
      </c>
      <c r="Q6085" s="3">
        <v>0</v>
      </c>
      <c r="R6085" s="23" t="s">
        <v>6854</v>
      </c>
      <c r="S6085" s="23" t="s">
        <v>6847</v>
      </c>
      <c r="T6085" s="23" t="s">
        <v>4866</v>
      </c>
      <c r="U6085" s="3">
        <v>35</v>
      </c>
      <c r="W6085" s="45" t="str">
        <f>HYPERLINK("http://ictvonline.org/taxonomy/p/taxonomy-history?taxnode_id=201905656","ICTVonline=201905656")</f>
        <v>ICTVonline=201905656</v>
      </c>
      <c r="AA6085" s="1">
        <v>201900000</v>
      </c>
      <c r="AB6085" s="1">
        <v>35</v>
      </c>
    </row>
    <row r="6086" spans="1:28" x14ac:dyDescent="0.2">
      <c r="A6086" s="1">
        <v>15717</v>
      </c>
      <c r="B6086" s="1" t="s">
        <v>16286</v>
      </c>
      <c r="D6086" s="1" t="s">
        <v>16287</v>
      </c>
      <c r="F6086" s="1" t="s">
        <v>16410</v>
      </c>
      <c r="H6086" s="1" t="s">
        <v>16419</v>
      </c>
      <c r="J6086" s="1" t="s">
        <v>16426</v>
      </c>
      <c r="L6086" s="1" t="s">
        <v>1769</v>
      </c>
      <c r="N6086" s="1" t="s">
        <v>1430</v>
      </c>
      <c r="P6086" s="1" t="s">
        <v>5156</v>
      </c>
      <c r="Q6086" s="3">
        <v>0</v>
      </c>
      <c r="R6086" s="23" t="s">
        <v>6854</v>
      </c>
      <c r="S6086" s="23" t="s">
        <v>6847</v>
      </c>
      <c r="T6086" s="23" t="s">
        <v>4866</v>
      </c>
      <c r="U6086" s="3">
        <v>35</v>
      </c>
      <c r="W6086" s="45" t="str">
        <f>HYPERLINK("http://ictvonline.org/taxonomy/p/taxonomy-history?taxnode_id=201905657","ICTVonline=201905657")</f>
        <v>ICTVonline=201905657</v>
      </c>
      <c r="AA6086" s="1">
        <v>201900000</v>
      </c>
      <c r="AB6086" s="1">
        <v>35</v>
      </c>
    </row>
    <row r="6087" spans="1:28" x14ac:dyDescent="0.2">
      <c r="A6087" s="1">
        <v>15719</v>
      </c>
      <c r="B6087" s="1" t="s">
        <v>16286</v>
      </c>
      <c r="D6087" s="1" t="s">
        <v>16287</v>
      </c>
      <c r="F6087" s="1" t="s">
        <v>16410</v>
      </c>
      <c r="H6087" s="1" t="s">
        <v>16419</v>
      </c>
      <c r="J6087" s="1" t="s">
        <v>16426</v>
      </c>
      <c r="L6087" s="1" t="s">
        <v>1769</v>
      </c>
      <c r="N6087" s="1" t="s">
        <v>1430</v>
      </c>
      <c r="P6087" s="1" t="s">
        <v>5157</v>
      </c>
      <c r="Q6087" s="3">
        <v>0</v>
      </c>
      <c r="R6087" s="23" t="s">
        <v>6854</v>
      </c>
      <c r="S6087" s="23" t="s">
        <v>6847</v>
      </c>
      <c r="T6087" s="23" t="s">
        <v>4866</v>
      </c>
      <c r="U6087" s="3">
        <v>35</v>
      </c>
      <c r="W6087" s="45" t="str">
        <f>HYPERLINK("http://ictvonline.org/taxonomy/p/taxonomy-history?taxnode_id=201905658","ICTVonline=201905658")</f>
        <v>ICTVonline=201905658</v>
      </c>
      <c r="AA6087" s="1">
        <v>201900000</v>
      </c>
      <c r="AB6087" s="1">
        <v>35</v>
      </c>
    </row>
    <row r="6088" spans="1:28" x14ac:dyDescent="0.2">
      <c r="A6088" s="1">
        <v>15721</v>
      </c>
      <c r="B6088" s="1" t="s">
        <v>16286</v>
      </c>
      <c r="D6088" s="1" t="s">
        <v>16287</v>
      </c>
      <c r="F6088" s="1" t="s">
        <v>16410</v>
      </c>
      <c r="H6088" s="1" t="s">
        <v>16419</v>
      </c>
      <c r="J6088" s="1" t="s">
        <v>16426</v>
      </c>
      <c r="L6088" s="1" t="s">
        <v>1769</v>
      </c>
      <c r="N6088" s="1" t="s">
        <v>1430</v>
      </c>
      <c r="P6088" s="1" t="s">
        <v>5158</v>
      </c>
      <c r="Q6088" s="3">
        <v>0</v>
      </c>
      <c r="R6088" s="23" t="s">
        <v>6854</v>
      </c>
      <c r="S6088" s="23" t="s">
        <v>6847</v>
      </c>
      <c r="T6088" s="23" t="s">
        <v>4866</v>
      </c>
      <c r="U6088" s="3">
        <v>35</v>
      </c>
      <c r="W6088" s="45" t="str">
        <f>HYPERLINK("http://ictvonline.org/taxonomy/p/taxonomy-history?taxnode_id=201905659","ICTVonline=201905659")</f>
        <v>ICTVonline=201905659</v>
      </c>
      <c r="AA6088" s="1">
        <v>201900000</v>
      </c>
      <c r="AB6088" s="1">
        <v>35</v>
      </c>
    </row>
    <row r="6089" spans="1:28" x14ac:dyDescent="0.2">
      <c r="A6089" s="1">
        <v>15723</v>
      </c>
      <c r="B6089" s="1" t="s">
        <v>16286</v>
      </c>
      <c r="D6089" s="1" t="s">
        <v>16287</v>
      </c>
      <c r="F6089" s="1" t="s">
        <v>16410</v>
      </c>
      <c r="H6089" s="1" t="s">
        <v>16419</v>
      </c>
      <c r="J6089" s="1" t="s">
        <v>16426</v>
      </c>
      <c r="L6089" s="1" t="s">
        <v>1769</v>
      </c>
      <c r="N6089" s="1" t="s">
        <v>1430</v>
      </c>
      <c r="P6089" s="1" t="s">
        <v>16443</v>
      </c>
      <c r="Q6089" s="3">
        <v>0</v>
      </c>
      <c r="R6089" s="23" t="s">
        <v>6854</v>
      </c>
      <c r="S6089" s="23" t="s">
        <v>6849</v>
      </c>
      <c r="T6089" s="23" t="s">
        <v>4864</v>
      </c>
      <c r="U6089" s="3">
        <v>35</v>
      </c>
      <c r="V6089" s="3" t="s">
        <v>16436</v>
      </c>
      <c r="W6089" s="45" t="str">
        <f>HYPERLINK("http://ictvonline.org/taxonomy/p/taxonomy-history?taxnode_id=201907193","ICTVonline=201907193")</f>
        <v>ICTVonline=201907193</v>
      </c>
      <c r="Y6089" s="1" t="s">
        <v>16444</v>
      </c>
      <c r="Z6089" s="1" t="s">
        <v>16445</v>
      </c>
      <c r="AA6089" s="1">
        <v>201900000</v>
      </c>
      <c r="AB6089" s="1">
        <v>35</v>
      </c>
    </row>
    <row r="6090" spans="1:28" x14ac:dyDescent="0.2">
      <c r="A6090" s="1">
        <v>15725</v>
      </c>
      <c r="B6090" s="1" t="s">
        <v>16286</v>
      </c>
      <c r="D6090" s="1" t="s">
        <v>16287</v>
      </c>
      <c r="F6090" s="1" t="s">
        <v>16410</v>
      </c>
      <c r="H6090" s="1" t="s">
        <v>16419</v>
      </c>
      <c r="J6090" s="1" t="s">
        <v>16426</v>
      </c>
      <c r="L6090" s="1" t="s">
        <v>1769</v>
      </c>
      <c r="N6090" s="1" t="s">
        <v>1430</v>
      </c>
      <c r="P6090" s="1" t="s">
        <v>16446</v>
      </c>
      <c r="Q6090" s="3">
        <v>0</v>
      </c>
      <c r="R6090" s="23" t="s">
        <v>6854</v>
      </c>
      <c r="S6090" s="23" t="s">
        <v>6849</v>
      </c>
      <c r="T6090" s="23" t="s">
        <v>4864</v>
      </c>
      <c r="U6090" s="3">
        <v>35</v>
      </c>
      <c r="V6090" s="3" t="s">
        <v>16436</v>
      </c>
      <c r="W6090" s="45" t="str">
        <f>HYPERLINK("http://ictvonline.org/taxonomy/p/taxonomy-history?taxnode_id=201907194","ICTVonline=201907194")</f>
        <v>ICTVonline=201907194</v>
      </c>
      <c r="Y6090" s="1" t="s">
        <v>16447</v>
      </c>
      <c r="Z6090" s="1">
        <v>3085</v>
      </c>
      <c r="AA6090" s="1">
        <v>201900000</v>
      </c>
      <c r="AB6090" s="1">
        <v>35</v>
      </c>
    </row>
    <row r="6091" spans="1:28" x14ac:dyDescent="0.2">
      <c r="A6091" s="1">
        <v>15727</v>
      </c>
      <c r="B6091" s="1" t="s">
        <v>16286</v>
      </c>
      <c r="D6091" s="1" t="s">
        <v>16287</v>
      </c>
      <c r="F6091" s="1" t="s">
        <v>16410</v>
      </c>
      <c r="H6091" s="1" t="s">
        <v>16419</v>
      </c>
      <c r="J6091" s="1" t="s">
        <v>16426</v>
      </c>
      <c r="L6091" s="1" t="s">
        <v>1769</v>
      </c>
      <c r="N6091" s="1" t="s">
        <v>1430</v>
      </c>
      <c r="P6091" s="1" t="s">
        <v>16448</v>
      </c>
      <c r="Q6091" s="3">
        <v>0</v>
      </c>
      <c r="R6091" s="23" t="s">
        <v>6854</v>
      </c>
      <c r="S6091" s="23" t="s">
        <v>6849</v>
      </c>
      <c r="T6091" s="23" t="s">
        <v>4864</v>
      </c>
      <c r="U6091" s="3">
        <v>35</v>
      </c>
      <c r="V6091" s="3" t="s">
        <v>16436</v>
      </c>
      <c r="W6091" s="45" t="str">
        <f>HYPERLINK("http://ictvonline.org/taxonomy/p/taxonomy-history?taxnode_id=201907195","ICTVonline=201907195")</f>
        <v>ICTVonline=201907195</v>
      </c>
      <c r="Y6091" s="1" t="s">
        <v>16449</v>
      </c>
      <c r="Z6091" s="1" t="s">
        <v>16450</v>
      </c>
      <c r="AA6091" s="1">
        <v>201900000</v>
      </c>
      <c r="AB6091" s="1">
        <v>35</v>
      </c>
    </row>
    <row r="6092" spans="1:28" x14ac:dyDescent="0.2">
      <c r="A6092" s="1">
        <v>15729</v>
      </c>
      <c r="B6092" s="1" t="s">
        <v>16286</v>
      </c>
      <c r="D6092" s="1" t="s">
        <v>16287</v>
      </c>
      <c r="F6092" s="1" t="s">
        <v>16410</v>
      </c>
      <c r="H6092" s="1" t="s">
        <v>16419</v>
      </c>
      <c r="J6092" s="1" t="s">
        <v>16426</v>
      </c>
      <c r="L6092" s="1" t="s">
        <v>1769</v>
      </c>
      <c r="N6092" s="1" t="s">
        <v>1430</v>
      </c>
      <c r="P6092" s="1" t="s">
        <v>2331</v>
      </c>
      <c r="Q6092" s="3">
        <v>0</v>
      </c>
      <c r="R6092" s="23" t="s">
        <v>6854</v>
      </c>
      <c r="S6092" s="23" t="s">
        <v>6847</v>
      </c>
      <c r="T6092" s="23" t="s">
        <v>4866</v>
      </c>
      <c r="U6092" s="3">
        <v>35</v>
      </c>
      <c r="W6092" s="45" t="str">
        <f>HYPERLINK("http://ictvonline.org/taxonomy/p/taxonomy-history?taxnode_id=201902415","ICTVonline=201902415")</f>
        <v>ICTVonline=201902415</v>
      </c>
      <c r="AA6092" s="1">
        <v>201900000</v>
      </c>
      <c r="AB6092" s="1">
        <v>35</v>
      </c>
    </row>
    <row r="6093" spans="1:28" x14ac:dyDescent="0.2">
      <c r="A6093" s="1">
        <v>15731</v>
      </c>
      <c r="B6093" s="1" t="s">
        <v>16286</v>
      </c>
      <c r="D6093" s="1" t="s">
        <v>16287</v>
      </c>
      <c r="F6093" s="1" t="s">
        <v>16410</v>
      </c>
      <c r="H6093" s="1" t="s">
        <v>16419</v>
      </c>
      <c r="J6093" s="1" t="s">
        <v>16426</v>
      </c>
      <c r="L6093" s="1" t="s">
        <v>1769</v>
      </c>
      <c r="N6093" s="1" t="s">
        <v>1430</v>
      </c>
      <c r="P6093" s="1" t="s">
        <v>2332</v>
      </c>
      <c r="Q6093" s="3">
        <v>0</v>
      </c>
      <c r="R6093" s="23" t="s">
        <v>6854</v>
      </c>
      <c r="S6093" s="23" t="s">
        <v>6847</v>
      </c>
      <c r="T6093" s="23" t="s">
        <v>4866</v>
      </c>
      <c r="U6093" s="3">
        <v>35</v>
      </c>
      <c r="W6093" s="45" t="str">
        <f>HYPERLINK("http://ictvonline.org/taxonomy/p/taxonomy-history?taxnode_id=201902416","ICTVonline=201902416")</f>
        <v>ICTVonline=201902416</v>
      </c>
      <c r="AA6093" s="1">
        <v>201900000</v>
      </c>
      <c r="AB6093" s="1">
        <v>35</v>
      </c>
    </row>
    <row r="6094" spans="1:28" x14ac:dyDescent="0.2">
      <c r="A6094" s="1">
        <v>15733</v>
      </c>
      <c r="B6094" s="1" t="s">
        <v>16286</v>
      </c>
      <c r="D6094" s="1" t="s">
        <v>16287</v>
      </c>
      <c r="F6094" s="1" t="s">
        <v>16410</v>
      </c>
      <c r="H6094" s="1" t="s">
        <v>16419</v>
      </c>
      <c r="J6094" s="1" t="s">
        <v>16426</v>
      </c>
      <c r="L6094" s="1" t="s">
        <v>1769</v>
      </c>
      <c r="N6094" s="1" t="s">
        <v>1430</v>
      </c>
      <c r="P6094" s="1" t="s">
        <v>2333</v>
      </c>
      <c r="Q6094" s="3">
        <v>0</v>
      </c>
      <c r="R6094" s="23" t="s">
        <v>6854</v>
      </c>
      <c r="S6094" s="23" t="s">
        <v>6847</v>
      </c>
      <c r="T6094" s="23" t="s">
        <v>4866</v>
      </c>
      <c r="U6094" s="3">
        <v>35</v>
      </c>
      <c r="W6094" s="45" t="str">
        <f>HYPERLINK("http://ictvonline.org/taxonomy/p/taxonomy-history?taxnode_id=201902417","ICTVonline=201902417")</f>
        <v>ICTVonline=201902417</v>
      </c>
      <c r="AA6094" s="1">
        <v>201900000</v>
      </c>
      <c r="AB6094" s="1">
        <v>35</v>
      </c>
    </row>
    <row r="6095" spans="1:28" x14ac:dyDescent="0.2">
      <c r="A6095" s="1">
        <v>15735</v>
      </c>
      <c r="B6095" s="1" t="s">
        <v>16286</v>
      </c>
      <c r="D6095" s="1" t="s">
        <v>16287</v>
      </c>
      <c r="F6095" s="1" t="s">
        <v>16410</v>
      </c>
      <c r="H6095" s="1" t="s">
        <v>16419</v>
      </c>
      <c r="J6095" s="1" t="s">
        <v>16426</v>
      </c>
      <c r="L6095" s="1" t="s">
        <v>1769</v>
      </c>
      <c r="N6095" s="1" t="s">
        <v>1430</v>
      </c>
      <c r="P6095" s="1" t="s">
        <v>2334</v>
      </c>
      <c r="Q6095" s="3">
        <v>0</v>
      </c>
      <c r="R6095" s="23" t="s">
        <v>6854</v>
      </c>
      <c r="S6095" s="23" t="s">
        <v>6847</v>
      </c>
      <c r="T6095" s="23" t="s">
        <v>4866</v>
      </c>
      <c r="U6095" s="3">
        <v>35</v>
      </c>
      <c r="W6095" s="45" t="str">
        <f>HYPERLINK("http://ictvonline.org/taxonomy/p/taxonomy-history?taxnode_id=201902418","ICTVonline=201902418")</f>
        <v>ICTVonline=201902418</v>
      </c>
      <c r="AA6095" s="1">
        <v>201900000</v>
      </c>
      <c r="AB6095" s="1">
        <v>35</v>
      </c>
    </row>
    <row r="6096" spans="1:28" x14ac:dyDescent="0.2">
      <c r="A6096" s="1">
        <v>15737</v>
      </c>
      <c r="B6096" s="1" t="s">
        <v>16286</v>
      </c>
      <c r="D6096" s="1" t="s">
        <v>16287</v>
      </c>
      <c r="F6096" s="1" t="s">
        <v>16410</v>
      </c>
      <c r="H6096" s="1" t="s">
        <v>16419</v>
      </c>
      <c r="J6096" s="1" t="s">
        <v>16426</v>
      </c>
      <c r="L6096" s="1" t="s">
        <v>1769</v>
      </c>
      <c r="N6096" s="1" t="s">
        <v>1430</v>
      </c>
      <c r="P6096" s="1" t="s">
        <v>5159</v>
      </c>
      <c r="Q6096" s="3">
        <v>0</v>
      </c>
      <c r="R6096" s="23" t="s">
        <v>6854</v>
      </c>
      <c r="S6096" s="23" t="s">
        <v>6847</v>
      </c>
      <c r="T6096" s="23" t="s">
        <v>4866</v>
      </c>
      <c r="U6096" s="3">
        <v>35</v>
      </c>
      <c r="W6096" s="45" t="str">
        <f>HYPERLINK("http://ictvonline.org/taxonomy/p/taxonomy-history?taxnode_id=201905660","ICTVonline=201905660")</f>
        <v>ICTVonline=201905660</v>
      </c>
      <c r="AA6096" s="1">
        <v>201900000</v>
      </c>
      <c r="AB6096" s="1">
        <v>35</v>
      </c>
    </row>
    <row r="6097" spans="1:28" x14ac:dyDescent="0.2">
      <c r="A6097" s="1">
        <v>15739</v>
      </c>
      <c r="B6097" s="1" t="s">
        <v>16286</v>
      </c>
      <c r="D6097" s="1" t="s">
        <v>16287</v>
      </c>
      <c r="F6097" s="1" t="s">
        <v>16410</v>
      </c>
      <c r="H6097" s="1" t="s">
        <v>16419</v>
      </c>
      <c r="J6097" s="1" t="s">
        <v>16426</v>
      </c>
      <c r="L6097" s="1" t="s">
        <v>1769</v>
      </c>
      <c r="N6097" s="1" t="s">
        <v>1430</v>
      </c>
      <c r="P6097" s="1" t="s">
        <v>4560</v>
      </c>
      <c r="Q6097" s="3">
        <v>0</v>
      </c>
      <c r="R6097" s="23" t="s">
        <v>6854</v>
      </c>
      <c r="S6097" s="23" t="s">
        <v>6847</v>
      </c>
      <c r="T6097" s="23" t="s">
        <v>4866</v>
      </c>
      <c r="U6097" s="3">
        <v>35</v>
      </c>
      <c r="W6097" s="45" t="str">
        <f>HYPERLINK("http://ictvonline.org/taxonomy/p/taxonomy-history?taxnode_id=201902419","ICTVonline=201902419")</f>
        <v>ICTVonline=201902419</v>
      </c>
      <c r="Y6097" s="1" t="s">
        <v>16451</v>
      </c>
      <c r="Z6097" s="1" t="s">
        <v>16452</v>
      </c>
      <c r="AA6097" s="1">
        <v>201900000</v>
      </c>
      <c r="AB6097" s="1">
        <v>35</v>
      </c>
    </row>
    <row r="6098" spans="1:28" x14ac:dyDescent="0.2">
      <c r="A6098" s="1">
        <v>15741</v>
      </c>
      <c r="B6098" s="1" t="s">
        <v>16286</v>
      </c>
      <c r="D6098" s="1" t="s">
        <v>16287</v>
      </c>
      <c r="F6098" s="1" t="s">
        <v>16410</v>
      </c>
      <c r="H6098" s="1" t="s">
        <v>16419</v>
      </c>
      <c r="J6098" s="1" t="s">
        <v>16426</v>
      </c>
      <c r="L6098" s="1" t="s">
        <v>1769</v>
      </c>
      <c r="N6098" s="1" t="s">
        <v>1430</v>
      </c>
      <c r="P6098" s="1" t="s">
        <v>5160</v>
      </c>
      <c r="Q6098" s="3">
        <v>0</v>
      </c>
      <c r="R6098" s="23" t="s">
        <v>6854</v>
      </c>
      <c r="S6098" s="23" t="s">
        <v>6847</v>
      </c>
      <c r="T6098" s="23" t="s">
        <v>4866</v>
      </c>
      <c r="U6098" s="3">
        <v>35</v>
      </c>
      <c r="W6098" s="45" t="str">
        <f>HYPERLINK("http://ictvonline.org/taxonomy/p/taxonomy-history?taxnode_id=201905661","ICTVonline=201905661")</f>
        <v>ICTVonline=201905661</v>
      </c>
      <c r="AA6098" s="1">
        <v>201900000</v>
      </c>
      <c r="AB6098" s="1">
        <v>35</v>
      </c>
    </row>
    <row r="6099" spans="1:28" x14ac:dyDescent="0.2">
      <c r="A6099" s="1">
        <v>15743</v>
      </c>
      <c r="B6099" s="1" t="s">
        <v>16286</v>
      </c>
      <c r="D6099" s="1" t="s">
        <v>16287</v>
      </c>
      <c r="F6099" s="1" t="s">
        <v>16410</v>
      </c>
      <c r="H6099" s="1" t="s">
        <v>16419</v>
      </c>
      <c r="J6099" s="1" t="s">
        <v>16426</v>
      </c>
      <c r="L6099" s="1" t="s">
        <v>1769</v>
      </c>
      <c r="N6099" s="1" t="s">
        <v>1430</v>
      </c>
      <c r="P6099" s="1" t="s">
        <v>2335</v>
      </c>
      <c r="Q6099" s="3">
        <v>0</v>
      </c>
      <c r="R6099" s="23" t="s">
        <v>6854</v>
      </c>
      <c r="S6099" s="23" t="s">
        <v>6847</v>
      </c>
      <c r="T6099" s="23" t="s">
        <v>4866</v>
      </c>
      <c r="U6099" s="3">
        <v>35</v>
      </c>
      <c r="W6099" s="45" t="str">
        <f>HYPERLINK("http://ictvonline.org/taxonomy/p/taxonomy-history?taxnode_id=201902420","ICTVonline=201902420")</f>
        <v>ICTVonline=201902420</v>
      </c>
      <c r="AA6099" s="1">
        <v>201900000</v>
      </c>
      <c r="AB6099" s="1">
        <v>35</v>
      </c>
    </row>
    <row r="6100" spans="1:28" x14ac:dyDescent="0.2">
      <c r="A6100" s="1">
        <v>15745</v>
      </c>
      <c r="B6100" s="1" t="s">
        <v>16286</v>
      </c>
      <c r="D6100" s="1" t="s">
        <v>16287</v>
      </c>
      <c r="F6100" s="1" t="s">
        <v>16410</v>
      </c>
      <c r="H6100" s="1" t="s">
        <v>16419</v>
      </c>
      <c r="J6100" s="1" t="s">
        <v>16426</v>
      </c>
      <c r="L6100" s="1" t="s">
        <v>1769</v>
      </c>
      <c r="N6100" s="1" t="s">
        <v>1430</v>
      </c>
      <c r="P6100" s="1" t="s">
        <v>2336</v>
      </c>
      <c r="Q6100" s="3">
        <v>0</v>
      </c>
      <c r="R6100" s="23" t="s">
        <v>6854</v>
      </c>
      <c r="S6100" s="23" t="s">
        <v>6847</v>
      </c>
      <c r="T6100" s="23" t="s">
        <v>4866</v>
      </c>
      <c r="U6100" s="3">
        <v>35</v>
      </c>
      <c r="W6100" s="45" t="str">
        <f>HYPERLINK("http://ictvonline.org/taxonomy/p/taxonomy-history?taxnode_id=201902421","ICTVonline=201902421")</f>
        <v>ICTVonline=201902421</v>
      </c>
      <c r="AA6100" s="1">
        <v>201900000</v>
      </c>
      <c r="AB6100" s="1">
        <v>35</v>
      </c>
    </row>
    <row r="6101" spans="1:28" x14ac:dyDescent="0.2">
      <c r="A6101" s="1">
        <v>15747</v>
      </c>
      <c r="B6101" s="1" t="s">
        <v>16286</v>
      </c>
      <c r="D6101" s="1" t="s">
        <v>16287</v>
      </c>
      <c r="F6101" s="1" t="s">
        <v>16410</v>
      </c>
      <c r="H6101" s="1" t="s">
        <v>16419</v>
      </c>
      <c r="J6101" s="1" t="s">
        <v>16426</v>
      </c>
      <c r="L6101" s="1" t="s">
        <v>1769</v>
      </c>
      <c r="N6101" s="1" t="s">
        <v>1430</v>
      </c>
      <c r="P6101" s="1" t="s">
        <v>2337</v>
      </c>
      <c r="Q6101" s="3">
        <v>0</v>
      </c>
      <c r="R6101" s="23" t="s">
        <v>6854</v>
      </c>
      <c r="S6101" s="23" t="s">
        <v>6847</v>
      </c>
      <c r="T6101" s="23" t="s">
        <v>4866</v>
      </c>
      <c r="U6101" s="3">
        <v>35</v>
      </c>
      <c r="W6101" s="45" t="str">
        <f>HYPERLINK("http://ictvonline.org/taxonomy/p/taxonomy-history?taxnode_id=201902422","ICTVonline=201902422")</f>
        <v>ICTVonline=201902422</v>
      </c>
      <c r="AA6101" s="1">
        <v>201900000</v>
      </c>
      <c r="AB6101" s="1">
        <v>35</v>
      </c>
    </row>
    <row r="6102" spans="1:28" x14ac:dyDescent="0.2">
      <c r="A6102" s="1">
        <v>15749</v>
      </c>
      <c r="B6102" s="1" t="s">
        <v>16286</v>
      </c>
      <c r="D6102" s="1" t="s">
        <v>16287</v>
      </c>
      <c r="F6102" s="1" t="s">
        <v>16410</v>
      </c>
      <c r="H6102" s="1" t="s">
        <v>16419</v>
      </c>
      <c r="J6102" s="1" t="s">
        <v>16426</v>
      </c>
      <c r="L6102" s="1" t="s">
        <v>1769</v>
      </c>
      <c r="N6102" s="1" t="s">
        <v>1430</v>
      </c>
      <c r="P6102" s="1" t="s">
        <v>2338</v>
      </c>
      <c r="Q6102" s="3">
        <v>0</v>
      </c>
      <c r="R6102" s="23" t="s">
        <v>6854</v>
      </c>
      <c r="S6102" s="23" t="s">
        <v>6847</v>
      </c>
      <c r="T6102" s="23" t="s">
        <v>4866</v>
      </c>
      <c r="U6102" s="3">
        <v>35</v>
      </c>
      <c r="W6102" s="45" t="str">
        <f>HYPERLINK("http://ictvonline.org/taxonomy/p/taxonomy-history?taxnode_id=201902423","ICTVonline=201902423")</f>
        <v>ICTVonline=201902423</v>
      </c>
      <c r="AA6102" s="1">
        <v>201900000</v>
      </c>
      <c r="AB6102" s="1">
        <v>35</v>
      </c>
    </row>
    <row r="6103" spans="1:28" x14ac:dyDescent="0.2">
      <c r="A6103" s="1">
        <v>15751</v>
      </c>
      <c r="B6103" s="1" t="s">
        <v>16286</v>
      </c>
      <c r="D6103" s="1" t="s">
        <v>16287</v>
      </c>
      <c r="F6103" s="1" t="s">
        <v>16410</v>
      </c>
      <c r="H6103" s="1" t="s">
        <v>16419</v>
      </c>
      <c r="J6103" s="1" t="s">
        <v>16426</v>
      </c>
      <c r="L6103" s="1" t="s">
        <v>1769</v>
      </c>
      <c r="N6103" s="1" t="s">
        <v>1430</v>
      </c>
      <c r="P6103" s="1" t="s">
        <v>2339</v>
      </c>
      <c r="Q6103" s="3">
        <v>1</v>
      </c>
      <c r="R6103" s="23" t="s">
        <v>6854</v>
      </c>
      <c r="S6103" s="23" t="s">
        <v>6847</v>
      </c>
      <c r="T6103" s="23" t="s">
        <v>4866</v>
      </c>
      <c r="U6103" s="3">
        <v>35</v>
      </c>
      <c r="W6103" s="45" t="str">
        <f>HYPERLINK("http://ictvonline.org/taxonomy/p/taxonomy-history?taxnode_id=201902424","ICTVonline=201902424")</f>
        <v>ICTVonline=201902424</v>
      </c>
      <c r="AA6103" s="1">
        <v>201900000</v>
      </c>
      <c r="AB6103" s="1">
        <v>35</v>
      </c>
    </row>
    <row r="6104" spans="1:28" x14ac:dyDescent="0.2">
      <c r="A6104" s="1">
        <v>15753</v>
      </c>
      <c r="B6104" s="1" t="s">
        <v>16286</v>
      </c>
      <c r="D6104" s="1" t="s">
        <v>16287</v>
      </c>
      <c r="F6104" s="1" t="s">
        <v>16410</v>
      </c>
      <c r="H6104" s="1" t="s">
        <v>16419</v>
      </c>
      <c r="J6104" s="1" t="s">
        <v>16426</v>
      </c>
      <c r="L6104" s="1" t="s">
        <v>1769</v>
      </c>
      <c r="N6104" s="1" t="s">
        <v>1430</v>
      </c>
      <c r="P6104" s="1" t="s">
        <v>2340</v>
      </c>
      <c r="Q6104" s="3">
        <v>0</v>
      </c>
      <c r="R6104" s="23" t="s">
        <v>6854</v>
      </c>
      <c r="S6104" s="23" t="s">
        <v>6847</v>
      </c>
      <c r="T6104" s="23" t="s">
        <v>4866</v>
      </c>
      <c r="U6104" s="3">
        <v>35</v>
      </c>
      <c r="W6104" s="45" t="str">
        <f>HYPERLINK("http://ictvonline.org/taxonomy/p/taxonomy-history?taxnode_id=201902425","ICTVonline=201902425")</f>
        <v>ICTVonline=201902425</v>
      </c>
      <c r="AA6104" s="1">
        <v>201900000</v>
      </c>
      <c r="AB6104" s="1">
        <v>35</v>
      </c>
    </row>
    <row r="6105" spans="1:28" x14ac:dyDescent="0.2">
      <c r="A6105" s="1">
        <v>15755</v>
      </c>
      <c r="B6105" s="1" t="s">
        <v>16286</v>
      </c>
      <c r="D6105" s="1" t="s">
        <v>16287</v>
      </c>
      <c r="F6105" s="1" t="s">
        <v>16410</v>
      </c>
      <c r="H6105" s="1" t="s">
        <v>16419</v>
      </c>
      <c r="J6105" s="1" t="s">
        <v>16426</v>
      </c>
      <c r="L6105" s="1" t="s">
        <v>1769</v>
      </c>
      <c r="N6105" s="1" t="s">
        <v>1430</v>
      </c>
      <c r="P6105" s="1" t="s">
        <v>2341</v>
      </c>
      <c r="Q6105" s="3">
        <v>0</v>
      </c>
      <c r="R6105" s="23" t="s">
        <v>6854</v>
      </c>
      <c r="S6105" s="23" t="s">
        <v>6847</v>
      </c>
      <c r="T6105" s="23" t="s">
        <v>4866</v>
      </c>
      <c r="U6105" s="3">
        <v>35</v>
      </c>
      <c r="W6105" s="45" t="str">
        <f>HYPERLINK("http://ictvonline.org/taxonomy/p/taxonomy-history?taxnode_id=201902426","ICTVonline=201902426")</f>
        <v>ICTVonline=201902426</v>
      </c>
      <c r="AA6105" s="1">
        <v>201900000</v>
      </c>
      <c r="AB6105" s="1">
        <v>35</v>
      </c>
    </row>
    <row r="6106" spans="1:28" x14ac:dyDescent="0.2">
      <c r="A6106" s="1">
        <v>15757</v>
      </c>
      <c r="B6106" s="1" t="s">
        <v>16286</v>
      </c>
      <c r="D6106" s="1" t="s">
        <v>16287</v>
      </c>
      <c r="F6106" s="1" t="s">
        <v>16410</v>
      </c>
      <c r="H6106" s="1" t="s">
        <v>16419</v>
      </c>
      <c r="J6106" s="1" t="s">
        <v>16426</v>
      </c>
      <c r="L6106" s="1" t="s">
        <v>1769</v>
      </c>
      <c r="N6106" s="1" t="s">
        <v>1430</v>
      </c>
      <c r="P6106" s="1" t="s">
        <v>2342</v>
      </c>
      <c r="Q6106" s="3">
        <v>0</v>
      </c>
      <c r="R6106" s="23" t="s">
        <v>6854</v>
      </c>
      <c r="S6106" s="23" t="s">
        <v>6847</v>
      </c>
      <c r="T6106" s="23" t="s">
        <v>4866</v>
      </c>
      <c r="U6106" s="3">
        <v>35</v>
      </c>
      <c r="W6106" s="45" t="str">
        <f>HYPERLINK("http://ictvonline.org/taxonomy/p/taxonomy-history?taxnode_id=201902427","ICTVonline=201902427")</f>
        <v>ICTVonline=201902427</v>
      </c>
      <c r="AA6106" s="1">
        <v>201900000</v>
      </c>
      <c r="AB6106" s="1">
        <v>35</v>
      </c>
    </row>
    <row r="6107" spans="1:28" x14ac:dyDescent="0.2">
      <c r="A6107" s="1">
        <v>15759</v>
      </c>
      <c r="B6107" s="1" t="s">
        <v>16286</v>
      </c>
      <c r="D6107" s="1" t="s">
        <v>16287</v>
      </c>
      <c r="F6107" s="1" t="s">
        <v>16410</v>
      </c>
      <c r="H6107" s="1" t="s">
        <v>16419</v>
      </c>
      <c r="J6107" s="1" t="s">
        <v>16426</v>
      </c>
      <c r="L6107" s="1" t="s">
        <v>1769</v>
      </c>
      <c r="N6107" s="1" t="s">
        <v>1430</v>
      </c>
      <c r="P6107" s="1" t="s">
        <v>2343</v>
      </c>
      <c r="Q6107" s="3">
        <v>0</v>
      </c>
      <c r="R6107" s="23" t="s">
        <v>6854</v>
      </c>
      <c r="S6107" s="23" t="s">
        <v>6847</v>
      </c>
      <c r="T6107" s="23" t="s">
        <v>4866</v>
      </c>
      <c r="U6107" s="3">
        <v>35</v>
      </c>
      <c r="W6107" s="45" t="str">
        <f>HYPERLINK("http://ictvonline.org/taxonomy/p/taxonomy-history?taxnode_id=201902428","ICTVonline=201902428")</f>
        <v>ICTVonline=201902428</v>
      </c>
      <c r="AA6107" s="1">
        <v>201900000</v>
      </c>
      <c r="AB6107" s="1">
        <v>35</v>
      </c>
    </row>
    <row r="6108" spans="1:28" x14ac:dyDescent="0.2">
      <c r="A6108" s="1">
        <v>15761</v>
      </c>
      <c r="B6108" s="1" t="s">
        <v>16286</v>
      </c>
      <c r="D6108" s="1" t="s">
        <v>16287</v>
      </c>
      <c r="F6108" s="1" t="s">
        <v>16410</v>
      </c>
      <c r="H6108" s="1" t="s">
        <v>16419</v>
      </c>
      <c r="J6108" s="1" t="s">
        <v>16426</v>
      </c>
      <c r="L6108" s="1" t="s">
        <v>1769</v>
      </c>
      <c r="N6108" s="1" t="s">
        <v>1430</v>
      </c>
      <c r="P6108" s="1" t="s">
        <v>2344</v>
      </c>
      <c r="Q6108" s="3">
        <v>0</v>
      </c>
      <c r="R6108" s="23" t="s">
        <v>6854</v>
      </c>
      <c r="S6108" s="23" t="s">
        <v>6847</v>
      </c>
      <c r="T6108" s="23" t="s">
        <v>4866</v>
      </c>
      <c r="U6108" s="3">
        <v>35</v>
      </c>
      <c r="W6108" s="45" t="str">
        <f>HYPERLINK("http://ictvonline.org/taxonomy/p/taxonomy-history?taxnode_id=201902429","ICTVonline=201902429")</f>
        <v>ICTVonline=201902429</v>
      </c>
      <c r="AA6108" s="1">
        <v>201900000</v>
      </c>
      <c r="AB6108" s="1">
        <v>35</v>
      </c>
    </row>
    <row r="6109" spans="1:28" x14ac:dyDescent="0.2">
      <c r="A6109" s="1">
        <v>15763</v>
      </c>
      <c r="B6109" s="1" t="s">
        <v>16286</v>
      </c>
      <c r="D6109" s="1" t="s">
        <v>16287</v>
      </c>
      <c r="F6109" s="1" t="s">
        <v>16410</v>
      </c>
      <c r="H6109" s="1" t="s">
        <v>16419</v>
      </c>
      <c r="J6109" s="1" t="s">
        <v>16426</v>
      </c>
      <c r="L6109" s="1" t="s">
        <v>1769</v>
      </c>
      <c r="N6109" s="1" t="s">
        <v>1430</v>
      </c>
      <c r="P6109" s="1" t="s">
        <v>2345</v>
      </c>
      <c r="Q6109" s="3">
        <v>0</v>
      </c>
      <c r="R6109" s="23" t="s">
        <v>6854</v>
      </c>
      <c r="S6109" s="23" t="s">
        <v>6847</v>
      </c>
      <c r="T6109" s="23" t="s">
        <v>4866</v>
      </c>
      <c r="U6109" s="3">
        <v>35</v>
      </c>
      <c r="W6109" s="45" t="str">
        <f>HYPERLINK("http://ictvonline.org/taxonomy/p/taxonomy-history?taxnode_id=201902430","ICTVonline=201902430")</f>
        <v>ICTVonline=201902430</v>
      </c>
      <c r="AA6109" s="1">
        <v>201900000</v>
      </c>
      <c r="AB6109" s="1">
        <v>35</v>
      </c>
    </row>
    <row r="6110" spans="1:28" x14ac:dyDescent="0.2">
      <c r="A6110" s="1">
        <v>15765</v>
      </c>
      <c r="B6110" s="1" t="s">
        <v>16286</v>
      </c>
      <c r="D6110" s="1" t="s">
        <v>16287</v>
      </c>
      <c r="F6110" s="1" t="s">
        <v>16410</v>
      </c>
      <c r="H6110" s="1" t="s">
        <v>16419</v>
      </c>
      <c r="J6110" s="1" t="s">
        <v>16426</v>
      </c>
      <c r="L6110" s="1" t="s">
        <v>1769</v>
      </c>
      <c r="N6110" s="1" t="s">
        <v>1430</v>
      </c>
      <c r="P6110" s="1" t="s">
        <v>2346</v>
      </c>
      <c r="Q6110" s="3">
        <v>0</v>
      </c>
      <c r="R6110" s="23" t="s">
        <v>6854</v>
      </c>
      <c r="S6110" s="23" t="s">
        <v>6847</v>
      </c>
      <c r="T6110" s="23" t="s">
        <v>4866</v>
      </c>
      <c r="U6110" s="3">
        <v>35</v>
      </c>
      <c r="W6110" s="45" t="str">
        <f>HYPERLINK("http://ictvonline.org/taxonomy/p/taxonomy-history?taxnode_id=201902431","ICTVonline=201902431")</f>
        <v>ICTVonline=201902431</v>
      </c>
      <c r="AA6110" s="1">
        <v>201900000</v>
      </c>
      <c r="AB6110" s="1">
        <v>35</v>
      </c>
    </row>
    <row r="6111" spans="1:28" x14ac:dyDescent="0.2">
      <c r="A6111" s="1">
        <v>15767</v>
      </c>
      <c r="B6111" s="1" t="s">
        <v>16286</v>
      </c>
      <c r="D6111" s="1" t="s">
        <v>16287</v>
      </c>
      <c r="F6111" s="1" t="s">
        <v>16410</v>
      </c>
      <c r="H6111" s="1" t="s">
        <v>16419</v>
      </c>
      <c r="J6111" s="1" t="s">
        <v>16426</v>
      </c>
      <c r="L6111" s="1" t="s">
        <v>1769</v>
      </c>
      <c r="N6111" s="1" t="s">
        <v>1430</v>
      </c>
      <c r="P6111" s="1" t="s">
        <v>2347</v>
      </c>
      <c r="Q6111" s="3">
        <v>0</v>
      </c>
      <c r="R6111" s="23" t="s">
        <v>6854</v>
      </c>
      <c r="S6111" s="23" t="s">
        <v>6847</v>
      </c>
      <c r="T6111" s="23" t="s">
        <v>4866</v>
      </c>
      <c r="U6111" s="3">
        <v>35</v>
      </c>
      <c r="W6111" s="45" t="str">
        <f>HYPERLINK("http://ictvonline.org/taxonomy/p/taxonomy-history?taxnode_id=201902432","ICTVonline=201902432")</f>
        <v>ICTVonline=201902432</v>
      </c>
      <c r="AA6111" s="1">
        <v>201900000</v>
      </c>
      <c r="AB6111" s="1">
        <v>35</v>
      </c>
    </row>
    <row r="6112" spans="1:28" x14ac:dyDescent="0.2">
      <c r="A6112" s="1">
        <v>15769</v>
      </c>
      <c r="B6112" s="1" t="s">
        <v>16286</v>
      </c>
      <c r="D6112" s="1" t="s">
        <v>16287</v>
      </c>
      <c r="F6112" s="1" t="s">
        <v>16410</v>
      </c>
      <c r="H6112" s="1" t="s">
        <v>16419</v>
      </c>
      <c r="J6112" s="1" t="s">
        <v>16426</v>
      </c>
      <c r="L6112" s="1" t="s">
        <v>1769</v>
      </c>
      <c r="N6112" s="1" t="s">
        <v>1430</v>
      </c>
      <c r="P6112" s="1" t="s">
        <v>2348</v>
      </c>
      <c r="Q6112" s="3">
        <v>0</v>
      </c>
      <c r="R6112" s="23" t="s">
        <v>6854</v>
      </c>
      <c r="S6112" s="23" t="s">
        <v>6847</v>
      </c>
      <c r="T6112" s="23" t="s">
        <v>4866</v>
      </c>
      <c r="U6112" s="3">
        <v>35</v>
      </c>
      <c r="W6112" s="45" t="str">
        <f>HYPERLINK("http://ictvonline.org/taxonomy/p/taxonomy-history?taxnode_id=201902433","ICTVonline=201902433")</f>
        <v>ICTVonline=201902433</v>
      </c>
      <c r="AA6112" s="1">
        <v>201900000</v>
      </c>
      <c r="AB6112" s="1">
        <v>35</v>
      </c>
    </row>
    <row r="6113" spans="1:28" x14ac:dyDescent="0.2">
      <c r="A6113" s="1">
        <v>15771</v>
      </c>
      <c r="B6113" s="1" t="s">
        <v>16286</v>
      </c>
      <c r="D6113" s="1" t="s">
        <v>16287</v>
      </c>
      <c r="F6113" s="1" t="s">
        <v>16410</v>
      </c>
      <c r="H6113" s="1" t="s">
        <v>16419</v>
      </c>
      <c r="J6113" s="1" t="s">
        <v>16426</v>
      </c>
      <c r="L6113" s="1" t="s">
        <v>1769</v>
      </c>
      <c r="N6113" s="1" t="s">
        <v>1430</v>
      </c>
      <c r="P6113" s="1" t="s">
        <v>16453</v>
      </c>
      <c r="Q6113" s="3">
        <v>0</v>
      </c>
      <c r="R6113" s="23" t="s">
        <v>6854</v>
      </c>
      <c r="S6113" s="23" t="s">
        <v>6849</v>
      </c>
      <c r="T6113" s="23" t="s">
        <v>4864</v>
      </c>
      <c r="U6113" s="3">
        <v>35</v>
      </c>
      <c r="V6113" s="3" t="s">
        <v>16436</v>
      </c>
      <c r="W6113" s="45" t="str">
        <f>HYPERLINK("http://ictvonline.org/taxonomy/p/taxonomy-history?taxnode_id=201907196","ICTVonline=201907196")</f>
        <v>ICTVonline=201907196</v>
      </c>
      <c r="X6113" s="1" t="s">
        <v>16454</v>
      </c>
      <c r="Y6113" s="1" t="s">
        <v>16455</v>
      </c>
      <c r="AA6113" s="1">
        <v>201900000</v>
      </c>
      <c r="AB6113" s="1">
        <v>35</v>
      </c>
    </row>
    <row r="6114" spans="1:28" x14ac:dyDescent="0.2">
      <c r="A6114" s="1">
        <v>15773</v>
      </c>
      <c r="B6114" s="1" t="s">
        <v>16286</v>
      </c>
      <c r="D6114" s="1" t="s">
        <v>16287</v>
      </c>
      <c r="F6114" s="1" t="s">
        <v>16410</v>
      </c>
      <c r="H6114" s="1" t="s">
        <v>16419</v>
      </c>
      <c r="J6114" s="1" t="s">
        <v>16426</v>
      </c>
      <c r="L6114" s="1" t="s">
        <v>1769</v>
      </c>
      <c r="N6114" s="1" t="s">
        <v>1430</v>
      </c>
      <c r="P6114" s="1" t="s">
        <v>4561</v>
      </c>
      <c r="Q6114" s="3">
        <v>0</v>
      </c>
      <c r="R6114" s="23" t="s">
        <v>6854</v>
      </c>
      <c r="S6114" s="23" t="s">
        <v>6847</v>
      </c>
      <c r="T6114" s="23" t="s">
        <v>4866</v>
      </c>
      <c r="U6114" s="3">
        <v>35</v>
      </c>
      <c r="W6114" s="45" t="str">
        <f>HYPERLINK("http://ictvonline.org/taxonomy/p/taxonomy-history?taxnode_id=201902434","ICTVonline=201902434")</f>
        <v>ICTVonline=201902434</v>
      </c>
      <c r="Y6114" s="1" t="s">
        <v>16456</v>
      </c>
      <c r="Z6114" s="1" t="s">
        <v>16457</v>
      </c>
      <c r="AA6114" s="1">
        <v>201900000</v>
      </c>
      <c r="AB6114" s="1">
        <v>35</v>
      </c>
    </row>
    <row r="6115" spans="1:28" x14ac:dyDescent="0.2">
      <c r="A6115" s="1">
        <v>15775</v>
      </c>
      <c r="B6115" s="1" t="s">
        <v>16286</v>
      </c>
      <c r="D6115" s="1" t="s">
        <v>16287</v>
      </c>
      <c r="F6115" s="1" t="s">
        <v>16410</v>
      </c>
      <c r="H6115" s="1" t="s">
        <v>16419</v>
      </c>
      <c r="J6115" s="1" t="s">
        <v>16426</v>
      </c>
      <c r="L6115" s="1" t="s">
        <v>1769</v>
      </c>
      <c r="N6115" s="1" t="s">
        <v>1430</v>
      </c>
      <c r="P6115" s="1" t="s">
        <v>16458</v>
      </c>
      <c r="Q6115" s="3">
        <v>0</v>
      </c>
      <c r="R6115" s="23" t="s">
        <v>6854</v>
      </c>
      <c r="S6115" s="23" t="s">
        <v>6849</v>
      </c>
      <c r="T6115" s="23" t="s">
        <v>4864</v>
      </c>
      <c r="U6115" s="3">
        <v>35</v>
      </c>
      <c r="V6115" s="3" t="s">
        <v>16436</v>
      </c>
      <c r="W6115" s="45" t="str">
        <f>HYPERLINK("http://ictvonline.org/taxonomy/p/taxonomy-history?taxnode_id=201907197","ICTVonline=201907197")</f>
        <v>ICTVonline=201907197</v>
      </c>
      <c r="X6115" s="1" t="s">
        <v>16459</v>
      </c>
      <c r="Y6115" s="1" t="s">
        <v>16460</v>
      </c>
      <c r="Z6115" s="1" t="s">
        <v>16461</v>
      </c>
      <c r="AA6115" s="1">
        <v>201900000</v>
      </c>
      <c r="AB6115" s="1">
        <v>35</v>
      </c>
    </row>
    <row r="6116" spans="1:28" x14ac:dyDescent="0.2">
      <c r="A6116" s="1">
        <v>15777</v>
      </c>
      <c r="B6116" s="1" t="s">
        <v>16286</v>
      </c>
      <c r="D6116" s="1" t="s">
        <v>16287</v>
      </c>
      <c r="F6116" s="1" t="s">
        <v>16410</v>
      </c>
      <c r="H6116" s="1" t="s">
        <v>16419</v>
      </c>
      <c r="J6116" s="1" t="s">
        <v>16426</v>
      </c>
      <c r="L6116" s="1" t="s">
        <v>1769</v>
      </c>
      <c r="N6116" s="1" t="s">
        <v>1430</v>
      </c>
      <c r="P6116" s="1" t="s">
        <v>2349</v>
      </c>
      <c r="Q6116" s="3">
        <v>0</v>
      </c>
      <c r="R6116" s="23" t="s">
        <v>6854</v>
      </c>
      <c r="S6116" s="23" t="s">
        <v>6847</v>
      </c>
      <c r="T6116" s="23" t="s">
        <v>4866</v>
      </c>
      <c r="U6116" s="3">
        <v>35</v>
      </c>
      <c r="W6116" s="45" t="str">
        <f>HYPERLINK("http://ictvonline.org/taxonomy/p/taxonomy-history?taxnode_id=201902435","ICTVonline=201902435")</f>
        <v>ICTVonline=201902435</v>
      </c>
      <c r="AA6116" s="1">
        <v>201900000</v>
      </c>
      <c r="AB6116" s="1">
        <v>35</v>
      </c>
    </row>
    <row r="6117" spans="1:28" x14ac:dyDescent="0.2">
      <c r="A6117" s="1">
        <v>15779</v>
      </c>
      <c r="B6117" s="1" t="s">
        <v>16286</v>
      </c>
      <c r="D6117" s="1" t="s">
        <v>16287</v>
      </c>
      <c r="F6117" s="1" t="s">
        <v>16410</v>
      </c>
      <c r="H6117" s="1" t="s">
        <v>16419</v>
      </c>
      <c r="J6117" s="1" t="s">
        <v>16426</v>
      </c>
      <c r="L6117" s="1" t="s">
        <v>1769</v>
      </c>
      <c r="N6117" s="1" t="s">
        <v>1430</v>
      </c>
      <c r="P6117" s="1" t="s">
        <v>2350</v>
      </c>
      <c r="Q6117" s="3">
        <v>0</v>
      </c>
      <c r="R6117" s="23" t="s">
        <v>6854</v>
      </c>
      <c r="S6117" s="23" t="s">
        <v>6847</v>
      </c>
      <c r="T6117" s="23" t="s">
        <v>4866</v>
      </c>
      <c r="U6117" s="3">
        <v>35</v>
      </c>
      <c r="W6117" s="45" t="str">
        <f>HYPERLINK("http://ictvonline.org/taxonomy/p/taxonomy-history?taxnode_id=201902436","ICTVonline=201902436")</f>
        <v>ICTVonline=201902436</v>
      </c>
      <c r="AA6117" s="1">
        <v>201900000</v>
      </c>
      <c r="AB6117" s="1">
        <v>35</v>
      </c>
    </row>
    <row r="6118" spans="1:28" x14ac:dyDescent="0.2">
      <c r="A6118" s="1">
        <v>15781</v>
      </c>
      <c r="B6118" s="1" t="s">
        <v>16286</v>
      </c>
      <c r="D6118" s="1" t="s">
        <v>16287</v>
      </c>
      <c r="F6118" s="1" t="s">
        <v>16410</v>
      </c>
      <c r="H6118" s="1" t="s">
        <v>16419</v>
      </c>
      <c r="J6118" s="1" t="s">
        <v>16426</v>
      </c>
      <c r="L6118" s="1" t="s">
        <v>1769</v>
      </c>
      <c r="N6118" s="1" t="s">
        <v>1430</v>
      </c>
      <c r="P6118" s="1" t="s">
        <v>2351</v>
      </c>
      <c r="Q6118" s="3">
        <v>0</v>
      </c>
      <c r="R6118" s="23" t="s">
        <v>6854</v>
      </c>
      <c r="S6118" s="23" t="s">
        <v>6847</v>
      </c>
      <c r="T6118" s="23" t="s">
        <v>4866</v>
      </c>
      <c r="U6118" s="3">
        <v>35</v>
      </c>
      <c r="W6118" s="45" t="str">
        <f>HYPERLINK("http://ictvonline.org/taxonomy/p/taxonomy-history?taxnode_id=201902437","ICTVonline=201902437")</f>
        <v>ICTVonline=201902437</v>
      </c>
      <c r="AA6118" s="1">
        <v>201900000</v>
      </c>
      <c r="AB6118" s="1">
        <v>35</v>
      </c>
    </row>
    <row r="6119" spans="1:28" x14ac:dyDescent="0.2">
      <c r="A6119" s="1">
        <v>15783</v>
      </c>
      <c r="B6119" s="1" t="s">
        <v>16286</v>
      </c>
      <c r="D6119" s="1" t="s">
        <v>16287</v>
      </c>
      <c r="F6119" s="1" t="s">
        <v>16410</v>
      </c>
      <c r="H6119" s="1" t="s">
        <v>16419</v>
      </c>
      <c r="J6119" s="1" t="s">
        <v>16426</v>
      </c>
      <c r="L6119" s="1" t="s">
        <v>1769</v>
      </c>
      <c r="N6119" s="1" t="s">
        <v>1430</v>
      </c>
      <c r="P6119" s="1" t="s">
        <v>4562</v>
      </c>
      <c r="Q6119" s="3">
        <v>0</v>
      </c>
      <c r="R6119" s="23" t="s">
        <v>6854</v>
      </c>
      <c r="S6119" s="23" t="s">
        <v>6847</v>
      </c>
      <c r="T6119" s="23" t="s">
        <v>4866</v>
      </c>
      <c r="U6119" s="3">
        <v>35</v>
      </c>
      <c r="W6119" s="45" t="str">
        <f>HYPERLINK("http://ictvonline.org/taxonomy/p/taxonomy-history?taxnode_id=201902438","ICTVonline=201902438")</f>
        <v>ICTVonline=201902438</v>
      </c>
      <c r="Y6119" s="1" t="s">
        <v>16462</v>
      </c>
      <c r="Z6119" s="1" t="s">
        <v>16463</v>
      </c>
      <c r="AA6119" s="1">
        <v>201900000</v>
      </c>
      <c r="AB6119" s="1">
        <v>35</v>
      </c>
    </row>
    <row r="6120" spans="1:28" x14ac:dyDescent="0.2">
      <c r="A6120" s="1">
        <v>15785</v>
      </c>
      <c r="B6120" s="1" t="s">
        <v>16286</v>
      </c>
      <c r="D6120" s="1" t="s">
        <v>16287</v>
      </c>
      <c r="F6120" s="1" t="s">
        <v>16410</v>
      </c>
      <c r="H6120" s="1" t="s">
        <v>16419</v>
      </c>
      <c r="J6120" s="1" t="s">
        <v>16426</v>
      </c>
      <c r="L6120" s="1" t="s">
        <v>1769</v>
      </c>
      <c r="N6120" s="1" t="s">
        <v>1430</v>
      </c>
      <c r="P6120" s="1" t="s">
        <v>2352</v>
      </c>
      <c r="Q6120" s="3">
        <v>0</v>
      </c>
      <c r="R6120" s="23" t="s">
        <v>6854</v>
      </c>
      <c r="S6120" s="23" t="s">
        <v>6847</v>
      </c>
      <c r="T6120" s="23" t="s">
        <v>4866</v>
      </c>
      <c r="U6120" s="3">
        <v>35</v>
      </c>
      <c r="W6120" s="45" t="str">
        <f>HYPERLINK("http://ictvonline.org/taxonomy/p/taxonomy-history?taxnode_id=201902439","ICTVonline=201902439")</f>
        <v>ICTVonline=201902439</v>
      </c>
      <c r="AA6120" s="1">
        <v>201900000</v>
      </c>
      <c r="AB6120" s="1">
        <v>35</v>
      </c>
    </row>
    <row r="6121" spans="1:28" x14ac:dyDescent="0.2">
      <c r="A6121" s="1">
        <v>15787</v>
      </c>
      <c r="B6121" s="1" t="s">
        <v>16286</v>
      </c>
      <c r="D6121" s="1" t="s">
        <v>16287</v>
      </c>
      <c r="F6121" s="1" t="s">
        <v>16410</v>
      </c>
      <c r="H6121" s="1" t="s">
        <v>16419</v>
      </c>
      <c r="J6121" s="1" t="s">
        <v>16426</v>
      </c>
      <c r="L6121" s="1" t="s">
        <v>1769</v>
      </c>
      <c r="N6121" s="1" t="s">
        <v>1430</v>
      </c>
      <c r="P6121" s="1" t="s">
        <v>3624</v>
      </c>
      <c r="Q6121" s="3">
        <v>0</v>
      </c>
      <c r="R6121" s="23" t="s">
        <v>6854</v>
      </c>
      <c r="S6121" s="23" t="s">
        <v>6847</v>
      </c>
      <c r="T6121" s="23" t="s">
        <v>4866</v>
      </c>
      <c r="U6121" s="3">
        <v>35</v>
      </c>
      <c r="W6121" s="45" t="str">
        <f>HYPERLINK("http://ictvonline.org/taxonomy/p/taxonomy-history?taxnode_id=201902440","ICTVonline=201902440")</f>
        <v>ICTVonline=201902440</v>
      </c>
      <c r="Y6121" s="1" t="s">
        <v>16464</v>
      </c>
      <c r="Z6121" s="1" t="s">
        <v>16465</v>
      </c>
      <c r="AA6121" s="1">
        <v>201900000</v>
      </c>
      <c r="AB6121" s="1">
        <v>35</v>
      </c>
    </row>
    <row r="6122" spans="1:28" x14ac:dyDescent="0.2">
      <c r="A6122" s="1">
        <v>15789</v>
      </c>
      <c r="B6122" s="1" t="s">
        <v>16286</v>
      </c>
      <c r="D6122" s="1" t="s">
        <v>16287</v>
      </c>
      <c r="F6122" s="1" t="s">
        <v>16410</v>
      </c>
      <c r="H6122" s="1" t="s">
        <v>16419</v>
      </c>
      <c r="J6122" s="1" t="s">
        <v>16426</v>
      </c>
      <c r="L6122" s="1" t="s">
        <v>1769</v>
      </c>
      <c r="N6122" s="1" t="s">
        <v>1430</v>
      </c>
      <c r="P6122" s="1" t="s">
        <v>3625</v>
      </c>
      <c r="Q6122" s="3">
        <v>0</v>
      </c>
      <c r="R6122" s="23" t="s">
        <v>6854</v>
      </c>
      <c r="S6122" s="23" t="s">
        <v>6847</v>
      </c>
      <c r="T6122" s="23" t="s">
        <v>4866</v>
      </c>
      <c r="U6122" s="3">
        <v>35</v>
      </c>
      <c r="W6122" s="45" t="str">
        <f>HYPERLINK("http://ictvonline.org/taxonomy/p/taxonomy-history?taxnode_id=201902441","ICTVonline=201902441")</f>
        <v>ICTVonline=201902441</v>
      </c>
      <c r="Y6122" s="1" t="s">
        <v>16466</v>
      </c>
      <c r="Z6122" s="1" t="s">
        <v>16467</v>
      </c>
      <c r="AA6122" s="1">
        <v>201900000</v>
      </c>
      <c r="AB6122" s="1">
        <v>35</v>
      </c>
    </row>
    <row r="6123" spans="1:28" x14ac:dyDescent="0.2">
      <c r="A6123" s="1">
        <v>15791</v>
      </c>
      <c r="B6123" s="1" t="s">
        <v>16286</v>
      </c>
      <c r="D6123" s="1" t="s">
        <v>16287</v>
      </c>
      <c r="F6123" s="1" t="s">
        <v>16410</v>
      </c>
      <c r="H6123" s="1" t="s">
        <v>16419</v>
      </c>
      <c r="J6123" s="1" t="s">
        <v>16426</v>
      </c>
      <c r="L6123" s="1" t="s">
        <v>1769</v>
      </c>
      <c r="N6123" s="1" t="s">
        <v>1430</v>
      </c>
      <c r="P6123" s="1" t="s">
        <v>4563</v>
      </c>
      <c r="Q6123" s="3">
        <v>0</v>
      </c>
      <c r="R6123" s="23" t="s">
        <v>6854</v>
      </c>
      <c r="S6123" s="23" t="s">
        <v>6847</v>
      </c>
      <c r="T6123" s="23" t="s">
        <v>4866</v>
      </c>
      <c r="U6123" s="3">
        <v>35</v>
      </c>
      <c r="W6123" s="45" t="str">
        <f>HYPERLINK("http://ictvonline.org/taxonomy/p/taxonomy-history?taxnode_id=201902442","ICTVonline=201902442")</f>
        <v>ICTVonline=201902442</v>
      </c>
      <c r="Y6123" s="1" t="s">
        <v>16468</v>
      </c>
      <c r="Z6123" s="1" t="s">
        <v>16469</v>
      </c>
      <c r="AA6123" s="1">
        <v>201900000</v>
      </c>
      <c r="AB6123" s="1">
        <v>35</v>
      </c>
    </row>
    <row r="6124" spans="1:28" x14ac:dyDescent="0.2">
      <c r="A6124" s="1">
        <v>15793</v>
      </c>
      <c r="B6124" s="1" t="s">
        <v>16286</v>
      </c>
      <c r="D6124" s="1" t="s">
        <v>16287</v>
      </c>
      <c r="F6124" s="1" t="s">
        <v>16410</v>
      </c>
      <c r="H6124" s="1" t="s">
        <v>16419</v>
      </c>
      <c r="J6124" s="1" t="s">
        <v>16426</v>
      </c>
      <c r="L6124" s="1" t="s">
        <v>1769</v>
      </c>
      <c r="N6124" s="1" t="s">
        <v>1430</v>
      </c>
      <c r="P6124" s="1" t="s">
        <v>4564</v>
      </c>
      <c r="Q6124" s="3">
        <v>0</v>
      </c>
      <c r="R6124" s="23" t="s">
        <v>6854</v>
      </c>
      <c r="S6124" s="23" t="s">
        <v>6847</v>
      </c>
      <c r="T6124" s="23" t="s">
        <v>4866</v>
      </c>
      <c r="U6124" s="3">
        <v>35</v>
      </c>
      <c r="W6124" s="45" t="str">
        <f>HYPERLINK("http://ictvonline.org/taxonomy/p/taxonomy-history?taxnode_id=201902443","ICTVonline=201902443")</f>
        <v>ICTVonline=201902443</v>
      </c>
      <c r="Y6124" s="1" t="s">
        <v>16470</v>
      </c>
      <c r="Z6124" s="1" t="s">
        <v>16471</v>
      </c>
      <c r="AA6124" s="1">
        <v>201900000</v>
      </c>
      <c r="AB6124" s="1">
        <v>35</v>
      </c>
    </row>
    <row r="6125" spans="1:28" x14ac:dyDescent="0.2">
      <c r="A6125" s="1">
        <v>15795</v>
      </c>
      <c r="B6125" s="1" t="s">
        <v>16286</v>
      </c>
      <c r="D6125" s="1" t="s">
        <v>16287</v>
      </c>
      <c r="F6125" s="1" t="s">
        <v>16410</v>
      </c>
      <c r="H6125" s="1" t="s">
        <v>16419</v>
      </c>
      <c r="J6125" s="1" t="s">
        <v>16426</v>
      </c>
      <c r="L6125" s="1" t="s">
        <v>1769</v>
      </c>
      <c r="N6125" s="1" t="s">
        <v>1430</v>
      </c>
      <c r="P6125" s="1" t="s">
        <v>4565</v>
      </c>
      <c r="Q6125" s="3">
        <v>0</v>
      </c>
      <c r="R6125" s="23" t="s">
        <v>6854</v>
      </c>
      <c r="S6125" s="23" t="s">
        <v>6847</v>
      </c>
      <c r="T6125" s="23" t="s">
        <v>4866</v>
      </c>
      <c r="U6125" s="3">
        <v>35</v>
      </c>
      <c r="W6125" s="45" t="str">
        <f>HYPERLINK("http://ictvonline.org/taxonomy/p/taxonomy-history?taxnode_id=201902444","ICTVonline=201902444")</f>
        <v>ICTVonline=201902444</v>
      </c>
      <c r="Y6125" s="1" t="s">
        <v>16472</v>
      </c>
      <c r="Z6125" s="1" t="s">
        <v>16473</v>
      </c>
      <c r="AA6125" s="1">
        <v>201900000</v>
      </c>
      <c r="AB6125" s="1">
        <v>35</v>
      </c>
    </row>
    <row r="6126" spans="1:28" x14ac:dyDescent="0.2">
      <c r="A6126" s="1">
        <v>15797</v>
      </c>
      <c r="B6126" s="1" t="s">
        <v>16286</v>
      </c>
      <c r="D6126" s="1" t="s">
        <v>16287</v>
      </c>
      <c r="F6126" s="1" t="s">
        <v>16410</v>
      </c>
      <c r="H6126" s="1" t="s">
        <v>16419</v>
      </c>
      <c r="J6126" s="1" t="s">
        <v>16426</v>
      </c>
      <c r="L6126" s="1" t="s">
        <v>1769</v>
      </c>
      <c r="N6126" s="1" t="s">
        <v>1430</v>
      </c>
      <c r="P6126" s="1" t="s">
        <v>4566</v>
      </c>
      <c r="Q6126" s="3">
        <v>0</v>
      </c>
      <c r="R6126" s="23" t="s">
        <v>6854</v>
      </c>
      <c r="S6126" s="23" t="s">
        <v>6847</v>
      </c>
      <c r="T6126" s="23" t="s">
        <v>4866</v>
      </c>
      <c r="U6126" s="3">
        <v>35</v>
      </c>
      <c r="W6126" s="45" t="str">
        <f>HYPERLINK("http://ictvonline.org/taxonomy/p/taxonomy-history?taxnode_id=201902445","ICTVonline=201902445")</f>
        <v>ICTVonline=201902445</v>
      </c>
      <c r="Y6126" s="1" t="s">
        <v>16474</v>
      </c>
      <c r="Z6126" s="1" t="s">
        <v>16475</v>
      </c>
      <c r="AA6126" s="1">
        <v>201900000</v>
      </c>
      <c r="AB6126" s="1">
        <v>35</v>
      </c>
    </row>
    <row r="6127" spans="1:28" x14ac:dyDescent="0.2">
      <c r="A6127" s="1">
        <v>15799</v>
      </c>
      <c r="B6127" s="1" t="s">
        <v>16286</v>
      </c>
      <c r="D6127" s="1" t="s">
        <v>16287</v>
      </c>
      <c r="F6127" s="1" t="s">
        <v>16410</v>
      </c>
      <c r="H6127" s="1" t="s">
        <v>16419</v>
      </c>
      <c r="J6127" s="1" t="s">
        <v>16426</v>
      </c>
      <c r="L6127" s="1" t="s">
        <v>1769</v>
      </c>
      <c r="N6127" s="1" t="s">
        <v>1430</v>
      </c>
      <c r="P6127" s="1" t="s">
        <v>4567</v>
      </c>
      <c r="Q6127" s="3">
        <v>0</v>
      </c>
      <c r="R6127" s="23" t="s">
        <v>6854</v>
      </c>
      <c r="S6127" s="23" t="s">
        <v>6847</v>
      </c>
      <c r="T6127" s="23" t="s">
        <v>4866</v>
      </c>
      <c r="U6127" s="3">
        <v>35</v>
      </c>
      <c r="W6127" s="45" t="str">
        <f>HYPERLINK("http://ictvonline.org/taxonomy/p/taxonomy-history?taxnode_id=201902446","ICTVonline=201902446")</f>
        <v>ICTVonline=201902446</v>
      </c>
      <c r="Y6127" s="1" t="s">
        <v>16476</v>
      </c>
      <c r="Z6127" s="1" t="s">
        <v>16477</v>
      </c>
      <c r="AA6127" s="1">
        <v>201900000</v>
      </c>
      <c r="AB6127" s="1">
        <v>35</v>
      </c>
    </row>
    <row r="6128" spans="1:28" x14ac:dyDescent="0.2">
      <c r="A6128" s="1">
        <v>15801</v>
      </c>
      <c r="B6128" s="1" t="s">
        <v>16286</v>
      </c>
      <c r="D6128" s="1" t="s">
        <v>16287</v>
      </c>
      <c r="F6128" s="1" t="s">
        <v>16410</v>
      </c>
      <c r="H6128" s="1" t="s">
        <v>16419</v>
      </c>
      <c r="J6128" s="1" t="s">
        <v>16426</v>
      </c>
      <c r="L6128" s="1" t="s">
        <v>1769</v>
      </c>
      <c r="N6128" s="1" t="s">
        <v>1430</v>
      </c>
      <c r="P6128" s="1" t="s">
        <v>5161</v>
      </c>
      <c r="Q6128" s="3">
        <v>0</v>
      </c>
      <c r="R6128" s="23" t="s">
        <v>6854</v>
      </c>
      <c r="S6128" s="23" t="s">
        <v>6847</v>
      </c>
      <c r="T6128" s="23" t="s">
        <v>4866</v>
      </c>
      <c r="U6128" s="3">
        <v>35</v>
      </c>
      <c r="W6128" s="45" t="str">
        <f>HYPERLINK("http://ictvonline.org/taxonomy/p/taxonomy-history?taxnode_id=201905662","ICTVonline=201905662")</f>
        <v>ICTVonline=201905662</v>
      </c>
      <c r="AA6128" s="1">
        <v>201900000</v>
      </c>
      <c r="AB6128" s="1">
        <v>35</v>
      </c>
    </row>
    <row r="6129" spans="1:28" x14ac:dyDescent="0.2">
      <c r="A6129" s="1">
        <v>15803</v>
      </c>
      <c r="B6129" s="1" t="s">
        <v>16286</v>
      </c>
      <c r="D6129" s="1" t="s">
        <v>16287</v>
      </c>
      <c r="F6129" s="1" t="s">
        <v>16410</v>
      </c>
      <c r="H6129" s="1" t="s">
        <v>16419</v>
      </c>
      <c r="J6129" s="1" t="s">
        <v>16426</v>
      </c>
      <c r="L6129" s="1" t="s">
        <v>1769</v>
      </c>
      <c r="N6129" s="1" t="s">
        <v>1430</v>
      </c>
      <c r="P6129" s="1" t="s">
        <v>4568</v>
      </c>
      <c r="Q6129" s="3">
        <v>0</v>
      </c>
      <c r="R6129" s="23" t="s">
        <v>6854</v>
      </c>
      <c r="S6129" s="23" t="s">
        <v>6847</v>
      </c>
      <c r="T6129" s="23" t="s">
        <v>4866</v>
      </c>
      <c r="U6129" s="3">
        <v>35</v>
      </c>
      <c r="W6129" s="45" t="str">
        <f>HYPERLINK("http://ictvonline.org/taxonomy/p/taxonomy-history?taxnode_id=201902447","ICTVonline=201902447")</f>
        <v>ICTVonline=201902447</v>
      </c>
      <c r="Y6129" s="1" t="s">
        <v>16478</v>
      </c>
      <c r="Z6129" s="1" t="s">
        <v>16479</v>
      </c>
      <c r="AA6129" s="1">
        <v>201900000</v>
      </c>
      <c r="AB6129" s="1">
        <v>35</v>
      </c>
    </row>
    <row r="6130" spans="1:28" x14ac:dyDescent="0.2">
      <c r="A6130" s="1">
        <v>15805</v>
      </c>
      <c r="B6130" s="1" t="s">
        <v>16286</v>
      </c>
      <c r="D6130" s="1" t="s">
        <v>16287</v>
      </c>
      <c r="F6130" s="1" t="s">
        <v>16410</v>
      </c>
      <c r="H6130" s="1" t="s">
        <v>16419</v>
      </c>
      <c r="J6130" s="1" t="s">
        <v>16426</v>
      </c>
      <c r="L6130" s="1" t="s">
        <v>1769</v>
      </c>
      <c r="N6130" s="1" t="s">
        <v>1430</v>
      </c>
      <c r="P6130" s="1" t="s">
        <v>5162</v>
      </c>
      <c r="Q6130" s="3">
        <v>0</v>
      </c>
      <c r="R6130" s="23" t="s">
        <v>6854</v>
      </c>
      <c r="S6130" s="23" t="s">
        <v>6847</v>
      </c>
      <c r="T6130" s="23" t="s">
        <v>4866</v>
      </c>
      <c r="U6130" s="3">
        <v>35</v>
      </c>
      <c r="W6130" s="45" t="str">
        <f>HYPERLINK("http://ictvonline.org/taxonomy/p/taxonomy-history?taxnode_id=201905663","ICTVonline=201905663")</f>
        <v>ICTVonline=201905663</v>
      </c>
      <c r="AA6130" s="1">
        <v>201900000</v>
      </c>
      <c r="AB6130" s="1">
        <v>35</v>
      </c>
    </row>
    <row r="6131" spans="1:28" x14ac:dyDescent="0.2">
      <c r="A6131" s="1">
        <v>15807</v>
      </c>
      <c r="B6131" s="1" t="s">
        <v>16286</v>
      </c>
      <c r="D6131" s="1" t="s">
        <v>16287</v>
      </c>
      <c r="F6131" s="1" t="s">
        <v>16410</v>
      </c>
      <c r="H6131" s="1" t="s">
        <v>16419</v>
      </c>
      <c r="J6131" s="1" t="s">
        <v>16426</v>
      </c>
      <c r="L6131" s="1" t="s">
        <v>1769</v>
      </c>
      <c r="N6131" s="1" t="s">
        <v>1430</v>
      </c>
      <c r="P6131" s="1" t="s">
        <v>2353</v>
      </c>
      <c r="Q6131" s="3">
        <v>0</v>
      </c>
      <c r="R6131" s="23" t="s">
        <v>6854</v>
      </c>
      <c r="S6131" s="23" t="s">
        <v>6847</v>
      </c>
      <c r="T6131" s="23" t="s">
        <v>4866</v>
      </c>
      <c r="U6131" s="3">
        <v>35</v>
      </c>
      <c r="W6131" s="45" t="str">
        <f>HYPERLINK("http://ictvonline.org/taxonomy/p/taxonomy-history?taxnode_id=201902448","ICTVonline=201902448")</f>
        <v>ICTVonline=201902448</v>
      </c>
      <c r="AA6131" s="1">
        <v>201900000</v>
      </c>
      <c r="AB6131" s="1">
        <v>35</v>
      </c>
    </row>
    <row r="6132" spans="1:28" x14ac:dyDescent="0.2">
      <c r="A6132" s="1">
        <v>15811</v>
      </c>
      <c r="B6132" s="1" t="s">
        <v>16286</v>
      </c>
      <c r="D6132" s="1" t="s">
        <v>16287</v>
      </c>
      <c r="F6132" s="1" t="s">
        <v>16410</v>
      </c>
      <c r="H6132" s="1" t="s">
        <v>16419</v>
      </c>
      <c r="J6132" s="1" t="s">
        <v>16426</v>
      </c>
      <c r="L6132" s="1" t="s">
        <v>1769</v>
      </c>
      <c r="N6132" s="1" t="s">
        <v>679</v>
      </c>
      <c r="P6132" s="1" t="s">
        <v>2354</v>
      </c>
      <c r="Q6132" s="3">
        <v>1</v>
      </c>
      <c r="R6132" s="23" t="s">
        <v>6854</v>
      </c>
      <c r="S6132" s="23" t="s">
        <v>6847</v>
      </c>
      <c r="T6132" s="23" t="s">
        <v>4866</v>
      </c>
      <c r="U6132" s="3">
        <v>35</v>
      </c>
      <c r="W6132" s="45" t="str">
        <f>HYPERLINK("http://ictvonline.org/taxonomy/p/taxonomy-history?taxnode_id=201902450","ICTVonline=201902450")</f>
        <v>ICTVonline=201902450</v>
      </c>
      <c r="AA6132" s="1">
        <v>201900000</v>
      </c>
      <c r="AB6132" s="1">
        <v>35</v>
      </c>
    </row>
    <row r="6133" spans="1:28" x14ac:dyDescent="0.2">
      <c r="A6133" s="1">
        <v>15813</v>
      </c>
      <c r="B6133" s="1" t="s">
        <v>16286</v>
      </c>
      <c r="D6133" s="1" t="s">
        <v>16287</v>
      </c>
      <c r="F6133" s="1" t="s">
        <v>16410</v>
      </c>
      <c r="H6133" s="1" t="s">
        <v>16419</v>
      </c>
      <c r="J6133" s="1" t="s">
        <v>16426</v>
      </c>
      <c r="L6133" s="1" t="s">
        <v>1769</v>
      </c>
      <c r="N6133" s="1" t="s">
        <v>679</v>
      </c>
      <c r="P6133" s="1" t="s">
        <v>2355</v>
      </c>
      <c r="Q6133" s="3">
        <v>0</v>
      </c>
      <c r="R6133" s="23" t="s">
        <v>6854</v>
      </c>
      <c r="S6133" s="23" t="s">
        <v>6847</v>
      </c>
      <c r="T6133" s="23" t="s">
        <v>4866</v>
      </c>
      <c r="U6133" s="3">
        <v>35</v>
      </c>
      <c r="W6133" s="45" t="str">
        <f>HYPERLINK("http://ictvonline.org/taxonomy/p/taxonomy-history?taxnode_id=201902451","ICTVonline=201902451")</f>
        <v>ICTVonline=201902451</v>
      </c>
      <c r="AA6133" s="1">
        <v>201900000</v>
      </c>
      <c r="AB6133" s="1">
        <v>35</v>
      </c>
    </row>
    <row r="6134" spans="1:28" x14ac:dyDescent="0.2">
      <c r="A6134" s="1">
        <v>15815</v>
      </c>
      <c r="B6134" s="1" t="s">
        <v>16286</v>
      </c>
      <c r="D6134" s="1" t="s">
        <v>16287</v>
      </c>
      <c r="F6134" s="1" t="s">
        <v>16410</v>
      </c>
      <c r="H6134" s="1" t="s">
        <v>16419</v>
      </c>
      <c r="J6134" s="1" t="s">
        <v>16426</v>
      </c>
      <c r="L6134" s="1" t="s">
        <v>1769</v>
      </c>
      <c r="N6134" s="1" t="s">
        <v>679</v>
      </c>
      <c r="P6134" s="1" t="s">
        <v>4569</v>
      </c>
      <c r="Q6134" s="3">
        <v>0</v>
      </c>
      <c r="R6134" s="23" t="s">
        <v>6854</v>
      </c>
      <c r="S6134" s="23" t="s">
        <v>6847</v>
      </c>
      <c r="T6134" s="23" t="s">
        <v>4866</v>
      </c>
      <c r="U6134" s="3">
        <v>35</v>
      </c>
      <c r="W6134" s="45" t="str">
        <f>HYPERLINK("http://ictvonline.org/taxonomy/p/taxonomy-history?taxnode_id=201902452","ICTVonline=201902452")</f>
        <v>ICTVonline=201902452</v>
      </c>
      <c r="Y6134" s="1" t="s">
        <v>16480</v>
      </c>
      <c r="Z6134" s="1" t="s">
        <v>16481</v>
      </c>
      <c r="AA6134" s="1">
        <v>201900000</v>
      </c>
      <c r="AB6134" s="1">
        <v>35</v>
      </c>
    </row>
    <row r="6135" spans="1:28" x14ac:dyDescent="0.2">
      <c r="A6135" s="1">
        <v>15817</v>
      </c>
      <c r="B6135" s="1" t="s">
        <v>16286</v>
      </c>
      <c r="D6135" s="1" t="s">
        <v>16287</v>
      </c>
      <c r="F6135" s="1" t="s">
        <v>16410</v>
      </c>
      <c r="H6135" s="1" t="s">
        <v>16419</v>
      </c>
      <c r="J6135" s="1" t="s">
        <v>16426</v>
      </c>
      <c r="L6135" s="1" t="s">
        <v>1769</v>
      </c>
      <c r="N6135" s="1" t="s">
        <v>679</v>
      </c>
      <c r="P6135" s="1" t="s">
        <v>2356</v>
      </c>
      <c r="Q6135" s="3">
        <v>0</v>
      </c>
      <c r="R6135" s="23" t="s">
        <v>6854</v>
      </c>
      <c r="S6135" s="23" t="s">
        <v>6847</v>
      </c>
      <c r="T6135" s="23" t="s">
        <v>4866</v>
      </c>
      <c r="U6135" s="3">
        <v>35</v>
      </c>
      <c r="W6135" s="45" t="str">
        <f>HYPERLINK("http://ictvonline.org/taxonomy/p/taxonomy-history?taxnode_id=201902453","ICTVonline=201902453")</f>
        <v>ICTVonline=201902453</v>
      </c>
      <c r="AA6135" s="1">
        <v>201900000</v>
      </c>
      <c r="AB6135" s="1">
        <v>35</v>
      </c>
    </row>
    <row r="6136" spans="1:28" x14ac:dyDescent="0.2">
      <c r="A6136" s="1">
        <v>15819</v>
      </c>
      <c r="B6136" s="1" t="s">
        <v>16286</v>
      </c>
      <c r="D6136" s="1" t="s">
        <v>16287</v>
      </c>
      <c r="F6136" s="1" t="s">
        <v>16410</v>
      </c>
      <c r="H6136" s="1" t="s">
        <v>16419</v>
      </c>
      <c r="J6136" s="1" t="s">
        <v>16426</v>
      </c>
      <c r="L6136" s="1" t="s">
        <v>1769</v>
      </c>
      <c r="N6136" s="1" t="s">
        <v>679</v>
      </c>
      <c r="P6136" s="1" t="s">
        <v>2357</v>
      </c>
      <c r="Q6136" s="3">
        <v>0</v>
      </c>
      <c r="R6136" s="23" t="s">
        <v>6854</v>
      </c>
      <c r="S6136" s="23" t="s">
        <v>6847</v>
      </c>
      <c r="T6136" s="23" t="s">
        <v>4866</v>
      </c>
      <c r="U6136" s="3">
        <v>35</v>
      </c>
      <c r="W6136" s="45" t="str">
        <f>HYPERLINK("http://ictvonline.org/taxonomy/p/taxonomy-history?taxnode_id=201902454","ICTVonline=201902454")</f>
        <v>ICTVonline=201902454</v>
      </c>
      <c r="AA6136" s="1">
        <v>201900000</v>
      </c>
      <c r="AB6136" s="1">
        <v>35</v>
      </c>
    </row>
    <row r="6137" spans="1:28" x14ac:dyDescent="0.2">
      <c r="A6137" s="1">
        <v>15821</v>
      </c>
      <c r="B6137" s="1" t="s">
        <v>16286</v>
      </c>
      <c r="D6137" s="1" t="s">
        <v>16287</v>
      </c>
      <c r="F6137" s="1" t="s">
        <v>16410</v>
      </c>
      <c r="H6137" s="1" t="s">
        <v>16419</v>
      </c>
      <c r="J6137" s="1" t="s">
        <v>16426</v>
      </c>
      <c r="L6137" s="1" t="s">
        <v>1769</v>
      </c>
      <c r="N6137" s="1" t="s">
        <v>679</v>
      </c>
      <c r="P6137" s="1" t="s">
        <v>2358</v>
      </c>
      <c r="Q6137" s="3">
        <v>0</v>
      </c>
      <c r="R6137" s="23" t="s">
        <v>6854</v>
      </c>
      <c r="S6137" s="23" t="s">
        <v>6847</v>
      </c>
      <c r="T6137" s="23" t="s">
        <v>4866</v>
      </c>
      <c r="U6137" s="3">
        <v>35</v>
      </c>
      <c r="W6137" s="45" t="str">
        <f>HYPERLINK("http://ictvonline.org/taxonomy/p/taxonomy-history?taxnode_id=201902455","ICTVonline=201902455")</f>
        <v>ICTVonline=201902455</v>
      </c>
      <c r="AA6137" s="1">
        <v>201900000</v>
      </c>
      <c r="AB6137" s="1">
        <v>35</v>
      </c>
    </row>
    <row r="6138" spans="1:28" x14ac:dyDescent="0.2">
      <c r="A6138" s="1">
        <v>15829</v>
      </c>
      <c r="B6138" s="1" t="s">
        <v>16286</v>
      </c>
      <c r="D6138" s="1" t="s">
        <v>16287</v>
      </c>
      <c r="F6138" s="1" t="s">
        <v>16410</v>
      </c>
      <c r="H6138" s="1" t="s">
        <v>16419</v>
      </c>
      <c r="J6138" s="1" t="s">
        <v>16482</v>
      </c>
      <c r="L6138" s="1" t="s">
        <v>2061</v>
      </c>
      <c r="N6138" s="1" t="s">
        <v>2062</v>
      </c>
      <c r="P6138" s="1" t="s">
        <v>6745</v>
      </c>
      <c r="Q6138" s="3">
        <v>0</v>
      </c>
      <c r="R6138" s="23" t="s">
        <v>6854</v>
      </c>
      <c r="S6138" s="23" t="s">
        <v>6847</v>
      </c>
      <c r="T6138" s="23" t="s">
        <v>4866</v>
      </c>
      <c r="U6138" s="3">
        <v>35</v>
      </c>
      <c r="W6138" s="45" t="str">
        <f>HYPERLINK("http://ictvonline.org/taxonomy/p/taxonomy-history?taxnode_id=201906992","ICTVonline=201906992")</f>
        <v>ICTVonline=201906992</v>
      </c>
      <c r="X6138" s="1" t="s">
        <v>16483</v>
      </c>
      <c r="Y6138" s="1" t="s">
        <v>16484</v>
      </c>
      <c r="Z6138" s="1" t="s">
        <v>16485</v>
      </c>
      <c r="AA6138" s="1">
        <v>201900000</v>
      </c>
      <c r="AB6138" s="1">
        <v>35</v>
      </c>
    </row>
    <row r="6139" spans="1:28" x14ac:dyDescent="0.2">
      <c r="A6139" s="1">
        <v>15831</v>
      </c>
      <c r="B6139" s="1" t="s">
        <v>16286</v>
      </c>
      <c r="D6139" s="1" t="s">
        <v>16287</v>
      </c>
      <c r="F6139" s="1" t="s">
        <v>16410</v>
      </c>
      <c r="H6139" s="1" t="s">
        <v>16419</v>
      </c>
      <c r="J6139" s="1" t="s">
        <v>16482</v>
      </c>
      <c r="L6139" s="1" t="s">
        <v>2061</v>
      </c>
      <c r="N6139" s="1" t="s">
        <v>2062</v>
      </c>
      <c r="P6139" s="1" t="s">
        <v>3710</v>
      </c>
      <c r="Q6139" s="3">
        <v>1</v>
      </c>
      <c r="R6139" s="23" t="s">
        <v>6854</v>
      </c>
      <c r="S6139" s="23" t="s">
        <v>6847</v>
      </c>
      <c r="T6139" s="23" t="s">
        <v>4866</v>
      </c>
      <c r="U6139" s="3">
        <v>35</v>
      </c>
      <c r="W6139" s="45" t="str">
        <f>HYPERLINK("http://ictvonline.org/taxonomy/p/taxonomy-history?taxnode_id=201903037","ICTVonline=201903037")</f>
        <v>ICTVonline=201903037</v>
      </c>
      <c r="AA6139" s="1">
        <v>201900000</v>
      </c>
      <c r="AB6139" s="1">
        <v>35</v>
      </c>
    </row>
    <row r="6140" spans="1:28" x14ac:dyDescent="0.2">
      <c r="A6140" s="1">
        <v>15845</v>
      </c>
      <c r="B6140" s="1" t="s">
        <v>16286</v>
      </c>
      <c r="D6140" s="1" t="s">
        <v>16486</v>
      </c>
      <c r="F6140" s="1" t="s">
        <v>16487</v>
      </c>
      <c r="H6140" s="1" t="s">
        <v>16488</v>
      </c>
      <c r="J6140" s="1" t="s">
        <v>16489</v>
      </c>
      <c r="L6140" s="1" t="s">
        <v>2705</v>
      </c>
      <c r="N6140" s="1" t="s">
        <v>2706</v>
      </c>
      <c r="P6140" s="1" t="s">
        <v>2707</v>
      </c>
      <c r="Q6140" s="3">
        <v>0</v>
      </c>
      <c r="R6140" s="23" t="s">
        <v>6854</v>
      </c>
      <c r="S6140" s="23" t="s">
        <v>6847</v>
      </c>
      <c r="T6140" s="23" t="s">
        <v>4866</v>
      </c>
      <c r="U6140" s="3">
        <v>35</v>
      </c>
      <c r="W6140" s="45" t="str">
        <f>HYPERLINK("http://ictvonline.org/taxonomy/p/taxonomy-history?taxnode_id=201905057","ICTVonline=201905057")</f>
        <v>ICTVonline=201905057</v>
      </c>
      <c r="X6140" s="1" t="s">
        <v>16490</v>
      </c>
      <c r="Y6140" s="1" t="s">
        <v>16491</v>
      </c>
      <c r="AA6140" s="1">
        <v>201900000</v>
      </c>
      <c r="AB6140" s="1">
        <v>35</v>
      </c>
    </row>
    <row r="6141" spans="1:28" x14ac:dyDescent="0.2">
      <c r="A6141" s="1">
        <v>15847</v>
      </c>
      <c r="B6141" s="1" t="s">
        <v>16286</v>
      </c>
      <c r="D6141" s="1" t="s">
        <v>16486</v>
      </c>
      <c r="F6141" s="1" t="s">
        <v>16487</v>
      </c>
      <c r="H6141" s="1" t="s">
        <v>16488</v>
      </c>
      <c r="J6141" s="1" t="s">
        <v>16489</v>
      </c>
      <c r="L6141" s="1" t="s">
        <v>2705</v>
      </c>
      <c r="N6141" s="1" t="s">
        <v>2706</v>
      </c>
      <c r="P6141" s="1" t="s">
        <v>2718</v>
      </c>
      <c r="Q6141" s="3">
        <v>0</v>
      </c>
      <c r="R6141" s="23" t="s">
        <v>6854</v>
      </c>
      <c r="S6141" s="23" t="s">
        <v>6847</v>
      </c>
      <c r="T6141" s="23" t="s">
        <v>4866</v>
      </c>
      <c r="U6141" s="3">
        <v>35</v>
      </c>
      <c r="W6141" s="45" t="str">
        <f>HYPERLINK("http://ictvonline.org/taxonomy/p/taxonomy-history?taxnode_id=201905058","ICTVonline=201905058")</f>
        <v>ICTVonline=201905058</v>
      </c>
      <c r="X6141" s="1" t="s">
        <v>16492</v>
      </c>
      <c r="Y6141" s="1" t="s">
        <v>16493</v>
      </c>
      <c r="AA6141" s="1">
        <v>201900000</v>
      </c>
      <c r="AB6141" s="1">
        <v>35</v>
      </c>
    </row>
    <row r="6142" spans="1:28" x14ac:dyDescent="0.2">
      <c r="A6142" s="1">
        <v>15849</v>
      </c>
      <c r="B6142" s="1" t="s">
        <v>16286</v>
      </c>
      <c r="D6142" s="1" t="s">
        <v>16486</v>
      </c>
      <c r="F6142" s="1" t="s">
        <v>16487</v>
      </c>
      <c r="H6142" s="1" t="s">
        <v>16488</v>
      </c>
      <c r="J6142" s="1" t="s">
        <v>16489</v>
      </c>
      <c r="L6142" s="1" t="s">
        <v>2705</v>
      </c>
      <c r="N6142" s="1" t="s">
        <v>2706</v>
      </c>
      <c r="P6142" s="1" t="s">
        <v>2719</v>
      </c>
      <c r="Q6142" s="3">
        <v>1</v>
      </c>
      <c r="R6142" s="23" t="s">
        <v>6854</v>
      </c>
      <c r="S6142" s="23" t="s">
        <v>6847</v>
      </c>
      <c r="T6142" s="23" t="s">
        <v>4866</v>
      </c>
      <c r="U6142" s="3">
        <v>35</v>
      </c>
      <c r="W6142" s="45" t="str">
        <f>HYPERLINK("http://ictvonline.org/taxonomy/p/taxonomy-history?taxnode_id=201905059","ICTVonline=201905059")</f>
        <v>ICTVonline=201905059</v>
      </c>
      <c r="X6142" s="1" t="s">
        <v>16494</v>
      </c>
      <c r="Y6142" s="1" t="s">
        <v>16495</v>
      </c>
      <c r="AA6142" s="1">
        <v>201900000</v>
      </c>
      <c r="AB6142" s="1">
        <v>35</v>
      </c>
    </row>
    <row r="6143" spans="1:28" x14ac:dyDescent="0.2">
      <c r="A6143" s="1">
        <v>15851</v>
      </c>
      <c r="B6143" s="1" t="s">
        <v>16286</v>
      </c>
      <c r="D6143" s="1" t="s">
        <v>16486</v>
      </c>
      <c r="F6143" s="1" t="s">
        <v>16487</v>
      </c>
      <c r="H6143" s="1" t="s">
        <v>16488</v>
      </c>
      <c r="J6143" s="1" t="s">
        <v>16489</v>
      </c>
      <c r="L6143" s="1" t="s">
        <v>2705</v>
      </c>
      <c r="N6143" s="1" t="s">
        <v>2706</v>
      </c>
      <c r="P6143" s="1" t="s">
        <v>4777</v>
      </c>
      <c r="Q6143" s="3">
        <v>0</v>
      </c>
      <c r="R6143" s="23" t="s">
        <v>6854</v>
      </c>
      <c r="S6143" s="23" t="s">
        <v>6847</v>
      </c>
      <c r="T6143" s="23" t="s">
        <v>4866</v>
      </c>
      <c r="U6143" s="3">
        <v>35</v>
      </c>
      <c r="W6143" s="45" t="str">
        <f>HYPERLINK("http://ictvonline.org/taxonomy/p/taxonomy-history?taxnode_id=201905060","ICTVonline=201905060")</f>
        <v>ICTVonline=201905060</v>
      </c>
      <c r="Y6143" s="1" t="s">
        <v>16496</v>
      </c>
      <c r="Z6143" s="1" t="s">
        <v>16497</v>
      </c>
      <c r="AA6143" s="1">
        <v>201900000</v>
      </c>
      <c r="AB6143" s="1">
        <v>35</v>
      </c>
    </row>
    <row r="6144" spans="1:28" x14ac:dyDescent="0.2">
      <c r="A6144" s="1">
        <v>15855</v>
      </c>
      <c r="B6144" s="1" t="s">
        <v>16286</v>
      </c>
      <c r="D6144" s="1" t="s">
        <v>16486</v>
      </c>
      <c r="F6144" s="1" t="s">
        <v>16487</v>
      </c>
      <c r="H6144" s="1" t="s">
        <v>16488</v>
      </c>
      <c r="J6144" s="1" t="s">
        <v>16489</v>
      </c>
      <c r="L6144" s="1" t="s">
        <v>2705</v>
      </c>
      <c r="N6144" s="1" t="s">
        <v>2708</v>
      </c>
      <c r="P6144" s="1" t="s">
        <v>2720</v>
      </c>
      <c r="Q6144" s="3">
        <v>1</v>
      </c>
      <c r="R6144" s="23" t="s">
        <v>6854</v>
      </c>
      <c r="S6144" s="23" t="s">
        <v>6847</v>
      </c>
      <c r="T6144" s="23" t="s">
        <v>4866</v>
      </c>
      <c r="U6144" s="3">
        <v>35</v>
      </c>
      <c r="W6144" s="45" t="str">
        <f>HYPERLINK("http://ictvonline.org/taxonomy/p/taxonomy-history?taxnode_id=201905062","ICTVonline=201905062")</f>
        <v>ICTVonline=201905062</v>
      </c>
      <c r="X6144" s="1" t="s">
        <v>16498</v>
      </c>
      <c r="Y6144" s="1" t="s">
        <v>16499</v>
      </c>
      <c r="AA6144" s="1">
        <v>201900000</v>
      </c>
      <c r="AB6144" s="1">
        <v>35</v>
      </c>
    </row>
    <row r="6145" spans="1:28" x14ac:dyDescent="0.2">
      <c r="A6145" s="1">
        <v>15859</v>
      </c>
      <c r="B6145" s="1" t="s">
        <v>16286</v>
      </c>
      <c r="D6145" s="1" t="s">
        <v>16486</v>
      </c>
      <c r="F6145" s="1" t="s">
        <v>16487</v>
      </c>
      <c r="H6145" s="1" t="s">
        <v>16488</v>
      </c>
      <c r="J6145" s="1" t="s">
        <v>16489</v>
      </c>
      <c r="L6145" s="1" t="s">
        <v>2705</v>
      </c>
      <c r="N6145" s="1" t="s">
        <v>2709</v>
      </c>
      <c r="P6145" s="1" t="s">
        <v>3953</v>
      </c>
      <c r="Q6145" s="3">
        <v>0</v>
      </c>
      <c r="R6145" s="23" t="s">
        <v>6854</v>
      </c>
      <c r="S6145" s="23" t="s">
        <v>6847</v>
      </c>
      <c r="T6145" s="23" t="s">
        <v>4866</v>
      </c>
      <c r="U6145" s="3">
        <v>35</v>
      </c>
      <c r="W6145" s="45" t="str">
        <f>HYPERLINK("http://ictvonline.org/taxonomy/p/taxonomy-history?taxnode_id=201905064","ICTVonline=201905064")</f>
        <v>ICTVonline=201905064</v>
      </c>
      <c r="X6145" s="1" t="s">
        <v>16500</v>
      </c>
      <c r="Y6145" s="1" t="s">
        <v>16501</v>
      </c>
      <c r="AA6145" s="1">
        <v>201900000</v>
      </c>
      <c r="AB6145" s="1">
        <v>35</v>
      </c>
    </row>
    <row r="6146" spans="1:28" x14ac:dyDescent="0.2">
      <c r="A6146" s="1">
        <v>15861</v>
      </c>
      <c r="B6146" s="1" t="s">
        <v>16286</v>
      </c>
      <c r="D6146" s="1" t="s">
        <v>16486</v>
      </c>
      <c r="F6146" s="1" t="s">
        <v>16487</v>
      </c>
      <c r="H6146" s="1" t="s">
        <v>16488</v>
      </c>
      <c r="J6146" s="1" t="s">
        <v>16489</v>
      </c>
      <c r="L6146" s="1" t="s">
        <v>2705</v>
      </c>
      <c r="N6146" s="1" t="s">
        <v>2709</v>
      </c>
      <c r="P6146" s="1" t="s">
        <v>3954</v>
      </c>
      <c r="Q6146" s="3">
        <v>1</v>
      </c>
      <c r="R6146" s="23" t="s">
        <v>6854</v>
      </c>
      <c r="S6146" s="23" t="s">
        <v>6847</v>
      </c>
      <c r="T6146" s="23" t="s">
        <v>4866</v>
      </c>
      <c r="U6146" s="3">
        <v>35</v>
      </c>
      <c r="W6146" s="45" t="str">
        <f>HYPERLINK("http://ictvonline.org/taxonomy/p/taxonomy-history?taxnode_id=201905065","ICTVonline=201905065")</f>
        <v>ICTVonline=201905065</v>
      </c>
      <c r="X6146" s="1" t="s">
        <v>16502</v>
      </c>
      <c r="Y6146" s="1" t="s">
        <v>16503</v>
      </c>
      <c r="AA6146" s="1">
        <v>201900000</v>
      </c>
      <c r="AB6146" s="1">
        <v>35</v>
      </c>
    </row>
    <row r="6147" spans="1:28" x14ac:dyDescent="0.2">
      <c r="A6147" s="1">
        <v>15873</v>
      </c>
      <c r="J6147" s="1" t="s">
        <v>2143</v>
      </c>
      <c r="L6147" s="1" t="s">
        <v>1614</v>
      </c>
      <c r="N6147" s="1" t="s">
        <v>16504</v>
      </c>
      <c r="P6147" s="1" t="s">
        <v>16505</v>
      </c>
      <c r="Q6147" s="3">
        <v>0</v>
      </c>
      <c r="R6147" s="23" t="s">
        <v>6854</v>
      </c>
      <c r="S6147" s="23" t="s">
        <v>6849</v>
      </c>
      <c r="T6147" s="23" t="s">
        <v>4864</v>
      </c>
      <c r="U6147" s="3">
        <v>35</v>
      </c>
      <c r="V6147" s="3" t="s">
        <v>16506</v>
      </c>
      <c r="W6147" s="45" t="str">
        <f>HYPERLINK("http://ictvonline.org/taxonomy/p/taxonomy-history?taxnode_id=201908644","ICTVonline=201908644")</f>
        <v>ICTVonline=201908644</v>
      </c>
      <c r="X6147" s="1" t="s">
        <v>16507</v>
      </c>
      <c r="Y6147" s="1" t="s">
        <v>16508</v>
      </c>
      <c r="Z6147" s="1" t="s">
        <v>16509</v>
      </c>
      <c r="AA6147" s="1">
        <v>201900000</v>
      </c>
      <c r="AB6147" s="1">
        <v>35</v>
      </c>
    </row>
    <row r="6148" spans="1:28" x14ac:dyDescent="0.2">
      <c r="A6148" s="1">
        <v>15875</v>
      </c>
      <c r="J6148" s="1" t="s">
        <v>2143</v>
      </c>
      <c r="L6148" s="1" t="s">
        <v>1614</v>
      </c>
      <c r="N6148" s="1" t="s">
        <v>16504</v>
      </c>
      <c r="P6148" s="1" t="s">
        <v>16510</v>
      </c>
      <c r="Q6148" s="3">
        <v>1</v>
      </c>
      <c r="R6148" s="23" t="s">
        <v>6854</v>
      </c>
      <c r="S6148" s="23" t="s">
        <v>6849</v>
      </c>
      <c r="T6148" s="23" t="s">
        <v>4864</v>
      </c>
      <c r="U6148" s="3">
        <v>35</v>
      </c>
      <c r="V6148" s="3" t="s">
        <v>16506</v>
      </c>
      <c r="W6148" s="45" t="str">
        <f>HYPERLINK("http://ictvonline.org/taxonomy/p/taxonomy-history?taxnode_id=201908643","ICTVonline=201908643")</f>
        <v>ICTVonline=201908643</v>
      </c>
      <c r="X6148" s="1" t="s">
        <v>16511</v>
      </c>
      <c r="Y6148" s="1" t="s">
        <v>16512</v>
      </c>
      <c r="Z6148" s="1" t="s">
        <v>16513</v>
      </c>
      <c r="AA6148" s="1">
        <v>201900000</v>
      </c>
      <c r="AB6148" s="1">
        <v>35</v>
      </c>
    </row>
    <row r="6149" spans="1:28" x14ac:dyDescent="0.2">
      <c r="A6149" s="1">
        <v>15879</v>
      </c>
      <c r="J6149" s="1" t="s">
        <v>2143</v>
      </c>
      <c r="L6149" s="1" t="s">
        <v>1614</v>
      </c>
      <c r="N6149" s="1" t="s">
        <v>1616</v>
      </c>
      <c r="P6149" s="1" t="s">
        <v>658</v>
      </c>
      <c r="Q6149" s="3">
        <v>0</v>
      </c>
      <c r="R6149" s="23" t="s">
        <v>6854</v>
      </c>
      <c r="S6149" s="23" t="s">
        <v>6846</v>
      </c>
      <c r="W6149" s="45" t="str">
        <f>HYPERLINK("http://ictvonline.org/taxonomy/p/taxonomy-history?taxnode_id=201901532","ICTVonline=201901532")</f>
        <v>ICTVonline=201901532</v>
      </c>
      <c r="Y6149" s="1" t="s">
        <v>16514</v>
      </c>
      <c r="AA6149" s="1">
        <v>201900000</v>
      </c>
      <c r="AB6149" s="1">
        <v>35</v>
      </c>
    </row>
    <row r="6150" spans="1:28" x14ac:dyDescent="0.2">
      <c r="A6150" s="1">
        <v>15881</v>
      </c>
      <c r="J6150" s="1" t="s">
        <v>2143</v>
      </c>
      <c r="L6150" s="1" t="s">
        <v>1614</v>
      </c>
      <c r="N6150" s="1" t="s">
        <v>1616</v>
      </c>
      <c r="P6150" s="1" t="s">
        <v>657</v>
      </c>
      <c r="Q6150" s="3">
        <v>0</v>
      </c>
      <c r="R6150" s="23" t="s">
        <v>6854</v>
      </c>
      <c r="S6150" s="23" t="s">
        <v>6846</v>
      </c>
      <c r="W6150" s="45" t="str">
        <f>HYPERLINK("http://ictvonline.org/taxonomy/p/taxonomy-history?taxnode_id=201901533","ICTVonline=201901533")</f>
        <v>ICTVonline=201901533</v>
      </c>
      <c r="Y6150" s="1" t="s">
        <v>16515</v>
      </c>
      <c r="AA6150" s="1">
        <v>201900000</v>
      </c>
      <c r="AB6150" s="1">
        <v>35</v>
      </c>
    </row>
    <row r="6151" spans="1:28" x14ac:dyDescent="0.2">
      <c r="A6151" s="1">
        <v>15883</v>
      </c>
      <c r="J6151" s="1" t="s">
        <v>2143</v>
      </c>
      <c r="L6151" s="1" t="s">
        <v>1614</v>
      </c>
      <c r="N6151" s="1" t="s">
        <v>1616</v>
      </c>
      <c r="P6151" s="1" t="s">
        <v>656</v>
      </c>
      <c r="Q6151" s="3">
        <v>0</v>
      </c>
      <c r="R6151" s="23" t="s">
        <v>6854</v>
      </c>
      <c r="S6151" s="23" t="s">
        <v>6846</v>
      </c>
      <c r="W6151" s="45" t="str">
        <f>HYPERLINK("http://ictvonline.org/taxonomy/p/taxonomy-history?taxnode_id=201901534","ICTVonline=201901534")</f>
        <v>ICTVonline=201901534</v>
      </c>
      <c r="Y6151" s="1" t="s">
        <v>16516</v>
      </c>
      <c r="AA6151" s="1">
        <v>201900000</v>
      </c>
      <c r="AB6151" s="1">
        <v>35</v>
      </c>
    </row>
    <row r="6152" spans="1:28" x14ac:dyDescent="0.2">
      <c r="A6152" s="1">
        <v>15885</v>
      </c>
      <c r="J6152" s="1" t="s">
        <v>2143</v>
      </c>
      <c r="L6152" s="1" t="s">
        <v>1614</v>
      </c>
      <c r="N6152" s="1" t="s">
        <v>1616</v>
      </c>
      <c r="P6152" s="1" t="s">
        <v>1778</v>
      </c>
      <c r="Q6152" s="3">
        <v>0</v>
      </c>
      <c r="R6152" s="23" t="s">
        <v>6854</v>
      </c>
      <c r="S6152" s="23" t="s">
        <v>6846</v>
      </c>
      <c r="W6152" s="45" t="str">
        <f>HYPERLINK("http://ictvonline.org/taxonomy/p/taxonomy-history?taxnode_id=201901535","ICTVonline=201901535")</f>
        <v>ICTVonline=201901535</v>
      </c>
      <c r="Y6152" s="1" t="s">
        <v>16517</v>
      </c>
      <c r="AA6152" s="1">
        <v>201900000</v>
      </c>
      <c r="AB6152" s="1">
        <v>35</v>
      </c>
    </row>
    <row r="6153" spans="1:28" x14ac:dyDescent="0.2">
      <c r="A6153" s="1">
        <v>15887</v>
      </c>
      <c r="J6153" s="1" t="s">
        <v>2143</v>
      </c>
      <c r="L6153" s="1" t="s">
        <v>1614</v>
      </c>
      <c r="N6153" s="1" t="s">
        <v>1616</v>
      </c>
      <c r="P6153" s="1" t="s">
        <v>1777</v>
      </c>
      <c r="Q6153" s="3">
        <v>0</v>
      </c>
      <c r="R6153" s="23" t="s">
        <v>6854</v>
      </c>
      <c r="S6153" s="23" t="s">
        <v>6846</v>
      </c>
      <c r="W6153" s="45" t="str">
        <f>HYPERLINK("http://ictvonline.org/taxonomy/p/taxonomy-history?taxnode_id=201901536","ICTVonline=201901536")</f>
        <v>ICTVonline=201901536</v>
      </c>
      <c r="Y6153" s="1" t="s">
        <v>16518</v>
      </c>
      <c r="AA6153" s="1">
        <v>201900000</v>
      </c>
      <c r="AB6153" s="1">
        <v>35</v>
      </c>
    </row>
    <row r="6154" spans="1:28" x14ac:dyDescent="0.2">
      <c r="A6154" s="1">
        <v>15889</v>
      </c>
      <c r="J6154" s="1" t="s">
        <v>2143</v>
      </c>
      <c r="L6154" s="1" t="s">
        <v>1614</v>
      </c>
      <c r="N6154" s="1" t="s">
        <v>1616</v>
      </c>
      <c r="P6154" s="1" t="s">
        <v>1617</v>
      </c>
      <c r="Q6154" s="3">
        <v>1</v>
      </c>
      <c r="R6154" s="23" t="s">
        <v>6854</v>
      </c>
      <c r="S6154" s="23" t="s">
        <v>6846</v>
      </c>
      <c r="W6154" s="45" t="str">
        <f>HYPERLINK("http://ictvonline.org/taxonomy/p/taxonomy-history?taxnode_id=201901537","ICTVonline=201901537")</f>
        <v>ICTVonline=201901537</v>
      </c>
      <c r="Y6154" s="1" t="s">
        <v>16519</v>
      </c>
      <c r="AA6154" s="1">
        <v>201900000</v>
      </c>
      <c r="AB6154" s="1">
        <v>35</v>
      </c>
    </row>
    <row r="6155" spans="1:28" x14ac:dyDescent="0.2">
      <c r="A6155" s="1">
        <v>15893</v>
      </c>
      <c r="J6155" s="1" t="s">
        <v>2143</v>
      </c>
      <c r="L6155" s="1" t="s">
        <v>1614</v>
      </c>
      <c r="N6155" s="1" t="s">
        <v>1113</v>
      </c>
      <c r="P6155" s="1" t="s">
        <v>1953</v>
      </c>
      <c r="Q6155" s="3">
        <v>1</v>
      </c>
      <c r="R6155" s="23" t="s">
        <v>6854</v>
      </c>
      <c r="S6155" s="23" t="s">
        <v>6846</v>
      </c>
      <c r="W6155" s="45" t="str">
        <f>HYPERLINK("http://ictvonline.org/taxonomy/p/taxonomy-history?taxnode_id=201901539","ICTVonline=201901539")</f>
        <v>ICTVonline=201901539</v>
      </c>
      <c r="Y6155" s="1" t="s">
        <v>16520</v>
      </c>
      <c r="AA6155" s="1">
        <v>201900000</v>
      </c>
      <c r="AB6155" s="1">
        <v>35</v>
      </c>
    </row>
    <row r="6156" spans="1:28" x14ac:dyDescent="0.2">
      <c r="A6156" s="1">
        <v>15895</v>
      </c>
      <c r="J6156" s="1" t="s">
        <v>2143</v>
      </c>
      <c r="L6156" s="1" t="s">
        <v>1614</v>
      </c>
      <c r="N6156" s="1" t="s">
        <v>1113</v>
      </c>
      <c r="P6156" s="1" t="s">
        <v>16521</v>
      </c>
      <c r="Q6156" s="3">
        <v>0</v>
      </c>
      <c r="R6156" s="23" t="s">
        <v>6854</v>
      </c>
      <c r="S6156" s="23" t="s">
        <v>6849</v>
      </c>
      <c r="T6156" s="23" t="s">
        <v>4864</v>
      </c>
      <c r="U6156" s="3">
        <v>35</v>
      </c>
      <c r="V6156" s="3" t="s">
        <v>16506</v>
      </c>
      <c r="W6156" s="45" t="str">
        <f>HYPERLINK("http://ictvonline.org/taxonomy/p/taxonomy-history?taxnode_id=201908645","ICTVonline=201908645")</f>
        <v>ICTVonline=201908645</v>
      </c>
      <c r="X6156" s="1" t="s">
        <v>16522</v>
      </c>
      <c r="Y6156" s="1" t="s">
        <v>16523</v>
      </c>
      <c r="Z6156" s="1" t="s">
        <v>16524</v>
      </c>
      <c r="AA6156" s="1">
        <v>201900000</v>
      </c>
      <c r="AB6156" s="1">
        <v>35</v>
      </c>
    </row>
    <row r="6157" spans="1:28" x14ac:dyDescent="0.2">
      <c r="A6157" s="1">
        <v>15899</v>
      </c>
      <c r="J6157" s="1" t="s">
        <v>2143</v>
      </c>
      <c r="L6157" s="1" t="s">
        <v>1614</v>
      </c>
      <c r="N6157" s="1" t="s">
        <v>1954</v>
      </c>
      <c r="P6157" s="1" t="s">
        <v>1955</v>
      </c>
      <c r="Q6157" s="3">
        <v>1</v>
      </c>
      <c r="R6157" s="23" t="s">
        <v>6854</v>
      </c>
      <c r="S6157" s="23" t="s">
        <v>6846</v>
      </c>
      <c r="W6157" s="45" t="str">
        <f>HYPERLINK("http://ictvonline.org/taxonomy/p/taxonomy-history?taxnode_id=201901541","ICTVonline=201901541")</f>
        <v>ICTVonline=201901541</v>
      </c>
      <c r="Y6157" s="1" t="s">
        <v>16525</v>
      </c>
      <c r="AA6157" s="1">
        <v>201900000</v>
      </c>
      <c r="AB6157" s="1">
        <v>35</v>
      </c>
    </row>
    <row r="6158" spans="1:28" x14ac:dyDescent="0.2">
      <c r="A6158" s="1">
        <v>15905</v>
      </c>
      <c r="J6158" s="1" t="s">
        <v>2143</v>
      </c>
      <c r="L6158" s="1" t="s">
        <v>1288</v>
      </c>
      <c r="N6158" s="1" t="s">
        <v>1289</v>
      </c>
      <c r="P6158" s="1" t="s">
        <v>1880</v>
      </c>
      <c r="Q6158" s="3">
        <v>0</v>
      </c>
      <c r="R6158" s="23" t="s">
        <v>6854</v>
      </c>
      <c r="S6158" s="23" t="s">
        <v>6846</v>
      </c>
      <c r="W6158" s="45" t="str">
        <f>HYPERLINK("http://ictvonline.org/taxonomy/p/taxonomy-history?taxnode_id=201901545","ICTVonline=201901545")</f>
        <v>ICTVonline=201901545</v>
      </c>
      <c r="Y6158" s="1" t="s">
        <v>16526</v>
      </c>
      <c r="AA6158" s="1">
        <v>201900000</v>
      </c>
      <c r="AB6158" s="1">
        <v>35</v>
      </c>
    </row>
    <row r="6159" spans="1:28" x14ac:dyDescent="0.2">
      <c r="A6159" s="1">
        <v>15907</v>
      </c>
      <c r="J6159" s="1" t="s">
        <v>2143</v>
      </c>
      <c r="L6159" s="1" t="s">
        <v>1288</v>
      </c>
      <c r="N6159" s="1" t="s">
        <v>1289</v>
      </c>
      <c r="P6159" s="1" t="s">
        <v>1881</v>
      </c>
      <c r="Q6159" s="3">
        <v>0</v>
      </c>
      <c r="R6159" s="23" t="s">
        <v>6854</v>
      </c>
      <c r="S6159" s="23" t="s">
        <v>6846</v>
      </c>
      <c r="W6159" s="45" t="str">
        <f>HYPERLINK("http://ictvonline.org/taxonomy/p/taxonomy-history?taxnode_id=201901546","ICTVonline=201901546")</f>
        <v>ICTVonline=201901546</v>
      </c>
      <c r="Y6159" s="1" t="s">
        <v>16527</v>
      </c>
      <c r="AA6159" s="1">
        <v>201900000</v>
      </c>
      <c r="AB6159" s="1">
        <v>35</v>
      </c>
    </row>
    <row r="6160" spans="1:28" x14ac:dyDescent="0.2">
      <c r="A6160" s="1">
        <v>15909</v>
      </c>
      <c r="J6160" s="1" t="s">
        <v>2143</v>
      </c>
      <c r="L6160" s="1" t="s">
        <v>1288</v>
      </c>
      <c r="N6160" s="1" t="s">
        <v>1289</v>
      </c>
      <c r="P6160" s="1" t="s">
        <v>1575</v>
      </c>
      <c r="Q6160" s="3">
        <v>1</v>
      </c>
      <c r="R6160" s="23" t="s">
        <v>6854</v>
      </c>
      <c r="S6160" s="23" t="s">
        <v>6846</v>
      </c>
      <c r="W6160" s="45" t="str">
        <f>HYPERLINK("http://ictvonline.org/taxonomy/p/taxonomy-history?taxnode_id=201901547","ICTVonline=201901547")</f>
        <v>ICTVonline=201901547</v>
      </c>
      <c r="Y6160" s="1" t="s">
        <v>16528</v>
      </c>
      <c r="AA6160" s="1">
        <v>201900000</v>
      </c>
      <c r="AB6160" s="1">
        <v>35</v>
      </c>
    </row>
    <row r="6161" spans="1:28" x14ac:dyDescent="0.2">
      <c r="A6161" s="1">
        <v>15917</v>
      </c>
      <c r="L6161" s="1" t="s">
        <v>5163</v>
      </c>
      <c r="M6161" s="1" t="s">
        <v>5164</v>
      </c>
      <c r="N6161" s="1" t="s">
        <v>5165</v>
      </c>
      <c r="P6161" s="1" t="s">
        <v>5166</v>
      </c>
      <c r="Q6161" s="3">
        <v>1</v>
      </c>
      <c r="R6161" s="23" t="s">
        <v>10605</v>
      </c>
      <c r="S6161" s="23" t="s">
        <v>6847</v>
      </c>
      <c r="W6161" s="45" t="str">
        <f>HYPERLINK("http://ictvonline.org/taxonomy/p/taxonomy-history?taxnode_id=201906012","ICTVonline=201906012")</f>
        <v>ICTVonline=201906012</v>
      </c>
      <c r="X6161" s="1" t="s">
        <v>16529</v>
      </c>
      <c r="Y6161" s="1" t="s">
        <v>16530</v>
      </c>
      <c r="Z6161" s="1" t="s">
        <v>16531</v>
      </c>
      <c r="AA6161" s="1">
        <v>201900000</v>
      </c>
      <c r="AB6161" s="1">
        <v>35</v>
      </c>
    </row>
    <row r="6162" spans="1:28" x14ac:dyDescent="0.2">
      <c r="A6162" s="1">
        <v>15919</v>
      </c>
      <c r="L6162" s="1" t="s">
        <v>5163</v>
      </c>
      <c r="M6162" s="1" t="s">
        <v>5164</v>
      </c>
      <c r="N6162" s="1" t="s">
        <v>5165</v>
      </c>
      <c r="P6162" s="1" t="s">
        <v>5167</v>
      </c>
      <c r="Q6162" s="3">
        <v>0</v>
      </c>
      <c r="R6162" s="23" t="s">
        <v>10605</v>
      </c>
      <c r="S6162" s="23" t="s">
        <v>6847</v>
      </c>
      <c r="W6162" s="45" t="str">
        <f>HYPERLINK("http://ictvonline.org/taxonomy/p/taxonomy-history?taxnode_id=201905664","ICTVonline=201905664")</f>
        <v>ICTVonline=201905664</v>
      </c>
      <c r="AA6162" s="1">
        <v>201900000</v>
      </c>
      <c r="AB6162" s="1">
        <v>35</v>
      </c>
    </row>
    <row r="6163" spans="1:28" x14ac:dyDescent="0.2">
      <c r="A6163" s="1">
        <v>15923</v>
      </c>
      <c r="L6163" s="1" t="s">
        <v>5163</v>
      </c>
      <c r="M6163" s="1" t="s">
        <v>5164</v>
      </c>
      <c r="N6163" s="1" t="s">
        <v>5168</v>
      </c>
      <c r="P6163" s="1" t="s">
        <v>16532</v>
      </c>
      <c r="Q6163" s="3">
        <v>0</v>
      </c>
      <c r="R6163" s="23" t="s">
        <v>10596</v>
      </c>
      <c r="S6163" s="23" t="s">
        <v>6849</v>
      </c>
      <c r="T6163" s="23" t="s">
        <v>4864</v>
      </c>
      <c r="U6163" s="3">
        <v>35</v>
      </c>
      <c r="V6163" s="3" t="s">
        <v>16533</v>
      </c>
      <c r="W6163" s="45" t="str">
        <f>HYPERLINK("http://ictvonline.org/taxonomy/p/taxonomy-history?taxnode_id=201907290","ICTVonline=201907290")</f>
        <v>ICTVonline=201907290</v>
      </c>
      <c r="X6163" s="1" t="s">
        <v>16534</v>
      </c>
      <c r="Y6163" s="1" t="s">
        <v>16535</v>
      </c>
      <c r="Z6163" s="1" t="s">
        <v>16536</v>
      </c>
      <c r="AA6163" s="1">
        <v>201900000</v>
      </c>
      <c r="AB6163" s="1">
        <v>35</v>
      </c>
    </row>
    <row r="6164" spans="1:28" x14ac:dyDescent="0.2">
      <c r="A6164" s="1">
        <v>15925</v>
      </c>
      <c r="L6164" s="1" t="s">
        <v>5163</v>
      </c>
      <c r="M6164" s="1" t="s">
        <v>5164</v>
      </c>
      <c r="N6164" s="1" t="s">
        <v>5168</v>
      </c>
      <c r="P6164" s="1" t="s">
        <v>16537</v>
      </c>
      <c r="Q6164" s="3">
        <v>0</v>
      </c>
      <c r="R6164" s="23" t="s">
        <v>10596</v>
      </c>
      <c r="S6164" s="23" t="s">
        <v>6849</v>
      </c>
      <c r="T6164" s="23" t="s">
        <v>4864</v>
      </c>
      <c r="U6164" s="3">
        <v>35</v>
      </c>
      <c r="V6164" s="3" t="s">
        <v>16533</v>
      </c>
      <c r="W6164" s="45" t="str">
        <f>HYPERLINK("http://ictvonline.org/taxonomy/p/taxonomy-history?taxnode_id=201907289","ICTVonline=201907289")</f>
        <v>ICTVonline=201907289</v>
      </c>
      <c r="X6164" s="1" t="s">
        <v>16538</v>
      </c>
      <c r="Y6164" s="1" t="s">
        <v>16539</v>
      </c>
      <c r="Z6164" s="1" t="s">
        <v>16540</v>
      </c>
      <c r="AA6164" s="1">
        <v>201900000</v>
      </c>
      <c r="AB6164" s="1">
        <v>35</v>
      </c>
    </row>
    <row r="6165" spans="1:28" x14ac:dyDescent="0.2">
      <c r="A6165" s="1">
        <v>15927</v>
      </c>
      <c r="L6165" s="1" t="s">
        <v>5163</v>
      </c>
      <c r="M6165" s="1" t="s">
        <v>5164</v>
      </c>
      <c r="N6165" s="1" t="s">
        <v>5168</v>
      </c>
      <c r="P6165" s="1" t="s">
        <v>5169</v>
      </c>
      <c r="Q6165" s="3">
        <v>1</v>
      </c>
      <c r="R6165" s="23" t="s">
        <v>10605</v>
      </c>
      <c r="S6165" s="23" t="s">
        <v>6847</v>
      </c>
      <c r="W6165" s="45" t="str">
        <f>HYPERLINK("http://ictvonline.org/taxonomy/p/taxonomy-history?taxnode_id=201905666","ICTVonline=201905666")</f>
        <v>ICTVonline=201905666</v>
      </c>
      <c r="AA6165" s="1">
        <v>201900000</v>
      </c>
      <c r="AB6165" s="1">
        <v>35</v>
      </c>
    </row>
    <row r="6166" spans="1:28" x14ac:dyDescent="0.2">
      <c r="A6166" s="1">
        <v>15929</v>
      </c>
      <c r="L6166" s="1" t="s">
        <v>5163</v>
      </c>
      <c r="M6166" s="1" t="s">
        <v>5164</v>
      </c>
      <c r="N6166" s="1" t="s">
        <v>5168</v>
      </c>
      <c r="P6166" s="1" t="s">
        <v>5170</v>
      </c>
      <c r="Q6166" s="3">
        <v>0</v>
      </c>
      <c r="R6166" s="23" t="s">
        <v>10605</v>
      </c>
      <c r="S6166" s="23" t="s">
        <v>6847</v>
      </c>
      <c r="W6166" s="45" t="str">
        <f>HYPERLINK("http://ictvonline.org/taxonomy/p/taxonomy-history?taxnode_id=201905667","ICTVonline=201905667")</f>
        <v>ICTVonline=201905667</v>
      </c>
      <c r="AA6166" s="1">
        <v>201900000</v>
      </c>
      <c r="AB6166" s="1">
        <v>35</v>
      </c>
    </row>
    <row r="6167" spans="1:28" x14ac:dyDescent="0.2">
      <c r="A6167" s="1">
        <v>15931</v>
      </c>
      <c r="L6167" s="1" t="s">
        <v>5163</v>
      </c>
      <c r="M6167" s="1" t="s">
        <v>5164</v>
      </c>
      <c r="N6167" s="1" t="s">
        <v>5168</v>
      </c>
      <c r="P6167" s="1" t="s">
        <v>5171</v>
      </c>
      <c r="Q6167" s="3">
        <v>0</v>
      </c>
      <c r="R6167" s="23" t="s">
        <v>10605</v>
      </c>
      <c r="S6167" s="23" t="s">
        <v>6847</v>
      </c>
      <c r="W6167" s="45" t="str">
        <f>HYPERLINK("http://ictvonline.org/taxonomy/p/taxonomy-history?taxnode_id=201905668","ICTVonline=201905668")</f>
        <v>ICTVonline=201905668</v>
      </c>
      <c r="AA6167" s="1">
        <v>201900000</v>
      </c>
      <c r="AB6167" s="1">
        <v>35</v>
      </c>
    </row>
    <row r="6168" spans="1:28" x14ac:dyDescent="0.2">
      <c r="A6168" s="1">
        <v>15933</v>
      </c>
      <c r="L6168" s="1" t="s">
        <v>5163</v>
      </c>
      <c r="M6168" s="1" t="s">
        <v>5164</v>
      </c>
      <c r="N6168" s="1" t="s">
        <v>5168</v>
      </c>
      <c r="P6168" s="1" t="s">
        <v>5172</v>
      </c>
      <c r="Q6168" s="3">
        <v>0</v>
      </c>
      <c r="R6168" s="23" t="s">
        <v>10605</v>
      </c>
      <c r="S6168" s="23" t="s">
        <v>6847</v>
      </c>
      <c r="W6168" s="45" t="str">
        <f>HYPERLINK("http://ictvonline.org/taxonomy/p/taxonomy-history?taxnode_id=201905669","ICTVonline=201905669")</f>
        <v>ICTVonline=201905669</v>
      </c>
      <c r="AA6168" s="1">
        <v>201900000</v>
      </c>
      <c r="AB6168" s="1">
        <v>35</v>
      </c>
    </row>
    <row r="6169" spans="1:28" x14ac:dyDescent="0.2">
      <c r="A6169" s="1">
        <v>15935</v>
      </c>
      <c r="L6169" s="1" t="s">
        <v>5163</v>
      </c>
      <c r="M6169" s="1" t="s">
        <v>5164</v>
      </c>
      <c r="N6169" s="1" t="s">
        <v>5168</v>
      </c>
      <c r="P6169" s="1" t="s">
        <v>5173</v>
      </c>
      <c r="Q6169" s="3">
        <v>0</v>
      </c>
      <c r="R6169" s="23" t="s">
        <v>10605</v>
      </c>
      <c r="S6169" s="23" t="s">
        <v>6847</v>
      </c>
      <c r="W6169" s="45" t="str">
        <f>HYPERLINK("http://ictvonline.org/taxonomy/p/taxonomy-history?taxnode_id=201905670","ICTVonline=201905670")</f>
        <v>ICTVonline=201905670</v>
      </c>
      <c r="AA6169" s="1">
        <v>201900000</v>
      </c>
      <c r="AB6169" s="1">
        <v>35</v>
      </c>
    </row>
    <row r="6170" spans="1:28" x14ac:dyDescent="0.2">
      <c r="A6170" s="1">
        <v>15937</v>
      </c>
      <c r="L6170" s="1" t="s">
        <v>5163</v>
      </c>
      <c r="M6170" s="1" t="s">
        <v>5164</v>
      </c>
      <c r="N6170" s="1" t="s">
        <v>5168</v>
      </c>
      <c r="P6170" s="1" t="s">
        <v>16541</v>
      </c>
      <c r="Q6170" s="3">
        <v>0</v>
      </c>
      <c r="R6170" s="23" t="s">
        <v>10596</v>
      </c>
      <c r="S6170" s="23" t="s">
        <v>6849</v>
      </c>
      <c r="T6170" s="23" t="s">
        <v>4864</v>
      </c>
      <c r="U6170" s="3">
        <v>35</v>
      </c>
      <c r="V6170" s="3" t="s">
        <v>16533</v>
      </c>
      <c r="W6170" s="45" t="str">
        <f>HYPERLINK("http://ictvonline.org/taxonomy/p/taxonomy-history?taxnode_id=201907291","ICTVonline=201907291")</f>
        <v>ICTVonline=201907291</v>
      </c>
      <c r="X6170" s="1" t="s">
        <v>16542</v>
      </c>
      <c r="Y6170" s="1" t="s">
        <v>16543</v>
      </c>
      <c r="Z6170" s="1" t="s">
        <v>16544</v>
      </c>
      <c r="AA6170" s="1">
        <v>201900000</v>
      </c>
      <c r="AB6170" s="1">
        <v>35</v>
      </c>
    </row>
    <row r="6171" spans="1:28" x14ac:dyDescent="0.2">
      <c r="A6171" s="1">
        <v>15939</v>
      </c>
      <c r="L6171" s="1" t="s">
        <v>5163</v>
      </c>
      <c r="M6171" s="1" t="s">
        <v>5164</v>
      </c>
      <c r="N6171" s="1" t="s">
        <v>5168</v>
      </c>
      <c r="P6171" s="1" t="s">
        <v>16545</v>
      </c>
      <c r="Q6171" s="3">
        <v>0</v>
      </c>
      <c r="R6171" s="23" t="s">
        <v>10596</v>
      </c>
      <c r="S6171" s="23" t="s">
        <v>6849</v>
      </c>
      <c r="T6171" s="23" t="s">
        <v>4864</v>
      </c>
      <c r="U6171" s="3">
        <v>35</v>
      </c>
      <c r="V6171" s="3" t="s">
        <v>16533</v>
      </c>
      <c r="W6171" s="45" t="str">
        <f>HYPERLINK("http://ictvonline.org/taxonomy/p/taxonomy-history?taxnode_id=201907292","ICTVonline=201907292")</f>
        <v>ICTVonline=201907292</v>
      </c>
      <c r="X6171" s="1" t="s">
        <v>16546</v>
      </c>
      <c r="Y6171" s="1" t="s">
        <v>16547</v>
      </c>
      <c r="Z6171" s="1" t="s">
        <v>16548</v>
      </c>
      <c r="AA6171" s="1">
        <v>201900000</v>
      </c>
      <c r="AB6171" s="1">
        <v>35</v>
      </c>
    </row>
    <row r="6172" spans="1:28" x14ac:dyDescent="0.2">
      <c r="A6172" s="1">
        <v>15941</v>
      </c>
      <c r="L6172" s="1" t="s">
        <v>5163</v>
      </c>
      <c r="M6172" s="1" t="s">
        <v>5164</v>
      </c>
      <c r="N6172" s="1" t="s">
        <v>5168</v>
      </c>
      <c r="P6172" s="1" t="s">
        <v>5174</v>
      </c>
      <c r="Q6172" s="3">
        <v>0</v>
      </c>
      <c r="R6172" s="23" t="s">
        <v>10605</v>
      </c>
      <c r="S6172" s="23" t="s">
        <v>6847</v>
      </c>
      <c r="W6172" s="45" t="str">
        <f>HYPERLINK("http://ictvonline.org/taxonomy/p/taxonomy-history?taxnode_id=201905671","ICTVonline=201905671")</f>
        <v>ICTVonline=201905671</v>
      </c>
      <c r="AA6172" s="1">
        <v>201900000</v>
      </c>
      <c r="AB6172" s="1">
        <v>35</v>
      </c>
    </row>
    <row r="6173" spans="1:28" x14ac:dyDescent="0.2">
      <c r="A6173" s="1">
        <v>15943</v>
      </c>
      <c r="L6173" s="1" t="s">
        <v>5163</v>
      </c>
      <c r="M6173" s="1" t="s">
        <v>5164</v>
      </c>
      <c r="N6173" s="1" t="s">
        <v>5168</v>
      </c>
      <c r="P6173" s="1" t="s">
        <v>5175</v>
      </c>
      <c r="Q6173" s="3">
        <v>0</v>
      </c>
      <c r="R6173" s="23" t="s">
        <v>10605</v>
      </c>
      <c r="S6173" s="23" t="s">
        <v>6847</v>
      </c>
      <c r="W6173" s="45" t="str">
        <f>HYPERLINK("http://ictvonline.org/taxonomy/p/taxonomy-history?taxnode_id=201905672","ICTVonline=201905672")</f>
        <v>ICTVonline=201905672</v>
      </c>
      <c r="AA6173" s="1">
        <v>201900000</v>
      </c>
      <c r="AB6173" s="1">
        <v>35</v>
      </c>
    </row>
    <row r="6174" spans="1:28" x14ac:dyDescent="0.2">
      <c r="A6174" s="1">
        <v>15945</v>
      </c>
      <c r="L6174" s="1" t="s">
        <v>5163</v>
      </c>
      <c r="M6174" s="1" t="s">
        <v>5164</v>
      </c>
      <c r="N6174" s="1" t="s">
        <v>5168</v>
      </c>
      <c r="P6174" s="1" t="s">
        <v>5176</v>
      </c>
      <c r="Q6174" s="3">
        <v>0</v>
      </c>
      <c r="R6174" s="23" t="s">
        <v>10605</v>
      </c>
      <c r="S6174" s="23" t="s">
        <v>6847</v>
      </c>
      <c r="W6174" s="45" t="str">
        <f>HYPERLINK("http://ictvonline.org/taxonomy/p/taxonomy-history?taxnode_id=201905673","ICTVonline=201905673")</f>
        <v>ICTVonline=201905673</v>
      </c>
      <c r="AA6174" s="1">
        <v>201900000</v>
      </c>
      <c r="AB6174" s="1">
        <v>35</v>
      </c>
    </row>
    <row r="6175" spans="1:28" x14ac:dyDescent="0.2">
      <c r="A6175" s="1">
        <v>15949</v>
      </c>
      <c r="L6175" s="1" t="s">
        <v>5163</v>
      </c>
      <c r="M6175" s="1" t="s">
        <v>5164</v>
      </c>
      <c r="N6175" s="1" t="s">
        <v>5177</v>
      </c>
      <c r="P6175" s="1" t="s">
        <v>5178</v>
      </c>
      <c r="Q6175" s="3">
        <v>0</v>
      </c>
      <c r="R6175" s="23" t="s">
        <v>10605</v>
      </c>
      <c r="S6175" s="23" t="s">
        <v>6847</v>
      </c>
      <c r="W6175" s="45" t="str">
        <f>HYPERLINK("http://ictvonline.org/taxonomy/p/taxonomy-history?taxnode_id=201905675","ICTVonline=201905675")</f>
        <v>ICTVonline=201905675</v>
      </c>
      <c r="AA6175" s="1">
        <v>201900000</v>
      </c>
      <c r="AB6175" s="1">
        <v>35</v>
      </c>
    </row>
    <row r="6176" spans="1:28" x14ac:dyDescent="0.2">
      <c r="A6176" s="1">
        <v>15951</v>
      </c>
      <c r="L6176" s="1" t="s">
        <v>5163</v>
      </c>
      <c r="M6176" s="1" t="s">
        <v>5164</v>
      </c>
      <c r="N6176" s="1" t="s">
        <v>5177</v>
      </c>
      <c r="P6176" s="1" t="s">
        <v>5179</v>
      </c>
      <c r="Q6176" s="3">
        <v>0</v>
      </c>
      <c r="R6176" s="23" t="s">
        <v>10605</v>
      </c>
      <c r="S6176" s="23" t="s">
        <v>6847</v>
      </c>
      <c r="W6176" s="45" t="str">
        <f>HYPERLINK("http://ictvonline.org/taxonomy/p/taxonomy-history?taxnode_id=201905676","ICTVonline=201905676")</f>
        <v>ICTVonline=201905676</v>
      </c>
      <c r="AA6176" s="1">
        <v>201900000</v>
      </c>
      <c r="AB6176" s="1">
        <v>35</v>
      </c>
    </row>
    <row r="6177" spans="1:28" x14ac:dyDescent="0.2">
      <c r="A6177" s="1">
        <v>15953</v>
      </c>
      <c r="L6177" s="1" t="s">
        <v>5163</v>
      </c>
      <c r="M6177" s="1" t="s">
        <v>5164</v>
      </c>
      <c r="N6177" s="1" t="s">
        <v>5177</v>
      </c>
      <c r="P6177" s="1" t="s">
        <v>5180</v>
      </c>
      <c r="Q6177" s="3">
        <v>0</v>
      </c>
      <c r="R6177" s="23" t="s">
        <v>10605</v>
      </c>
      <c r="S6177" s="23" t="s">
        <v>6847</v>
      </c>
      <c r="W6177" s="45" t="str">
        <f>HYPERLINK("http://ictvonline.org/taxonomy/p/taxonomy-history?taxnode_id=201905677","ICTVonline=201905677")</f>
        <v>ICTVonline=201905677</v>
      </c>
      <c r="AA6177" s="1">
        <v>201900000</v>
      </c>
      <c r="AB6177" s="1">
        <v>35</v>
      </c>
    </row>
    <row r="6178" spans="1:28" x14ac:dyDescent="0.2">
      <c r="A6178" s="1">
        <v>15955</v>
      </c>
      <c r="L6178" s="1" t="s">
        <v>5163</v>
      </c>
      <c r="M6178" s="1" t="s">
        <v>5164</v>
      </c>
      <c r="N6178" s="1" t="s">
        <v>5177</v>
      </c>
      <c r="P6178" s="1" t="s">
        <v>5181</v>
      </c>
      <c r="Q6178" s="3">
        <v>0</v>
      </c>
      <c r="R6178" s="23" t="s">
        <v>10605</v>
      </c>
      <c r="S6178" s="23" t="s">
        <v>6847</v>
      </c>
      <c r="W6178" s="45" t="str">
        <f>HYPERLINK("http://ictvonline.org/taxonomy/p/taxonomy-history?taxnode_id=201905678","ICTVonline=201905678")</f>
        <v>ICTVonline=201905678</v>
      </c>
      <c r="AA6178" s="1">
        <v>201900000</v>
      </c>
      <c r="AB6178" s="1">
        <v>35</v>
      </c>
    </row>
    <row r="6179" spans="1:28" x14ac:dyDescent="0.2">
      <c r="A6179" s="1">
        <v>15957</v>
      </c>
      <c r="L6179" s="1" t="s">
        <v>5163</v>
      </c>
      <c r="M6179" s="1" t="s">
        <v>5164</v>
      </c>
      <c r="N6179" s="1" t="s">
        <v>5177</v>
      </c>
      <c r="P6179" s="1" t="s">
        <v>5182</v>
      </c>
      <c r="Q6179" s="3">
        <v>0</v>
      </c>
      <c r="R6179" s="23" t="s">
        <v>10605</v>
      </c>
      <c r="S6179" s="23" t="s">
        <v>6847</v>
      </c>
      <c r="W6179" s="45" t="str">
        <f>HYPERLINK("http://ictvonline.org/taxonomy/p/taxonomy-history?taxnode_id=201905679","ICTVonline=201905679")</f>
        <v>ICTVonline=201905679</v>
      </c>
      <c r="AA6179" s="1">
        <v>201900000</v>
      </c>
      <c r="AB6179" s="1">
        <v>35</v>
      </c>
    </row>
    <row r="6180" spans="1:28" x14ac:dyDescent="0.2">
      <c r="A6180" s="1">
        <v>15959</v>
      </c>
      <c r="L6180" s="1" t="s">
        <v>5163</v>
      </c>
      <c r="M6180" s="1" t="s">
        <v>5164</v>
      </c>
      <c r="N6180" s="1" t="s">
        <v>5177</v>
      </c>
      <c r="P6180" s="1" t="s">
        <v>5183</v>
      </c>
      <c r="Q6180" s="3">
        <v>0</v>
      </c>
      <c r="R6180" s="23" t="s">
        <v>10605</v>
      </c>
      <c r="S6180" s="23" t="s">
        <v>6847</v>
      </c>
      <c r="W6180" s="45" t="str">
        <f>HYPERLINK("http://ictvonline.org/taxonomy/p/taxonomy-history?taxnode_id=201905680","ICTVonline=201905680")</f>
        <v>ICTVonline=201905680</v>
      </c>
      <c r="AA6180" s="1">
        <v>201900000</v>
      </c>
      <c r="AB6180" s="1">
        <v>35</v>
      </c>
    </row>
    <row r="6181" spans="1:28" x14ac:dyDescent="0.2">
      <c r="A6181" s="1">
        <v>15961</v>
      </c>
      <c r="L6181" s="1" t="s">
        <v>5163</v>
      </c>
      <c r="M6181" s="1" t="s">
        <v>5164</v>
      </c>
      <c r="N6181" s="1" t="s">
        <v>5177</v>
      </c>
      <c r="P6181" s="1" t="s">
        <v>5184</v>
      </c>
      <c r="Q6181" s="3">
        <v>0</v>
      </c>
      <c r="R6181" s="23" t="s">
        <v>10605</v>
      </c>
      <c r="S6181" s="23" t="s">
        <v>6847</v>
      </c>
      <c r="W6181" s="45" t="str">
        <f>HYPERLINK("http://ictvonline.org/taxonomy/p/taxonomy-history?taxnode_id=201905681","ICTVonline=201905681")</f>
        <v>ICTVonline=201905681</v>
      </c>
      <c r="AA6181" s="1">
        <v>201900000</v>
      </c>
      <c r="AB6181" s="1">
        <v>35</v>
      </c>
    </row>
    <row r="6182" spans="1:28" x14ac:dyDescent="0.2">
      <c r="A6182" s="1">
        <v>15963</v>
      </c>
      <c r="L6182" s="1" t="s">
        <v>5163</v>
      </c>
      <c r="M6182" s="1" t="s">
        <v>5164</v>
      </c>
      <c r="N6182" s="1" t="s">
        <v>5177</v>
      </c>
      <c r="P6182" s="1" t="s">
        <v>5185</v>
      </c>
      <c r="Q6182" s="3">
        <v>0</v>
      </c>
      <c r="R6182" s="23" t="s">
        <v>10605</v>
      </c>
      <c r="S6182" s="23" t="s">
        <v>6847</v>
      </c>
      <c r="W6182" s="45" t="str">
        <f>HYPERLINK("http://ictvonline.org/taxonomy/p/taxonomy-history?taxnode_id=201905682","ICTVonline=201905682")</f>
        <v>ICTVonline=201905682</v>
      </c>
      <c r="AA6182" s="1">
        <v>201900000</v>
      </c>
      <c r="AB6182" s="1">
        <v>35</v>
      </c>
    </row>
    <row r="6183" spans="1:28" x14ac:dyDescent="0.2">
      <c r="A6183" s="1">
        <v>15965</v>
      </c>
      <c r="L6183" s="1" t="s">
        <v>5163</v>
      </c>
      <c r="M6183" s="1" t="s">
        <v>5164</v>
      </c>
      <c r="N6183" s="1" t="s">
        <v>5177</v>
      </c>
      <c r="P6183" s="1" t="s">
        <v>5186</v>
      </c>
      <c r="Q6183" s="3">
        <v>0</v>
      </c>
      <c r="R6183" s="23" t="s">
        <v>10605</v>
      </c>
      <c r="S6183" s="23" t="s">
        <v>6847</v>
      </c>
      <c r="W6183" s="45" t="str">
        <f>HYPERLINK("http://ictvonline.org/taxonomy/p/taxonomy-history?taxnode_id=201905683","ICTVonline=201905683")</f>
        <v>ICTVonline=201905683</v>
      </c>
      <c r="AA6183" s="1">
        <v>201900000</v>
      </c>
      <c r="AB6183" s="1">
        <v>35</v>
      </c>
    </row>
    <row r="6184" spans="1:28" x14ac:dyDescent="0.2">
      <c r="A6184" s="1">
        <v>15967</v>
      </c>
      <c r="L6184" s="1" t="s">
        <v>5163</v>
      </c>
      <c r="M6184" s="1" t="s">
        <v>5164</v>
      </c>
      <c r="N6184" s="1" t="s">
        <v>5177</v>
      </c>
      <c r="P6184" s="1" t="s">
        <v>5187</v>
      </c>
      <c r="Q6184" s="3">
        <v>0</v>
      </c>
      <c r="R6184" s="23" t="s">
        <v>10605</v>
      </c>
      <c r="S6184" s="23" t="s">
        <v>6847</v>
      </c>
      <c r="W6184" s="45" t="str">
        <f>HYPERLINK("http://ictvonline.org/taxonomy/p/taxonomy-history?taxnode_id=201905684","ICTVonline=201905684")</f>
        <v>ICTVonline=201905684</v>
      </c>
      <c r="AA6184" s="1">
        <v>201900000</v>
      </c>
      <c r="AB6184" s="1">
        <v>35</v>
      </c>
    </row>
    <row r="6185" spans="1:28" x14ac:dyDescent="0.2">
      <c r="A6185" s="1">
        <v>15969</v>
      </c>
      <c r="L6185" s="1" t="s">
        <v>5163</v>
      </c>
      <c r="M6185" s="1" t="s">
        <v>5164</v>
      </c>
      <c r="N6185" s="1" t="s">
        <v>5177</v>
      </c>
      <c r="P6185" s="1" t="s">
        <v>5188</v>
      </c>
      <c r="Q6185" s="3">
        <v>1</v>
      </c>
      <c r="R6185" s="23" t="s">
        <v>10605</v>
      </c>
      <c r="S6185" s="23" t="s">
        <v>6847</v>
      </c>
      <c r="W6185" s="45" t="str">
        <f>HYPERLINK("http://ictvonline.org/taxonomy/p/taxonomy-history?taxnode_id=201905685","ICTVonline=201905685")</f>
        <v>ICTVonline=201905685</v>
      </c>
      <c r="AA6185" s="1">
        <v>201900000</v>
      </c>
      <c r="AB6185" s="1">
        <v>35</v>
      </c>
    </row>
    <row r="6186" spans="1:28" x14ac:dyDescent="0.2">
      <c r="A6186" s="1">
        <v>15971</v>
      </c>
      <c r="L6186" s="1" t="s">
        <v>5163</v>
      </c>
      <c r="M6186" s="1" t="s">
        <v>5164</v>
      </c>
      <c r="N6186" s="1" t="s">
        <v>5177</v>
      </c>
      <c r="P6186" s="1" t="s">
        <v>5189</v>
      </c>
      <c r="Q6186" s="3">
        <v>0</v>
      </c>
      <c r="R6186" s="23" t="s">
        <v>10605</v>
      </c>
      <c r="S6186" s="23" t="s">
        <v>6847</v>
      </c>
      <c r="W6186" s="45" t="str">
        <f>HYPERLINK("http://ictvonline.org/taxonomy/p/taxonomy-history?taxnode_id=201905686","ICTVonline=201905686")</f>
        <v>ICTVonline=201905686</v>
      </c>
      <c r="AA6186" s="1">
        <v>201900000</v>
      </c>
      <c r="AB6186" s="1">
        <v>35</v>
      </c>
    </row>
    <row r="6187" spans="1:28" x14ac:dyDescent="0.2">
      <c r="A6187" s="1">
        <v>15973</v>
      </c>
      <c r="L6187" s="1" t="s">
        <v>5163</v>
      </c>
      <c r="M6187" s="1" t="s">
        <v>5164</v>
      </c>
      <c r="N6187" s="1" t="s">
        <v>5177</v>
      </c>
      <c r="P6187" s="1" t="s">
        <v>5190</v>
      </c>
      <c r="Q6187" s="3">
        <v>0</v>
      </c>
      <c r="R6187" s="23" t="s">
        <v>10605</v>
      </c>
      <c r="S6187" s="23" t="s">
        <v>6847</v>
      </c>
      <c r="W6187" s="45" t="str">
        <f>HYPERLINK("http://ictvonline.org/taxonomy/p/taxonomy-history?taxnode_id=201905687","ICTVonline=201905687")</f>
        <v>ICTVonline=201905687</v>
      </c>
      <c r="AA6187" s="1">
        <v>201900000</v>
      </c>
      <c r="AB6187" s="1">
        <v>35</v>
      </c>
    </row>
    <row r="6188" spans="1:28" x14ac:dyDescent="0.2">
      <c r="A6188" s="1">
        <v>15975</v>
      </c>
      <c r="L6188" s="1" t="s">
        <v>5163</v>
      </c>
      <c r="M6188" s="1" t="s">
        <v>5164</v>
      </c>
      <c r="N6188" s="1" t="s">
        <v>5177</v>
      </c>
      <c r="P6188" s="1" t="s">
        <v>5191</v>
      </c>
      <c r="Q6188" s="3">
        <v>0</v>
      </c>
      <c r="R6188" s="23" t="s">
        <v>10605</v>
      </c>
      <c r="S6188" s="23" t="s">
        <v>6847</v>
      </c>
      <c r="W6188" s="45" t="str">
        <f>HYPERLINK("http://ictvonline.org/taxonomy/p/taxonomy-history?taxnode_id=201905688","ICTVonline=201905688")</f>
        <v>ICTVonline=201905688</v>
      </c>
      <c r="AA6188" s="1">
        <v>201900000</v>
      </c>
      <c r="AB6188" s="1">
        <v>35</v>
      </c>
    </row>
    <row r="6189" spans="1:28" x14ac:dyDescent="0.2">
      <c r="A6189" s="1">
        <v>15977</v>
      </c>
      <c r="L6189" s="1" t="s">
        <v>5163</v>
      </c>
      <c r="M6189" s="1" t="s">
        <v>5164</v>
      </c>
      <c r="N6189" s="1" t="s">
        <v>5177</v>
      </c>
      <c r="P6189" s="1" t="s">
        <v>5192</v>
      </c>
      <c r="Q6189" s="3">
        <v>0</v>
      </c>
      <c r="R6189" s="23" t="s">
        <v>10605</v>
      </c>
      <c r="S6189" s="23" t="s">
        <v>6847</v>
      </c>
      <c r="W6189" s="45" t="str">
        <f>HYPERLINK("http://ictvonline.org/taxonomy/p/taxonomy-history?taxnode_id=201905689","ICTVonline=201905689")</f>
        <v>ICTVonline=201905689</v>
      </c>
      <c r="AA6189" s="1">
        <v>201900000</v>
      </c>
      <c r="AB6189" s="1">
        <v>35</v>
      </c>
    </row>
    <row r="6190" spans="1:28" x14ac:dyDescent="0.2">
      <c r="A6190" s="1">
        <v>15979</v>
      </c>
      <c r="L6190" s="1" t="s">
        <v>5163</v>
      </c>
      <c r="M6190" s="1" t="s">
        <v>5164</v>
      </c>
      <c r="N6190" s="1" t="s">
        <v>5177</v>
      </c>
      <c r="P6190" s="1" t="s">
        <v>5193</v>
      </c>
      <c r="Q6190" s="3">
        <v>0</v>
      </c>
      <c r="R6190" s="23" t="s">
        <v>10605</v>
      </c>
      <c r="S6190" s="23" t="s">
        <v>6847</v>
      </c>
      <c r="W6190" s="45" t="str">
        <f>HYPERLINK("http://ictvonline.org/taxonomy/p/taxonomy-history?taxnode_id=201905690","ICTVonline=201905690")</f>
        <v>ICTVonline=201905690</v>
      </c>
      <c r="AA6190" s="1">
        <v>201900000</v>
      </c>
      <c r="AB6190" s="1">
        <v>35</v>
      </c>
    </row>
    <row r="6191" spans="1:28" x14ac:dyDescent="0.2">
      <c r="A6191" s="1">
        <v>15981</v>
      </c>
      <c r="L6191" s="1" t="s">
        <v>5163</v>
      </c>
      <c r="M6191" s="1" t="s">
        <v>5164</v>
      </c>
      <c r="N6191" s="1" t="s">
        <v>5177</v>
      </c>
      <c r="P6191" s="1" t="s">
        <v>5194</v>
      </c>
      <c r="Q6191" s="3">
        <v>0</v>
      </c>
      <c r="R6191" s="23" t="s">
        <v>10605</v>
      </c>
      <c r="S6191" s="23" t="s">
        <v>6847</v>
      </c>
      <c r="W6191" s="45" t="str">
        <f>HYPERLINK("http://ictvonline.org/taxonomy/p/taxonomy-history?taxnode_id=201905691","ICTVonline=201905691")</f>
        <v>ICTVonline=201905691</v>
      </c>
      <c r="AA6191" s="1">
        <v>201900000</v>
      </c>
      <c r="AB6191" s="1">
        <v>35</v>
      </c>
    </row>
    <row r="6192" spans="1:28" x14ac:dyDescent="0.2">
      <c r="A6192" s="1">
        <v>15983</v>
      </c>
      <c r="L6192" s="1" t="s">
        <v>5163</v>
      </c>
      <c r="M6192" s="1" t="s">
        <v>5164</v>
      </c>
      <c r="N6192" s="1" t="s">
        <v>5177</v>
      </c>
      <c r="P6192" s="1" t="s">
        <v>5195</v>
      </c>
      <c r="Q6192" s="3">
        <v>0</v>
      </c>
      <c r="R6192" s="23" t="s">
        <v>10605</v>
      </c>
      <c r="S6192" s="23" t="s">
        <v>6847</v>
      </c>
      <c r="W6192" s="45" t="str">
        <f>HYPERLINK("http://ictvonline.org/taxonomy/p/taxonomy-history?taxnode_id=201905692","ICTVonline=201905692")</f>
        <v>ICTVonline=201905692</v>
      </c>
      <c r="AA6192" s="1">
        <v>201900000</v>
      </c>
      <c r="AB6192" s="1">
        <v>35</v>
      </c>
    </row>
    <row r="6193" spans="1:28" x14ac:dyDescent="0.2">
      <c r="A6193" s="1">
        <v>15985</v>
      </c>
      <c r="L6193" s="1" t="s">
        <v>5163</v>
      </c>
      <c r="M6193" s="1" t="s">
        <v>5164</v>
      </c>
      <c r="N6193" s="1" t="s">
        <v>5177</v>
      </c>
      <c r="P6193" s="1" t="s">
        <v>5196</v>
      </c>
      <c r="Q6193" s="3">
        <v>0</v>
      </c>
      <c r="R6193" s="23" t="s">
        <v>10605</v>
      </c>
      <c r="S6193" s="23" t="s">
        <v>6847</v>
      </c>
      <c r="W6193" s="45" t="str">
        <f>HYPERLINK("http://ictvonline.org/taxonomy/p/taxonomy-history?taxnode_id=201905693","ICTVonline=201905693")</f>
        <v>ICTVonline=201905693</v>
      </c>
      <c r="AA6193" s="1">
        <v>201900000</v>
      </c>
      <c r="AB6193" s="1">
        <v>35</v>
      </c>
    </row>
    <row r="6194" spans="1:28" x14ac:dyDescent="0.2">
      <c r="A6194" s="1">
        <v>15987</v>
      </c>
      <c r="L6194" s="1" t="s">
        <v>5163</v>
      </c>
      <c r="M6194" s="1" t="s">
        <v>5164</v>
      </c>
      <c r="N6194" s="1" t="s">
        <v>5177</v>
      </c>
      <c r="P6194" s="1" t="s">
        <v>5197</v>
      </c>
      <c r="Q6194" s="3">
        <v>0</v>
      </c>
      <c r="R6194" s="23" t="s">
        <v>10605</v>
      </c>
      <c r="S6194" s="23" t="s">
        <v>6847</v>
      </c>
      <c r="W6194" s="45" t="str">
        <f>HYPERLINK("http://ictvonline.org/taxonomy/p/taxonomy-history?taxnode_id=201905694","ICTVonline=201905694")</f>
        <v>ICTVonline=201905694</v>
      </c>
      <c r="AA6194" s="1">
        <v>201900000</v>
      </c>
      <c r="AB6194" s="1">
        <v>35</v>
      </c>
    </row>
    <row r="6195" spans="1:28" x14ac:dyDescent="0.2">
      <c r="A6195" s="1">
        <v>15989</v>
      </c>
      <c r="L6195" s="1" t="s">
        <v>5163</v>
      </c>
      <c r="M6195" s="1" t="s">
        <v>5164</v>
      </c>
      <c r="N6195" s="1" t="s">
        <v>5177</v>
      </c>
      <c r="P6195" s="1" t="s">
        <v>5198</v>
      </c>
      <c r="Q6195" s="3">
        <v>0</v>
      </c>
      <c r="R6195" s="23" t="s">
        <v>10605</v>
      </c>
      <c r="S6195" s="23" t="s">
        <v>6847</v>
      </c>
      <c r="W6195" s="45" t="str">
        <f>HYPERLINK("http://ictvonline.org/taxonomy/p/taxonomy-history?taxnode_id=201905695","ICTVonline=201905695")</f>
        <v>ICTVonline=201905695</v>
      </c>
      <c r="AA6195" s="1">
        <v>201900000</v>
      </c>
      <c r="AB6195" s="1">
        <v>35</v>
      </c>
    </row>
    <row r="6196" spans="1:28" x14ac:dyDescent="0.2">
      <c r="A6196" s="1">
        <v>15991</v>
      </c>
      <c r="L6196" s="1" t="s">
        <v>5163</v>
      </c>
      <c r="M6196" s="1" t="s">
        <v>5164</v>
      </c>
      <c r="N6196" s="1" t="s">
        <v>5177</v>
      </c>
      <c r="P6196" s="1" t="s">
        <v>5199</v>
      </c>
      <c r="Q6196" s="3">
        <v>0</v>
      </c>
      <c r="R6196" s="23" t="s">
        <v>10605</v>
      </c>
      <c r="S6196" s="23" t="s">
        <v>6847</v>
      </c>
      <c r="W6196" s="45" t="str">
        <f>HYPERLINK("http://ictvonline.org/taxonomy/p/taxonomy-history?taxnode_id=201905696","ICTVonline=201905696")</f>
        <v>ICTVonline=201905696</v>
      </c>
      <c r="AA6196" s="1">
        <v>201900000</v>
      </c>
      <c r="AB6196" s="1">
        <v>35</v>
      </c>
    </row>
    <row r="6197" spans="1:28" x14ac:dyDescent="0.2">
      <c r="A6197" s="1">
        <v>15993</v>
      </c>
      <c r="L6197" s="1" t="s">
        <v>5163</v>
      </c>
      <c r="M6197" s="1" t="s">
        <v>5164</v>
      </c>
      <c r="N6197" s="1" t="s">
        <v>5177</v>
      </c>
      <c r="P6197" s="1" t="s">
        <v>16549</v>
      </c>
      <c r="Q6197" s="3">
        <v>0</v>
      </c>
      <c r="R6197" s="23" t="s">
        <v>10596</v>
      </c>
      <c r="S6197" s="23" t="s">
        <v>6849</v>
      </c>
      <c r="T6197" s="23" t="s">
        <v>4864</v>
      </c>
      <c r="U6197" s="3">
        <v>35</v>
      </c>
      <c r="V6197" s="3" t="s">
        <v>16533</v>
      </c>
      <c r="W6197" s="45" t="str">
        <f>HYPERLINK("http://ictvonline.org/taxonomy/p/taxonomy-history?taxnode_id=201907294","ICTVonline=201907294")</f>
        <v>ICTVonline=201907294</v>
      </c>
      <c r="X6197" s="1" t="s">
        <v>16550</v>
      </c>
      <c r="Y6197" s="1" t="s">
        <v>16551</v>
      </c>
      <c r="Z6197" s="1" t="s">
        <v>16552</v>
      </c>
      <c r="AA6197" s="1">
        <v>201900000</v>
      </c>
      <c r="AB6197" s="1">
        <v>35</v>
      </c>
    </row>
    <row r="6198" spans="1:28" x14ac:dyDescent="0.2">
      <c r="A6198" s="1">
        <v>15995</v>
      </c>
      <c r="L6198" s="1" t="s">
        <v>5163</v>
      </c>
      <c r="M6198" s="1" t="s">
        <v>5164</v>
      </c>
      <c r="N6198" s="1" t="s">
        <v>5177</v>
      </c>
      <c r="P6198" s="1" t="s">
        <v>5200</v>
      </c>
      <c r="Q6198" s="3">
        <v>0</v>
      </c>
      <c r="R6198" s="23" t="s">
        <v>10605</v>
      </c>
      <c r="S6198" s="23" t="s">
        <v>6847</v>
      </c>
      <c r="W6198" s="45" t="str">
        <f>HYPERLINK("http://ictvonline.org/taxonomy/p/taxonomy-history?taxnode_id=201905697","ICTVonline=201905697")</f>
        <v>ICTVonline=201905697</v>
      </c>
      <c r="AA6198" s="1">
        <v>201900000</v>
      </c>
      <c r="AB6198" s="1">
        <v>35</v>
      </c>
    </row>
    <row r="6199" spans="1:28" x14ac:dyDescent="0.2">
      <c r="A6199" s="1">
        <v>15997</v>
      </c>
      <c r="L6199" s="1" t="s">
        <v>5163</v>
      </c>
      <c r="M6199" s="1" t="s">
        <v>5164</v>
      </c>
      <c r="N6199" s="1" t="s">
        <v>5177</v>
      </c>
      <c r="P6199" s="1" t="s">
        <v>5201</v>
      </c>
      <c r="Q6199" s="3">
        <v>0</v>
      </c>
      <c r="R6199" s="23" t="s">
        <v>10605</v>
      </c>
      <c r="S6199" s="23" t="s">
        <v>6847</v>
      </c>
      <c r="W6199" s="45" t="str">
        <f>HYPERLINK("http://ictvonline.org/taxonomy/p/taxonomy-history?taxnode_id=201905698","ICTVonline=201905698")</f>
        <v>ICTVonline=201905698</v>
      </c>
      <c r="AA6199" s="1">
        <v>201900000</v>
      </c>
      <c r="AB6199" s="1">
        <v>35</v>
      </c>
    </row>
    <row r="6200" spans="1:28" x14ac:dyDescent="0.2">
      <c r="A6200" s="1">
        <v>15999</v>
      </c>
      <c r="L6200" s="1" t="s">
        <v>5163</v>
      </c>
      <c r="M6200" s="1" t="s">
        <v>5164</v>
      </c>
      <c r="N6200" s="1" t="s">
        <v>5177</v>
      </c>
      <c r="P6200" s="1" t="s">
        <v>5202</v>
      </c>
      <c r="Q6200" s="3">
        <v>0</v>
      </c>
      <c r="R6200" s="23" t="s">
        <v>10605</v>
      </c>
      <c r="S6200" s="23" t="s">
        <v>6847</v>
      </c>
      <c r="W6200" s="45" t="str">
        <f>HYPERLINK("http://ictvonline.org/taxonomy/p/taxonomy-history?taxnode_id=201905699","ICTVonline=201905699")</f>
        <v>ICTVonline=201905699</v>
      </c>
      <c r="AA6200" s="1">
        <v>201900000</v>
      </c>
      <c r="AB6200" s="1">
        <v>35</v>
      </c>
    </row>
    <row r="6201" spans="1:28" x14ac:dyDescent="0.2">
      <c r="A6201" s="1">
        <v>16003</v>
      </c>
      <c r="L6201" s="1" t="s">
        <v>5163</v>
      </c>
      <c r="M6201" s="1" t="s">
        <v>5164</v>
      </c>
      <c r="N6201" s="1" t="s">
        <v>5203</v>
      </c>
      <c r="P6201" s="1" t="s">
        <v>16553</v>
      </c>
      <c r="Q6201" s="3">
        <v>0</v>
      </c>
      <c r="R6201" s="23" t="s">
        <v>10596</v>
      </c>
      <c r="S6201" s="23" t="s">
        <v>6849</v>
      </c>
      <c r="T6201" s="23" t="s">
        <v>4864</v>
      </c>
      <c r="U6201" s="3">
        <v>35</v>
      </c>
      <c r="V6201" s="3" t="s">
        <v>16533</v>
      </c>
      <c r="W6201" s="45" t="str">
        <f>HYPERLINK("http://ictvonline.org/taxonomy/p/taxonomy-history?taxnode_id=201907293","ICTVonline=201907293")</f>
        <v>ICTVonline=201907293</v>
      </c>
      <c r="X6201" s="1" t="s">
        <v>16554</v>
      </c>
      <c r="Y6201" s="1" t="s">
        <v>16555</v>
      </c>
      <c r="Z6201" s="1" t="s">
        <v>16556</v>
      </c>
      <c r="AA6201" s="1">
        <v>201900000</v>
      </c>
      <c r="AB6201" s="1">
        <v>35</v>
      </c>
    </row>
    <row r="6202" spans="1:28" x14ac:dyDescent="0.2">
      <c r="A6202" s="1">
        <v>16005</v>
      </c>
      <c r="L6202" s="1" t="s">
        <v>5163</v>
      </c>
      <c r="M6202" s="1" t="s">
        <v>5164</v>
      </c>
      <c r="N6202" s="1" t="s">
        <v>5203</v>
      </c>
      <c r="P6202" s="1" t="s">
        <v>5204</v>
      </c>
      <c r="Q6202" s="3">
        <v>1</v>
      </c>
      <c r="R6202" s="23" t="s">
        <v>10605</v>
      </c>
      <c r="S6202" s="23" t="s">
        <v>6847</v>
      </c>
      <c r="W6202" s="45" t="str">
        <f>HYPERLINK("http://ictvonline.org/taxonomy/p/taxonomy-history?taxnode_id=201905701","ICTVonline=201905701")</f>
        <v>ICTVonline=201905701</v>
      </c>
      <c r="AA6202" s="1">
        <v>201900000</v>
      </c>
      <c r="AB6202" s="1">
        <v>35</v>
      </c>
    </row>
    <row r="6203" spans="1:28" x14ac:dyDescent="0.2">
      <c r="A6203" s="1">
        <v>16007</v>
      </c>
      <c r="L6203" s="1" t="s">
        <v>5163</v>
      </c>
      <c r="M6203" s="1" t="s">
        <v>5164</v>
      </c>
      <c r="N6203" s="1" t="s">
        <v>5203</v>
      </c>
      <c r="P6203" s="1" t="s">
        <v>5205</v>
      </c>
      <c r="Q6203" s="3">
        <v>0</v>
      </c>
      <c r="R6203" s="23" t="s">
        <v>10605</v>
      </c>
      <c r="S6203" s="23" t="s">
        <v>6847</v>
      </c>
      <c r="W6203" s="45" t="str">
        <f>HYPERLINK("http://ictvonline.org/taxonomy/p/taxonomy-history?taxnode_id=201905702","ICTVonline=201905702")</f>
        <v>ICTVonline=201905702</v>
      </c>
      <c r="AA6203" s="1">
        <v>201900000</v>
      </c>
      <c r="AB6203" s="1">
        <v>35</v>
      </c>
    </row>
    <row r="6204" spans="1:28" x14ac:dyDescent="0.2">
      <c r="A6204" s="1">
        <v>16009</v>
      </c>
      <c r="L6204" s="1" t="s">
        <v>5163</v>
      </c>
      <c r="M6204" s="1" t="s">
        <v>5164</v>
      </c>
      <c r="N6204" s="1" t="s">
        <v>5203</v>
      </c>
      <c r="P6204" s="1" t="s">
        <v>5206</v>
      </c>
      <c r="Q6204" s="3">
        <v>0</v>
      </c>
      <c r="R6204" s="23" t="s">
        <v>10605</v>
      </c>
      <c r="S6204" s="23" t="s">
        <v>6847</v>
      </c>
      <c r="W6204" s="45" t="str">
        <f>HYPERLINK("http://ictvonline.org/taxonomy/p/taxonomy-history?taxnode_id=201905703","ICTVonline=201905703")</f>
        <v>ICTVonline=201905703</v>
      </c>
      <c r="AA6204" s="1">
        <v>201900000</v>
      </c>
      <c r="AB6204" s="1">
        <v>35</v>
      </c>
    </row>
    <row r="6205" spans="1:28" x14ac:dyDescent="0.2">
      <c r="A6205" s="1">
        <v>16011</v>
      </c>
      <c r="L6205" s="1" t="s">
        <v>5163</v>
      </c>
      <c r="M6205" s="1" t="s">
        <v>5164</v>
      </c>
      <c r="N6205" s="1" t="s">
        <v>5203</v>
      </c>
      <c r="P6205" s="1" t="s">
        <v>5207</v>
      </c>
      <c r="Q6205" s="3">
        <v>0</v>
      </c>
      <c r="R6205" s="23" t="s">
        <v>10605</v>
      </c>
      <c r="S6205" s="23" t="s">
        <v>6847</v>
      </c>
      <c r="W6205" s="45" t="str">
        <f>HYPERLINK("http://ictvonline.org/taxonomy/p/taxonomy-history?taxnode_id=201905704","ICTVonline=201905704")</f>
        <v>ICTVonline=201905704</v>
      </c>
      <c r="AA6205" s="1">
        <v>201900000</v>
      </c>
      <c r="AB6205" s="1">
        <v>35</v>
      </c>
    </row>
    <row r="6206" spans="1:28" x14ac:dyDescent="0.2">
      <c r="A6206" s="1">
        <v>16013</v>
      </c>
      <c r="L6206" s="1" t="s">
        <v>5163</v>
      </c>
      <c r="M6206" s="1" t="s">
        <v>5164</v>
      </c>
      <c r="N6206" s="1" t="s">
        <v>5203</v>
      </c>
      <c r="P6206" s="1" t="s">
        <v>5208</v>
      </c>
      <c r="Q6206" s="3">
        <v>0</v>
      </c>
      <c r="R6206" s="23" t="s">
        <v>10605</v>
      </c>
      <c r="S6206" s="23" t="s">
        <v>6847</v>
      </c>
      <c r="W6206" s="45" t="str">
        <f>HYPERLINK("http://ictvonline.org/taxonomy/p/taxonomy-history?taxnode_id=201905705","ICTVonline=201905705")</f>
        <v>ICTVonline=201905705</v>
      </c>
      <c r="AA6206" s="1">
        <v>201900000</v>
      </c>
      <c r="AB6206" s="1">
        <v>35</v>
      </c>
    </row>
    <row r="6207" spans="1:28" x14ac:dyDescent="0.2">
      <c r="A6207" s="1">
        <v>16015</v>
      </c>
      <c r="L6207" s="1" t="s">
        <v>5163</v>
      </c>
      <c r="M6207" s="1" t="s">
        <v>5164</v>
      </c>
      <c r="N6207" s="1" t="s">
        <v>5203</v>
      </c>
      <c r="P6207" s="1" t="s">
        <v>5209</v>
      </c>
      <c r="Q6207" s="3">
        <v>0</v>
      </c>
      <c r="R6207" s="23" t="s">
        <v>10605</v>
      </c>
      <c r="S6207" s="23" t="s">
        <v>6847</v>
      </c>
      <c r="W6207" s="45" t="str">
        <f>HYPERLINK("http://ictvonline.org/taxonomy/p/taxonomy-history?taxnode_id=201905706","ICTVonline=201905706")</f>
        <v>ICTVonline=201905706</v>
      </c>
      <c r="AA6207" s="1">
        <v>201900000</v>
      </c>
      <c r="AB6207" s="1">
        <v>35</v>
      </c>
    </row>
    <row r="6208" spans="1:28" x14ac:dyDescent="0.2">
      <c r="A6208" s="1">
        <v>16018</v>
      </c>
      <c r="L6208" s="1" t="s">
        <v>5163</v>
      </c>
      <c r="M6208" s="1" t="s">
        <v>5164</v>
      </c>
      <c r="P6208" s="1" t="s">
        <v>5210</v>
      </c>
      <c r="Q6208" s="3">
        <v>0</v>
      </c>
      <c r="R6208" s="23" t="s">
        <v>10605</v>
      </c>
      <c r="S6208" s="23" t="s">
        <v>6847</v>
      </c>
      <c r="W6208" s="45" t="str">
        <f>HYPERLINK("http://ictvonline.org/taxonomy/p/taxonomy-history?taxnode_id=201905708","ICTVonline=201905708")</f>
        <v>ICTVonline=201905708</v>
      </c>
      <c r="AA6208" s="1">
        <v>201900000</v>
      </c>
      <c r="AB6208" s="1">
        <v>35</v>
      </c>
    </row>
    <row r="6209" spans="1:28" x14ac:dyDescent="0.2">
      <c r="A6209" s="1">
        <v>16020</v>
      </c>
      <c r="L6209" s="1" t="s">
        <v>5163</v>
      </c>
      <c r="M6209" s="1" t="s">
        <v>5164</v>
      </c>
      <c r="P6209" s="1" t="s">
        <v>6662</v>
      </c>
      <c r="Q6209" s="3">
        <v>0</v>
      </c>
      <c r="R6209" s="23" t="s">
        <v>10605</v>
      </c>
      <c r="S6209" s="23" t="s">
        <v>6847</v>
      </c>
      <c r="W6209" s="45" t="str">
        <f>HYPERLINK("http://ictvonline.org/taxonomy/p/taxonomy-history?taxnode_id=201905709","ICTVonline=201905709")</f>
        <v>ICTVonline=201905709</v>
      </c>
      <c r="X6209" s="1" t="s">
        <v>16557</v>
      </c>
      <c r="Y6209" s="1" t="s">
        <v>16558</v>
      </c>
      <c r="Z6209" s="1" t="s">
        <v>16559</v>
      </c>
      <c r="AA6209" s="1">
        <v>201900000</v>
      </c>
      <c r="AB6209" s="1">
        <v>35</v>
      </c>
    </row>
    <row r="6210" spans="1:28" x14ac:dyDescent="0.2">
      <c r="A6210" s="1">
        <v>16025</v>
      </c>
      <c r="L6210" s="1" t="s">
        <v>5163</v>
      </c>
      <c r="M6210" s="1" t="s">
        <v>5211</v>
      </c>
      <c r="N6210" s="1" t="s">
        <v>5212</v>
      </c>
      <c r="P6210" s="1" t="s">
        <v>5213</v>
      </c>
      <c r="Q6210" s="3">
        <v>1</v>
      </c>
      <c r="R6210" s="23" t="s">
        <v>10605</v>
      </c>
      <c r="S6210" s="23" t="s">
        <v>6847</v>
      </c>
      <c r="W6210" s="45" t="str">
        <f>HYPERLINK("http://ictvonline.org/taxonomy/p/taxonomy-history?taxnode_id=201905712","ICTVonline=201905712")</f>
        <v>ICTVonline=201905712</v>
      </c>
      <c r="AA6210" s="1">
        <v>201900000</v>
      </c>
      <c r="AB6210" s="1">
        <v>35</v>
      </c>
    </row>
    <row r="6211" spans="1:28" x14ac:dyDescent="0.2">
      <c r="A6211" s="1">
        <v>16027</v>
      </c>
      <c r="L6211" s="1" t="s">
        <v>5163</v>
      </c>
      <c r="M6211" s="1" t="s">
        <v>5211</v>
      </c>
      <c r="N6211" s="1" t="s">
        <v>5212</v>
      </c>
      <c r="P6211" s="1" t="s">
        <v>5833</v>
      </c>
      <c r="Q6211" s="3">
        <v>0</v>
      </c>
      <c r="R6211" s="23" t="s">
        <v>10605</v>
      </c>
      <c r="S6211" s="23" t="s">
        <v>6847</v>
      </c>
      <c r="W6211" s="45" t="str">
        <f>HYPERLINK("http://ictvonline.org/taxonomy/p/taxonomy-history?taxnode_id=201905711","ICTVonline=201905711")</f>
        <v>ICTVonline=201905711</v>
      </c>
      <c r="AA6211" s="1">
        <v>201900000</v>
      </c>
      <c r="AB6211" s="1">
        <v>35</v>
      </c>
    </row>
    <row r="6212" spans="1:28" x14ac:dyDescent="0.2">
      <c r="A6212" s="1">
        <v>16029</v>
      </c>
      <c r="L6212" s="1" t="s">
        <v>5163</v>
      </c>
      <c r="M6212" s="1" t="s">
        <v>5211</v>
      </c>
      <c r="N6212" s="1" t="s">
        <v>5212</v>
      </c>
      <c r="P6212" s="1" t="s">
        <v>5214</v>
      </c>
      <c r="Q6212" s="3">
        <v>0</v>
      </c>
      <c r="R6212" s="23" t="s">
        <v>10605</v>
      </c>
      <c r="S6212" s="23" t="s">
        <v>6847</v>
      </c>
      <c r="W6212" s="45" t="str">
        <f>HYPERLINK("http://ictvonline.org/taxonomy/p/taxonomy-history?taxnode_id=201905713","ICTVonline=201905713")</f>
        <v>ICTVonline=201905713</v>
      </c>
      <c r="AA6212" s="1">
        <v>201900000</v>
      </c>
      <c r="AB6212" s="1">
        <v>35</v>
      </c>
    </row>
    <row r="6213" spans="1:28" x14ac:dyDescent="0.2">
      <c r="A6213" s="1">
        <v>16031</v>
      </c>
      <c r="L6213" s="1" t="s">
        <v>5163</v>
      </c>
      <c r="M6213" s="1" t="s">
        <v>5211</v>
      </c>
      <c r="N6213" s="1" t="s">
        <v>5212</v>
      </c>
      <c r="P6213" s="1" t="s">
        <v>5215</v>
      </c>
      <c r="Q6213" s="3">
        <v>0</v>
      </c>
      <c r="R6213" s="23" t="s">
        <v>10605</v>
      </c>
      <c r="S6213" s="23" t="s">
        <v>6847</v>
      </c>
      <c r="W6213" s="45" t="str">
        <f>HYPERLINK("http://ictvonline.org/taxonomy/p/taxonomy-history?taxnode_id=201905714","ICTVonline=201905714")</f>
        <v>ICTVonline=201905714</v>
      </c>
      <c r="AA6213" s="1">
        <v>201900000</v>
      </c>
      <c r="AB6213" s="1">
        <v>35</v>
      </c>
    </row>
    <row r="6214" spans="1:28" x14ac:dyDescent="0.2">
      <c r="A6214" s="1">
        <v>16035</v>
      </c>
      <c r="L6214" s="1" t="s">
        <v>5163</v>
      </c>
      <c r="M6214" s="1" t="s">
        <v>5211</v>
      </c>
      <c r="N6214" s="1" t="s">
        <v>5216</v>
      </c>
      <c r="P6214" s="1" t="s">
        <v>5834</v>
      </c>
      <c r="Q6214" s="3">
        <v>0</v>
      </c>
      <c r="R6214" s="23" t="s">
        <v>10605</v>
      </c>
      <c r="S6214" s="23" t="s">
        <v>6847</v>
      </c>
      <c r="W6214" s="45" t="str">
        <f>HYPERLINK("http://ictvonline.org/taxonomy/p/taxonomy-history?taxnode_id=201905716","ICTVonline=201905716")</f>
        <v>ICTVonline=201905716</v>
      </c>
      <c r="AA6214" s="1">
        <v>201900000</v>
      </c>
      <c r="AB6214" s="1">
        <v>35</v>
      </c>
    </row>
    <row r="6215" spans="1:28" x14ac:dyDescent="0.2">
      <c r="A6215" s="1">
        <v>16037</v>
      </c>
      <c r="L6215" s="1" t="s">
        <v>5163</v>
      </c>
      <c r="M6215" s="1" t="s">
        <v>5211</v>
      </c>
      <c r="N6215" s="1" t="s">
        <v>5216</v>
      </c>
      <c r="P6215" s="1" t="s">
        <v>5835</v>
      </c>
      <c r="Q6215" s="3">
        <v>0</v>
      </c>
      <c r="R6215" s="23" t="s">
        <v>10605</v>
      </c>
      <c r="S6215" s="23" t="s">
        <v>6847</v>
      </c>
      <c r="W6215" s="45" t="str">
        <f>HYPERLINK("http://ictvonline.org/taxonomy/p/taxonomy-history?taxnode_id=201905717","ICTVonline=201905717")</f>
        <v>ICTVonline=201905717</v>
      </c>
      <c r="AA6215" s="1">
        <v>201900000</v>
      </c>
      <c r="AB6215" s="1">
        <v>35</v>
      </c>
    </row>
    <row r="6216" spans="1:28" x14ac:dyDescent="0.2">
      <c r="A6216" s="1">
        <v>16039</v>
      </c>
      <c r="L6216" s="1" t="s">
        <v>5163</v>
      </c>
      <c r="M6216" s="1" t="s">
        <v>5211</v>
      </c>
      <c r="N6216" s="1" t="s">
        <v>5216</v>
      </c>
      <c r="P6216" s="1" t="s">
        <v>5836</v>
      </c>
      <c r="Q6216" s="3">
        <v>0</v>
      </c>
      <c r="R6216" s="23" t="s">
        <v>10605</v>
      </c>
      <c r="S6216" s="23" t="s">
        <v>6847</v>
      </c>
      <c r="W6216" s="45" t="str">
        <f>HYPERLINK("http://ictvonline.org/taxonomy/p/taxonomy-history?taxnode_id=201905718","ICTVonline=201905718")</f>
        <v>ICTVonline=201905718</v>
      </c>
      <c r="AA6216" s="1">
        <v>201900000</v>
      </c>
      <c r="AB6216" s="1">
        <v>35</v>
      </c>
    </row>
    <row r="6217" spans="1:28" x14ac:dyDescent="0.2">
      <c r="A6217" s="1">
        <v>16041</v>
      </c>
      <c r="L6217" s="1" t="s">
        <v>5163</v>
      </c>
      <c r="M6217" s="1" t="s">
        <v>5211</v>
      </c>
      <c r="N6217" s="1" t="s">
        <v>5216</v>
      </c>
      <c r="P6217" s="1" t="s">
        <v>5837</v>
      </c>
      <c r="Q6217" s="3">
        <v>0</v>
      </c>
      <c r="R6217" s="23" t="s">
        <v>10605</v>
      </c>
      <c r="S6217" s="23" t="s">
        <v>6847</v>
      </c>
      <c r="W6217" s="45" t="str">
        <f>HYPERLINK("http://ictvonline.org/taxonomy/p/taxonomy-history?taxnode_id=201905719","ICTVonline=201905719")</f>
        <v>ICTVonline=201905719</v>
      </c>
      <c r="AA6217" s="1">
        <v>201900000</v>
      </c>
      <c r="AB6217" s="1">
        <v>35</v>
      </c>
    </row>
    <row r="6218" spans="1:28" x14ac:dyDescent="0.2">
      <c r="A6218" s="1">
        <v>16043</v>
      </c>
      <c r="L6218" s="1" t="s">
        <v>5163</v>
      </c>
      <c r="M6218" s="1" t="s">
        <v>5211</v>
      </c>
      <c r="N6218" s="1" t="s">
        <v>5216</v>
      </c>
      <c r="P6218" s="1" t="s">
        <v>5217</v>
      </c>
      <c r="Q6218" s="3">
        <v>1</v>
      </c>
      <c r="R6218" s="23" t="s">
        <v>10605</v>
      </c>
      <c r="S6218" s="23" t="s">
        <v>6847</v>
      </c>
      <c r="W6218" s="45" t="str">
        <f>HYPERLINK("http://ictvonline.org/taxonomy/p/taxonomy-history?taxnode_id=201905720","ICTVonline=201905720")</f>
        <v>ICTVonline=201905720</v>
      </c>
      <c r="AA6218" s="1">
        <v>201900000</v>
      </c>
      <c r="AB6218" s="1">
        <v>35</v>
      </c>
    </row>
    <row r="6219" spans="1:28" x14ac:dyDescent="0.2">
      <c r="A6219" s="1">
        <v>16047</v>
      </c>
      <c r="L6219" s="1" t="s">
        <v>5163</v>
      </c>
      <c r="M6219" s="1" t="s">
        <v>5211</v>
      </c>
      <c r="N6219" s="1" t="s">
        <v>5218</v>
      </c>
      <c r="P6219" s="1" t="s">
        <v>5219</v>
      </c>
      <c r="Q6219" s="3">
        <v>1</v>
      </c>
      <c r="R6219" s="23" t="s">
        <v>10605</v>
      </c>
      <c r="S6219" s="23" t="s">
        <v>6847</v>
      </c>
      <c r="W6219" s="45" t="str">
        <f>HYPERLINK("http://ictvonline.org/taxonomy/p/taxonomy-history?taxnode_id=201905722","ICTVonline=201905722")</f>
        <v>ICTVonline=201905722</v>
      </c>
      <c r="AA6219" s="1">
        <v>201900000</v>
      </c>
      <c r="AB6219" s="1">
        <v>35</v>
      </c>
    </row>
    <row r="6220" spans="1:28" x14ac:dyDescent="0.2">
      <c r="A6220" s="1">
        <v>16051</v>
      </c>
      <c r="L6220" s="1" t="s">
        <v>5163</v>
      </c>
      <c r="M6220" s="1" t="s">
        <v>5211</v>
      </c>
      <c r="N6220" s="1" t="s">
        <v>5220</v>
      </c>
      <c r="P6220" s="1" t="s">
        <v>5838</v>
      </c>
      <c r="Q6220" s="3">
        <v>1</v>
      </c>
      <c r="R6220" s="23" t="s">
        <v>10605</v>
      </c>
      <c r="S6220" s="23" t="s">
        <v>6847</v>
      </c>
      <c r="W6220" s="45" t="str">
        <f>HYPERLINK("http://ictvonline.org/taxonomy/p/taxonomy-history?taxnode_id=201905724","ICTVonline=201905724")</f>
        <v>ICTVonline=201905724</v>
      </c>
      <c r="AA6220" s="1">
        <v>201900000</v>
      </c>
      <c r="AB6220" s="1">
        <v>35</v>
      </c>
    </row>
    <row r="6221" spans="1:28" x14ac:dyDescent="0.2">
      <c r="A6221" s="1">
        <v>16055</v>
      </c>
      <c r="L6221" s="1" t="s">
        <v>5163</v>
      </c>
      <c r="M6221" s="1" t="s">
        <v>5211</v>
      </c>
      <c r="N6221" s="1" t="s">
        <v>5221</v>
      </c>
      <c r="P6221" s="1" t="s">
        <v>5222</v>
      </c>
      <c r="Q6221" s="3">
        <v>0</v>
      </c>
      <c r="R6221" s="23" t="s">
        <v>10605</v>
      </c>
      <c r="S6221" s="23" t="s">
        <v>6847</v>
      </c>
      <c r="W6221" s="45" t="str">
        <f>HYPERLINK("http://ictvonline.org/taxonomy/p/taxonomy-history?taxnode_id=201905726","ICTVonline=201905726")</f>
        <v>ICTVonline=201905726</v>
      </c>
      <c r="AA6221" s="1">
        <v>201900000</v>
      </c>
      <c r="AB6221" s="1">
        <v>35</v>
      </c>
    </row>
    <row r="6222" spans="1:28" x14ac:dyDescent="0.2">
      <c r="A6222" s="1">
        <v>16057</v>
      </c>
      <c r="L6222" s="1" t="s">
        <v>5163</v>
      </c>
      <c r="M6222" s="1" t="s">
        <v>5211</v>
      </c>
      <c r="N6222" s="1" t="s">
        <v>5221</v>
      </c>
      <c r="P6222" s="1" t="s">
        <v>5839</v>
      </c>
      <c r="Q6222" s="3">
        <v>1</v>
      </c>
      <c r="R6222" s="23" t="s">
        <v>10605</v>
      </c>
      <c r="S6222" s="23" t="s">
        <v>6847</v>
      </c>
      <c r="W6222" s="45" t="str">
        <f>HYPERLINK("http://ictvonline.org/taxonomy/p/taxonomy-history?taxnode_id=201905727","ICTVonline=201905727")</f>
        <v>ICTVonline=201905727</v>
      </c>
      <c r="AA6222" s="1">
        <v>201900000</v>
      </c>
      <c r="AB6222" s="1">
        <v>35</v>
      </c>
    </row>
    <row r="6223" spans="1:28" x14ac:dyDescent="0.2">
      <c r="A6223" s="1">
        <v>16059</v>
      </c>
      <c r="L6223" s="1" t="s">
        <v>5163</v>
      </c>
      <c r="M6223" s="1" t="s">
        <v>5211</v>
      </c>
      <c r="N6223" s="1" t="s">
        <v>5221</v>
      </c>
      <c r="P6223" s="1" t="s">
        <v>5840</v>
      </c>
      <c r="Q6223" s="3">
        <v>0</v>
      </c>
      <c r="R6223" s="23" t="s">
        <v>10605</v>
      </c>
      <c r="S6223" s="23" t="s">
        <v>6847</v>
      </c>
      <c r="W6223" s="45" t="str">
        <f>HYPERLINK("http://ictvonline.org/taxonomy/p/taxonomy-history?taxnode_id=201905728","ICTVonline=201905728")</f>
        <v>ICTVonline=201905728</v>
      </c>
      <c r="AA6223" s="1">
        <v>201900000</v>
      </c>
      <c r="AB6223" s="1">
        <v>35</v>
      </c>
    </row>
    <row r="6224" spans="1:28" x14ac:dyDescent="0.2">
      <c r="A6224" s="1">
        <v>16061</v>
      </c>
      <c r="L6224" s="1" t="s">
        <v>5163</v>
      </c>
      <c r="M6224" s="1" t="s">
        <v>5211</v>
      </c>
      <c r="N6224" s="1" t="s">
        <v>5221</v>
      </c>
      <c r="P6224" s="1" t="s">
        <v>5223</v>
      </c>
      <c r="Q6224" s="3">
        <v>0</v>
      </c>
      <c r="R6224" s="23" t="s">
        <v>10605</v>
      </c>
      <c r="S6224" s="23" t="s">
        <v>6847</v>
      </c>
      <c r="W6224" s="45" t="str">
        <f>HYPERLINK("http://ictvonline.org/taxonomy/p/taxonomy-history?taxnode_id=201905729","ICTVonline=201905729")</f>
        <v>ICTVonline=201905729</v>
      </c>
      <c r="AA6224" s="1">
        <v>201900000</v>
      </c>
      <c r="AB6224" s="1">
        <v>35</v>
      </c>
    </row>
    <row r="6225" spans="1:28" x14ac:dyDescent="0.2">
      <c r="A6225" s="1">
        <v>16065</v>
      </c>
      <c r="L6225" s="1" t="s">
        <v>5163</v>
      </c>
      <c r="M6225" s="1" t="s">
        <v>5211</v>
      </c>
      <c r="N6225" s="1" t="s">
        <v>5224</v>
      </c>
      <c r="P6225" s="1" t="s">
        <v>16560</v>
      </c>
      <c r="Q6225" s="3">
        <v>0</v>
      </c>
      <c r="R6225" s="23" t="s">
        <v>10596</v>
      </c>
      <c r="S6225" s="23" t="s">
        <v>6849</v>
      </c>
      <c r="T6225" s="23" t="s">
        <v>4864</v>
      </c>
      <c r="U6225" s="3">
        <v>35</v>
      </c>
      <c r="V6225" s="3" t="s">
        <v>16533</v>
      </c>
      <c r="W6225" s="45" t="str">
        <f>HYPERLINK("http://ictvonline.org/taxonomy/p/taxonomy-history?taxnode_id=201907296","ICTVonline=201907296")</f>
        <v>ICTVonline=201907296</v>
      </c>
      <c r="X6225" s="1" t="s">
        <v>16561</v>
      </c>
      <c r="Y6225" s="1" t="s">
        <v>16562</v>
      </c>
      <c r="Z6225" s="1" t="s">
        <v>16563</v>
      </c>
      <c r="AA6225" s="1">
        <v>201900000</v>
      </c>
      <c r="AB6225" s="1">
        <v>35</v>
      </c>
    </row>
    <row r="6226" spans="1:28" x14ac:dyDescent="0.2">
      <c r="A6226" s="1">
        <v>16067</v>
      </c>
      <c r="L6226" s="1" t="s">
        <v>5163</v>
      </c>
      <c r="M6226" s="1" t="s">
        <v>5211</v>
      </c>
      <c r="N6226" s="1" t="s">
        <v>5224</v>
      </c>
      <c r="P6226" s="1" t="s">
        <v>5225</v>
      </c>
      <c r="Q6226" s="3">
        <v>1</v>
      </c>
      <c r="R6226" s="23" t="s">
        <v>10605</v>
      </c>
      <c r="S6226" s="23" t="s">
        <v>6847</v>
      </c>
      <c r="W6226" s="45" t="str">
        <f>HYPERLINK("http://ictvonline.org/taxonomy/p/taxonomy-history?taxnode_id=201905731","ICTVonline=201905731")</f>
        <v>ICTVonline=201905731</v>
      </c>
      <c r="AA6226" s="1">
        <v>201900000</v>
      </c>
      <c r="AB6226" s="1">
        <v>35</v>
      </c>
    </row>
    <row r="6227" spans="1:28" x14ac:dyDescent="0.2">
      <c r="A6227" s="1">
        <v>16071</v>
      </c>
      <c r="L6227" s="1" t="s">
        <v>5163</v>
      </c>
      <c r="M6227" s="1" t="s">
        <v>5211</v>
      </c>
      <c r="N6227" s="1" t="s">
        <v>5226</v>
      </c>
      <c r="P6227" s="1" t="s">
        <v>5227</v>
      </c>
      <c r="Q6227" s="3">
        <v>0</v>
      </c>
      <c r="R6227" s="23" t="s">
        <v>10605</v>
      </c>
      <c r="S6227" s="23" t="s">
        <v>6847</v>
      </c>
      <c r="W6227" s="45" t="str">
        <f>HYPERLINK("http://ictvonline.org/taxonomy/p/taxonomy-history?taxnode_id=201905733","ICTVonline=201905733")</f>
        <v>ICTVonline=201905733</v>
      </c>
      <c r="AA6227" s="1">
        <v>201900000</v>
      </c>
      <c r="AB6227" s="1">
        <v>35</v>
      </c>
    </row>
    <row r="6228" spans="1:28" x14ac:dyDescent="0.2">
      <c r="A6228" s="1">
        <v>16073</v>
      </c>
      <c r="L6228" s="1" t="s">
        <v>5163</v>
      </c>
      <c r="M6228" s="1" t="s">
        <v>5211</v>
      </c>
      <c r="N6228" s="1" t="s">
        <v>5226</v>
      </c>
      <c r="P6228" s="1" t="s">
        <v>16564</v>
      </c>
      <c r="Q6228" s="3">
        <v>0</v>
      </c>
      <c r="R6228" s="23" t="s">
        <v>10596</v>
      </c>
      <c r="S6228" s="23" t="s">
        <v>6849</v>
      </c>
      <c r="T6228" s="23" t="s">
        <v>4864</v>
      </c>
      <c r="U6228" s="3">
        <v>35</v>
      </c>
      <c r="V6228" s="3" t="s">
        <v>16533</v>
      </c>
      <c r="W6228" s="45" t="str">
        <f>HYPERLINK("http://ictvonline.org/taxonomy/p/taxonomy-history?taxnode_id=201907295","ICTVonline=201907295")</f>
        <v>ICTVonline=201907295</v>
      </c>
      <c r="X6228" s="1" t="s">
        <v>16565</v>
      </c>
      <c r="Y6228" s="1" t="s">
        <v>16566</v>
      </c>
      <c r="Z6228" s="1" t="s">
        <v>16567</v>
      </c>
      <c r="AA6228" s="1">
        <v>201900000</v>
      </c>
      <c r="AB6228" s="1">
        <v>35</v>
      </c>
    </row>
    <row r="6229" spans="1:28" x14ac:dyDescent="0.2">
      <c r="A6229" s="1">
        <v>16075</v>
      </c>
      <c r="L6229" s="1" t="s">
        <v>5163</v>
      </c>
      <c r="M6229" s="1" t="s">
        <v>5211</v>
      </c>
      <c r="N6229" s="1" t="s">
        <v>5226</v>
      </c>
      <c r="P6229" s="1" t="s">
        <v>6663</v>
      </c>
      <c r="Q6229" s="3">
        <v>0</v>
      </c>
      <c r="R6229" s="23" t="s">
        <v>10605</v>
      </c>
      <c r="S6229" s="23" t="s">
        <v>6847</v>
      </c>
      <c r="W6229" s="45" t="str">
        <f>HYPERLINK("http://ictvonline.org/taxonomy/p/taxonomy-history?taxnode_id=201905734","ICTVonline=201905734")</f>
        <v>ICTVonline=201905734</v>
      </c>
      <c r="X6229" s="1" t="s">
        <v>16568</v>
      </c>
      <c r="Y6229" s="1" t="s">
        <v>16569</v>
      </c>
      <c r="Z6229" s="1" t="s">
        <v>16570</v>
      </c>
      <c r="AA6229" s="1">
        <v>201900000</v>
      </c>
      <c r="AB6229" s="1">
        <v>35</v>
      </c>
    </row>
    <row r="6230" spans="1:28" x14ac:dyDescent="0.2">
      <c r="A6230" s="1">
        <v>16077</v>
      </c>
      <c r="L6230" s="1" t="s">
        <v>5163</v>
      </c>
      <c r="M6230" s="1" t="s">
        <v>5211</v>
      </c>
      <c r="N6230" s="1" t="s">
        <v>5226</v>
      </c>
      <c r="P6230" s="1" t="s">
        <v>5228</v>
      </c>
      <c r="Q6230" s="3">
        <v>1</v>
      </c>
      <c r="R6230" s="23" t="s">
        <v>10605</v>
      </c>
      <c r="S6230" s="23" t="s">
        <v>6847</v>
      </c>
      <c r="W6230" s="45" t="str">
        <f>HYPERLINK("http://ictvonline.org/taxonomy/p/taxonomy-history?taxnode_id=201905735","ICTVonline=201905735")</f>
        <v>ICTVonline=201905735</v>
      </c>
      <c r="AA6230" s="1">
        <v>201900000</v>
      </c>
      <c r="AB6230" s="1">
        <v>35</v>
      </c>
    </row>
    <row r="6231" spans="1:28" x14ac:dyDescent="0.2">
      <c r="A6231" s="1">
        <v>16081</v>
      </c>
      <c r="L6231" s="1" t="s">
        <v>5163</v>
      </c>
      <c r="P6231" s="1" t="s">
        <v>5229</v>
      </c>
      <c r="Q6231" s="3">
        <v>0</v>
      </c>
      <c r="R6231" s="23" t="s">
        <v>10605</v>
      </c>
      <c r="S6231" s="23" t="s">
        <v>6847</v>
      </c>
      <c r="W6231" s="45" t="str">
        <f>HYPERLINK("http://ictvonline.org/taxonomy/p/taxonomy-history?taxnode_id=201905738","ICTVonline=201905738")</f>
        <v>ICTVonline=201905738</v>
      </c>
      <c r="AA6231" s="1">
        <v>201900000</v>
      </c>
      <c r="AB6231" s="1">
        <v>35</v>
      </c>
    </row>
    <row r="6232" spans="1:28" x14ac:dyDescent="0.2">
      <c r="A6232" s="1">
        <v>16086</v>
      </c>
      <c r="L6232" s="1" t="s">
        <v>1055</v>
      </c>
      <c r="N6232" s="1" t="s">
        <v>1056</v>
      </c>
      <c r="P6232" s="1" t="s">
        <v>1057</v>
      </c>
      <c r="Q6232" s="3">
        <v>1</v>
      </c>
      <c r="R6232" s="23" t="s">
        <v>6854</v>
      </c>
      <c r="S6232" s="23" t="s">
        <v>6847</v>
      </c>
      <c r="W6232" s="45" t="str">
        <f>HYPERLINK("http://ictvonline.org/taxonomy/p/taxonomy-history?taxnode_id=201902484","ICTVonline=201902484")</f>
        <v>ICTVonline=201902484</v>
      </c>
      <c r="Y6232" s="1" t="s">
        <v>16571</v>
      </c>
      <c r="AA6232" s="1">
        <v>201900000</v>
      </c>
      <c r="AB6232" s="1">
        <v>35</v>
      </c>
    </row>
    <row r="6233" spans="1:28" x14ac:dyDescent="0.2">
      <c r="A6233" s="1">
        <v>16092</v>
      </c>
      <c r="L6233" s="1" t="s">
        <v>307</v>
      </c>
      <c r="N6233" s="1" t="s">
        <v>308</v>
      </c>
      <c r="P6233" s="1" t="s">
        <v>1685</v>
      </c>
      <c r="Q6233" s="3">
        <v>1</v>
      </c>
      <c r="R6233" s="23" t="s">
        <v>14297</v>
      </c>
      <c r="S6233" s="23" t="s">
        <v>6847</v>
      </c>
      <c r="W6233" s="45" t="str">
        <f>HYPERLINK("http://ictvonline.org/taxonomy/p/taxonomy-history?taxnode_id=201902488","ICTVonline=201902488")</f>
        <v>ICTVonline=201902488</v>
      </c>
      <c r="AA6233" s="1">
        <v>201900000</v>
      </c>
      <c r="AB6233" s="1">
        <v>35</v>
      </c>
    </row>
    <row r="6234" spans="1:28" x14ac:dyDescent="0.2">
      <c r="A6234" s="1">
        <v>16094</v>
      </c>
      <c r="L6234" s="1" t="s">
        <v>307</v>
      </c>
      <c r="N6234" s="1" t="s">
        <v>308</v>
      </c>
      <c r="P6234" s="1" t="s">
        <v>1686</v>
      </c>
      <c r="Q6234" s="3">
        <v>0</v>
      </c>
      <c r="R6234" s="23" t="s">
        <v>14297</v>
      </c>
      <c r="S6234" s="23" t="s">
        <v>6847</v>
      </c>
      <c r="W6234" s="45" t="str">
        <f>HYPERLINK("http://ictvonline.org/taxonomy/p/taxonomy-history?taxnode_id=201902489","ICTVonline=201902489")</f>
        <v>ICTVonline=201902489</v>
      </c>
      <c r="AA6234" s="1">
        <v>201900000</v>
      </c>
      <c r="AB6234" s="1">
        <v>35</v>
      </c>
    </row>
    <row r="6235" spans="1:28" x14ac:dyDescent="0.2">
      <c r="A6235" s="1">
        <v>16096</v>
      </c>
      <c r="L6235" s="1" t="s">
        <v>307</v>
      </c>
      <c r="N6235" s="1" t="s">
        <v>308</v>
      </c>
      <c r="P6235" s="1" t="s">
        <v>1687</v>
      </c>
      <c r="Q6235" s="3">
        <v>0</v>
      </c>
      <c r="R6235" s="23" t="s">
        <v>14297</v>
      </c>
      <c r="S6235" s="23" t="s">
        <v>6847</v>
      </c>
      <c r="W6235" s="45" t="str">
        <f>HYPERLINK("http://ictvonline.org/taxonomy/p/taxonomy-history?taxnode_id=201902490","ICTVonline=201902490")</f>
        <v>ICTVonline=201902490</v>
      </c>
      <c r="AA6235" s="1">
        <v>201900000</v>
      </c>
      <c r="AB6235" s="1">
        <v>35</v>
      </c>
    </row>
    <row r="6236" spans="1:28" x14ac:dyDescent="0.2">
      <c r="A6236" s="1">
        <v>16098</v>
      </c>
      <c r="L6236" s="1" t="s">
        <v>307</v>
      </c>
      <c r="N6236" s="1" t="s">
        <v>308</v>
      </c>
      <c r="P6236" s="1" t="s">
        <v>312</v>
      </c>
      <c r="Q6236" s="3">
        <v>0</v>
      </c>
      <c r="R6236" s="23" t="s">
        <v>14297</v>
      </c>
      <c r="S6236" s="23" t="s">
        <v>6847</v>
      </c>
      <c r="W6236" s="45" t="str">
        <f>HYPERLINK("http://ictvonline.org/taxonomy/p/taxonomy-history?taxnode_id=201902491","ICTVonline=201902491")</f>
        <v>ICTVonline=201902491</v>
      </c>
      <c r="AA6236" s="1">
        <v>201900000</v>
      </c>
      <c r="AB6236" s="1">
        <v>35</v>
      </c>
    </row>
    <row r="6237" spans="1:28" x14ac:dyDescent="0.2">
      <c r="A6237" s="1">
        <v>16100</v>
      </c>
      <c r="L6237" s="1" t="s">
        <v>307</v>
      </c>
      <c r="N6237" s="1" t="s">
        <v>308</v>
      </c>
      <c r="P6237" s="1" t="s">
        <v>313</v>
      </c>
      <c r="Q6237" s="3">
        <v>0</v>
      </c>
      <c r="R6237" s="23" t="s">
        <v>14297</v>
      </c>
      <c r="S6237" s="23" t="s">
        <v>6847</v>
      </c>
      <c r="W6237" s="45" t="str">
        <f>HYPERLINK("http://ictvonline.org/taxonomy/p/taxonomy-history?taxnode_id=201902492","ICTVonline=201902492")</f>
        <v>ICTVonline=201902492</v>
      </c>
      <c r="AA6237" s="1">
        <v>201900000</v>
      </c>
      <c r="AB6237" s="1">
        <v>35</v>
      </c>
    </row>
    <row r="6238" spans="1:28" x14ac:dyDescent="0.2">
      <c r="A6238" s="1">
        <v>16102</v>
      </c>
      <c r="L6238" s="1" t="s">
        <v>307</v>
      </c>
      <c r="N6238" s="1" t="s">
        <v>308</v>
      </c>
      <c r="P6238" s="1" t="s">
        <v>314</v>
      </c>
      <c r="Q6238" s="3">
        <v>0</v>
      </c>
      <c r="R6238" s="23" t="s">
        <v>14297</v>
      </c>
      <c r="S6238" s="23" t="s">
        <v>6847</v>
      </c>
      <c r="W6238" s="45" t="str">
        <f>HYPERLINK("http://ictvonline.org/taxonomy/p/taxonomy-history?taxnode_id=201902493","ICTVonline=201902493")</f>
        <v>ICTVonline=201902493</v>
      </c>
      <c r="AA6238" s="1">
        <v>201900000</v>
      </c>
      <c r="AB6238" s="1">
        <v>35</v>
      </c>
    </row>
    <row r="6239" spans="1:28" x14ac:dyDescent="0.2">
      <c r="A6239" s="1">
        <v>16104</v>
      </c>
      <c r="L6239" s="1" t="s">
        <v>307</v>
      </c>
      <c r="N6239" s="1" t="s">
        <v>308</v>
      </c>
      <c r="P6239" s="1" t="s">
        <v>315</v>
      </c>
      <c r="Q6239" s="3">
        <v>0</v>
      </c>
      <c r="R6239" s="23" t="s">
        <v>14297</v>
      </c>
      <c r="S6239" s="23" t="s">
        <v>6847</v>
      </c>
      <c r="W6239" s="45" t="str">
        <f>HYPERLINK("http://ictvonline.org/taxonomy/p/taxonomy-history?taxnode_id=201902494","ICTVonline=201902494")</f>
        <v>ICTVonline=201902494</v>
      </c>
      <c r="AA6239" s="1">
        <v>201900000</v>
      </c>
      <c r="AB6239" s="1">
        <v>35</v>
      </c>
    </row>
    <row r="6240" spans="1:28" x14ac:dyDescent="0.2">
      <c r="A6240" s="1">
        <v>16106</v>
      </c>
      <c r="L6240" s="1" t="s">
        <v>307</v>
      </c>
      <c r="N6240" s="1" t="s">
        <v>308</v>
      </c>
      <c r="P6240" s="1" t="s">
        <v>316</v>
      </c>
      <c r="Q6240" s="3">
        <v>0</v>
      </c>
      <c r="R6240" s="23" t="s">
        <v>14297</v>
      </c>
      <c r="S6240" s="23" t="s">
        <v>6847</v>
      </c>
      <c r="W6240" s="45" t="str">
        <f>HYPERLINK("http://ictvonline.org/taxonomy/p/taxonomy-history?taxnode_id=201902495","ICTVonline=201902495")</f>
        <v>ICTVonline=201902495</v>
      </c>
      <c r="AA6240" s="1">
        <v>201900000</v>
      </c>
      <c r="AB6240" s="1">
        <v>35</v>
      </c>
    </row>
    <row r="6241" spans="1:28" x14ac:dyDescent="0.2">
      <c r="A6241" s="1">
        <v>16108</v>
      </c>
      <c r="L6241" s="1" t="s">
        <v>307</v>
      </c>
      <c r="N6241" s="1" t="s">
        <v>308</v>
      </c>
      <c r="P6241" s="1" t="s">
        <v>317</v>
      </c>
      <c r="Q6241" s="3">
        <v>0</v>
      </c>
      <c r="R6241" s="23" t="s">
        <v>14297</v>
      </c>
      <c r="S6241" s="23" t="s">
        <v>6847</v>
      </c>
      <c r="W6241" s="45" t="str">
        <f>HYPERLINK("http://ictvonline.org/taxonomy/p/taxonomy-history?taxnode_id=201902496","ICTVonline=201902496")</f>
        <v>ICTVonline=201902496</v>
      </c>
      <c r="AA6241" s="1">
        <v>201900000</v>
      </c>
      <c r="AB6241" s="1">
        <v>35</v>
      </c>
    </row>
    <row r="6242" spans="1:28" x14ac:dyDescent="0.2">
      <c r="A6242" s="1">
        <v>16110</v>
      </c>
      <c r="L6242" s="1" t="s">
        <v>307</v>
      </c>
      <c r="N6242" s="1" t="s">
        <v>308</v>
      </c>
      <c r="P6242" s="1" t="s">
        <v>318</v>
      </c>
      <c r="Q6242" s="3">
        <v>0</v>
      </c>
      <c r="R6242" s="23" t="s">
        <v>14297</v>
      </c>
      <c r="S6242" s="23" t="s">
        <v>6847</v>
      </c>
      <c r="W6242" s="45" t="str">
        <f>HYPERLINK("http://ictvonline.org/taxonomy/p/taxonomy-history?taxnode_id=201902497","ICTVonline=201902497")</f>
        <v>ICTVonline=201902497</v>
      </c>
      <c r="AA6242" s="1">
        <v>201900000</v>
      </c>
      <c r="AB6242" s="1">
        <v>35</v>
      </c>
    </row>
    <row r="6243" spans="1:28" x14ac:dyDescent="0.2">
      <c r="A6243" s="1">
        <v>16112</v>
      </c>
      <c r="L6243" s="1" t="s">
        <v>307</v>
      </c>
      <c r="N6243" s="1" t="s">
        <v>308</v>
      </c>
      <c r="P6243" s="1" t="s">
        <v>319</v>
      </c>
      <c r="Q6243" s="3">
        <v>0</v>
      </c>
      <c r="R6243" s="23" t="s">
        <v>14297</v>
      </c>
      <c r="S6243" s="23" t="s">
        <v>6847</v>
      </c>
      <c r="W6243" s="45" t="str">
        <f>HYPERLINK("http://ictvonline.org/taxonomy/p/taxonomy-history?taxnode_id=201902498","ICTVonline=201902498")</f>
        <v>ICTVonline=201902498</v>
      </c>
      <c r="AA6243" s="1">
        <v>201900000</v>
      </c>
      <c r="AB6243" s="1">
        <v>35</v>
      </c>
    </row>
    <row r="6244" spans="1:28" x14ac:dyDescent="0.2">
      <c r="A6244" s="1">
        <v>16114</v>
      </c>
      <c r="L6244" s="1" t="s">
        <v>307</v>
      </c>
      <c r="N6244" s="1" t="s">
        <v>308</v>
      </c>
      <c r="P6244" s="1" t="s">
        <v>320</v>
      </c>
      <c r="Q6244" s="3">
        <v>0</v>
      </c>
      <c r="R6244" s="23" t="s">
        <v>14297</v>
      </c>
      <c r="S6244" s="23" t="s">
        <v>6847</v>
      </c>
      <c r="W6244" s="45" t="str">
        <f>HYPERLINK("http://ictvonline.org/taxonomy/p/taxonomy-history?taxnode_id=201902499","ICTVonline=201902499")</f>
        <v>ICTVonline=201902499</v>
      </c>
      <c r="AA6244" s="1">
        <v>201900000</v>
      </c>
      <c r="AB6244" s="1">
        <v>35</v>
      </c>
    </row>
    <row r="6245" spans="1:28" x14ac:dyDescent="0.2">
      <c r="A6245" s="1">
        <v>16116</v>
      </c>
      <c r="L6245" s="1" t="s">
        <v>307</v>
      </c>
      <c r="N6245" s="1" t="s">
        <v>308</v>
      </c>
      <c r="P6245" s="1" t="s">
        <v>321</v>
      </c>
      <c r="Q6245" s="3">
        <v>0</v>
      </c>
      <c r="R6245" s="23" t="s">
        <v>14297</v>
      </c>
      <c r="S6245" s="23" t="s">
        <v>6847</v>
      </c>
      <c r="W6245" s="45" t="str">
        <f>HYPERLINK("http://ictvonline.org/taxonomy/p/taxonomy-history?taxnode_id=201902500","ICTVonline=201902500")</f>
        <v>ICTVonline=201902500</v>
      </c>
      <c r="AA6245" s="1">
        <v>201900000</v>
      </c>
      <c r="AB6245" s="1">
        <v>35</v>
      </c>
    </row>
    <row r="6246" spans="1:28" x14ac:dyDescent="0.2">
      <c r="A6246" s="1">
        <v>16118</v>
      </c>
      <c r="L6246" s="1" t="s">
        <v>307</v>
      </c>
      <c r="N6246" s="1" t="s">
        <v>308</v>
      </c>
      <c r="P6246" s="1" t="s">
        <v>322</v>
      </c>
      <c r="Q6246" s="3">
        <v>0</v>
      </c>
      <c r="R6246" s="23" t="s">
        <v>14297</v>
      </c>
      <c r="S6246" s="23" t="s">
        <v>6847</v>
      </c>
      <c r="W6246" s="45" t="str">
        <f>HYPERLINK("http://ictvonline.org/taxonomy/p/taxonomy-history?taxnode_id=201902501","ICTVonline=201902501")</f>
        <v>ICTVonline=201902501</v>
      </c>
      <c r="AA6246" s="1">
        <v>201900000</v>
      </c>
      <c r="AB6246" s="1">
        <v>35</v>
      </c>
    </row>
    <row r="6247" spans="1:28" x14ac:dyDescent="0.2">
      <c r="A6247" s="1">
        <v>16120</v>
      </c>
      <c r="L6247" s="1" t="s">
        <v>307</v>
      </c>
      <c r="N6247" s="1" t="s">
        <v>308</v>
      </c>
      <c r="P6247" s="1" t="s">
        <v>323</v>
      </c>
      <c r="Q6247" s="3">
        <v>0</v>
      </c>
      <c r="R6247" s="23" t="s">
        <v>14297</v>
      </c>
      <c r="S6247" s="23" t="s">
        <v>6847</v>
      </c>
      <c r="W6247" s="45" t="str">
        <f>HYPERLINK("http://ictvonline.org/taxonomy/p/taxonomy-history?taxnode_id=201902502","ICTVonline=201902502")</f>
        <v>ICTVonline=201902502</v>
      </c>
      <c r="AA6247" s="1">
        <v>201900000</v>
      </c>
      <c r="AB6247" s="1">
        <v>35</v>
      </c>
    </row>
    <row r="6248" spans="1:28" x14ac:dyDescent="0.2">
      <c r="A6248" s="1">
        <v>16122</v>
      </c>
      <c r="L6248" s="1" t="s">
        <v>307</v>
      </c>
      <c r="N6248" s="1" t="s">
        <v>308</v>
      </c>
      <c r="P6248" s="1" t="s">
        <v>324</v>
      </c>
      <c r="Q6248" s="3">
        <v>0</v>
      </c>
      <c r="R6248" s="23" t="s">
        <v>14297</v>
      </c>
      <c r="S6248" s="23" t="s">
        <v>6847</v>
      </c>
      <c r="W6248" s="45" t="str">
        <f>HYPERLINK("http://ictvonline.org/taxonomy/p/taxonomy-history?taxnode_id=201902503","ICTVonline=201902503")</f>
        <v>ICTVonline=201902503</v>
      </c>
      <c r="AA6248" s="1">
        <v>201900000</v>
      </c>
      <c r="AB6248" s="1">
        <v>35</v>
      </c>
    </row>
    <row r="6249" spans="1:28" x14ac:dyDescent="0.2">
      <c r="A6249" s="1">
        <v>16124</v>
      </c>
      <c r="L6249" s="1" t="s">
        <v>307</v>
      </c>
      <c r="N6249" s="1" t="s">
        <v>308</v>
      </c>
      <c r="P6249" s="1" t="s">
        <v>325</v>
      </c>
      <c r="Q6249" s="3">
        <v>0</v>
      </c>
      <c r="R6249" s="23" t="s">
        <v>14297</v>
      </c>
      <c r="S6249" s="23" t="s">
        <v>6847</v>
      </c>
      <c r="W6249" s="45" t="str">
        <f>HYPERLINK("http://ictvonline.org/taxonomy/p/taxonomy-history?taxnode_id=201902504","ICTVonline=201902504")</f>
        <v>ICTVonline=201902504</v>
      </c>
      <c r="AA6249" s="1">
        <v>201900000</v>
      </c>
      <c r="AB6249" s="1">
        <v>35</v>
      </c>
    </row>
    <row r="6250" spans="1:28" x14ac:dyDescent="0.2">
      <c r="A6250" s="1">
        <v>16126</v>
      </c>
      <c r="L6250" s="1" t="s">
        <v>307</v>
      </c>
      <c r="N6250" s="1" t="s">
        <v>308</v>
      </c>
      <c r="P6250" s="1" t="s">
        <v>326</v>
      </c>
      <c r="Q6250" s="3">
        <v>0</v>
      </c>
      <c r="R6250" s="23" t="s">
        <v>14297</v>
      </c>
      <c r="S6250" s="23" t="s">
        <v>6847</v>
      </c>
      <c r="W6250" s="45" t="str">
        <f>HYPERLINK("http://ictvonline.org/taxonomy/p/taxonomy-history?taxnode_id=201902505","ICTVonline=201902505")</f>
        <v>ICTVonline=201902505</v>
      </c>
      <c r="AA6250" s="1">
        <v>201900000</v>
      </c>
      <c r="AB6250" s="1">
        <v>35</v>
      </c>
    </row>
    <row r="6251" spans="1:28" x14ac:dyDescent="0.2">
      <c r="A6251" s="1">
        <v>16128</v>
      </c>
      <c r="L6251" s="1" t="s">
        <v>307</v>
      </c>
      <c r="N6251" s="1" t="s">
        <v>308</v>
      </c>
      <c r="P6251" s="1" t="s">
        <v>327</v>
      </c>
      <c r="Q6251" s="3">
        <v>0</v>
      </c>
      <c r="R6251" s="23" t="s">
        <v>14297</v>
      </c>
      <c r="S6251" s="23" t="s">
        <v>6847</v>
      </c>
      <c r="W6251" s="45" t="str">
        <f>HYPERLINK("http://ictvonline.org/taxonomy/p/taxonomy-history?taxnode_id=201902506","ICTVonline=201902506")</f>
        <v>ICTVonline=201902506</v>
      </c>
      <c r="AA6251" s="1">
        <v>201900000</v>
      </c>
      <c r="AB6251" s="1">
        <v>35</v>
      </c>
    </row>
    <row r="6252" spans="1:28" x14ac:dyDescent="0.2">
      <c r="A6252" s="1">
        <v>16130</v>
      </c>
      <c r="L6252" s="1" t="s">
        <v>307</v>
      </c>
      <c r="N6252" s="1" t="s">
        <v>308</v>
      </c>
      <c r="P6252" s="1" t="s">
        <v>328</v>
      </c>
      <c r="Q6252" s="3">
        <v>0</v>
      </c>
      <c r="R6252" s="23" t="s">
        <v>14297</v>
      </c>
      <c r="S6252" s="23" t="s">
        <v>6847</v>
      </c>
      <c r="W6252" s="45" t="str">
        <f>HYPERLINK("http://ictvonline.org/taxonomy/p/taxonomy-history?taxnode_id=201902507","ICTVonline=201902507")</f>
        <v>ICTVonline=201902507</v>
      </c>
      <c r="AA6252" s="1">
        <v>201900000</v>
      </c>
      <c r="AB6252" s="1">
        <v>35</v>
      </c>
    </row>
    <row r="6253" spans="1:28" x14ac:dyDescent="0.2">
      <c r="A6253" s="1">
        <v>16132</v>
      </c>
      <c r="L6253" s="1" t="s">
        <v>307</v>
      </c>
      <c r="N6253" s="1" t="s">
        <v>308</v>
      </c>
      <c r="P6253" s="1" t="s">
        <v>329</v>
      </c>
      <c r="Q6253" s="3">
        <v>0</v>
      </c>
      <c r="R6253" s="23" t="s">
        <v>14297</v>
      </c>
      <c r="S6253" s="23" t="s">
        <v>6847</v>
      </c>
      <c r="W6253" s="45" t="str">
        <f>HYPERLINK("http://ictvonline.org/taxonomy/p/taxonomy-history?taxnode_id=201902508","ICTVonline=201902508")</f>
        <v>ICTVonline=201902508</v>
      </c>
      <c r="AA6253" s="1">
        <v>201900000</v>
      </c>
      <c r="AB6253" s="1">
        <v>35</v>
      </c>
    </row>
    <row r="6254" spans="1:28" x14ac:dyDescent="0.2">
      <c r="A6254" s="1">
        <v>16134</v>
      </c>
      <c r="L6254" s="1" t="s">
        <v>307</v>
      </c>
      <c r="N6254" s="1" t="s">
        <v>308</v>
      </c>
      <c r="P6254" s="1" t="s">
        <v>330</v>
      </c>
      <c r="Q6254" s="3">
        <v>0</v>
      </c>
      <c r="R6254" s="23" t="s">
        <v>14297</v>
      </c>
      <c r="S6254" s="23" t="s">
        <v>6847</v>
      </c>
      <c r="W6254" s="45" t="str">
        <f>HYPERLINK("http://ictvonline.org/taxonomy/p/taxonomy-history?taxnode_id=201902509","ICTVonline=201902509")</f>
        <v>ICTVonline=201902509</v>
      </c>
      <c r="AA6254" s="1">
        <v>201900000</v>
      </c>
      <c r="AB6254" s="1">
        <v>35</v>
      </c>
    </row>
    <row r="6255" spans="1:28" x14ac:dyDescent="0.2">
      <c r="A6255" s="1">
        <v>16136</v>
      </c>
      <c r="L6255" s="1" t="s">
        <v>307</v>
      </c>
      <c r="N6255" s="1" t="s">
        <v>308</v>
      </c>
      <c r="P6255" s="1" t="s">
        <v>331</v>
      </c>
      <c r="Q6255" s="3">
        <v>0</v>
      </c>
      <c r="R6255" s="23" t="s">
        <v>14297</v>
      </c>
      <c r="S6255" s="23" t="s">
        <v>6847</v>
      </c>
      <c r="W6255" s="45" t="str">
        <f>HYPERLINK("http://ictvonline.org/taxonomy/p/taxonomy-history?taxnode_id=201902510","ICTVonline=201902510")</f>
        <v>ICTVonline=201902510</v>
      </c>
      <c r="AA6255" s="1">
        <v>201900000</v>
      </c>
      <c r="AB6255" s="1">
        <v>35</v>
      </c>
    </row>
    <row r="6256" spans="1:28" x14ac:dyDescent="0.2">
      <c r="A6256" s="1">
        <v>16138</v>
      </c>
      <c r="L6256" s="1" t="s">
        <v>307</v>
      </c>
      <c r="N6256" s="1" t="s">
        <v>308</v>
      </c>
      <c r="P6256" s="1" t="s">
        <v>332</v>
      </c>
      <c r="Q6256" s="3">
        <v>0</v>
      </c>
      <c r="R6256" s="23" t="s">
        <v>14297</v>
      </c>
      <c r="S6256" s="23" t="s">
        <v>6847</v>
      </c>
      <c r="W6256" s="45" t="str">
        <f>HYPERLINK("http://ictvonline.org/taxonomy/p/taxonomy-history?taxnode_id=201902511","ICTVonline=201902511")</f>
        <v>ICTVonline=201902511</v>
      </c>
      <c r="AA6256" s="1">
        <v>201900000</v>
      </c>
      <c r="AB6256" s="1">
        <v>35</v>
      </c>
    </row>
    <row r="6257" spans="1:28" x14ac:dyDescent="0.2">
      <c r="A6257" s="1">
        <v>16140</v>
      </c>
      <c r="L6257" s="1" t="s">
        <v>307</v>
      </c>
      <c r="N6257" s="1" t="s">
        <v>308</v>
      </c>
      <c r="P6257" s="1" t="s">
        <v>446</v>
      </c>
      <c r="Q6257" s="3">
        <v>0</v>
      </c>
      <c r="R6257" s="23" t="s">
        <v>14297</v>
      </c>
      <c r="S6257" s="23" t="s">
        <v>6847</v>
      </c>
      <c r="W6257" s="45" t="str">
        <f>HYPERLINK("http://ictvonline.org/taxonomy/p/taxonomy-history?taxnode_id=201902512","ICTVonline=201902512")</f>
        <v>ICTVonline=201902512</v>
      </c>
      <c r="AA6257" s="1">
        <v>201900000</v>
      </c>
      <c r="AB6257" s="1">
        <v>35</v>
      </c>
    </row>
    <row r="6258" spans="1:28" x14ac:dyDescent="0.2">
      <c r="A6258" s="1">
        <v>16142</v>
      </c>
      <c r="L6258" s="1" t="s">
        <v>307</v>
      </c>
      <c r="N6258" s="1" t="s">
        <v>308</v>
      </c>
      <c r="P6258" s="1" t="s">
        <v>447</v>
      </c>
      <c r="Q6258" s="3">
        <v>0</v>
      </c>
      <c r="R6258" s="23" t="s">
        <v>14297</v>
      </c>
      <c r="S6258" s="23" t="s">
        <v>6847</v>
      </c>
      <c r="W6258" s="45" t="str">
        <f>HYPERLINK("http://ictvonline.org/taxonomy/p/taxonomy-history?taxnode_id=201902513","ICTVonline=201902513")</f>
        <v>ICTVonline=201902513</v>
      </c>
      <c r="AA6258" s="1">
        <v>201900000</v>
      </c>
      <c r="AB6258" s="1">
        <v>35</v>
      </c>
    </row>
    <row r="6259" spans="1:28" x14ac:dyDescent="0.2">
      <c r="A6259" s="1">
        <v>16144</v>
      </c>
      <c r="L6259" s="1" t="s">
        <v>307</v>
      </c>
      <c r="N6259" s="1" t="s">
        <v>308</v>
      </c>
      <c r="P6259" s="1" t="s">
        <v>448</v>
      </c>
      <c r="Q6259" s="3">
        <v>0</v>
      </c>
      <c r="R6259" s="23" t="s">
        <v>14297</v>
      </c>
      <c r="S6259" s="23" t="s">
        <v>6847</v>
      </c>
      <c r="W6259" s="45" t="str">
        <f>HYPERLINK("http://ictvonline.org/taxonomy/p/taxonomy-history?taxnode_id=201902514","ICTVonline=201902514")</f>
        <v>ICTVonline=201902514</v>
      </c>
      <c r="AA6259" s="1">
        <v>201900000</v>
      </c>
      <c r="AB6259" s="1">
        <v>35</v>
      </c>
    </row>
    <row r="6260" spans="1:28" x14ac:dyDescent="0.2">
      <c r="A6260" s="1">
        <v>16146</v>
      </c>
      <c r="L6260" s="1" t="s">
        <v>307</v>
      </c>
      <c r="N6260" s="1" t="s">
        <v>308</v>
      </c>
      <c r="P6260" s="1" t="s">
        <v>449</v>
      </c>
      <c r="Q6260" s="3">
        <v>0</v>
      </c>
      <c r="R6260" s="23" t="s">
        <v>14297</v>
      </c>
      <c r="S6260" s="23" t="s">
        <v>6847</v>
      </c>
      <c r="W6260" s="45" t="str">
        <f>HYPERLINK("http://ictvonline.org/taxonomy/p/taxonomy-history?taxnode_id=201902515","ICTVonline=201902515")</f>
        <v>ICTVonline=201902515</v>
      </c>
      <c r="AA6260" s="1">
        <v>201900000</v>
      </c>
      <c r="AB6260" s="1">
        <v>35</v>
      </c>
    </row>
    <row r="6261" spans="1:28" x14ac:dyDescent="0.2">
      <c r="A6261" s="1">
        <v>16148</v>
      </c>
      <c r="L6261" s="1" t="s">
        <v>307</v>
      </c>
      <c r="N6261" s="1" t="s">
        <v>308</v>
      </c>
      <c r="P6261" s="1" t="s">
        <v>1461</v>
      </c>
      <c r="Q6261" s="3">
        <v>0</v>
      </c>
      <c r="R6261" s="23" t="s">
        <v>14297</v>
      </c>
      <c r="S6261" s="23" t="s">
        <v>6847</v>
      </c>
      <c r="W6261" s="45" t="str">
        <f>HYPERLINK("http://ictvonline.org/taxonomy/p/taxonomy-history?taxnode_id=201902516","ICTVonline=201902516")</f>
        <v>ICTVonline=201902516</v>
      </c>
      <c r="AA6261" s="1">
        <v>201900000</v>
      </c>
      <c r="AB6261" s="1">
        <v>35</v>
      </c>
    </row>
    <row r="6262" spans="1:28" x14ac:dyDescent="0.2">
      <c r="A6262" s="1">
        <v>16152</v>
      </c>
      <c r="L6262" s="1" t="s">
        <v>307</v>
      </c>
      <c r="N6262" s="1" t="s">
        <v>309</v>
      </c>
      <c r="P6262" s="1" t="s">
        <v>1859</v>
      </c>
      <c r="Q6262" s="3">
        <v>1</v>
      </c>
      <c r="R6262" s="23" t="s">
        <v>14297</v>
      </c>
      <c r="S6262" s="23" t="s">
        <v>6847</v>
      </c>
      <c r="W6262" s="45" t="str">
        <f>HYPERLINK("http://ictvonline.org/taxonomy/p/taxonomy-history?taxnode_id=201902518","ICTVonline=201902518")</f>
        <v>ICTVonline=201902518</v>
      </c>
      <c r="AA6262" s="1">
        <v>201900000</v>
      </c>
      <c r="AB6262" s="1">
        <v>35</v>
      </c>
    </row>
    <row r="6263" spans="1:28" x14ac:dyDescent="0.2">
      <c r="A6263" s="1">
        <v>16154</v>
      </c>
      <c r="L6263" s="1" t="s">
        <v>307</v>
      </c>
      <c r="N6263" s="1" t="s">
        <v>309</v>
      </c>
      <c r="P6263" s="1" t="s">
        <v>1837</v>
      </c>
      <c r="Q6263" s="3">
        <v>0</v>
      </c>
      <c r="R6263" s="23" t="s">
        <v>14297</v>
      </c>
      <c r="S6263" s="23" t="s">
        <v>6847</v>
      </c>
      <c r="W6263" s="45" t="str">
        <f>HYPERLINK("http://ictvonline.org/taxonomy/p/taxonomy-history?taxnode_id=201902519","ICTVonline=201902519")</f>
        <v>ICTVonline=201902519</v>
      </c>
      <c r="AA6263" s="1">
        <v>201900000</v>
      </c>
      <c r="AB6263" s="1">
        <v>35</v>
      </c>
    </row>
    <row r="6264" spans="1:28" x14ac:dyDescent="0.2">
      <c r="A6264" s="1">
        <v>16156</v>
      </c>
      <c r="L6264" s="1" t="s">
        <v>307</v>
      </c>
      <c r="N6264" s="1" t="s">
        <v>309</v>
      </c>
      <c r="P6264" s="1" t="s">
        <v>1838</v>
      </c>
      <c r="Q6264" s="3">
        <v>0</v>
      </c>
      <c r="R6264" s="23" t="s">
        <v>14297</v>
      </c>
      <c r="S6264" s="23" t="s">
        <v>6847</v>
      </c>
      <c r="W6264" s="45" t="str">
        <f>HYPERLINK("http://ictvonline.org/taxonomy/p/taxonomy-history?taxnode_id=201902520","ICTVonline=201902520")</f>
        <v>ICTVonline=201902520</v>
      </c>
      <c r="AA6264" s="1">
        <v>201900000</v>
      </c>
      <c r="AB6264" s="1">
        <v>35</v>
      </c>
    </row>
    <row r="6265" spans="1:28" x14ac:dyDescent="0.2">
      <c r="A6265" s="1">
        <v>16158</v>
      </c>
      <c r="L6265" s="1" t="s">
        <v>307</v>
      </c>
      <c r="N6265" s="1" t="s">
        <v>309</v>
      </c>
      <c r="P6265" s="1" t="s">
        <v>1839</v>
      </c>
      <c r="Q6265" s="3">
        <v>0</v>
      </c>
      <c r="R6265" s="23" t="s">
        <v>14297</v>
      </c>
      <c r="S6265" s="23" t="s">
        <v>6847</v>
      </c>
      <c r="W6265" s="45" t="str">
        <f>HYPERLINK("http://ictvonline.org/taxonomy/p/taxonomy-history?taxnode_id=201902521","ICTVonline=201902521")</f>
        <v>ICTVonline=201902521</v>
      </c>
      <c r="AA6265" s="1">
        <v>201900000</v>
      </c>
      <c r="AB6265" s="1">
        <v>35</v>
      </c>
    </row>
    <row r="6266" spans="1:28" x14ac:dyDescent="0.2">
      <c r="A6266" s="1">
        <v>16160</v>
      </c>
      <c r="L6266" s="1" t="s">
        <v>307</v>
      </c>
      <c r="N6266" s="1" t="s">
        <v>309</v>
      </c>
      <c r="P6266" s="1" t="s">
        <v>1862</v>
      </c>
      <c r="Q6266" s="3">
        <v>0</v>
      </c>
      <c r="R6266" s="23" t="s">
        <v>14297</v>
      </c>
      <c r="S6266" s="23" t="s">
        <v>6847</v>
      </c>
      <c r="W6266" s="45" t="str">
        <f>HYPERLINK("http://ictvonline.org/taxonomy/p/taxonomy-history?taxnode_id=201902522","ICTVonline=201902522")</f>
        <v>ICTVonline=201902522</v>
      </c>
      <c r="AA6266" s="1">
        <v>201900000</v>
      </c>
      <c r="AB6266" s="1">
        <v>35</v>
      </c>
    </row>
    <row r="6267" spans="1:28" x14ac:dyDescent="0.2">
      <c r="A6267" s="1">
        <v>16162</v>
      </c>
      <c r="L6267" s="1" t="s">
        <v>307</v>
      </c>
      <c r="N6267" s="1" t="s">
        <v>309</v>
      </c>
      <c r="P6267" s="1" t="s">
        <v>1863</v>
      </c>
      <c r="Q6267" s="3">
        <v>0</v>
      </c>
      <c r="R6267" s="23" t="s">
        <v>14297</v>
      </c>
      <c r="S6267" s="23" t="s">
        <v>6847</v>
      </c>
      <c r="W6267" s="45" t="str">
        <f>HYPERLINK("http://ictvonline.org/taxonomy/p/taxonomy-history?taxnode_id=201902523","ICTVonline=201902523")</f>
        <v>ICTVonline=201902523</v>
      </c>
      <c r="AA6267" s="1">
        <v>201900000</v>
      </c>
      <c r="AB6267" s="1">
        <v>35</v>
      </c>
    </row>
    <row r="6268" spans="1:28" x14ac:dyDescent="0.2">
      <c r="A6268" s="1">
        <v>16164</v>
      </c>
      <c r="L6268" s="1" t="s">
        <v>307</v>
      </c>
      <c r="N6268" s="1" t="s">
        <v>309</v>
      </c>
      <c r="P6268" s="1" t="s">
        <v>1551</v>
      </c>
      <c r="Q6268" s="3">
        <v>0</v>
      </c>
      <c r="R6268" s="23" t="s">
        <v>14297</v>
      </c>
      <c r="S6268" s="23" t="s">
        <v>6847</v>
      </c>
      <c r="W6268" s="45" t="str">
        <f>HYPERLINK("http://ictvonline.org/taxonomy/p/taxonomy-history?taxnode_id=201902524","ICTVonline=201902524")</f>
        <v>ICTVonline=201902524</v>
      </c>
      <c r="AA6268" s="1">
        <v>201900000</v>
      </c>
      <c r="AB6268" s="1">
        <v>35</v>
      </c>
    </row>
    <row r="6269" spans="1:28" x14ac:dyDescent="0.2">
      <c r="A6269" s="1">
        <v>16166</v>
      </c>
      <c r="L6269" s="1" t="s">
        <v>307</v>
      </c>
      <c r="N6269" s="1" t="s">
        <v>309</v>
      </c>
      <c r="P6269" s="1" t="s">
        <v>1552</v>
      </c>
      <c r="Q6269" s="3">
        <v>0</v>
      </c>
      <c r="R6269" s="23" t="s">
        <v>14297</v>
      </c>
      <c r="S6269" s="23" t="s">
        <v>6847</v>
      </c>
      <c r="W6269" s="45" t="str">
        <f>HYPERLINK("http://ictvonline.org/taxonomy/p/taxonomy-history?taxnode_id=201902525","ICTVonline=201902525")</f>
        <v>ICTVonline=201902525</v>
      </c>
      <c r="AA6269" s="1">
        <v>201900000</v>
      </c>
      <c r="AB6269" s="1">
        <v>35</v>
      </c>
    </row>
    <row r="6270" spans="1:28" x14ac:dyDescent="0.2">
      <c r="A6270" s="1">
        <v>16168</v>
      </c>
      <c r="L6270" s="1" t="s">
        <v>307</v>
      </c>
      <c r="N6270" s="1" t="s">
        <v>309</v>
      </c>
      <c r="P6270" s="1" t="s">
        <v>1553</v>
      </c>
      <c r="Q6270" s="3">
        <v>0</v>
      </c>
      <c r="R6270" s="23" t="s">
        <v>14297</v>
      </c>
      <c r="S6270" s="23" t="s">
        <v>6847</v>
      </c>
      <c r="W6270" s="45" t="str">
        <f>HYPERLINK("http://ictvonline.org/taxonomy/p/taxonomy-history?taxnode_id=201902526","ICTVonline=201902526")</f>
        <v>ICTVonline=201902526</v>
      </c>
      <c r="AA6270" s="1">
        <v>201900000</v>
      </c>
      <c r="AB6270" s="1">
        <v>35</v>
      </c>
    </row>
    <row r="6271" spans="1:28" x14ac:dyDescent="0.2">
      <c r="A6271" s="1">
        <v>16170</v>
      </c>
      <c r="L6271" s="1" t="s">
        <v>307</v>
      </c>
      <c r="N6271" s="1" t="s">
        <v>309</v>
      </c>
      <c r="P6271" s="1" t="s">
        <v>22</v>
      </c>
      <c r="Q6271" s="3">
        <v>0</v>
      </c>
      <c r="R6271" s="23" t="s">
        <v>14297</v>
      </c>
      <c r="S6271" s="23" t="s">
        <v>6847</v>
      </c>
      <c r="W6271" s="45" t="str">
        <f>HYPERLINK("http://ictvonline.org/taxonomy/p/taxonomy-history?taxnode_id=201902527","ICTVonline=201902527")</f>
        <v>ICTVonline=201902527</v>
      </c>
      <c r="AA6271" s="1">
        <v>201900000</v>
      </c>
      <c r="AB6271" s="1">
        <v>35</v>
      </c>
    </row>
    <row r="6272" spans="1:28" x14ac:dyDescent="0.2">
      <c r="A6272" s="1">
        <v>16172</v>
      </c>
      <c r="L6272" s="1" t="s">
        <v>307</v>
      </c>
      <c r="N6272" s="1" t="s">
        <v>309</v>
      </c>
      <c r="P6272" s="1" t="s">
        <v>23</v>
      </c>
      <c r="Q6272" s="3">
        <v>0</v>
      </c>
      <c r="R6272" s="23" t="s">
        <v>14297</v>
      </c>
      <c r="S6272" s="23" t="s">
        <v>6847</v>
      </c>
      <c r="W6272" s="45" t="str">
        <f>HYPERLINK("http://ictvonline.org/taxonomy/p/taxonomy-history?taxnode_id=201902528","ICTVonline=201902528")</f>
        <v>ICTVonline=201902528</v>
      </c>
      <c r="AA6272" s="1">
        <v>201900000</v>
      </c>
      <c r="AB6272" s="1">
        <v>35</v>
      </c>
    </row>
    <row r="6273" spans="1:28" x14ac:dyDescent="0.2">
      <c r="A6273" s="1">
        <v>16174</v>
      </c>
      <c r="L6273" s="1" t="s">
        <v>307</v>
      </c>
      <c r="N6273" s="1" t="s">
        <v>309</v>
      </c>
      <c r="P6273" s="1" t="s">
        <v>24</v>
      </c>
      <c r="Q6273" s="3">
        <v>0</v>
      </c>
      <c r="R6273" s="23" t="s">
        <v>14297</v>
      </c>
      <c r="S6273" s="23" t="s">
        <v>6847</v>
      </c>
      <c r="W6273" s="45" t="str">
        <f>HYPERLINK("http://ictvonline.org/taxonomy/p/taxonomy-history?taxnode_id=201902529","ICTVonline=201902529")</f>
        <v>ICTVonline=201902529</v>
      </c>
      <c r="AA6273" s="1">
        <v>201900000</v>
      </c>
      <c r="AB6273" s="1">
        <v>35</v>
      </c>
    </row>
    <row r="6274" spans="1:28" x14ac:dyDescent="0.2">
      <c r="A6274" s="1">
        <v>16178</v>
      </c>
      <c r="L6274" s="1" t="s">
        <v>307</v>
      </c>
      <c r="N6274" s="1" t="s">
        <v>311</v>
      </c>
      <c r="P6274" s="1" t="s">
        <v>1558</v>
      </c>
      <c r="Q6274" s="3">
        <v>1</v>
      </c>
      <c r="R6274" s="23" t="s">
        <v>14297</v>
      </c>
      <c r="S6274" s="23" t="s">
        <v>6847</v>
      </c>
      <c r="W6274" s="45" t="str">
        <f>HYPERLINK("http://ictvonline.org/taxonomy/p/taxonomy-history?taxnode_id=201902531","ICTVonline=201902531")</f>
        <v>ICTVonline=201902531</v>
      </c>
      <c r="AA6274" s="1">
        <v>201900000</v>
      </c>
      <c r="AB6274" s="1">
        <v>35</v>
      </c>
    </row>
    <row r="6275" spans="1:28" x14ac:dyDescent="0.2">
      <c r="A6275" s="1">
        <v>16182</v>
      </c>
      <c r="L6275" s="1" t="s">
        <v>307</v>
      </c>
      <c r="N6275" s="1" t="s">
        <v>1680</v>
      </c>
      <c r="P6275" s="1" t="s">
        <v>487</v>
      </c>
      <c r="Q6275" s="3">
        <v>1</v>
      </c>
      <c r="R6275" s="23" t="s">
        <v>14297</v>
      </c>
      <c r="S6275" s="23" t="s">
        <v>6847</v>
      </c>
      <c r="W6275" s="45" t="str">
        <f>HYPERLINK("http://ictvonline.org/taxonomy/p/taxonomy-history?taxnode_id=201902533","ICTVonline=201902533")</f>
        <v>ICTVonline=201902533</v>
      </c>
      <c r="AA6275" s="1">
        <v>201900000</v>
      </c>
      <c r="AB6275" s="1">
        <v>35</v>
      </c>
    </row>
    <row r="6276" spans="1:28" x14ac:dyDescent="0.2">
      <c r="A6276" s="1">
        <v>16186</v>
      </c>
      <c r="L6276" s="1" t="s">
        <v>307</v>
      </c>
      <c r="N6276" s="1" t="s">
        <v>1682</v>
      </c>
      <c r="P6276" s="1" t="s">
        <v>1561</v>
      </c>
      <c r="Q6276" s="3">
        <v>1</v>
      </c>
      <c r="R6276" s="23" t="s">
        <v>14297</v>
      </c>
      <c r="S6276" s="23" t="s">
        <v>6847</v>
      </c>
      <c r="W6276" s="45" t="str">
        <f>HYPERLINK("http://ictvonline.org/taxonomy/p/taxonomy-history?taxnode_id=201902535","ICTVonline=201902535")</f>
        <v>ICTVonline=201902535</v>
      </c>
      <c r="AA6276" s="1">
        <v>201900000</v>
      </c>
      <c r="AB6276" s="1">
        <v>35</v>
      </c>
    </row>
    <row r="6277" spans="1:28" x14ac:dyDescent="0.2">
      <c r="A6277" s="1">
        <v>16188</v>
      </c>
      <c r="L6277" s="1" t="s">
        <v>307</v>
      </c>
      <c r="N6277" s="1" t="s">
        <v>1682</v>
      </c>
      <c r="P6277" s="1" t="s">
        <v>25</v>
      </c>
      <c r="Q6277" s="3">
        <v>0</v>
      </c>
      <c r="R6277" s="23" t="s">
        <v>14297</v>
      </c>
      <c r="S6277" s="23" t="s">
        <v>6847</v>
      </c>
      <c r="W6277" s="45" t="str">
        <f>HYPERLINK("http://ictvonline.org/taxonomy/p/taxonomy-history?taxnode_id=201902536","ICTVonline=201902536")</f>
        <v>ICTVonline=201902536</v>
      </c>
      <c r="AA6277" s="1">
        <v>201900000</v>
      </c>
      <c r="AB6277" s="1">
        <v>35</v>
      </c>
    </row>
    <row r="6278" spans="1:28" x14ac:dyDescent="0.2">
      <c r="A6278" s="1">
        <v>16192</v>
      </c>
      <c r="L6278" s="1" t="s">
        <v>307</v>
      </c>
      <c r="N6278" s="1" t="s">
        <v>310</v>
      </c>
      <c r="P6278" s="1" t="s">
        <v>1867</v>
      </c>
      <c r="Q6278" s="3">
        <v>1</v>
      </c>
      <c r="R6278" s="23" t="s">
        <v>14297</v>
      </c>
      <c r="S6278" s="23" t="s">
        <v>6847</v>
      </c>
      <c r="W6278" s="45" t="str">
        <f>HYPERLINK("http://ictvonline.org/taxonomy/p/taxonomy-history?taxnode_id=201902538","ICTVonline=201902538")</f>
        <v>ICTVonline=201902538</v>
      </c>
      <c r="AA6278" s="1">
        <v>201900000</v>
      </c>
      <c r="AB6278" s="1">
        <v>35</v>
      </c>
    </row>
    <row r="6279" spans="1:28" x14ac:dyDescent="0.2">
      <c r="A6279" s="1">
        <v>16194</v>
      </c>
      <c r="L6279" s="1" t="s">
        <v>307</v>
      </c>
      <c r="N6279" s="1" t="s">
        <v>310</v>
      </c>
      <c r="P6279" s="1" t="s">
        <v>1868</v>
      </c>
      <c r="Q6279" s="3">
        <v>0</v>
      </c>
      <c r="R6279" s="23" t="s">
        <v>14297</v>
      </c>
      <c r="S6279" s="23" t="s">
        <v>6847</v>
      </c>
      <c r="W6279" s="45" t="str">
        <f>HYPERLINK("http://ictvonline.org/taxonomy/p/taxonomy-history?taxnode_id=201902539","ICTVonline=201902539")</f>
        <v>ICTVonline=201902539</v>
      </c>
      <c r="AA6279" s="1">
        <v>201900000</v>
      </c>
      <c r="AB6279" s="1">
        <v>35</v>
      </c>
    </row>
    <row r="6280" spans="1:28" x14ac:dyDescent="0.2">
      <c r="A6280" s="1">
        <v>16196</v>
      </c>
      <c r="L6280" s="1" t="s">
        <v>307</v>
      </c>
      <c r="N6280" s="1" t="s">
        <v>310</v>
      </c>
      <c r="P6280" s="1" t="s">
        <v>32</v>
      </c>
      <c r="Q6280" s="3">
        <v>0</v>
      </c>
      <c r="R6280" s="23" t="s">
        <v>14297</v>
      </c>
      <c r="S6280" s="23" t="s">
        <v>6847</v>
      </c>
      <c r="W6280" s="45" t="str">
        <f>HYPERLINK("http://ictvonline.org/taxonomy/p/taxonomy-history?taxnode_id=201902540","ICTVonline=201902540")</f>
        <v>ICTVonline=201902540</v>
      </c>
      <c r="AA6280" s="1">
        <v>201900000</v>
      </c>
      <c r="AB6280" s="1">
        <v>35</v>
      </c>
    </row>
    <row r="6281" spans="1:28" x14ac:dyDescent="0.2">
      <c r="A6281" s="1">
        <v>16198</v>
      </c>
      <c r="L6281" s="1" t="s">
        <v>307</v>
      </c>
      <c r="N6281" s="1" t="s">
        <v>310</v>
      </c>
      <c r="P6281" s="1" t="s">
        <v>33</v>
      </c>
      <c r="Q6281" s="3">
        <v>0</v>
      </c>
      <c r="R6281" s="23" t="s">
        <v>14297</v>
      </c>
      <c r="S6281" s="23" t="s">
        <v>6847</v>
      </c>
      <c r="W6281" s="45" t="str">
        <f>HYPERLINK("http://ictvonline.org/taxonomy/p/taxonomy-history?taxnode_id=201902541","ICTVonline=201902541")</f>
        <v>ICTVonline=201902541</v>
      </c>
      <c r="AA6281" s="1">
        <v>201900000</v>
      </c>
      <c r="AB6281" s="1">
        <v>35</v>
      </c>
    </row>
    <row r="6282" spans="1:28" x14ac:dyDescent="0.2">
      <c r="A6282" s="1">
        <v>16200</v>
      </c>
      <c r="L6282" s="1" t="s">
        <v>307</v>
      </c>
      <c r="N6282" s="1" t="s">
        <v>310</v>
      </c>
      <c r="P6282" s="1" t="s">
        <v>34</v>
      </c>
      <c r="Q6282" s="3">
        <v>0</v>
      </c>
      <c r="R6282" s="23" t="s">
        <v>14297</v>
      </c>
      <c r="S6282" s="23" t="s">
        <v>6847</v>
      </c>
      <c r="W6282" s="45" t="str">
        <f>HYPERLINK("http://ictvonline.org/taxonomy/p/taxonomy-history?taxnode_id=201902542","ICTVonline=201902542")</f>
        <v>ICTVonline=201902542</v>
      </c>
      <c r="AA6282" s="1">
        <v>201900000</v>
      </c>
      <c r="AB6282" s="1">
        <v>35</v>
      </c>
    </row>
    <row r="6283" spans="1:28" x14ac:dyDescent="0.2">
      <c r="A6283" s="1">
        <v>16202</v>
      </c>
      <c r="L6283" s="1" t="s">
        <v>307</v>
      </c>
      <c r="N6283" s="1" t="s">
        <v>310</v>
      </c>
      <c r="P6283" s="1" t="s">
        <v>35</v>
      </c>
      <c r="Q6283" s="3">
        <v>0</v>
      </c>
      <c r="R6283" s="23" t="s">
        <v>14297</v>
      </c>
      <c r="S6283" s="23" t="s">
        <v>6847</v>
      </c>
      <c r="W6283" s="45" t="str">
        <f>HYPERLINK("http://ictvonline.org/taxonomy/p/taxonomy-history?taxnode_id=201902543","ICTVonline=201902543")</f>
        <v>ICTVonline=201902543</v>
      </c>
      <c r="AA6283" s="1">
        <v>201900000</v>
      </c>
      <c r="AB6283" s="1">
        <v>35</v>
      </c>
    </row>
    <row r="6284" spans="1:28" x14ac:dyDescent="0.2">
      <c r="A6284" s="1">
        <v>16204</v>
      </c>
      <c r="L6284" s="1" t="s">
        <v>307</v>
      </c>
      <c r="N6284" s="1" t="s">
        <v>310</v>
      </c>
      <c r="P6284" s="1" t="s">
        <v>36</v>
      </c>
      <c r="Q6284" s="3">
        <v>0</v>
      </c>
      <c r="R6284" s="23" t="s">
        <v>14297</v>
      </c>
      <c r="S6284" s="23" t="s">
        <v>6847</v>
      </c>
      <c r="W6284" s="45" t="str">
        <f>HYPERLINK("http://ictvonline.org/taxonomy/p/taxonomy-history?taxnode_id=201902544","ICTVonline=201902544")</f>
        <v>ICTVonline=201902544</v>
      </c>
      <c r="AA6284" s="1">
        <v>201900000</v>
      </c>
      <c r="AB6284" s="1">
        <v>35</v>
      </c>
    </row>
    <row r="6285" spans="1:28" x14ac:dyDescent="0.2">
      <c r="A6285" s="1">
        <v>16206</v>
      </c>
      <c r="L6285" s="1" t="s">
        <v>307</v>
      </c>
      <c r="N6285" s="1" t="s">
        <v>310</v>
      </c>
      <c r="P6285" s="1" t="s">
        <v>37</v>
      </c>
      <c r="Q6285" s="3">
        <v>0</v>
      </c>
      <c r="R6285" s="23" t="s">
        <v>14297</v>
      </c>
      <c r="S6285" s="23" t="s">
        <v>6847</v>
      </c>
      <c r="W6285" s="45" t="str">
        <f>HYPERLINK("http://ictvonline.org/taxonomy/p/taxonomy-history?taxnode_id=201902545","ICTVonline=201902545")</f>
        <v>ICTVonline=201902545</v>
      </c>
      <c r="AA6285" s="1">
        <v>201900000</v>
      </c>
      <c r="AB6285" s="1">
        <v>35</v>
      </c>
    </row>
    <row r="6286" spans="1:28" x14ac:dyDescent="0.2">
      <c r="A6286" s="1">
        <v>16208</v>
      </c>
      <c r="L6286" s="1" t="s">
        <v>307</v>
      </c>
      <c r="N6286" s="1" t="s">
        <v>310</v>
      </c>
      <c r="P6286" s="1" t="s">
        <v>38</v>
      </c>
      <c r="Q6286" s="3">
        <v>0</v>
      </c>
      <c r="R6286" s="23" t="s">
        <v>14297</v>
      </c>
      <c r="S6286" s="23" t="s">
        <v>6847</v>
      </c>
      <c r="W6286" s="45" t="str">
        <f>HYPERLINK("http://ictvonline.org/taxonomy/p/taxonomy-history?taxnode_id=201902546","ICTVonline=201902546")</f>
        <v>ICTVonline=201902546</v>
      </c>
      <c r="AA6286" s="1">
        <v>201900000</v>
      </c>
      <c r="AB6286" s="1">
        <v>35</v>
      </c>
    </row>
    <row r="6287" spans="1:28" x14ac:dyDescent="0.2">
      <c r="A6287" s="1">
        <v>16210</v>
      </c>
      <c r="L6287" s="1" t="s">
        <v>307</v>
      </c>
      <c r="N6287" s="1" t="s">
        <v>310</v>
      </c>
      <c r="P6287" s="1" t="s">
        <v>26</v>
      </c>
      <c r="Q6287" s="3">
        <v>0</v>
      </c>
      <c r="R6287" s="23" t="s">
        <v>14297</v>
      </c>
      <c r="S6287" s="23" t="s">
        <v>6847</v>
      </c>
      <c r="W6287" s="45" t="str">
        <f>HYPERLINK("http://ictvonline.org/taxonomy/p/taxonomy-history?taxnode_id=201902547","ICTVonline=201902547")</f>
        <v>ICTVonline=201902547</v>
      </c>
      <c r="AA6287" s="1">
        <v>201900000</v>
      </c>
      <c r="AB6287" s="1">
        <v>35</v>
      </c>
    </row>
    <row r="6288" spans="1:28" x14ac:dyDescent="0.2">
      <c r="A6288" s="1">
        <v>16212</v>
      </c>
      <c r="L6288" s="1" t="s">
        <v>307</v>
      </c>
      <c r="N6288" s="1" t="s">
        <v>310</v>
      </c>
      <c r="P6288" s="1" t="s">
        <v>27</v>
      </c>
      <c r="Q6288" s="3">
        <v>0</v>
      </c>
      <c r="R6288" s="23" t="s">
        <v>14297</v>
      </c>
      <c r="S6288" s="23" t="s">
        <v>6847</v>
      </c>
      <c r="W6288" s="45" t="str">
        <f>HYPERLINK("http://ictvonline.org/taxonomy/p/taxonomy-history?taxnode_id=201902548","ICTVonline=201902548")</f>
        <v>ICTVonline=201902548</v>
      </c>
      <c r="AA6288" s="1">
        <v>201900000</v>
      </c>
      <c r="AB6288" s="1">
        <v>35</v>
      </c>
    </row>
    <row r="6289" spans="1:28" x14ac:dyDescent="0.2">
      <c r="A6289" s="1">
        <v>16214</v>
      </c>
      <c r="L6289" s="1" t="s">
        <v>307</v>
      </c>
      <c r="N6289" s="1" t="s">
        <v>310</v>
      </c>
      <c r="P6289" s="1" t="s">
        <v>28</v>
      </c>
      <c r="Q6289" s="3">
        <v>0</v>
      </c>
      <c r="R6289" s="23" t="s">
        <v>14297</v>
      </c>
      <c r="S6289" s="23" t="s">
        <v>6847</v>
      </c>
      <c r="W6289" s="45" t="str">
        <f>HYPERLINK("http://ictvonline.org/taxonomy/p/taxonomy-history?taxnode_id=201902549","ICTVonline=201902549")</f>
        <v>ICTVonline=201902549</v>
      </c>
      <c r="AA6289" s="1">
        <v>201900000</v>
      </c>
      <c r="AB6289" s="1">
        <v>35</v>
      </c>
    </row>
    <row r="6290" spans="1:28" x14ac:dyDescent="0.2">
      <c r="A6290" s="1">
        <v>16216</v>
      </c>
      <c r="L6290" s="1" t="s">
        <v>307</v>
      </c>
      <c r="N6290" s="1" t="s">
        <v>310</v>
      </c>
      <c r="P6290" s="1" t="s">
        <v>29</v>
      </c>
      <c r="Q6290" s="3">
        <v>0</v>
      </c>
      <c r="R6290" s="23" t="s">
        <v>14297</v>
      </c>
      <c r="S6290" s="23" t="s">
        <v>6847</v>
      </c>
      <c r="W6290" s="45" t="str">
        <f>HYPERLINK("http://ictvonline.org/taxonomy/p/taxonomy-history?taxnode_id=201902550","ICTVonline=201902550")</f>
        <v>ICTVonline=201902550</v>
      </c>
      <c r="AA6290" s="1">
        <v>201900000</v>
      </c>
      <c r="AB6290" s="1">
        <v>35</v>
      </c>
    </row>
    <row r="6291" spans="1:28" x14ac:dyDescent="0.2">
      <c r="A6291" s="1">
        <v>16218</v>
      </c>
      <c r="L6291" s="1" t="s">
        <v>307</v>
      </c>
      <c r="N6291" s="1" t="s">
        <v>310</v>
      </c>
      <c r="P6291" s="1" t="s">
        <v>30</v>
      </c>
      <c r="Q6291" s="3">
        <v>0</v>
      </c>
      <c r="R6291" s="23" t="s">
        <v>14297</v>
      </c>
      <c r="S6291" s="23" t="s">
        <v>6847</v>
      </c>
      <c r="W6291" s="45" t="str">
        <f>HYPERLINK("http://ictvonline.org/taxonomy/p/taxonomy-history?taxnode_id=201902551","ICTVonline=201902551")</f>
        <v>ICTVonline=201902551</v>
      </c>
      <c r="AA6291" s="1">
        <v>201900000</v>
      </c>
      <c r="AB6291" s="1">
        <v>35</v>
      </c>
    </row>
    <row r="6292" spans="1:28" x14ac:dyDescent="0.2">
      <c r="A6292" s="1">
        <v>16220</v>
      </c>
      <c r="L6292" s="1" t="s">
        <v>307</v>
      </c>
      <c r="N6292" s="1" t="s">
        <v>310</v>
      </c>
      <c r="P6292" s="1" t="s">
        <v>31</v>
      </c>
      <c r="Q6292" s="3">
        <v>0</v>
      </c>
      <c r="R6292" s="23" t="s">
        <v>14297</v>
      </c>
      <c r="S6292" s="23" t="s">
        <v>6847</v>
      </c>
      <c r="W6292" s="45" t="str">
        <f>HYPERLINK("http://ictvonline.org/taxonomy/p/taxonomy-history?taxnode_id=201902552","ICTVonline=201902552")</f>
        <v>ICTVonline=201902552</v>
      </c>
      <c r="AA6292" s="1">
        <v>201900000</v>
      </c>
      <c r="AB6292" s="1">
        <v>35</v>
      </c>
    </row>
    <row r="6293" spans="1:28" x14ac:dyDescent="0.2">
      <c r="A6293" s="1">
        <v>16224</v>
      </c>
      <c r="L6293" s="1" t="s">
        <v>307</v>
      </c>
      <c r="N6293" s="1" t="s">
        <v>1945</v>
      </c>
      <c r="P6293" s="1" t="s">
        <v>1946</v>
      </c>
      <c r="Q6293" s="3">
        <v>1</v>
      </c>
      <c r="R6293" s="23" t="s">
        <v>14297</v>
      </c>
      <c r="S6293" s="23" t="s">
        <v>6847</v>
      </c>
      <c r="W6293" s="45" t="str">
        <f>HYPERLINK("http://ictvonline.org/taxonomy/p/taxonomy-history?taxnode_id=201902554","ICTVonline=201902554")</f>
        <v>ICTVonline=201902554</v>
      </c>
      <c r="AA6293" s="1">
        <v>201900000</v>
      </c>
      <c r="AB6293" s="1">
        <v>35</v>
      </c>
    </row>
    <row r="6294" spans="1:28" x14ac:dyDescent="0.2">
      <c r="A6294" s="1">
        <v>16228</v>
      </c>
      <c r="L6294" s="1" t="s">
        <v>307</v>
      </c>
      <c r="N6294" s="1" t="s">
        <v>1684</v>
      </c>
      <c r="P6294" s="1" t="s">
        <v>39</v>
      </c>
      <c r="Q6294" s="3">
        <v>1</v>
      </c>
      <c r="R6294" s="23" t="s">
        <v>14297</v>
      </c>
      <c r="S6294" s="23" t="s">
        <v>6847</v>
      </c>
      <c r="W6294" s="45" t="str">
        <f>HYPERLINK("http://ictvonline.org/taxonomy/p/taxonomy-history?taxnode_id=201902556","ICTVonline=201902556")</f>
        <v>ICTVonline=201902556</v>
      </c>
      <c r="AA6294" s="1">
        <v>201900000</v>
      </c>
      <c r="AB6294" s="1">
        <v>35</v>
      </c>
    </row>
    <row r="6295" spans="1:28" x14ac:dyDescent="0.2">
      <c r="A6295" s="1">
        <v>16230</v>
      </c>
      <c r="L6295" s="1" t="s">
        <v>307</v>
      </c>
      <c r="N6295" s="1" t="s">
        <v>1684</v>
      </c>
      <c r="P6295" s="1" t="s">
        <v>40</v>
      </c>
      <c r="Q6295" s="3">
        <v>0</v>
      </c>
      <c r="R6295" s="23" t="s">
        <v>14297</v>
      </c>
      <c r="S6295" s="23" t="s">
        <v>6847</v>
      </c>
      <c r="W6295" s="45" t="str">
        <f>HYPERLINK("http://ictvonline.org/taxonomy/p/taxonomy-history?taxnode_id=201902557","ICTVonline=201902557")</f>
        <v>ICTVonline=201902557</v>
      </c>
      <c r="AA6295" s="1">
        <v>201900000</v>
      </c>
      <c r="AB6295" s="1">
        <v>35</v>
      </c>
    </row>
    <row r="6296" spans="1:28" x14ac:dyDescent="0.2">
      <c r="A6296" s="1">
        <v>16234</v>
      </c>
      <c r="L6296" s="1" t="s">
        <v>307</v>
      </c>
      <c r="N6296" s="1" t="s">
        <v>41</v>
      </c>
      <c r="P6296" s="1" t="s">
        <v>3626</v>
      </c>
      <c r="Q6296" s="3">
        <v>1</v>
      </c>
      <c r="R6296" s="23" t="s">
        <v>14297</v>
      </c>
      <c r="S6296" s="23" t="s">
        <v>6847</v>
      </c>
      <c r="W6296" s="45" t="str">
        <f>HYPERLINK("http://ictvonline.org/taxonomy/p/taxonomy-history?taxnode_id=201902559","ICTVonline=201902559")</f>
        <v>ICTVonline=201902559</v>
      </c>
      <c r="AA6296" s="1">
        <v>201900000</v>
      </c>
      <c r="AB6296" s="1">
        <v>35</v>
      </c>
    </row>
    <row r="6297" spans="1:28" x14ac:dyDescent="0.2">
      <c r="A6297" s="1">
        <v>16236</v>
      </c>
      <c r="L6297" s="1" t="s">
        <v>307</v>
      </c>
      <c r="N6297" s="1" t="s">
        <v>41</v>
      </c>
      <c r="P6297" s="1" t="s">
        <v>3627</v>
      </c>
      <c r="Q6297" s="3">
        <v>0</v>
      </c>
      <c r="R6297" s="23" t="s">
        <v>14297</v>
      </c>
      <c r="S6297" s="23" t="s">
        <v>6847</v>
      </c>
      <c r="W6297" s="45" t="str">
        <f>HYPERLINK("http://ictvonline.org/taxonomy/p/taxonomy-history?taxnode_id=201902560","ICTVonline=201902560")</f>
        <v>ICTVonline=201902560</v>
      </c>
      <c r="Y6297" s="1" t="s">
        <v>16572</v>
      </c>
      <c r="Z6297" s="48">
        <v>3.8000000000000002E+24</v>
      </c>
      <c r="AA6297" s="1">
        <v>201900000</v>
      </c>
      <c r="AB6297" s="1">
        <v>35</v>
      </c>
    </row>
    <row r="6298" spans="1:28" x14ac:dyDescent="0.2">
      <c r="A6298" s="1">
        <v>16240</v>
      </c>
      <c r="L6298" s="1" t="s">
        <v>307</v>
      </c>
      <c r="N6298" s="1" t="s">
        <v>42</v>
      </c>
      <c r="P6298" s="1" t="s">
        <v>6671</v>
      </c>
      <c r="Q6298" s="3">
        <v>0</v>
      </c>
      <c r="R6298" s="23" t="s">
        <v>14297</v>
      </c>
      <c r="S6298" s="23" t="s">
        <v>6847</v>
      </c>
      <c r="W6298" s="45" t="str">
        <f>HYPERLINK("http://ictvonline.org/taxonomy/p/taxonomy-history?taxnode_id=201906510","ICTVonline=201906510")</f>
        <v>ICTVonline=201906510</v>
      </c>
      <c r="Y6298" s="1" t="s">
        <v>16573</v>
      </c>
      <c r="Z6298" s="1" t="s">
        <v>16574</v>
      </c>
      <c r="AA6298" s="1">
        <v>201900000</v>
      </c>
      <c r="AB6298" s="1">
        <v>35</v>
      </c>
    </row>
    <row r="6299" spans="1:28" x14ac:dyDescent="0.2">
      <c r="A6299" s="1">
        <v>16242</v>
      </c>
      <c r="L6299" s="1" t="s">
        <v>307</v>
      </c>
      <c r="N6299" s="1" t="s">
        <v>42</v>
      </c>
      <c r="P6299" s="1" t="s">
        <v>6672</v>
      </c>
      <c r="Q6299" s="3">
        <v>0</v>
      </c>
      <c r="R6299" s="23" t="s">
        <v>14297</v>
      </c>
      <c r="S6299" s="23" t="s">
        <v>6847</v>
      </c>
      <c r="W6299" s="45" t="str">
        <f>HYPERLINK("http://ictvonline.org/taxonomy/p/taxonomy-history?taxnode_id=201906511","ICTVonline=201906511")</f>
        <v>ICTVonline=201906511</v>
      </c>
      <c r="Y6299" s="1" t="s">
        <v>16575</v>
      </c>
      <c r="Z6299" s="1" t="s">
        <v>16576</v>
      </c>
      <c r="AA6299" s="1">
        <v>201900000</v>
      </c>
      <c r="AB6299" s="1">
        <v>35</v>
      </c>
    </row>
    <row r="6300" spans="1:28" x14ac:dyDescent="0.2">
      <c r="A6300" s="1">
        <v>16244</v>
      </c>
      <c r="L6300" s="1" t="s">
        <v>307</v>
      </c>
      <c r="N6300" s="1" t="s">
        <v>42</v>
      </c>
      <c r="P6300" s="1" t="s">
        <v>6673</v>
      </c>
      <c r="Q6300" s="3">
        <v>0</v>
      </c>
      <c r="R6300" s="23" t="s">
        <v>14297</v>
      </c>
      <c r="S6300" s="23" t="s">
        <v>6847</v>
      </c>
      <c r="W6300" s="45" t="str">
        <f>HYPERLINK("http://ictvonline.org/taxonomy/p/taxonomy-history?taxnode_id=201906512","ICTVonline=201906512")</f>
        <v>ICTVonline=201906512</v>
      </c>
      <c r="Y6300" s="1" t="s">
        <v>16577</v>
      </c>
      <c r="Z6300" s="1" t="s">
        <v>16578</v>
      </c>
      <c r="AA6300" s="1">
        <v>201900000</v>
      </c>
      <c r="AB6300" s="1">
        <v>35</v>
      </c>
    </row>
    <row r="6301" spans="1:28" x14ac:dyDescent="0.2">
      <c r="A6301" s="1">
        <v>16246</v>
      </c>
      <c r="L6301" s="1" t="s">
        <v>307</v>
      </c>
      <c r="N6301" s="1" t="s">
        <v>42</v>
      </c>
      <c r="P6301" s="1" t="s">
        <v>6674</v>
      </c>
      <c r="Q6301" s="3">
        <v>0</v>
      </c>
      <c r="R6301" s="23" t="s">
        <v>14297</v>
      </c>
      <c r="S6301" s="23" t="s">
        <v>6847</v>
      </c>
      <c r="W6301" s="45" t="str">
        <f>HYPERLINK("http://ictvonline.org/taxonomy/p/taxonomy-history?taxnode_id=201906513","ICTVonline=201906513")</f>
        <v>ICTVonline=201906513</v>
      </c>
      <c r="Y6301" s="1" t="s">
        <v>16579</v>
      </c>
      <c r="Z6301" s="1" t="s">
        <v>16580</v>
      </c>
      <c r="AA6301" s="1">
        <v>201900000</v>
      </c>
      <c r="AB6301" s="1">
        <v>35</v>
      </c>
    </row>
    <row r="6302" spans="1:28" x14ac:dyDescent="0.2">
      <c r="A6302" s="1">
        <v>16248</v>
      </c>
      <c r="L6302" s="1" t="s">
        <v>307</v>
      </c>
      <c r="N6302" s="1" t="s">
        <v>42</v>
      </c>
      <c r="P6302" s="1" t="s">
        <v>6675</v>
      </c>
      <c r="Q6302" s="3">
        <v>0</v>
      </c>
      <c r="R6302" s="23" t="s">
        <v>14297</v>
      </c>
      <c r="S6302" s="23" t="s">
        <v>6847</v>
      </c>
      <c r="W6302" s="45" t="str">
        <f>HYPERLINK("http://ictvonline.org/taxonomy/p/taxonomy-history?taxnode_id=201906514","ICTVonline=201906514")</f>
        <v>ICTVonline=201906514</v>
      </c>
      <c r="Y6302" s="1" t="s">
        <v>16581</v>
      </c>
      <c r="Z6302" s="1" t="s">
        <v>16582</v>
      </c>
      <c r="AA6302" s="1">
        <v>201900000</v>
      </c>
      <c r="AB6302" s="1">
        <v>35</v>
      </c>
    </row>
    <row r="6303" spans="1:28" x14ac:dyDescent="0.2">
      <c r="A6303" s="1">
        <v>16250</v>
      </c>
      <c r="L6303" s="1" t="s">
        <v>307</v>
      </c>
      <c r="N6303" s="1" t="s">
        <v>42</v>
      </c>
      <c r="P6303" s="1" t="s">
        <v>43</v>
      </c>
      <c r="Q6303" s="3">
        <v>1</v>
      </c>
      <c r="R6303" s="23" t="s">
        <v>14297</v>
      </c>
      <c r="S6303" s="23" t="s">
        <v>6847</v>
      </c>
      <c r="W6303" s="45" t="str">
        <f>HYPERLINK("http://ictvonline.org/taxonomy/p/taxonomy-history?taxnode_id=201902562","ICTVonline=201902562")</f>
        <v>ICTVonline=201902562</v>
      </c>
      <c r="AA6303" s="1">
        <v>201900000</v>
      </c>
      <c r="AB6303" s="1">
        <v>35</v>
      </c>
    </row>
    <row r="6304" spans="1:28" x14ac:dyDescent="0.2">
      <c r="A6304" s="1">
        <v>16254</v>
      </c>
      <c r="L6304" s="1" t="s">
        <v>307</v>
      </c>
      <c r="N6304" s="1" t="s">
        <v>6676</v>
      </c>
      <c r="P6304" s="1" t="s">
        <v>6677</v>
      </c>
      <c r="Q6304" s="3">
        <v>1</v>
      </c>
      <c r="R6304" s="23" t="s">
        <v>14297</v>
      </c>
      <c r="S6304" s="23" t="s">
        <v>6847</v>
      </c>
      <c r="W6304" s="45" t="str">
        <f>HYPERLINK("http://ictvonline.org/taxonomy/p/taxonomy-history?taxnode_id=201906509","ICTVonline=201906509")</f>
        <v>ICTVonline=201906509</v>
      </c>
      <c r="Y6304" s="1" t="s">
        <v>16583</v>
      </c>
      <c r="Z6304" s="1" t="s">
        <v>16584</v>
      </c>
      <c r="AA6304" s="1">
        <v>201900000</v>
      </c>
      <c r="AB6304" s="1">
        <v>35</v>
      </c>
    </row>
    <row r="6305" spans="1:28" x14ac:dyDescent="0.2">
      <c r="A6305" s="1">
        <v>16258</v>
      </c>
      <c r="L6305" s="1" t="s">
        <v>307</v>
      </c>
      <c r="N6305" s="1" t="s">
        <v>6678</v>
      </c>
      <c r="P6305" s="1" t="s">
        <v>6679</v>
      </c>
      <c r="Q6305" s="3">
        <v>1</v>
      </c>
      <c r="R6305" s="23" t="s">
        <v>14297</v>
      </c>
      <c r="S6305" s="23" t="s">
        <v>6847</v>
      </c>
      <c r="W6305" s="45" t="str">
        <f>HYPERLINK("http://ictvonline.org/taxonomy/p/taxonomy-history?taxnode_id=201906516","ICTVonline=201906516")</f>
        <v>ICTVonline=201906516</v>
      </c>
      <c r="Y6305" s="1" t="s">
        <v>16585</v>
      </c>
      <c r="Z6305" s="1" t="s">
        <v>16586</v>
      </c>
      <c r="AA6305" s="1">
        <v>201900000</v>
      </c>
      <c r="AB6305" s="1">
        <v>35</v>
      </c>
    </row>
    <row r="6306" spans="1:28" x14ac:dyDescent="0.2">
      <c r="A6306" s="1">
        <v>16260</v>
      </c>
      <c r="L6306" s="1" t="s">
        <v>307</v>
      </c>
      <c r="N6306" s="1" t="s">
        <v>6678</v>
      </c>
      <c r="P6306" s="1" t="s">
        <v>6680</v>
      </c>
      <c r="Q6306" s="3">
        <v>0</v>
      </c>
      <c r="R6306" s="23" t="s">
        <v>14297</v>
      </c>
      <c r="S6306" s="23" t="s">
        <v>6847</v>
      </c>
      <c r="W6306" s="45" t="str">
        <f>HYPERLINK("http://ictvonline.org/taxonomy/p/taxonomy-history?taxnode_id=201906517","ICTVonline=201906517")</f>
        <v>ICTVonline=201906517</v>
      </c>
      <c r="Y6306" s="1" t="s">
        <v>16587</v>
      </c>
      <c r="Z6306" s="1" t="s">
        <v>16588</v>
      </c>
      <c r="AA6306" s="1">
        <v>201900000</v>
      </c>
      <c r="AB6306" s="1">
        <v>35</v>
      </c>
    </row>
    <row r="6307" spans="1:28" x14ac:dyDescent="0.2">
      <c r="A6307" s="1">
        <v>16264</v>
      </c>
      <c r="L6307" s="1" t="s">
        <v>307</v>
      </c>
      <c r="N6307" s="1" t="s">
        <v>1683</v>
      </c>
      <c r="P6307" s="1" t="s">
        <v>1562</v>
      </c>
      <c r="Q6307" s="3">
        <v>1</v>
      </c>
      <c r="R6307" s="23" t="s">
        <v>14297</v>
      </c>
      <c r="S6307" s="23" t="s">
        <v>6847</v>
      </c>
      <c r="W6307" s="45" t="str">
        <f>HYPERLINK("http://ictvonline.org/taxonomy/p/taxonomy-history?taxnode_id=201902564","ICTVonline=201902564")</f>
        <v>ICTVonline=201902564</v>
      </c>
      <c r="AA6307" s="1">
        <v>201900000</v>
      </c>
      <c r="AB6307" s="1">
        <v>35</v>
      </c>
    </row>
    <row r="6308" spans="1:28" x14ac:dyDescent="0.2">
      <c r="A6308" s="1">
        <v>16268</v>
      </c>
      <c r="L6308" s="1" t="s">
        <v>307</v>
      </c>
      <c r="N6308" s="1" t="s">
        <v>1681</v>
      </c>
      <c r="P6308" s="1" t="s">
        <v>488</v>
      </c>
      <c r="Q6308" s="3">
        <v>1</v>
      </c>
      <c r="R6308" s="23" t="s">
        <v>14297</v>
      </c>
      <c r="S6308" s="23" t="s">
        <v>6847</v>
      </c>
      <c r="W6308" s="45" t="str">
        <f>HYPERLINK("http://ictvonline.org/taxonomy/p/taxonomy-history?taxnode_id=201902566","ICTVonline=201902566")</f>
        <v>ICTVonline=201902566</v>
      </c>
      <c r="AA6308" s="1">
        <v>201900000</v>
      </c>
      <c r="AB6308" s="1">
        <v>35</v>
      </c>
    </row>
    <row r="6309" spans="1:28" x14ac:dyDescent="0.2">
      <c r="A6309" s="1">
        <v>16274</v>
      </c>
      <c r="L6309" s="1" t="s">
        <v>551</v>
      </c>
      <c r="N6309" s="1" t="s">
        <v>552</v>
      </c>
      <c r="P6309" s="1" t="s">
        <v>553</v>
      </c>
      <c r="Q6309" s="3">
        <v>1</v>
      </c>
      <c r="R6309" s="23" t="s">
        <v>12770</v>
      </c>
      <c r="S6309" s="23" t="s">
        <v>6847</v>
      </c>
      <c r="T6309" s="23" t="s">
        <v>4866</v>
      </c>
      <c r="U6309" s="3">
        <v>35</v>
      </c>
      <c r="W6309" s="45" t="str">
        <f>HYPERLINK("http://ictvonline.org/taxonomy/p/taxonomy-history?taxnode_id=201902648","ICTVonline=201902648")</f>
        <v>ICTVonline=201902648</v>
      </c>
      <c r="Y6309" s="1" t="s">
        <v>16589</v>
      </c>
      <c r="Z6309" s="1" t="s">
        <v>16590</v>
      </c>
      <c r="AA6309" s="1">
        <v>201900000</v>
      </c>
      <c r="AB6309" s="1">
        <v>35</v>
      </c>
    </row>
    <row r="6310" spans="1:28" x14ac:dyDescent="0.2">
      <c r="A6310" s="1">
        <v>16278</v>
      </c>
      <c r="L6310" s="1" t="s">
        <v>551</v>
      </c>
      <c r="N6310" s="1" t="s">
        <v>554</v>
      </c>
      <c r="P6310" s="1" t="s">
        <v>555</v>
      </c>
      <c r="Q6310" s="3">
        <v>1</v>
      </c>
      <c r="R6310" s="23" t="s">
        <v>12770</v>
      </c>
      <c r="S6310" s="23" t="s">
        <v>6847</v>
      </c>
      <c r="T6310" s="23" t="s">
        <v>4866</v>
      </c>
      <c r="U6310" s="3">
        <v>35</v>
      </c>
      <c r="W6310" s="45" t="str">
        <f>HYPERLINK("http://ictvonline.org/taxonomy/p/taxonomy-history?taxnode_id=201902650","ICTVonline=201902650")</f>
        <v>ICTVonline=201902650</v>
      </c>
      <c r="Y6310" s="1" t="s">
        <v>16591</v>
      </c>
      <c r="Z6310" s="1">
        <v>1</v>
      </c>
      <c r="AA6310" s="1">
        <v>201900000</v>
      </c>
      <c r="AB6310" s="1">
        <v>35</v>
      </c>
    </row>
    <row r="6311" spans="1:28" x14ac:dyDescent="0.2">
      <c r="A6311" s="1">
        <v>16282</v>
      </c>
      <c r="L6311" s="1" t="s">
        <v>551</v>
      </c>
      <c r="N6311" s="1" t="s">
        <v>556</v>
      </c>
      <c r="P6311" s="1" t="s">
        <v>16592</v>
      </c>
      <c r="Q6311" s="3">
        <v>0</v>
      </c>
      <c r="R6311" s="23" t="s">
        <v>12770</v>
      </c>
      <c r="S6311" s="23" t="s">
        <v>6849</v>
      </c>
      <c r="T6311" s="23" t="s">
        <v>4864</v>
      </c>
      <c r="U6311" s="3">
        <v>35</v>
      </c>
      <c r="V6311" s="3" t="s">
        <v>16593</v>
      </c>
      <c r="W6311" s="45" t="str">
        <f>HYPERLINK("http://ictvonline.org/taxonomy/p/taxonomy-history?taxnode_id=201907651","ICTVonline=201907651")</f>
        <v>ICTVonline=201907651</v>
      </c>
      <c r="X6311" s="1" t="s">
        <v>16594</v>
      </c>
      <c r="Y6311" s="1" t="s">
        <v>16595</v>
      </c>
      <c r="AA6311" s="1">
        <v>201900000</v>
      </c>
      <c r="AB6311" s="1">
        <v>35</v>
      </c>
    </row>
    <row r="6312" spans="1:28" x14ac:dyDescent="0.2">
      <c r="A6312" s="1">
        <v>16284</v>
      </c>
      <c r="L6312" s="1" t="s">
        <v>551</v>
      </c>
      <c r="N6312" s="1" t="s">
        <v>556</v>
      </c>
      <c r="P6312" s="1" t="s">
        <v>557</v>
      </c>
      <c r="Q6312" s="3">
        <v>0</v>
      </c>
      <c r="R6312" s="23" t="s">
        <v>12770</v>
      </c>
      <c r="S6312" s="23" t="s">
        <v>6847</v>
      </c>
      <c r="T6312" s="23" t="s">
        <v>4866</v>
      </c>
      <c r="U6312" s="3">
        <v>35</v>
      </c>
      <c r="W6312" s="45" t="str">
        <f>HYPERLINK("http://ictvonline.org/taxonomy/p/taxonomy-history?taxnode_id=201902652","ICTVonline=201902652")</f>
        <v>ICTVonline=201902652</v>
      </c>
      <c r="Y6312" s="1" t="s">
        <v>16596</v>
      </c>
      <c r="Z6312" s="1" t="s">
        <v>16597</v>
      </c>
      <c r="AA6312" s="1">
        <v>201900000</v>
      </c>
      <c r="AB6312" s="1">
        <v>35</v>
      </c>
    </row>
    <row r="6313" spans="1:28" x14ac:dyDescent="0.2">
      <c r="A6313" s="1">
        <v>16286</v>
      </c>
      <c r="L6313" s="1" t="s">
        <v>551</v>
      </c>
      <c r="N6313" s="1" t="s">
        <v>556</v>
      </c>
      <c r="P6313" s="1" t="s">
        <v>1712</v>
      </c>
      <c r="Q6313" s="3">
        <v>1</v>
      </c>
      <c r="R6313" s="23" t="s">
        <v>12770</v>
      </c>
      <c r="S6313" s="23" t="s">
        <v>6847</v>
      </c>
      <c r="T6313" s="23" t="s">
        <v>4866</v>
      </c>
      <c r="U6313" s="3">
        <v>35</v>
      </c>
      <c r="W6313" s="45" t="str">
        <f>HYPERLINK("http://ictvonline.org/taxonomy/p/taxonomy-history?taxnode_id=201902653","ICTVonline=201902653")</f>
        <v>ICTVonline=201902653</v>
      </c>
      <c r="Y6313" s="1" t="s">
        <v>16598</v>
      </c>
      <c r="Z6313" s="1" t="s">
        <v>16599</v>
      </c>
      <c r="AA6313" s="1">
        <v>201900000</v>
      </c>
      <c r="AB6313" s="1">
        <v>35</v>
      </c>
    </row>
    <row r="6314" spans="1:28" x14ac:dyDescent="0.2">
      <c r="A6314" s="1">
        <v>16292</v>
      </c>
      <c r="L6314" s="1" t="s">
        <v>1713</v>
      </c>
      <c r="N6314" s="1" t="s">
        <v>1714</v>
      </c>
      <c r="P6314" s="1" t="s">
        <v>693</v>
      </c>
      <c r="Q6314" s="3">
        <v>0</v>
      </c>
      <c r="R6314" s="23" t="s">
        <v>6854</v>
      </c>
      <c r="S6314" s="23" t="s">
        <v>6847</v>
      </c>
      <c r="W6314" s="45" t="str">
        <f>HYPERLINK("http://ictvonline.org/taxonomy/p/taxonomy-history?taxnode_id=201902657","ICTVonline=201902657")</f>
        <v>ICTVonline=201902657</v>
      </c>
      <c r="AA6314" s="1">
        <v>201900000</v>
      </c>
      <c r="AB6314" s="1">
        <v>35</v>
      </c>
    </row>
    <row r="6315" spans="1:28" x14ac:dyDescent="0.2">
      <c r="A6315" s="1">
        <v>16294</v>
      </c>
      <c r="L6315" s="1" t="s">
        <v>1713</v>
      </c>
      <c r="N6315" s="1" t="s">
        <v>1714</v>
      </c>
      <c r="P6315" s="1" t="s">
        <v>694</v>
      </c>
      <c r="Q6315" s="3">
        <v>0</v>
      </c>
      <c r="R6315" s="23" t="s">
        <v>6854</v>
      </c>
      <c r="S6315" s="23" t="s">
        <v>6847</v>
      </c>
      <c r="W6315" s="45" t="str">
        <f>HYPERLINK("http://ictvonline.org/taxonomy/p/taxonomy-history?taxnode_id=201902658","ICTVonline=201902658")</f>
        <v>ICTVonline=201902658</v>
      </c>
      <c r="AA6315" s="1">
        <v>201900000</v>
      </c>
      <c r="AB6315" s="1">
        <v>35</v>
      </c>
    </row>
    <row r="6316" spans="1:28" x14ac:dyDescent="0.2">
      <c r="A6316" s="1">
        <v>16296</v>
      </c>
      <c r="L6316" s="1" t="s">
        <v>1713</v>
      </c>
      <c r="N6316" s="1" t="s">
        <v>1714</v>
      </c>
      <c r="P6316" s="1" t="s">
        <v>3633</v>
      </c>
      <c r="Q6316" s="3">
        <v>0</v>
      </c>
      <c r="R6316" s="23" t="s">
        <v>6854</v>
      </c>
      <c r="S6316" s="23" t="s">
        <v>6847</v>
      </c>
      <c r="W6316" s="45" t="str">
        <f>HYPERLINK("http://ictvonline.org/taxonomy/p/taxonomy-history?taxnode_id=201902659","ICTVonline=201902659")</f>
        <v>ICTVonline=201902659</v>
      </c>
      <c r="AA6316" s="1">
        <v>201900000</v>
      </c>
      <c r="AB6316" s="1">
        <v>35</v>
      </c>
    </row>
    <row r="6317" spans="1:28" x14ac:dyDescent="0.2">
      <c r="A6317" s="1">
        <v>16298</v>
      </c>
      <c r="L6317" s="1" t="s">
        <v>1713</v>
      </c>
      <c r="N6317" s="1" t="s">
        <v>1714</v>
      </c>
      <c r="P6317" s="1" t="s">
        <v>3634</v>
      </c>
      <c r="Q6317" s="3">
        <v>0</v>
      </c>
      <c r="R6317" s="23" t="s">
        <v>6854</v>
      </c>
      <c r="S6317" s="23" t="s">
        <v>6847</v>
      </c>
      <c r="W6317" s="45" t="str">
        <f>HYPERLINK("http://ictvonline.org/taxonomy/p/taxonomy-history?taxnode_id=201902660","ICTVonline=201902660")</f>
        <v>ICTVonline=201902660</v>
      </c>
      <c r="X6317" s="1" t="s">
        <v>16600</v>
      </c>
      <c r="Y6317" s="1" t="s">
        <v>16601</v>
      </c>
      <c r="Z6317" s="1" t="s">
        <v>3634</v>
      </c>
      <c r="AA6317" s="1">
        <v>201900000</v>
      </c>
      <c r="AB6317" s="1">
        <v>35</v>
      </c>
    </row>
    <row r="6318" spans="1:28" x14ac:dyDescent="0.2">
      <c r="A6318" s="1">
        <v>16300</v>
      </c>
      <c r="L6318" s="1" t="s">
        <v>1713</v>
      </c>
      <c r="N6318" s="1" t="s">
        <v>1714</v>
      </c>
      <c r="P6318" s="1" t="s">
        <v>2202</v>
      </c>
      <c r="Q6318" s="3">
        <v>0</v>
      </c>
      <c r="R6318" s="23" t="s">
        <v>6854</v>
      </c>
      <c r="S6318" s="23" t="s">
        <v>6847</v>
      </c>
      <c r="W6318" s="45" t="str">
        <f>HYPERLINK("http://ictvonline.org/taxonomy/p/taxonomy-history?taxnode_id=201902661","ICTVonline=201902661")</f>
        <v>ICTVonline=201902661</v>
      </c>
      <c r="AA6318" s="1">
        <v>201900000</v>
      </c>
      <c r="AB6318" s="1">
        <v>35</v>
      </c>
    </row>
    <row r="6319" spans="1:28" x14ac:dyDescent="0.2">
      <c r="A6319" s="1">
        <v>16302</v>
      </c>
      <c r="L6319" s="1" t="s">
        <v>1713</v>
      </c>
      <c r="N6319" s="1" t="s">
        <v>1714</v>
      </c>
      <c r="P6319" s="1" t="s">
        <v>1730</v>
      </c>
      <c r="Q6319" s="3">
        <v>0</v>
      </c>
      <c r="R6319" s="23" t="s">
        <v>6854</v>
      </c>
      <c r="S6319" s="23" t="s">
        <v>6847</v>
      </c>
      <c r="W6319" s="45" t="str">
        <f>HYPERLINK("http://ictvonline.org/taxonomy/p/taxonomy-history?taxnode_id=201902662","ICTVonline=201902662")</f>
        <v>ICTVonline=201902662</v>
      </c>
      <c r="AA6319" s="1">
        <v>201900000</v>
      </c>
      <c r="AB6319" s="1">
        <v>35</v>
      </c>
    </row>
    <row r="6320" spans="1:28" x14ac:dyDescent="0.2">
      <c r="A6320" s="1">
        <v>16304</v>
      </c>
      <c r="L6320" s="1" t="s">
        <v>1713</v>
      </c>
      <c r="N6320" s="1" t="s">
        <v>1714</v>
      </c>
      <c r="P6320" s="1" t="s">
        <v>695</v>
      </c>
      <c r="Q6320" s="3">
        <v>1</v>
      </c>
      <c r="R6320" s="23" t="s">
        <v>6854</v>
      </c>
      <c r="S6320" s="23" t="s">
        <v>6847</v>
      </c>
      <c r="W6320" s="45" t="str">
        <f>HYPERLINK("http://ictvonline.org/taxonomy/p/taxonomy-history?taxnode_id=201902663","ICTVonline=201902663")</f>
        <v>ICTVonline=201902663</v>
      </c>
      <c r="AA6320" s="1">
        <v>201900000</v>
      </c>
      <c r="AB6320" s="1">
        <v>35</v>
      </c>
    </row>
    <row r="6321" spans="1:28" x14ac:dyDescent="0.2">
      <c r="A6321" s="1">
        <v>16306</v>
      </c>
      <c r="L6321" s="1" t="s">
        <v>1713</v>
      </c>
      <c r="N6321" s="1" t="s">
        <v>1714</v>
      </c>
      <c r="P6321" s="1" t="s">
        <v>696</v>
      </c>
      <c r="Q6321" s="3">
        <v>0</v>
      </c>
      <c r="R6321" s="23" t="s">
        <v>6854</v>
      </c>
      <c r="S6321" s="23" t="s">
        <v>6847</v>
      </c>
      <c r="W6321" s="45" t="str">
        <f>HYPERLINK("http://ictvonline.org/taxonomy/p/taxonomy-history?taxnode_id=201902664","ICTVonline=201902664")</f>
        <v>ICTVonline=201902664</v>
      </c>
      <c r="AA6321" s="1">
        <v>201900000</v>
      </c>
      <c r="AB6321" s="1">
        <v>35</v>
      </c>
    </row>
    <row r="6322" spans="1:28" x14ac:dyDescent="0.2">
      <c r="A6322" s="1">
        <v>16308</v>
      </c>
      <c r="L6322" s="1" t="s">
        <v>1713</v>
      </c>
      <c r="N6322" s="1" t="s">
        <v>1714</v>
      </c>
      <c r="P6322" s="1" t="s">
        <v>697</v>
      </c>
      <c r="Q6322" s="3">
        <v>0</v>
      </c>
      <c r="R6322" s="23" t="s">
        <v>6854</v>
      </c>
      <c r="S6322" s="23" t="s">
        <v>6847</v>
      </c>
      <c r="W6322" s="45" t="str">
        <f>HYPERLINK("http://ictvonline.org/taxonomy/p/taxonomy-history?taxnode_id=201902665","ICTVonline=201902665")</f>
        <v>ICTVonline=201902665</v>
      </c>
      <c r="AA6322" s="1">
        <v>201900000</v>
      </c>
      <c r="AB6322" s="1">
        <v>35</v>
      </c>
    </row>
    <row r="6323" spans="1:28" x14ac:dyDescent="0.2">
      <c r="A6323" s="1">
        <v>16310</v>
      </c>
      <c r="L6323" s="1" t="s">
        <v>1713</v>
      </c>
      <c r="N6323" s="1" t="s">
        <v>1714</v>
      </c>
      <c r="P6323" s="1" t="s">
        <v>4572</v>
      </c>
      <c r="Q6323" s="3">
        <v>0</v>
      </c>
      <c r="R6323" s="23" t="s">
        <v>6854</v>
      </c>
      <c r="S6323" s="23" t="s">
        <v>6847</v>
      </c>
      <c r="W6323" s="45" t="str">
        <f>HYPERLINK("http://ictvonline.org/taxonomy/p/taxonomy-history?taxnode_id=201902666","ICTVonline=201902666")</f>
        <v>ICTVonline=201902666</v>
      </c>
      <c r="Y6323" s="1" t="s">
        <v>16602</v>
      </c>
      <c r="Z6323" s="1" t="s">
        <v>16603</v>
      </c>
      <c r="AA6323" s="1">
        <v>201900000</v>
      </c>
      <c r="AB6323" s="1">
        <v>35</v>
      </c>
    </row>
    <row r="6324" spans="1:28" x14ac:dyDescent="0.2">
      <c r="A6324" s="1">
        <v>16312</v>
      </c>
      <c r="L6324" s="1" t="s">
        <v>1713</v>
      </c>
      <c r="N6324" s="1" t="s">
        <v>1714</v>
      </c>
      <c r="P6324" s="1" t="s">
        <v>698</v>
      </c>
      <c r="Q6324" s="3">
        <v>0</v>
      </c>
      <c r="R6324" s="23" t="s">
        <v>6854</v>
      </c>
      <c r="S6324" s="23" t="s">
        <v>6847</v>
      </c>
      <c r="W6324" s="45" t="str">
        <f>HYPERLINK("http://ictvonline.org/taxonomy/p/taxonomy-history?taxnode_id=201902667","ICTVonline=201902667")</f>
        <v>ICTVonline=201902667</v>
      </c>
      <c r="AA6324" s="1">
        <v>201900000</v>
      </c>
      <c r="AB6324" s="1">
        <v>35</v>
      </c>
    </row>
    <row r="6325" spans="1:28" x14ac:dyDescent="0.2">
      <c r="A6325" s="1">
        <v>16314</v>
      </c>
      <c r="L6325" s="1" t="s">
        <v>1713</v>
      </c>
      <c r="N6325" s="1" t="s">
        <v>1714</v>
      </c>
      <c r="P6325" s="1" t="s">
        <v>1734</v>
      </c>
      <c r="Q6325" s="3">
        <v>0</v>
      </c>
      <c r="R6325" s="23" t="s">
        <v>6854</v>
      </c>
      <c r="S6325" s="23" t="s">
        <v>6847</v>
      </c>
      <c r="W6325" s="45" t="str">
        <f>HYPERLINK("http://ictvonline.org/taxonomy/p/taxonomy-history?taxnode_id=201902668","ICTVonline=201902668")</f>
        <v>ICTVonline=201902668</v>
      </c>
      <c r="AA6325" s="1">
        <v>201900000</v>
      </c>
      <c r="AB6325" s="1">
        <v>35</v>
      </c>
    </row>
    <row r="6326" spans="1:28" x14ac:dyDescent="0.2">
      <c r="A6326" s="1">
        <v>16316</v>
      </c>
      <c r="L6326" s="1" t="s">
        <v>1713</v>
      </c>
      <c r="N6326" s="1" t="s">
        <v>1714</v>
      </c>
      <c r="P6326" s="1" t="s">
        <v>4573</v>
      </c>
      <c r="Q6326" s="3">
        <v>0</v>
      </c>
      <c r="R6326" s="23" t="s">
        <v>6854</v>
      </c>
      <c r="S6326" s="23" t="s">
        <v>6847</v>
      </c>
      <c r="W6326" s="45" t="str">
        <f>HYPERLINK("http://ictvonline.org/taxonomy/p/taxonomy-history?taxnode_id=201902669","ICTVonline=201902669")</f>
        <v>ICTVonline=201902669</v>
      </c>
      <c r="Y6326" s="1" t="s">
        <v>16604</v>
      </c>
      <c r="Z6326" s="1" t="s">
        <v>16605</v>
      </c>
      <c r="AA6326" s="1">
        <v>201900000</v>
      </c>
      <c r="AB6326" s="1">
        <v>35</v>
      </c>
    </row>
    <row r="6327" spans="1:28" x14ac:dyDescent="0.2">
      <c r="A6327" s="1">
        <v>16318</v>
      </c>
      <c r="L6327" s="1" t="s">
        <v>1713</v>
      </c>
      <c r="N6327" s="1" t="s">
        <v>1714</v>
      </c>
      <c r="P6327" s="1" t="s">
        <v>1736</v>
      </c>
      <c r="Q6327" s="3">
        <v>0</v>
      </c>
      <c r="R6327" s="23" t="s">
        <v>6854</v>
      </c>
      <c r="S6327" s="23" t="s">
        <v>6847</v>
      </c>
      <c r="W6327" s="45" t="str">
        <f>HYPERLINK("http://ictvonline.org/taxonomy/p/taxonomy-history?taxnode_id=201902670","ICTVonline=201902670")</f>
        <v>ICTVonline=201902670</v>
      </c>
      <c r="AA6327" s="1">
        <v>201900000</v>
      </c>
      <c r="AB6327" s="1">
        <v>35</v>
      </c>
    </row>
    <row r="6328" spans="1:28" x14ac:dyDescent="0.2">
      <c r="A6328" s="1">
        <v>16320</v>
      </c>
      <c r="L6328" s="1" t="s">
        <v>1713</v>
      </c>
      <c r="N6328" s="1" t="s">
        <v>1714</v>
      </c>
      <c r="P6328" s="1" t="s">
        <v>2203</v>
      </c>
      <c r="Q6328" s="3">
        <v>0</v>
      </c>
      <c r="R6328" s="23" t="s">
        <v>6854</v>
      </c>
      <c r="S6328" s="23" t="s">
        <v>6847</v>
      </c>
      <c r="W6328" s="45" t="str">
        <f>HYPERLINK("http://ictvonline.org/taxonomy/p/taxonomy-history?taxnode_id=201902671","ICTVonline=201902671")</f>
        <v>ICTVonline=201902671</v>
      </c>
      <c r="AA6328" s="1">
        <v>201900000</v>
      </c>
      <c r="AB6328" s="1">
        <v>35</v>
      </c>
    </row>
    <row r="6329" spans="1:28" x14ac:dyDescent="0.2">
      <c r="A6329" s="1">
        <v>16322</v>
      </c>
      <c r="L6329" s="1" t="s">
        <v>1713</v>
      </c>
      <c r="N6329" s="1" t="s">
        <v>1714</v>
      </c>
      <c r="P6329" s="1" t="s">
        <v>3635</v>
      </c>
      <c r="Q6329" s="3">
        <v>0</v>
      </c>
      <c r="R6329" s="23" t="s">
        <v>6854</v>
      </c>
      <c r="S6329" s="23" t="s">
        <v>6847</v>
      </c>
      <c r="W6329" s="45" t="str">
        <f>HYPERLINK("http://ictvonline.org/taxonomy/p/taxonomy-history?taxnode_id=201902672","ICTVonline=201902672")</f>
        <v>ICTVonline=201902672</v>
      </c>
      <c r="X6329" s="1" t="s">
        <v>16606</v>
      </c>
      <c r="Y6329" s="1" t="s">
        <v>16607</v>
      </c>
      <c r="Z6329" s="1" t="s">
        <v>16608</v>
      </c>
      <c r="AA6329" s="1">
        <v>201900000</v>
      </c>
      <c r="AB6329" s="1">
        <v>35</v>
      </c>
    </row>
    <row r="6330" spans="1:28" x14ac:dyDescent="0.2">
      <c r="A6330" s="1">
        <v>16324</v>
      </c>
      <c r="L6330" s="1" t="s">
        <v>1713</v>
      </c>
      <c r="N6330" s="1" t="s">
        <v>1714</v>
      </c>
      <c r="P6330" s="1" t="s">
        <v>2204</v>
      </c>
      <c r="Q6330" s="3">
        <v>0</v>
      </c>
      <c r="R6330" s="23" t="s">
        <v>6854</v>
      </c>
      <c r="S6330" s="23" t="s">
        <v>6847</v>
      </c>
      <c r="W6330" s="45" t="str">
        <f>HYPERLINK("http://ictvonline.org/taxonomy/p/taxonomy-history?taxnode_id=201902673","ICTVonline=201902673")</f>
        <v>ICTVonline=201902673</v>
      </c>
      <c r="AA6330" s="1">
        <v>201900000</v>
      </c>
      <c r="AB6330" s="1">
        <v>35</v>
      </c>
    </row>
    <row r="6331" spans="1:28" x14ac:dyDescent="0.2">
      <c r="A6331" s="1">
        <v>16326</v>
      </c>
      <c r="L6331" s="1" t="s">
        <v>1713</v>
      </c>
      <c r="N6331" s="1" t="s">
        <v>1714</v>
      </c>
      <c r="P6331" s="1" t="s">
        <v>16609</v>
      </c>
      <c r="Q6331" s="3">
        <v>0</v>
      </c>
      <c r="R6331" s="23" t="s">
        <v>15948</v>
      </c>
      <c r="S6331" s="23" t="s">
        <v>6849</v>
      </c>
      <c r="T6331" s="23" t="s">
        <v>4864</v>
      </c>
      <c r="U6331" s="3">
        <v>35</v>
      </c>
      <c r="V6331" s="3" t="s">
        <v>16610</v>
      </c>
      <c r="W6331" s="45" t="str">
        <f>HYPERLINK("http://ictvonline.org/taxonomy/p/taxonomy-history?taxnode_id=201908661","ICTVonline=201908661")</f>
        <v>ICTVonline=201908661</v>
      </c>
      <c r="X6331" s="1" t="s">
        <v>16611</v>
      </c>
      <c r="Y6331" s="1" t="s">
        <v>16612</v>
      </c>
      <c r="Z6331" s="1" t="s">
        <v>16613</v>
      </c>
      <c r="AA6331" s="1">
        <v>201900000</v>
      </c>
      <c r="AB6331" s="1">
        <v>35</v>
      </c>
    </row>
    <row r="6332" spans="1:28" x14ac:dyDescent="0.2">
      <c r="A6332" s="1">
        <v>16328</v>
      </c>
      <c r="L6332" s="1" t="s">
        <v>1713</v>
      </c>
      <c r="N6332" s="1" t="s">
        <v>1714</v>
      </c>
      <c r="P6332" s="1" t="s">
        <v>16614</v>
      </c>
      <c r="Q6332" s="3">
        <v>0</v>
      </c>
      <c r="R6332" s="23" t="s">
        <v>15948</v>
      </c>
      <c r="S6332" s="23" t="s">
        <v>6849</v>
      </c>
      <c r="T6332" s="23" t="s">
        <v>4864</v>
      </c>
      <c r="U6332" s="3">
        <v>35</v>
      </c>
      <c r="V6332" s="3" t="s">
        <v>16610</v>
      </c>
      <c r="W6332" s="45" t="str">
        <f>HYPERLINK("http://ictvonline.org/taxonomy/p/taxonomy-history?taxnode_id=201908662","ICTVonline=201908662")</f>
        <v>ICTVonline=201908662</v>
      </c>
      <c r="X6332" s="1" t="s">
        <v>16615</v>
      </c>
      <c r="Y6332" s="1" t="s">
        <v>16616</v>
      </c>
      <c r="Z6332" s="1" t="s">
        <v>16617</v>
      </c>
      <c r="AA6332" s="1">
        <v>201900000</v>
      </c>
      <c r="AB6332" s="1">
        <v>35</v>
      </c>
    </row>
    <row r="6333" spans="1:28" x14ac:dyDescent="0.2">
      <c r="A6333" s="1">
        <v>16330</v>
      </c>
      <c r="L6333" s="1" t="s">
        <v>1713</v>
      </c>
      <c r="N6333" s="1" t="s">
        <v>1714</v>
      </c>
      <c r="P6333" s="1" t="s">
        <v>16618</v>
      </c>
      <c r="Q6333" s="3">
        <v>0</v>
      </c>
      <c r="R6333" s="23" t="s">
        <v>15948</v>
      </c>
      <c r="S6333" s="23" t="s">
        <v>6849</v>
      </c>
      <c r="T6333" s="23" t="s">
        <v>4864</v>
      </c>
      <c r="U6333" s="3">
        <v>35</v>
      </c>
      <c r="V6333" s="3" t="s">
        <v>16610</v>
      </c>
      <c r="W6333" s="45" t="str">
        <f>HYPERLINK("http://ictvonline.org/taxonomy/p/taxonomy-history?taxnode_id=201908663","ICTVonline=201908663")</f>
        <v>ICTVonline=201908663</v>
      </c>
      <c r="X6333" s="1" t="s">
        <v>16619</v>
      </c>
      <c r="Y6333" s="1" t="s">
        <v>16620</v>
      </c>
      <c r="Z6333" s="1" t="s">
        <v>16621</v>
      </c>
      <c r="AA6333" s="1">
        <v>201900000</v>
      </c>
      <c r="AB6333" s="1">
        <v>35</v>
      </c>
    </row>
    <row r="6334" spans="1:28" x14ac:dyDescent="0.2">
      <c r="A6334" s="1">
        <v>16332</v>
      </c>
      <c r="L6334" s="1" t="s">
        <v>1713</v>
      </c>
      <c r="N6334" s="1" t="s">
        <v>1714</v>
      </c>
      <c r="P6334" s="1" t="s">
        <v>1737</v>
      </c>
      <c r="Q6334" s="3">
        <v>0</v>
      </c>
      <c r="R6334" s="23" t="s">
        <v>6854</v>
      </c>
      <c r="S6334" s="23" t="s">
        <v>6847</v>
      </c>
      <c r="W6334" s="45" t="str">
        <f>HYPERLINK("http://ictvonline.org/taxonomy/p/taxonomy-history?taxnode_id=201902674","ICTVonline=201902674")</f>
        <v>ICTVonline=201902674</v>
      </c>
      <c r="AA6334" s="1">
        <v>201900000</v>
      </c>
      <c r="AB6334" s="1">
        <v>35</v>
      </c>
    </row>
    <row r="6335" spans="1:28" x14ac:dyDescent="0.2">
      <c r="A6335" s="1">
        <v>16334</v>
      </c>
      <c r="L6335" s="1" t="s">
        <v>1713</v>
      </c>
      <c r="N6335" s="1" t="s">
        <v>1714</v>
      </c>
      <c r="P6335" s="1" t="s">
        <v>1738</v>
      </c>
      <c r="Q6335" s="3">
        <v>0</v>
      </c>
      <c r="R6335" s="23" t="s">
        <v>6854</v>
      </c>
      <c r="S6335" s="23" t="s">
        <v>6847</v>
      </c>
      <c r="W6335" s="45" t="str">
        <f>HYPERLINK("http://ictvonline.org/taxonomy/p/taxonomy-history?taxnode_id=201902675","ICTVonline=201902675")</f>
        <v>ICTVonline=201902675</v>
      </c>
      <c r="AA6335" s="1">
        <v>201900000</v>
      </c>
      <c r="AB6335" s="1">
        <v>35</v>
      </c>
    </row>
    <row r="6336" spans="1:28" x14ac:dyDescent="0.2">
      <c r="A6336" s="1">
        <v>16336</v>
      </c>
      <c r="L6336" s="1" t="s">
        <v>1713</v>
      </c>
      <c r="N6336" s="1" t="s">
        <v>1714</v>
      </c>
      <c r="P6336" s="1" t="s">
        <v>2205</v>
      </c>
      <c r="Q6336" s="3">
        <v>0</v>
      </c>
      <c r="R6336" s="23" t="s">
        <v>6854</v>
      </c>
      <c r="S6336" s="23" t="s">
        <v>6847</v>
      </c>
      <c r="W6336" s="45" t="str">
        <f>HYPERLINK("http://ictvonline.org/taxonomy/p/taxonomy-history?taxnode_id=201902676","ICTVonline=201902676")</f>
        <v>ICTVonline=201902676</v>
      </c>
      <c r="AA6336" s="1">
        <v>201900000</v>
      </c>
      <c r="AB6336" s="1">
        <v>35</v>
      </c>
    </row>
    <row r="6337" spans="1:28" x14ac:dyDescent="0.2">
      <c r="A6337" s="1">
        <v>16338</v>
      </c>
      <c r="L6337" s="1" t="s">
        <v>1713</v>
      </c>
      <c r="N6337" s="1" t="s">
        <v>1714</v>
      </c>
      <c r="P6337" s="1" t="s">
        <v>1739</v>
      </c>
      <c r="Q6337" s="3">
        <v>0</v>
      </c>
      <c r="R6337" s="23" t="s">
        <v>6854</v>
      </c>
      <c r="S6337" s="23" t="s">
        <v>6847</v>
      </c>
      <c r="W6337" s="45" t="str">
        <f>HYPERLINK("http://ictvonline.org/taxonomy/p/taxonomy-history?taxnode_id=201902677","ICTVonline=201902677")</f>
        <v>ICTVonline=201902677</v>
      </c>
      <c r="AA6337" s="1">
        <v>201900000</v>
      </c>
      <c r="AB6337" s="1">
        <v>35</v>
      </c>
    </row>
    <row r="6338" spans="1:28" x14ac:dyDescent="0.2">
      <c r="A6338" s="1">
        <v>16340</v>
      </c>
      <c r="L6338" s="1" t="s">
        <v>1713</v>
      </c>
      <c r="N6338" s="1" t="s">
        <v>1714</v>
      </c>
      <c r="P6338" s="1" t="s">
        <v>6681</v>
      </c>
      <c r="Q6338" s="3">
        <v>0</v>
      </c>
      <c r="R6338" s="23" t="s">
        <v>6854</v>
      </c>
      <c r="S6338" s="23" t="s">
        <v>6847</v>
      </c>
      <c r="W6338" s="45" t="str">
        <f>HYPERLINK("http://ictvonline.org/taxonomy/p/taxonomy-history?taxnode_id=201906526","ICTVonline=201906526")</f>
        <v>ICTVonline=201906526</v>
      </c>
      <c r="X6338" s="1" t="s">
        <v>16622</v>
      </c>
      <c r="Y6338" s="1" t="s">
        <v>16623</v>
      </c>
      <c r="Z6338" s="1" t="s">
        <v>16624</v>
      </c>
      <c r="AA6338" s="1">
        <v>201900000</v>
      </c>
      <c r="AB6338" s="1">
        <v>35</v>
      </c>
    </row>
    <row r="6339" spans="1:28" x14ac:dyDescent="0.2">
      <c r="A6339" s="1">
        <v>16342</v>
      </c>
      <c r="L6339" s="1" t="s">
        <v>1713</v>
      </c>
      <c r="N6339" s="1" t="s">
        <v>1714</v>
      </c>
      <c r="P6339" s="1" t="s">
        <v>2206</v>
      </c>
      <c r="Q6339" s="3">
        <v>0</v>
      </c>
      <c r="R6339" s="23" t="s">
        <v>6854</v>
      </c>
      <c r="S6339" s="23" t="s">
        <v>6847</v>
      </c>
      <c r="W6339" s="45" t="str">
        <f>HYPERLINK("http://ictvonline.org/taxonomy/p/taxonomy-history?taxnode_id=201902678","ICTVonline=201902678")</f>
        <v>ICTVonline=201902678</v>
      </c>
      <c r="AA6339" s="1">
        <v>201900000</v>
      </c>
      <c r="AB6339" s="1">
        <v>35</v>
      </c>
    </row>
    <row r="6340" spans="1:28" x14ac:dyDescent="0.2">
      <c r="A6340" s="1">
        <v>16344</v>
      </c>
      <c r="L6340" s="1" t="s">
        <v>1713</v>
      </c>
      <c r="N6340" s="1" t="s">
        <v>1714</v>
      </c>
      <c r="P6340" s="1" t="s">
        <v>16625</v>
      </c>
      <c r="Q6340" s="3">
        <v>0</v>
      </c>
      <c r="R6340" s="23" t="s">
        <v>15948</v>
      </c>
      <c r="S6340" s="23" t="s">
        <v>6849</v>
      </c>
      <c r="T6340" s="23" t="s">
        <v>4864</v>
      </c>
      <c r="U6340" s="3">
        <v>35</v>
      </c>
      <c r="V6340" s="3" t="s">
        <v>16610</v>
      </c>
      <c r="W6340" s="45" t="str">
        <f>HYPERLINK("http://ictvonline.org/taxonomy/p/taxonomy-history?taxnode_id=201908664","ICTVonline=201908664")</f>
        <v>ICTVonline=201908664</v>
      </c>
      <c r="X6340" s="1" t="s">
        <v>16626</v>
      </c>
      <c r="Y6340" s="1" t="s">
        <v>16627</v>
      </c>
      <c r="Z6340" s="1" t="s">
        <v>16628</v>
      </c>
      <c r="AA6340" s="1">
        <v>201900000</v>
      </c>
      <c r="AB6340" s="1">
        <v>35</v>
      </c>
    </row>
    <row r="6341" spans="1:28" x14ac:dyDescent="0.2">
      <c r="A6341" s="1">
        <v>16346</v>
      </c>
      <c r="L6341" s="1" t="s">
        <v>1713</v>
      </c>
      <c r="N6341" s="1" t="s">
        <v>1714</v>
      </c>
      <c r="P6341" s="1" t="s">
        <v>4574</v>
      </c>
      <c r="Q6341" s="3">
        <v>0</v>
      </c>
      <c r="R6341" s="23" t="s">
        <v>6854</v>
      </c>
      <c r="S6341" s="23" t="s">
        <v>6847</v>
      </c>
      <c r="W6341" s="45" t="str">
        <f>HYPERLINK("http://ictvonline.org/taxonomy/p/taxonomy-history?taxnode_id=201902679","ICTVonline=201902679")</f>
        <v>ICTVonline=201902679</v>
      </c>
      <c r="Y6341" s="1" t="s">
        <v>16629</v>
      </c>
      <c r="Z6341" s="1" t="s">
        <v>16630</v>
      </c>
      <c r="AA6341" s="1">
        <v>201900000</v>
      </c>
      <c r="AB6341" s="1">
        <v>35</v>
      </c>
    </row>
    <row r="6342" spans="1:28" x14ac:dyDescent="0.2">
      <c r="A6342" s="1">
        <v>16348</v>
      </c>
      <c r="L6342" s="1" t="s">
        <v>1713</v>
      </c>
      <c r="N6342" s="1" t="s">
        <v>1714</v>
      </c>
      <c r="P6342" s="1" t="s">
        <v>2207</v>
      </c>
      <c r="Q6342" s="3">
        <v>0</v>
      </c>
      <c r="R6342" s="23" t="s">
        <v>6854</v>
      </c>
      <c r="S6342" s="23" t="s">
        <v>6847</v>
      </c>
      <c r="W6342" s="45" t="str">
        <f>HYPERLINK("http://ictvonline.org/taxonomy/p/taxonomy-history?taxnode_id=201902680","ICTVonline=201902680")</f>
        <v>ICTVonline=201902680</v>
      </c>
      <c r="AA6342" s="1">
        <v>201900000</v>
      </c>
      <c r="AB6342" s="1">
        <v>35</v>
      </c>
    </row>
    <row r="6343" spans="1:28" x14ac:dyDescent="0.2">
      <c r="A6343" s="1">
        <v>16350</v>
      </c>
      <c r="L6343" s="1" t="s">
        <v>1713</v>
      </c>
      <c r="N6343" s="1" t="s">
        <v>1714</v>
      </c>
      <c r="P6343" s="1" t="s">
        <v>6682</v>
      </c>
      <c r="Q6343" s="3">
        <v>0</v>
      </c>
      <c r="R6343" s="23" t="s">
        <v>6854</v>
      </c>
      <c r="S6343" s="23" t="s">
        <v>6847</v>
      </c>
      <c r="W6343" s="45" t="str">
        <f>HYPERLINK("http://ictvonline.org/taxonomy/p/taxonomy-history?taxnode_id=201906527","ICTVonline=201906527")</f>
        <v>ICTVonline=201906527</v>
      </c>
      <c r="X6343" s="1" t="s">
        <v>16631</v>
      </c>
      <c r="Y6343" s="1" t="s">
        <v>16632</v>
      </c>
      <c r="Z6343" s="1" t="s">
        <v>16633</v>
      </c>
      <c r="AA6343" s="1">
        <v>201900000</v>
      </c>
      <c r="AB6343" s="1">
        <v>35</v>
      </c>
    </row>
    <row r="6344" spans="1:28" x14ac:dyDescent="0.2">
      <c r="A6344" s="1">
        <v>16352</v>
      </c>
      <c r="L6344" s="1" t="s">
        <v>1713</v>
      </c>
      <c r="N6344" s="1" t="s">
        <v>1714</v>
      </c>
      <c r="P6344" s="1" t="s">
        <v>1740</v>
      </c>
      <c r="Q6344" s="3">
        <v>0</v>
      </c>
      <c r="R6344" s="23" t="s">
        <v>6854</v>
      </c>
      <c r="S6344" s="23" t="s">
        <v>6847</v>
      </c>
      <c r="W6344" s="45" t="str">
        <f>HYPERLINK("http://ictvonline.org/taxonomy/p/taxonomy-history?taxnode_id=201902681","ICTVonline=201902681")</f>
        <v>ICTVonline=201902681</v>
      </c>
      <c r="AA6344" s="1">
        <v>201900000</v>
      </c>
      <c r="AB6344" s="1">
        <v>35</v>
      </c>
    </row>
    <row r="6345" spans="1:28" x14ac:dyDescent="0.2">
      <c r="A6345" s="1">
        <v>16354</v>
      </c>
      <c r="L6345" s="1" t="s">
        <v>1713</v>
      </c>
      <c r="N6345" s="1" t="s">
        <v>1714</v>
      </c>
      <c r="P6345" s="1" t="s">
        <v>4575</v>
      </c>
      <c r="Q6345" s="3">
        <v>0</v>
      </c>
      <c r="R6345" s="23" t="s">
        <v>6854</v>
      </c>
      <c r="S6345" s="23" t="s">
        <v>6847</v>
      </c>
      <c r="W6345" s="45" t="str">
        <f>HYPERLINK("http://ictvonline.org/taxonomy/p/taxonomy-history?taxnode_id=201902682","ICTVonline=201902682")</f>
        <v>ICTVonline=201902682</v>
      </c>
      <c r="Y6345" s="1" t="s">
        <v>16634</v>
      </c>
      <c r="Z6345" s="1" t="s">
        <v>16635</v>
      </c>
      <c r="AA6345" s="1">
        <v>201900000</v>
      </c>
      <c r="AB6345" s="1">
        <v>35</v>
      </c>
    </row>
    <row r="6346" spans="1:28" x14ac:dyDescent="0.2">
      <c r="A6346" s="1">
        <v>16356</v>
      </c>
      <c r="L6346" s="1" t="s">
        <v>1713</v>
      </c>
      <c r="N6346" s="1" t="s">
        <v>1714</v>
      </c>
      <c r="P6346" s="1" t="s">
        <v>700</v>
      </c>
      <c r="Q6346" s="3">
        <v>0</v>
      </c>
      <c r="R6346" s="23" t="s">
        <v>6854</v>
      </c>
      <c r="S6346" s="23" t="s">
        <v>6847</v>
      </c>
      <c r="W6346" s="45" t="str">
        <f>HYPERLINK("http://ictvonline.org/taxonomy/p/taxonomy-history?taxnode_id=201902683","ICTVonline=201902683")</f>
        <v>ICTVonline=201902683</v>
      </c>
      <c r="AA6346" s="1">
        <v>201900000</v>
      </c>
      <c r="AB6346" s="1">
        <v>35</v>
      </c>
    </row>
    <row r="6347" spans="1:28" x14ac:dyDescent="0.2">
      <c r="A6347" s="1">
        <v>16358</v>
      </c>
      <c r="L6347" s="1" t="s">
        <v>1713</v>
      </c>
      <c r="N6347" s="1" t="s">
        <v>1714</v>
      </c>
      <c r="P6347" s="1" t="s">
        <v>701</v>
      </c>
      <c r="Q6347" s="3">
        <v>0</v>
      </c>
      <c r="R6347" s="23" t="s">
        <v>6854</v>
      </c>
      <c r="S6347" s="23" t="s">
        <v>6847</v>
      </c>
      <c r="W6347" s="45" t="str">
        <f>HYPERLINK("http://ictvonline.org/taxonomy/p/taxonomy-history?taxnode_id=201902684","ICTVonline=201902684")</f>
        <v>ICTVonline=201902684</v>
      </c>
      <c r="AA6347" s="1">
        <v>201900000</v>
      </c>
      <c r="AB6347" s="1">
        <v>35</v>
      </c>
    </row>
    <row r="6348" spans="1:28" x14ac:dyDescent="0.2">
      <c r="A6348" s="1">
        <v>16360</v>
      </c>
      <c r="L6348" s="1" t="s">
        <v>1713</v>
      </c>
      <c r="N6348" s="1" t="s">
        <v>1714</v>
      </c>
      <c r="P6348" s="1" t="s">
        <v>702</v>
      </c>
      <c r="Q6348" s="3">
        <v>0</v>
      </c>
      <c r="R6348" s="23" t="s">
        <v>6854</v>
      </c>
      <c r="S6348" s="23" t="s">
        <v>6847</v>
      </c>
      <c r="W6348" s="45" t="str">
        <f>HYPERLINK("http://ictvonline.org/taxonomy/p/taxonomy-history?taxnode_id=201902685","ICTVonline=201902685")</f>
        <v>ICTVonline=201902685</v>
      </c>
      <c r="AA6348" s="1">
        <v>201900000</v>
      </c>
      <c r="AB6348" s="1">
        <v>35</v>
      </c>
    </row>
    <row r="6349" spans="1:28" x14ac:dyDescent="0.2">
      <c r="A6349" s="1">
        <v>16362</v>
      </c>
      <c r="L6349" s="1" t="s">
        <v>1713</v>
      </c>
      <c r="N6349" s="1" t="s">
        <v>1714</v>
      </c>
      <c r="P6349" s="1" t="s">
        <v>2208</v>
      </c>
      <c r="Q6349" s="3">
        <v>0</v>
      </c>
      <c r="R6349" s="23" t="s">
        <v>6854</v>
      </c>
      <c r="S6349" s="23" t="s">
        <v>6847</v>
      </c>
      <c r="W6349" s="45" t="str">
        <f>HYPERLINK("http://ictvonline.org/taxonomy/p/taxonomy-history?taxnode_id=201902686","ICTVonline=201902686")</f>
        <v>ICTVonline=201902686</v>
      </c>
      <c r="AA6349" s="1">
        <v>201900000</v>
      </c>
      <c r="AB6349" s="1">
        <v>35</v>
      </c>
    </row>
    <row r="6350" spans="1:28" x14ac:dyDescent="0.2">
      <c r="A6350" s="1">
        <v>16364</v>
      </c>
      <c r="L6350" s="1" t="s">
        <v>1713</v>
      </c>
      <c r="N6350" s="1" t="s">
        <v>1714</v>
      </c>
      <c r="P6350" s="1" t="s">
        <v>16636</v>
      </c>
      <c r="Q6350" s="3">
        <v>0</v>
      </c>
      <c r="R6350" s="23" t="s">
        <v>15948</v>
      </c>
      <c r="S6350" s="23" t="s">
        <v>6849</v>
      </c>
      <c r="T6350" s="23" t="s">
        <v>6318</v>
      </c>
      <c r="U6350" s="3">
        <v>35</v>
      </c>
      <c r="V6350" s="3" t="s">
        <v>16610</v>
      </c>
      <c r="W6350" s="45" t="str">
        <f>HYPERLINK("http://ictvonline.org/taxonomy/p/taxonomy-history?taxnode_id=201906528","ICTVonline=201906528")</f>
        <v>ICTVonline=201906528</v>
      </c>
      <c r="X6350" s="1" t="s">
        <v>16637</v>
      </c>
      <c r="Y6350" s="1" t="s">
        <v>16638</v>
      </c>
      <c r="Z6350" s="1" t="s">
        <v>16639</v>
      </c>
      <c r="AA6350" s="1">
        <v>201900000</v>
      </c>
      <c r="AB6350" s="1">
        <v>35</v>
      </c>
    </row>
    <row r="6351" spans="1:28" x14ac:dyDescent="0.2">
      <c r="A6351" s="1">
        <v>16366</v>
      </c>
      <c r="L6351" s="1" t="s">
        <v>1713</v>
      </c>
      <c r="N6351" s="1" t="s">
        <v>1714</v>
      </c>
      <c r="P6351" s="1" t="s">
        <v>16640</v>
      </c>
      <c r="Q6351" s="3">
        <v>0</v>
      </c>
      <c r="R6351" s="23" t="s">
        <v>15948</v>
      </c>
      <c r="S6351" s="23" t="s">
        <v>6849</v>
      </c>
      <c r="T6351" s="23" t="s">
        <v>4864</v>
      </c>
      <c r="U6351" s="3">
        <v>35</v>
      </c>
      <c r="V6351" s="3" t="s">
        <v>16610</v>
      </c>
      <c r="W6351" s="45" t="str">
        <f>HYPERLINK("http://ictvonline.org/taxonomy/p/taxonomy-history?taxnode_id=201908665","ICTVonline=201908665")</f>
        <v>ICTVonline=201908665</v>
      </c>
      <c r="X6351" s="1" t="s">
        <v>16637</v>
      </c>
      <c r="Y6351" s="1" t="s">
        <v>16641</v>
      </c>
      <c r="Z6351" s="1" t="s">
        <v>16642</v>
      </c>
      <c r="AA6351" s="1">
        <v>201900000</v>
      </c>
      <c r="AB6351" s="1">
        <v>35</v>
      </c>
    </row>
    <row r="6352" spans="1:28" x14ac:dyDescent="0.2">
      <c r="A6352" s="1">
        <v>16368</v>
      </c>
      <c r="L6352" s="1" t="s">
        <v>1713</v>
      </c>
      <c r="N6352" s="1" t="s">
        <v>1714</v>
      </c>
      <c r="P6352" s="1" t="s">
        <v>6683</v>
      </c>
      <c r="Q6352" s="3">
        <v>0</v>
      </c>
      <c r="R6352" s="23" t="s">
        <v>6854</v>
      </c>
      <c r="S6352" s="23" t="s">
        <v>6847</v>
      </c>
      <c r="W6352" s="45" t="str">
        <f>HYPERLINK("http://ictvonline.org/taxonomy/p/taxonomy-history?taxnode_id=201906529","ICTVonline=201906529")</f>
        <v>ICTVonline=201906529</v>
      </c>
      <c r="X6352" s="1" t="s">
        <v>16643</v>
      </c>
      <c r="Y6352" s="1" t="s">
        <v>16644</v>
      </c>
      <c r="Z6352" s="1" t="s">
        <v>16645</v>
      </c>
      <c r="AA6352" s="1">
        <v>201900000</v>
      </c>
      <c r="AB6352" s="1">
        <v>35</v>
      </c>
    </row>
    <row r="6353" spans="1:28" x14ac:dyDescent="0.2">
      <c r="A6353" s="1">
        <v>16370</v>
      </c>
      <c r="L6353" s="1" t="s">
        <v>1713</v>
      </c>
      <c r="N6353" s="1" t="s">
        <v>1714</v>
      </c>
      <c r="P6353" s="1" t="s">
        <v>4576</v>
      </c>
      <c r="Q6353" s="3">
        <v>0</v>
      </c>
      <c r="R6353" s="23" t="s">
        <v>6854</v>
      </c>
      <c r="S6353" s="23" t="s">
        <v>6847</v>
      </c>
      <c r="W6353" s="45" t="str">
        <f>HYPERLINK("http://ictvonline.org/taxonomy/p/taxonomy-history?taxnode_id=201902687","ICTVonline=201902687")</f>
        <v>ICTVonline=201902687</v>
      </c>
      <c r="Y6353" s="1" t="s">
        <v>16646</v>
      </c>
      <c r="Z6353" s="1" t="s">
        <v>16647</v>
      </c>
      <c r="AA6353" s="1">
        <v>201900000</v>
      </c>
      <c r="AB6353" s="1">
        <v>35</v>
      </c>
    </row>
    <row r="6354" spans="1:28" x14ac:dyDescent="0.2">
      <c r="A6354" s="1">
        <v>16372</v>
      </c>
      <c r="L6354" s="1" t="s">
        <v>1713</v>
      </c>
      <c r="N6354" s="1" t="s">
        <v>1714</v>
      </c>
      <c r="P6354" s="1" t="s">
        <v>703</v>
      </c>
      <c r="Q6354" s="3">
        <v>0</v>
      </c>
      <c r="R6354" s="23" t="s">
        <v>6854</v>
      </c>
      <c r="S6354" s="23" t="s">
        <v>6847</v>
      </c>
      <c r="W6354" s="45" t="str">
        <f>HYPERLINK("http://ictvonline.org/taxonomy/p/taxonomy-history?taxnode_id=201902688","ICTVonline=201902688")</f>
        <v>ICTVonline=201902688</v>
      </c>
      <c r="AA6354" s="1">
        <v>201900000</v>
      </c>
      <c r="AB6354" s="1">
        <v>35</v>
      </c>
    </row>
    <row r="6355" spans="1:28" x14ac:dyDescent="0.2">
      <c r="A6355" s="1">
        <v>16374</v>
      </c>
      <c r="L6355" s="1" t="s">
        <v>1713</v>
      </c>
      <c r="N6355" s="1" t="s">
        <v>1714</v>
      </c>
      <c r="P6355" s="1" t="s">
        <v>6684</v>
      </c>
      <c r="Q6355" s="3">
        <v>0</v>
      </c>
      <c r="R6355" s="23" t="s">
        <v>6854</v>
      </c>
      <c r="S6355" s="23" t="s">
        <v>6847</v>
      </c>
      <c r="W6355" s="45" t="str">
        <f>HYPERLINK("http://ictvonline.org/taxonomy/p/taxonomy-history?taxnode_id=201906530","ICTVonline=201906530")</f>
        <v>ICTVonline=201906530</v>
      </c>
      <c r="X6355" s="1" t="s">
        <v>16648</v>
      </c>
      <c r="Y6355" s="1" t="s">
        <v>16649</v>
      </c>
      <c r="Z6355" s="1" t="s">
        <v>16650</v>
      </c>
      <c r="AA6355" s="1">
        <v>201900000</v>
      </c>
      <c r="AB6355" s="1">
        <v>35</v>
      </c>
    </row>
    <row r="6356" spans="1:28" x14ac:dyDescent="0.2">
      <c r="A6356" s="1">
        <v>16376</v>
      </c>
      <c r="L6356" s="1" t="s">
        <v>1713</v>
      </c>
      <c r="N6356" s="1" t="s">
        <v>1714</v>
      </c>
      <c r="P6356" s="1" t="s">
        <v>6685</v>
      </c>
      <c r="Q6356" s="3">
        <v>0</v>
      </c>
      <c r="R6356" s="23" t="s">
        <v>6854</v>
      </c>
      <c r="S6356" s="23" t="s">
        <v>6847</v>
      </c>
      <c r="W6356" s="45" t="str">
        <f>HYPERLINK("http://ictvonline.org/taxonomy/p/taxonomy-history?taxnode_id=201906531","ICTVonline=201906531")</f>
        <v>ICTVonline=201906531</v>
      </c>
      <c r="X6356" s="1" t="s">
        <v>16651</v>
      </c>
      <c r="Y6356" s="1" t="s">
        <v>16652</v>
      </c>
      <c r="Z6356" s="1" t="s">
        <v>16653</v>
      </c>
      <c r="AA6356" s="1">
        <v>201900000</v>
      </c>
      <c r="AB6356" s="1">
        <v>35</v>
      </c>
    </row>
    <row r="6357" spans="1:28" x14ac:dyDescent="0.2">
      <c r="A6357" s="1">
        <v>16378</v>
      </c>
      <c r="L6357" s="1" t="s">
        <v>1713</v>
      </c>
      <c r="N6357" s="1" t="s">
        <v>1714</v>
      </c>
      <c r="P6357" s="1" t="s">
        <v>6686</v>
      </c>
      <c r="Q6357" s="3">
        <v>0</v>
      </c>
      <c r="R6357" s="23" t="s">
        <v>6854</v>
      </c>
      <c r="S6357" s="23" t="s">
        <v>6847</v>
      </c>
      <c r="W6357" s="45" t="str">
        <f>HYPERLINK("http://ictvonline.org/taxonomy/p/taxonomy-history?taxnode_id=201906532","ICTVonline=201906532")</f>
        <v>ICTVonline=201906532</v>
      </c>
      <c r="X6357" s="1" t="s">
        <v>16654</v>
      </c>
      <c r="Y6357" s="1" t="s">
        <v>16655</v>
      </c>
      <c r="Z6357" s="1" t="s">
        <v>16656</v>
      </c>
      <c r="AA6357" s="1">
        <v>201900000</v>
      </c>
      <c r="AB6357" s="1">
        <v>35</v>
      </c>
    </row>
    <row r="6358" spans="1:28" x14ac:dyDescent="0.2">
      <c r="A6358" s="1">
        <v>16380</v>
      </c>
      <c r="L6358" s="1" t="s">
        <v>1713</v>
      </c>
      <c r="N6358" s="1" t="s">
        <v>1714</v>
      </c>
      <c r="P6358" s="1" t="s">
        <v>16657</v>
      </c>
      <c r="Q6358" s="3">
        <v>0</v>
      </c>
      <c r="R6358" s="23" t="s">
        <v>15948</v>
      </c>
      <c r="S6358" s="23" t="s">
        <v>6849</v>
      </c>
      <c r="T6358" s="23" t="s">
        <v>4864</v>
      </c>
      <c r="U6358" s="3">
        <v>35</v>
      </c>
      <c r="V6358" s="3" t="s">
        <v>16610</v>
      </c>
      <c r="W6358" s="45" t="str">
        <f>HYPERLINK("http://ictvonline.org/taxonomy/p/taxonomy-history?taxnode_id=201908666","ICTVonline=201908666")</f>
        <v>ICTVonline=201908666</v>
      </c>
      <c r="X6358" s="1" t="s">
        <v>16658</v>
      </c>
      <c r="Y6358" s="1" t="s">
        <v>16659</v>
      </c>
      <c r="Z6358" s="1">
        <v>251</v>
      </c>
      <c r="AA6358" s="1">
        <v>201900000</v>
      </c>
      <c r="AB6358" s="1">
        <v>35</v>
      </c>
    </row>
    <row r="6359" spans="1:28" x14ac:dyDescent="0.2">
      <c r="A6359" s="1">
        <v>16382</v>
      </c>
      <c r="L6359" s="1" t="s">
        <v>1713</v>
      </c>
      <c r="N6359" s="1" t="s">
        <v>1714</v>
      </c>
      <c r="P6359" s="1" t="s">
        <v>16660</v>
      </c>
      <c r="Q6359" s="3">
        <v>0</v>
      </c>
      <c r="R6359" s="23" t="s">
        <v>15948</v>
      </c>
      <c r="S6359" s="23" t="s">
        <v>6849</v>
      </c>
      <c r="T6359" s="23" t="s">
        <v>4864</v>
      </c>
      <c r="U6359" s="3">
        <v>35</v>
      </c>
      <c r="V6359" s="3" t="s">
        <v>16610</v>
      </c>
      <c r="W6359" s="45" t="str">
        <f>HYPERLINK("http://ictvonline.org/taxonomy/p/taxonomy-history?taxnode_id=201908667","ICTVonline=201908667")</f>
        <v>ICTVonline=201908667</v>
      </c>
      <c r="X6359" s="1" t="s">
        <v>16661</v>
      </c>
      <c r="Y6359" s="1" t="s">
        <v>16662</v>
      </c>
      <c r="Z6359" s="1">
        <v>244.1</v>
      </c>
      <c r="AA6359" s="1">
        <v>201900000</v>
      </c>
      <c r="AB6359" s="1">
        <v>35</v>
      </c>
    </row>
    <row r="6360" spans="1:28" x14ac:dyDescent="0.2">
      <c r="A6360" s="1">
        <v>16384</v>
      </c>
      <c r="L6360" s="1" t="s">
        <v>1713</v>
      </c>
      <c r="N6360" s="1" t="s">
        <v>1714</v>
      </c>
      <c r="P6360" s="1" t="s">
        <v>704</v>
      </c>
      <c r="Q6360" s="3">
        <v>0</v>
      </c>
      <c r="R6360" s="23" t="s">
        <v>6854</v>
      </c>
      <c r="S6360" s="23" t="s">
        <v>6847</v>
      </c>
      <c r="W6360" s="45" t="str">
        <f>HYPERLINK("http://ictvonline.org/taxonomy/p/taxonomy-history?taxnode_id=201902689","ICTVonline=201902689")</f>
        <v>ICTVonline=201902689</v>
      </c>
      <c r="AA6360" s="1">
        <v>201900000</v>
      </c>
      <c r="AB6360" s="1">
        <v>35</v>
      </c>
    </row>
    <row r="6361" spans="1:28" x14ac:dyDescent="0.2">
      <c r="A6361" s="1">
        <v>16386</v>
      </c>
      <c r="L6361" s="1" t="s">
        <v>1713</v>
      </c>
      <c r="N6361" s="1" t="s">
        <v>1714</v>
      </c>
      <c r="P6361" s="1" t="s">
        <v>803</v>
      </c>
      <c r="Q6361" s="3">
        <v>0</v>
      </c>
      <c r="R6361" s="23" t="s">
        <v>6854</v>
      </c>
      <c r="S6361" s="23" t="s">
        <v>6847</v>
      </c>
      <c r="W6361" s="45" t="str">
        <f>HYPERLINK("http://ictvonline.org/taxonomy/p/taxonomy-history?taxnode_id=201902690","ICTVonline=201902690")</f>
        <v>ICTVonline=201902690</v>
      </c>
      <c r="AA6361" s="1">
        <v>201900000</v>
      </c>
      <c r="AB6361" s="1">
        <v>35</v>
      </c>
    </row>
    <row r="6362" spans="1:28" x14ac:dyDescent="0.2">
      <c r="A6362" s="1">
        <v>16388</v>
      </c>
      <c r="L6362" s="1" t="s">
        <v>1713</v>
      </c>
      <c r="N6362" s="1" t="s">
        <v>1714</v>
      </c>
      <c r="P6362" s="1" t="s">
        <v>804</v>
      </c>
      <c r="Q6362" s="3">
        <v>0</v>
      </c>
      <c r="R6362" s="23" t="s">
        <v>6854</v>
      </c>
      <c r="S6362" s="23" t="s">
        <v>6847</v>
      </c>
      <c r="W6362" s="45" t="str">
        <f>HYPERLINK("http://ictvonline.org/taxonomy/p/taxonomy-history?taxnode_id=201902691","ICTVonline=201902691")</f>
        <v>ICTVonline=201902691</v>
      </c>
      <c r="AA6362" s="1">
        <v>201900000</v>
      </c>
      <c r="AB6362" s="1">
        <v>35</v>
      </c>
    </row>
    <row r="6363" spans="1:28" x14ac:dyDescent="0.2">
      <c r="A6363" s="1">
        <v>16390</v>
      </c>
      <c r="L6363" s="1" t="s">
        <v>1713</v>
      </c>
      <c r="N6363" s="1" t="s">
        <v>1714</v>
      </c>
      <c r="P6363" s="1" t="s">
        <v>805</v>
      </c>
      <c r="Q6363" s="3">
        <v>0</v>
      </c>
      <c r="R6363" s="23" t="s">
        <v>6854</v>
      </c>
      <c r="S6363" s="23" t="s">
        <v>6847</v>
      </c>
      <c r="W6363" s="45" t="str">
        <f>HYPERLINK("http://ictvonline.org/taxonomy/p/taxonomy-history?taxnode_id=201902692","ICTVonline=201902692")</f>
        <v>ICTVonline=201902692</v>
      </c>
      <c r="AA6363" s="1">
        <v>201900000</v>
      </c>
      <c r="AB6363" s="1">
        <v>35</v>
      </c>
    </row>
    <row r="6364" spans="1:28" x14ac:dyDescent="0.2">
      <c r="A6364" s="1">
        <v>16392</v>
      </c>
      <c r="L6364" s="1" t="s">
        <v>1713</v>
      </c>
      <c r="N6364" s="1" t="s">
        <v>1714</v>
      </c>
      <c r="P6364" s="1" t="s">
        <v>3636</v>
      </c>
      <c r="Q6364" s="3">
        <v>0</v>
      </c>
      <c r="R6364" s="23" t="s">
        <v>6854</v>
      </c>
      <c r="S6364" s="23" t="s">
        <v>6847</v>
      </c>
      <c r="W6364" s="45" t="str">
        <f>HYPERLINK("http://ictvonline.org/taxonomy/p/taxonomy-history?taxnode_id=201902693","ICTVonline=201902693")</f>
        <v>ICTVonline=201902693</v>
      </c>
      <c r="X6364" s="1" t="s">
        <v>16663</v>
      </c>
      <c r="Y6364" s="1" t="s">
        <v>16664</v>
      </c>
      <c r="Z6364" s="1" t="s">
        <v>16665</v>
      </c>
      <c r="AA6364" s="1">
        <v>201900000</v>
      </c>
      <c r="AB6364" s="1">
        <v>35</v>
      </c>
    </row>
    <row r="6365" spans="1:28" x14ac:dyDescent="0.2">
      <c r="A6365" s="1">
        <v>16394</v>
      </c>
      <c r="L6365" s="1" t="s">
        <v>1713</v>
      </c>
      <c r="N6365" s="1" t="s">
        <v>1714</v>
      </c>
      <c r="P6365" s="1" t="s">
        <v>806</v>
      </c>
      <c r="Q6365" s="3">
        <v>0</v>
      </c>
      <c r="R6365" s="23" t="s">
        <v>6854</v>
      </c>
      <c r="S6365" s="23" t="s">
        <v>6847</v>
      </c>
      <c r="W6365" s="45" t="str">
        <f>HYPERLINK("http://ictvonline.org/taxonomy/p/taxonomy-history?taxnode_id=201902694","ICTVonline=201902694")</f>
        <v>ICTVonline=201902694</v>
      </c>
      <c r="AA6365" s="1">
        <v>201900000</v>
      </c>
      <c r="AB6365" s="1">
        <v>35</v>
      </c>
    </row>
    <row r="6366" spans="1:28" x14ac:dyDescent="0.2">
      <c r="A6366" s="1">
        <v>16396</v>
      </c>
      <c r="L6366" s="1" t="s">
        <v>1713</v>
      </c>
      <c r="N6366" s="1" t="s">
        <v>1714</v>
      </c>
      <c r="P6366" s="1" t="s">
        <v>807</v>
      </c>
      <c r="Q6366" s="3">
        <v>0</v>
      </c>
      <c r="R6366" s="23" t="s">
        <v>6854</v>
      </c>
      <c r="S6366" s="23" t="s">
        <v>6847</v>
      </c>
      <c r="W6366" s="45" t="str">
        <f>HYPERLINK("http://ictvonline.org/taxonomy/p/taxonomy-history?taxnode_id=201902695","ICTVonline=201902695")</f>
        <v>ICTVonline=201902695</v>
      </c>
      <c r="AA6366" s="1">
        <v>201900000</v>
      </c>
      <c r="AB6366" s="1">
        <v>35</v>
      </c>
    </row>
    <row r="6367" spans="1:28" x14ac:dyDescent="0.2">
      <c r="A6367" s="1">
        <v>16398</v>
      </c>
      <c r="L6367" s="1" t="s">
        <v>1713</v>
      </c>
      <c r="N6367" s="1" t="s">
        <v>1714</v>
      </c>
      <c r="P6367" s="1" t="s">
        <v>16666</v>
      </c>
      <c r="Q6367" s="3">
        <v>0</v>
      </c>
      <c r="R6367" s="23" t="s">
        <v>15948</v>
      </c>
      <c r="S6367" s="23" t="s">
        <v>6849</v>
      </c>
      <c r="T6367" s="23" t="s">
        <v>4864</v>
      </c>
      <c r="U6367" s="3">
        <v>35</v>
      </c>
      <c r="V6367" s="3" t="s">
        <v>16610</v>
      </c>
      <c r="W6367" s="45" t="str">
        <f>HYPERLINK("http://ictvonline.org/taxonomy/p/taxonomy-history?taxnode_id=201908668","ICTVonline=201908668")</f>
        <v>ICTVonline=201908668</v>
      </c>
      <c r="X6367" s="1" t="s">
        <v>16667</v>
      </c>
      <c r="Y6367" s="1" t="s">
        <v>16668</v>
      </c>
      <c r="Z6367" s="1" t="s">
        <v>16669</v>
      </c>
      <c r="AA6367" s="1">
        <v>201900000</v>
      </c>
      <c r="AB6367" s="1">
        <v>35</v>
      </c>
    </row>
    <row r="6368" spans="1:28" x14ac:dyDescent="0.2">
      <c r="A6368" s="1">
        <v>16400</v>
      </c>
      <c r="L6368" s="1" t="s">
        <v>1713</v>
      </c>
      <c r="N6368" s="1" t="s">
        <v>1714</v>
      </c>
      <c r="P6368" s="1" t="s">
        <v>1155</v>
      </c>
      <c r="Q6368" s="3">
        <v>0</v>
      </c>
      <c r="R6368" s="23" t="s">
        <v>6854</v>
      </c>
      <c r="S6368" s="23" t="s">
        <v>6847</v>
      </c>
      <c r="W6368" s="45" t="str">
        <f>HYPERLINK("http://ictvonline.org/taxonomy/p/taxonomy-history?taxnode_id=201902696","ICTVonline=201902696")</f>
        <v>ICTVonline=201902696</v>
      </c>
      <c r="AA6368" s="1">
        <v>201900000</v>
      </c>
      <c r="AB6368" s="1">
        <v>35</v>
      </c>
    </row>
    <row r="6369" spans="1:28" x14ac:dyDescent="0.2">
      <c r="A6369" s="1">
        <v>16404</v>
      </c>
      <c r="L6369" s="1" t="s">
        <v>1713</v>
      </c>
      <c r="N6369" s="1" t="s">
        <v>1156</v>
      </c>
      <c r="P6369" s="1" t="s">
        <v>1157</v>
      </c>
      <c r="Q6369" s="3">
        <v>0</v>
      </c>
      <c r="R6369" s="23" t="s">
        <v>6854</v>
      </c>
      <c r="S6369" s="23" t="s">
        <v>6847</v>
      </c>
      <c r="W6369" s="45" t="str">
        <f>HYPERLINK("http://ictvonline.org/taxonomy/p/taxonomy-history?taxnode_id=201902698","ICTVonline=201902698")</f>
        <v>ICTVonline=201902698</v>
      </c>
      <c r="AA6369" s="1">
        <v>201900000</v>
      </c>
      <c r="AB6369" s="1">
        <v>35</v>
      </c>
    </row>
    <row r="6370" spans="1:28" x14ac:dyDescent="0.2">
      <c r="A6370" s="1">
        <v>16406</v>
      </c>
      <c r="L6370" s="1" t="s">
        <v>1713</v>
      </c>
      <c r="N6370" s="1" t="s">
        <v>1156</v>
      </c>
      <c r="P6370" s="1" t="s">
        <v>3637</v>
      </c>
      <c r="Q6370" s="3">
        <v>0</v>
      </c>
      <c r="R6370" s="23" t="s">
        <v>6854</v>
      </c>
      <c r="S6370" s="23" t="s">
        <v>6847</v>
      </c>
      <c r="W6370" s="45" t="str">
        <f>HYPERLINK("http://ictvonline.org/taxonomy/p/taxonomy-history?taxnode_id=201902699","ICTVonline=201902699")</f>
        <v>ICTVonline=201902699</v>
      </c>
      <c r="X6370" s="1" t="s">
        <v>16670</v>
      </c>
      <c r="Y6370" s="1" t="s">
        <v>16671</v>
      </c>
      <c r="Z6370" s="1" t="s">
        <v>16672</v>
      </c>
      <c r="AA6370" s="1">
        <v>201900000</v>
      </c>
      <c r="AB6370" s="1">
        <v>35</v>
      </c>
    </row>
    <row r="6371" spans="1:28" x14ac:dyDescent="0.2">
      <c r="A6371" s="1">
        <v>16408</v>
      </c>
      <c r="L6371" s="1" t="s">
        <v>1713</v>
      </c>
      <c r="N6371" s="1" t="s">
        <v>1156</v>
      </c>
      <c r="P6371" s="1" t="s">
        <v>1158</v>
      </c>
      <c r="Q6371" s="3">
        <v>0</v>
      </c>
      <c r="R6371" s="23" t="s">
        <v>6854</v>
      </c>
      <c r="S6371" s="23" t="s">
        <v>6847</v>
      </c>
      <c r="W6371" s="45" t="str">
        <f>HYPERLINK("http://ictvonline.org/taxonomy/p/taxonomy-history?taxnode_id=201902700","ICTVonline=201902700")</f>
        <v>ICTVonline=201902700</v>
      </c>
      <c r="AA6371" s="1">
        <v>201900000</v>
      </c>
      <c r="AB6371" s="1">
        <v>35</v>
      </c>
    </row>
    <row r="6372" spans="1:28" x14ac:dyDescent="0.2">
      <c r="A6372" s="1">
        <v>16410</v>
      </c>
      <c r="L6372" s="1" t="s">
        <v>1713</v>
      </c>
      <c r="N6372" s="1" t="s">
        <v>1156</v>
      </c>
      <c r="P6372" s="1" t="s">
        <v>1159</v>
      </c>
      <c r="Q6372" s="3">
        <v>0</v>
      </c>
      <c r="R6372" s="23" t="s">
        <v>6854</v>
      </c>
      <c r="S6372" s="23" t="s">
        <v>6847</v>
      </c>
      <c r="W6372" s="45" t="str">
        <f>HYPERLINK("http://ictvonline.org/taxonomy/p/taxonomy-history?taxnode_id=201902701","ICTVonline=201902701")</f>
        <v>ICTVonline=201902701</v>
      </c>
      <c r="AA6372" s="1">
        <v>201900000</v>
      </c>
      <c r="AB6372" s="1">
        <v>35</v>
      </c>
    </row>
    <row r="6373" spans="1:28" x14ac:dyDescent="0.2">
      <c r="A6373" s="1">
        <v>16412</v>
      </c>
      <c r="L6373" s="1" t="s">
        <v>1713</v>
      </c>
      <c r="N6373" s="1" t="s">
        <v>1156</v>
      </c>
      <c r="P6373" s="1" t="s">
        <v>4577</v>
      </c>
      <c r="Q6373" s="3">
        <v>0</v>
      </c>
      <c r="R6373" s="23" t="s">
        <v>6854</v>
      </c>
      <c r="S6373" s="23" t="s">
        <v>6847</v>
      </c>
      <c r="W6373" s="45" t="str">
        <f>HYPERLINK("http://ictvonline.org/taxonomy/p/taxonomy-history?taxnode_id=201902702","ICTVonline=201902702")</f>
        <v>ICTVonline=201902702</v>
      </c>
      <c r="Y6373" s="1" t="s">
        <v>16673</v>
      </c>
      <c r="Z6373" s="1" t="s">
        <v>16674</v>
      </c>
      <c r="AA6373" s="1">
        <v>201900000</v>
      </c>
      <c r="AB6373" s="1">
        <v>35</v>
      </c>
    </row>
    <row r="6374" spans="1:28" x14ac:dyDescent="0.2">
      <c r="A6374" s="1">
        <v>16414</v>
      </c>
      <c r="L6374" s="1" t="s">
        <v>1713</v>
      </c>
      <c r="N6374" s="1" t="s">
        <v>1156</v>
      </c>
      <c r="P6374" s="1" t="s">
        <v>4578</v>
      </c>
      <c r="Q6374" s="3">
        <v>0</v>
      </c>
      <c r="R6374" s="23" t="s">
        <v>6854</v>
      </c>
      <c r="S6374" s="23" t="s">
        <v>6847</v>
      </c>
      <c r="W6374" s="45" t="str">
        <f>HYPERLINK("http://ictvonline.org/taxonomy/p/taxonomy-history?taxnode_id=201902703","ICTVonline=201902703")</f>
        <v>ICTVonline=201902703</v>
      </c>
      <c r="Y6374" s="1" t="s">
        <v>16675</v>
      </c>
      <c r="Z6374" s="1" t="s">
        <v>16676</v>
      </c>
      <c r="AA6374" s="1">
        <v>201900000</v>
      </c>
      <c r="AB6374" s="1">
        <v>35</v>
      </c>
    </row>
    <row r="6375" spans="1:28" x14ac:dyDescent="0.2">
      <c r="A6375" s="1">
        <v>16416</v>
      </c>
      <c r="L6375" s="1" t="s">
        <v>1713</v>
      </c>
      <c r="N6375" s="1" t="s">
        <v>1156</v>
      </c>
      <c r="P6375" s="1" t="s">
        <v>4579</v>
      </c>
      <c r="Q6375" s="3">
        <v>0</v>
      </c>
      <c r="R6375" s="23" t="s">
        <v>6854</v>
      </c>
      <c r="S6375" s="23" t="s">
        <v>6847</v>
      </c>
      <c r="W6375" s="45" t="str">
        <f>HYPERLINK("http://ictvonline.org/taxonomy/p/taxonomy-history?taxnode_id=201902704","ICTVonline=201902704")</f>
        <v>ICTVonline=201902704</v>
      </c>
      <c r="Y6375" s="1" t="s">
        <v>16677</v>
      </c>
      <c r="Z6375" s="1" t="s">
        <v>4579</v>
      </c>
      <c r="AA6375" s="1">
        <v>201900000</v>
      </c>
      <c r="AB6375" s="1">
        <v>35</v>
      </c>
    </row>
    <row r="6376" spans="1:28" x14ac:dyDescent="0.2">
      <c r="A6376" s="1">
        <v>16418</v>
      </c>
      <c r="L6376" s="1" t="s">
        <v>1713</v>
      </c>
      <c r="N6376" s="1" t="s">
        <v>1156</v>
      </c>
      <c r="P6376" s="1" t="s">
        <v>5265</v>
      </c>
      <c r="Q6376" s="3">
        <v>0</v>
      </c>
      <c r="R6376" s="23" t="s">
        <v>6854</v>
      </c>
      <c r="S6376" s="23" t="s">
        <v>6847</v>
      </c>
      <c r="W6376" s="45" t="str">
        <f>HYPERLINK("http://ictvonline.org/taxonomy/p/taxonomy-history?taxnode_id=201905756","ICTVonline=201905756")</f>
        <v>ICTVonline=201905756</v>
      </c>
      <c r="AA6376" s="1">
        <v>201900000</v>
      </c>
      <c r="AB6376" s="1">
        <v>35</v>
      </c>
    </row>
    <row r="6377" spans="1:28" x14ac:dyDescent="0.2">
      <c r="A6377" s="1">
        <v>16420</v>
      </c>
      <c r="L6377" s="1" t="s">
        <v>1713</v>
      </c>
      <c r="N6377" s="1" t="s">
        <v>1156</v>
      </c>
      <c r="P6377" s="1" t="s">
        <v>707</v>
      </c>
      <c r="Q6377" s="3">
        <v>0</v>
      </c>
      <c r="R6377" s="23" t="s">
        <v>6854</v>
      </c>
      <c r="S6377" s="23" t="s">
        <v>6847</v>
      </c>
      <c r="W6377" s="45" t="str">
        <f>HYPERLINK("http://ictvonline.org/taxonomy/p/taxonomy-history?taxnode_id=201902705","ICTVonline=201902705")</f>
        <v>ICTVonline=201902705</v>
      </c>
      <c r="AA6377" s="1">
        <v>201900000</v>
      </c>
      <c r="AB6377" s="1">
        <v>35</v>
      </c>
    </row>
    <row r="6378" spans="1:28" x14ac:dyDescent="0.2">
      <c r="A6378" s="1">
        <v>16422</v>
      </c>
      <c r="L6378" s="1" t="s">
        <v>1713</v>
      </c>
      <c r="N6378" s="1" t="s">
        <v>1156</v>
      </c>
      <c r="P6378" s="1" t="s">
        <v>708</v>
      </c>
      <c r="Q6378" s="3">
        <v>1</v>
      </c>
      <c r="R6378" s="23" t="s">
        <v>6854</v>
      </c>
      <c r="S6378" s="23" t="s">
        <v>6847</v>
      </c>
      <c r="W6378" s="45" t="str">
        <f>HYPERLINK("http://ictvonline.org/taxonomy/p/taxonomy-history?taxnode_id=201902706","ICTVonline=201902706")</f>
        <v>ICTVonline=201902706</v>
      </c>
      <c r="AA6378" s="1">
        <v>201900000</v>
      </c>
      <c r="AB6378" s="1">
        <v>35</v>
      </c>
    </row>
    <row r="6379" spans="1:28" x14ac:dyDescent="0.2">
      <c r="A6379" s="1">
        <v>16424</v>
      </c>
      <c r="L6379" s="1" t="s">
        <v>1713</v>
      </c>
      <c r="N6379" s="1" t="s">
        <v>1156</v>
      </c>
      <c r="P6379" s="1" t="s">
        <v>4580</v>
      </c>
      <c r="Q6379" s="3">
        <v>0</v>
      </c>
      <c r="R6379" s="23" t="s">
        <v>6854</v>
      </c>
      <c r="S6379" s="23" t="s">
        <v>6847</v>
      </c>
      <c r="W6379" s="45" t="str">
        <f>HYPERLINK("http://ictvonline.org/taxonomy/p/taxonomy-history?taxnode_id=201902707","ICTVonline=201902707")</f>
        <v>ICTVonline=201902707</v>
      </c>
      <c r="Y6379" s="1" t="s">
        <v>16678</v>
      </c>
      <c r="Z6379" s="1" t="s">
        <v>16679</v>
      </c>
      <c r="AA6379" s="1">
        <v>201900000</v>
      </c>
      <c r="AB6379" s="1">
        <v>35</v>
      </c>
    </row>
    <row r="6380" spans="1:28" x14ac:dyDescent="0.2">
      <c r="A6380" s="1">
        <v>16426</v>
      </c>
      <c r="L6380" s="1" t="s">
        <v>1713</v>
      </c>
      <c r="N6380" s="1" t="s">
        <v>1156</v>
      </c>
      <c r="P6380" s="1" t="s">
        <v>4581</v>
      </c>
      <c r="Q6380" s="3">
        <v>0</v>
      </c>
      <c r="R6380" s="23" t="s">
        <v>6854</v>
      </c>
      <c r="S6380" s="23" t="s">
        <v>6847</v>
      </c>
      <c r="W6380" s="45" t="str">
        <f>HYPERLINK("http://ictvonline.org/taxonomy/p/taxonomy-history?taxnode_id=201902708","ICTVonline=201902708")</f>
        <v>ICTVonline=201902708</v>
      </c>
      <c r="Y6380" s="1" t="s">
        <v>16680</v>
      </c>
      <c r="Z6380" s="1" t="s">
        <v>16681</v>
      </c>
      <c r="AA6380" s="1">
        <v>201900000</v>
      </c>
      <c r="AB6380" s="1">
        <v>35</v>
      </c>
    </row>
    <row r="6381" spans="1:28" x14ac:dyDescent="0.2">
      <c r="A6381" s="1">
        <v>16428</v>
      </c>
      <c r="L6381" s="1" t="s">
        <v>1713</v>
      </c>
      <c r="N6381" s="1" t="s">
        <v>1156</v>
      </c>
      <c r="P6381" s="1" t="s">
        <v>3638</v>
      </c>
      <c r="Q6381" s="3">
        <v>0</v>
      </c>
      <c r="R6381" s="23" t="s">
        <v>6854</v>
      </c>
      <c r="S6381" s="23" t="s">
        <v>6847</v>
      </c>
      <c r="W6381" s="45" t="str">
        <f>HYPERLINK("http://ictvonline.org/taxonomy/p/taxonomy-history?taxnode_id=201902709","ICTVonline=201902709")</f>
        <v>ICTVonline=201902709</v>
      </c>
      <c r="X6381" s="1" t="s">
        <v>16682</v>
      </c>
      <c r="Y6381" s="1" t="s">
        <v>16683</v>
      </c>
      <c r="Z6381" s="1" t="s">
        <v>16684</v>
      </c>
      <c r="AA6381" s="1">
        <v>201900000</v>
      </c>
      <c r="AB6381" s="1">
        <v>35</v>
      </c>
    </row>
    <row r="6382" spans="1:28" x14ac:dyDescent="0.2">
      <c r="A6382" s="1">
        <v>16430</v>
      </c>
      <c r="L6382" s="1" t="s">
        <v>1713</v>
      </c>
      <c r="N6382" s="1" t="s">
        <v>1156</v>
      </c>
      <c r="P6382" s="1" t="s">
        <v>706</v>
      </c>
      <c r="Q6382" s="3">
        <v>0</v>
      </c>
      <c r="R6382" s="23" t="s">
        <v>6854</v>
      </c>
      <c r="S6382" s="23" t="s">
        <v>6847</v>
      </c>
      <c r="W6382" s="45" t="str">
        <f>HYPERLINK("http://ictvonline.org/taxonomy/p/taxonomy-history?taxnode_id=201902710","ICTVonline=201902710")</f>
        <v>ICTVonline=201902710</v>
      </c>
      <c r="AA6382" s="1">
        <v>201900000</v>
      </c>
      <c r="AB6382" s="1">
        <v>35</v>
      </c>
    </row>
    <row r="6383" spans="1:28" x14ac:dyDescent="0.2">
      <c r="A6383" s="1">
        <v>16432</v>
      </c>
      <c r="L6383" s="1" t="s">
        <v>1713</v>
      </c>
      <c r="N6383" s="1" t="s">
        <v>1156</v>
      </c>
      <c r="P6383" s="1" t="s">
        <v>710</v>
      </c>
      <c r="Q6383" s="3">
        <v>0</v>
      </c>
      <c r="R6383" s="23" t="s">
        <v>6854</v>
      </c>
      <c r="S6383" s="23" t="s">
        <v>6847</v>
      </c>
      <c r="W6383" s="45" t="str">
        <f>HYPERLINK("http://ictvonline.org/taxonomy/p/taxonomy-history?taxnode_id=201902711","ICTVonline=201902711")</f>
        <v>ICTVonline=201902711</v>
      </c>
      <c r="AA6383" s="1">
        <v>201900000</v>
      </c>
      <c r="AB6383" s="1">
        <v>35</v>
      </c>
    </row>
    <row r="6384" spans="1:28" x14ac:dyDescent="0.2">
      <c r="A6384" s="1">
        <v>16434</v>
      </c>
      <c r="L6384" s="1" t="s">
        <v>1713</v>
      </c>
      <c r="N6384" s="1" t="s">
        <v>1156</v>
      </c>
      <c r="P6384" s="1" t="s">
        <v>1744</v>
      </c>
      <c r="Q6384" s="3">
        <v>0</v>
      </c>
      <c r="R6384" s="23" t="s">
        <v>6854</v>
      </c>
      <c r="S6384" s="23" t="s">
        <v>6847</v>
      </c>
      <c r="W6384" s="45" t="str">
        <f>HYPERLINK("http://ictvonline.org/taxonomy/p/taxonomy-history?taxnode_id=201902712","ICTVonline=201902712")</f>
        <v>ICTVonline=201902712</v>
      </c>
      <c r="AA6384" s="1">
        <v>201900000</v>
      </c>
      <c r="AB6384" s="1">
        <v>35</v>
      </c>
    </row>
    <row r="6385" spans="1:28" x14ac:dyDescent="0.2">
      <c r="A6385" s="1">
        <v>16436</v>
      </c>
      <c r="L6385" s="1" t="s">
        <v>1713</v>
      </c>
      <c r="N6385" s="1" t="s">
        <v>1156</v>
      </c>
      <c r="P6385" s="1" t="s">
        <v>6687</v>
      </c>
      <c r="Q6385" s="3">
        <v>0</v>
      </c>
      <c r="R6385" s="23" t="s">
        <v>6854</v>
      </c>
      <c r="S6385" s="23" t="s">
        <v>6847</v>
      </c>
      <c r="W6385" s="45" t="str">
        <f>HYPERLINK("http://ictvonline.org/taxonomy/p/taxonomy-history?taxnode_id=201906533","ICTVonline=201906533")</f>
        <v>ICTVonline=201906533</v>
      </c>
      <c r="X6385" s="1" t="s">
        <v>16685</v>
      </c>
      <c r="Y6385" s="1" t="s">
        <v>16686</v>
      </c>
      <c r="Z6385" s="1" t="s">
        <v>16687</v>
      </c>
      <c r="AA6385" s="1">
        <v>201900000</v>
      </c>
      <c r="AB6385" s="1">
        <v>35</v>
      </c>
    </row>
    <row r="6386" spans="1:28" x14ac:dyDescent="0.2">
      <c r="A6386" s="1">
        <v>16438</v>
      </c>
      <c r="L6386" s="1" t="s">
        <v>1713</v>
      </c>
      <c r="N6386" s="1" t="s">
        <v>1156</v>
      </c>
      <c r="P6386" s="1" t="s">
        <v>5266</v>
      </c>
      <c r="Q6386" s="3">
        <v>0</v>
      </c>
      <c r="R6386" s="23" t="s">
        <v>6854</v>
      </c>
      <c r="S6386" s="23" t="s">
        <v>6847</v>
      </c>
      <c r="W6386" s="45" t="str">
        <f>HYPERLINK("http://ictvonline.org/taxonomy/p/taxonomy-history?taxnode_id=201902716","ICTVonline=201902716")</f>
        <v>ICTVonline=201902716</v>
      </c>
      <c r="AA6386" s="1">
        <v>201900000</v>
      </c>
      <c r="AB6386" s="1">
        <v>35</v>
      </c>
    </row>
    <row r="6387" spans="1:28" x14ac:dyDescent="0.2">
      <c r="A6387" s="1">
        <v>16440</v>
      </c>
      <c r="L6387" s="1" t="s">
        <v>1713</v>
      </c>
      <c r="N6387" s="1" t="s">
        <v>1156</v>
      </c>
      <c r="P6387" s="1" t="s">
        <v>5267</v>
      </c>
      <c r="Q6387" s="3">
        <v>0</v>
      </c>
      <c r="R6387" s="23" t="s">
        <v>6854</v>
      </c>
      <c r="S6387" s="23" t="s">
        <v>6847</v>
      </c>
      <c r="W6387" s="45" t="str">
        <f>HYPERLINK("http://ictvonline.org/taxonomy/p/taxonomy-history?taxnode_id=201905757","ICTVonline=201905757")</f>
        <v>ICTVonline=201905757</v>
      </c>
      <c r="AA6387" s="1">
        <v>201900000</v>
      </c>
      <c r="AB6387" s="1">
        <v>35</v>
      </c>
    </row>
    <row r="6388" spans="1:28" x14ac:dyDescent="0.2">
      <c r="A6388" s="1">
        <v>16442</v>
      </c>
      <c r="L6388" s="1" t="s">
        <v>1713</v>
      </c>
      <c r="N6388" s="1" t="s">
        <v>1156</v>
      </c>
      <c r="P6388" s="1" t="s">
        <v>1745</v>
      </c>
      <c r="Q6388" s="3">
        <v>0</v>
      </c>
      <c r="R6388" s="23" t="s">
        <v>6854</v>
      </c>
      <c r="S6388" s="23" t="s">
        <v>6847</v>
      </c>
      <c r="W6388" s="45" t="str">
        <f>HYPERLINK("http://ictvonline.org/taxonomy/p/taxonomy-history?taxnode_id=201902713","ICTVonline=201902713")</f>
        <v>ICTVonline=201902713</v>
      </c>
      <c r="AA6388" s="1">
        <v>201900000</v>
      </c>
      <c r="AB6388" s="1">
        <v>35</v>
      </c>
    </row>
    <row r="6389" spans="1:28" x14ac:dyDescent="0.2">
      <c r="A6389" s="1">
        <v>16444</v>
      </c>
      <c r="L6389" s="1" t="s">
        <v>1713</v>
      </c>
      <c r="N6389" s="1" t="s">
        <v>1156</v>
      </c>
      <c r="P6389" s="1" t="s">
        <v>623</v>
      </c>
      <c r="Q6389" s="3">
        <v>0</v>
      </c>
      <c r="R6389" s="23" t="s">
        <v>6854</v>
      </c>
      <c r="S6389" s="23" t="s">
        <v>6847</v>
      </c>
      <c r="W6389" s="45" t="str">
        <f>HYPERLINK("http://ictvonline.org/taxonomy/p/taxonomy-history?taxnode_id=201902714","ICTVonline=201902714")</f>
        <v>ICTVonline=201902714</v>
      </c>
      <c r="AA6389" s="1">
        <v>201900000</v>
      </c>
      <c r="AB6389" s="1">
        <v>35</v>
      </c>
    </row>
    <row r="6390" spans="1:28" x14ac:dyDescent="0.2">
      <c r="A6390" s="1">
        <v>16446</v>
      </c>
      <c r="L6390" s="1" t="s">
        <v>1713</v>
      </c>
      <c r="N6390" s="1" t="s">
        <v>1156</v>
      </c>
      <c r="P6390" s="1" t="s">
        <v>624</v>
      </c>
      <c r="Q6390" s="3">
        <v>0</v>
      </c>
      <c r="R6390" s="23" t="s">
        <v>6854</v>
      </c>
      <c r="S6390" s="23" t="s">
        <v>6847</v>
      </c>
      <c r="W6390" s="45" t="str">
        <f>HYPERLINK("http://ictvonline.org/taxonomy/p/taxonomy-history?taxnode_id=201902715","ICTVonline=201902715")</f>
        <v>ICTVonline=201902715</v>
      </c>
      <c r="AA6390" s="1">
        <v>201900000</v>
      </c>
      <c r="AB6390" s="1">
        <v>35</v>
      </c>
    </row>
    <row r="6391" spans="1:28" x14ac:dyDescent="0.2">
      <c r="A6391" s="1">
        <v>16448</v>
      </c>
      <c r="L6391" s="1" t="s">
        <v>1713</v>
      </c>
      <c r="N6391" s="1" t="s">
        <v>1156</v>
      </c>
      <c r="P6391" s="1" t="s">
        <v>3639</v>
      </c>
      <c r="Q6391" s="3">
        <v>0</v>
      </c>
      <c r="R6391" s="23" t="s">
        <v>6854</v>
      </c>
      <c r="S6391" s="23" t="s">
        <v>6847</v>
      </c>
      <c r="W6391" s="45" t="str">
        <f>HYPERLINK("http://ictvonline.org/taxonomy/p/taxonomy-history?taxnode_id=201902717","ICTVonline=201902717")</f>
        <v>ICTVonline=201902717</v>
      </c>
      <c r="X6391" s="1" t="s">
        <v>16688</v>
      </c>
      <c r="Y6391" s="1" t="s">
        <v>16689</v>
      </c>
      <c r="Z6391" s="1" t="s">
        <v>16690</v>
      </c>
      <c r="AA6391" s="1">
        <v>201900000</v>
      </c>
      <c r="AB6391" s="1">
        <v>35</v>
      </c>
    </row>
    <row r="6392" spans="1:28" x14ac:dyDescent="0.2">
      <c r="A6392" s="1">
        <v>16450</v>
      </c>
      <c r="L6392" s="1" t="s">
        <v>1713</v>
      </c>
      <c r="N6392" s="1" t="s">
        <v>1156</v>
      </c>
      <c r="P6392" s="1" t="s">
        <v>4582</v>
      </c>
      <c r="Q6392" s="3">
        <v>0</v>
      </c>
      <c r="R6392" s="23" t="s">
        <v>6854</v>
      </c>
      <c r="S6392" s="23" t="s">
        <v>6847</v>
      </c>
      <c r="W6392" s="45" t="str">
        <f>HYPERLINK("http://ictvonline.org/taxonomy/p/taxonomy-history?taxnode_id=201902718","ICTVonline=201902718")</f>
        <v>ICTVonline=201902718</v>
      </c>
      <c r="Y6392" s="1" t="s">
        <v>16691</v>
      </c>
      <c r="Z6392" s="1" t="s">
        <v>16692</v>
      </c>
      <c r="AA6392" s="1">
        <v>201900000</v>
      </c>
      <c r="AB6392" s="1">
        <v>35</v>
      </c>
    </row>
    <row r="6393" spans="1:28" x14ac:dyDescent="0.2">
      <c r="A6393" s="1">
        <v>16452</v>
      </c>
      <c r="L6393" s="1" t="s">
        <v>1713</v>
      </c>
      <c r="N6393" s="1" t="s">
        <v>1156</v>
      </c>
      <c r="P6393" s="1" t="s">
        <v>1748</v>
      </c>
      <c r="Q6393" s="3">
        <v>0</v>
      </c>
      <c r="R6393" s="23" t="s">
        <v>6854</v>
      </c>
      <c r="S6393" s="23" t="s">
        <v>6847</v>
      </c>
      <c r="W6393" s="45" t="str">
        <f>HYPERLINK("http://ictvonline.org/taxonomy/p/taxonomy-history?taxnode_id=201902719","ICTVonline=201902719")</f>
        <v>ICTVonline=201902719</v>
      </c>
      <c r="AA6393" s="1">
        <v>201900000</v>
      </c>
      <c r="AB6393" s="1">
        <v>35</v>
      </c>
    </row>
    <row r="6394" spans="1:28" x14ac:dyDescent="0.2">
      <c r="A6394" s="1">
        <v>16454</v>
      </c>
      <c r="L6394" s="1" t="s">
        <v>1713</v>
      </c>
      <c r="N6394" s="1" t="s">
        <v>1156</v>
      </c>
      <c r="P6394" s="1" t="s">
        <v>1749</v>
      </c>
      <c r="Q6394" s="3">
        <v>0</v>
      </c>
      <c r="R6394" s="23" t="s">
        <v>6854</v>
      </c>
      <c r="S6394" s="23" t="s">
        <v>6847</v>
      </c>
      <c r="W6394" s="45" t="str">
        <f>HYPERLINK("http://ictvonline.org/taxonomy/p/taxonomy-history?taxnode_id=201902720","ICTVonline=201902720")</f>
        <v>ICTVonline=201902720</v>
      </c>
      <c r="AA6394" s="1">
        <v>201900000</v>
      </c>
      <c r="AB6394" s="1">
        <v>35</v>
      </c>
    </row>
    <row r="6395" spans="1:28" x14ac:dyDescent="0.2">
      <c r="A6395" s="1">
        <v>16458</v>
      </c>
      <c r="L6395" s="1" t="s">
        <v>1713</v>
      </c>
      <c r="N6395" s="1" t="s">
        <v>1750</v>
      </c>
      <c r="P6395" s="1" t="s">
        <v>628</v>
      </c>
      <c r="Q6395" s="3">
        <v>1</v>
      </c>
      <c r="R6395" s="23" t="s">
        <v>6854</v>
      </c>
      <c r="S6395" s="23" t="s">
        <v>6847</v>
      </c>
      <c r="W6395" s="45" t="str">
        <f>HYPERLINK("http://ictvonline.org/taxonomy/p/taxonomy-history?taxnode_id=201902722","ICTVonline=201902722")</f>
        <v>ICTVonline=201902722</v>
      </c>
      <c r="AA6395" s="1">
        <v>201900000</v>
      </c>
      <c r="AB6395" s="1">
        <v>35</v>
      </c>
    </row>
    <row r="6396" spans="1:28" x14ac:dyDescent="0.2">
      <c r="A6396" s="1">
        <v>16462</v>
      </c>
      <c r="L6396" s="1" t="s">
        <v>1713</v>
      </c>
      <c r="N6396" s="1" t="s">
        <v>629</v>
      </c>
      <c r="P6396" s="1" t="s">
        <v>630</v>
      </c>
      <c r="Q6396" s="3">
        <v>1</v>
      </c>
      <c r="R6396" s="23" t="s">
        <v>6854</v>
      </c>
      <c r="S6396" s="23" t="s">
        <v>6847</v>
      </c>
      <c r="W6396" s="45" t="str">
        <f>HYPERLINK("http://ictvonline.org/taxonomy/p/taxonomy-history?taxnode_id=201902724","ICTVonline=201902724")</f>
        <v>ICTVonline=201902724</v>
      </c>
      <c r="AA6396" s="1">
        <v>201900000</v>
      </c>
      <c r="AB6396" s="1">
        <v>35</v>
      </c>
    </row>
    <row r="6397" spans="1:28" x14ac:dyDescent="0.2">
      <c r="A6397" s="1">
        <v>16464</v>
      </c>
      <c r="L6397" s="1" t="s">
        <v>1713</v>
      </c>
      <c r="N6397" s="1" t="s">
        <v>629</v>
      </c>
      <c r="P6397" s="1" t="s">
        <v>1753</v>
      </c>
      <c r="Q6397" s="3">
        <v>0</v>
      </c>
      <c r="R6397" s="23" t="s">
        <v>6854</v>
      </c>
      <c r="S6397" s="23" t="s">
        <v>6847</v>
      </c>
      <c r="W6397" s="45" t="str">
        <f>HYPERLINK("http://ictvonline.org/taxonomy/p/taxonomy-history?taxnode_id=201902725","ICTVonline=201902725")</f>
        <v>ICTVonline=201902725</v>
      </c>
      <c r="AA6397" s="1">
        <v>201900000</v>
      </c>
      <c r="AB6397" s="1">
        <v>35</v>
      </c>
    </row>
    <row r="6398" spans="1:28" x14ac:dyDescent="0.2">
      <c r="A6398" s="1">
        <v>16470</v>
      </c>
      <c r="L6398" s="1" t="s">
        <v>647</v>
      </c>
      <c r="N6398" s="1" t="s">
        <v>648</v>
      </c>
      <c r="P6398" s="1" t="s">
        <v>649</v>
      </c>
      <c r="Q6398" s="3">
        <v>1</v>
      </c>
      <c r="R6398" s="23" t="s">
        <v>6854</v>
      </c>
      <c r="S6398" s="23" t="s">
        <v>6847</v>
      </c>
      <c r="W6398" s="45" t="str">
        <f>HYPERLINK("http://ictvonline.org/taxonomy/p/taxonomy-history?taxnode_id=201902740","ICTVonline=201902740")</f>
        <v>ICTVonline=201902740</v>
      </c>
      <c r="Y6398" s="1" t="s">
        <v>16693</v>
      </c>
      <c r="AA6398" s="1">
        <v>201900000</v>
      </c>
      <c r="AB6398" s="1">
        <v>35</v>
      </c>
    </row>
    <row r="6399" spans="1:28" x14ac:dyDescent="0.2">
      <c r="A6399" s="1">
        <v>16476</v>
      </c>
      <c r="L6399" s="1" t="s">
        <v>89</v>
      </c>
      <c r="N6399" s="1" t="s">
        <v>90</v>
      </c>
      <c r="P6399" s="1" t="s">
        <v>91</v>
      </c>
      <c r="Q6399" s="3">
        <v>1</v>
      </c>
      <c r="R6399" s="23" t="s">
        <v>6854</v>
      </c>
      <c r="S6399" s="23" t="s">
        <v>6847</v>
      </c>
      <c r="W6399" s="45" t="str">
        <f>HYPERLINK("http://ictvonline.org/taxonomy/p/taxonomy-history?taxnode_id=201902977","ICTVonline=201902977")</f>
        <v>ICTVonline=201902977</v>
      </c>
      <c r="Y6399" s="1" t="s">
        <v>16694</v>
      </c>
      <c r="AA6399" s="1">
        <v>201900000</v>
      </c>
      <c r="AB6399" s="1">
        <v>35</v>
      </c>
    </row>
    <row r="6400" spans="1:28" x14ac:dyDescent="0.2">
      <c r="A6400" s="1">
        <v>16482</v>
      </c>
      <c r="L6400" s="1" t="s">
        <v>16695</v>
      </c>
      <c r="N6400" s="1" t="s">
        <v>16696</v>
      </c>
      <c r="P6400" s="1" t="s">
        <v>16697</v>
      </c>
      <c r="Q6400" s="3">
        <v>1</v>
      </c>
      <c r="R6400" s="23" t="s">
        <v>10605</v>
      </c>
      <c r="S6400" s="23" t="s">
        <v>6849</v>
      </c>
      <c r="T6400" s="23" t="s">
        <v>4864</v>
      </c>
      <c r="U6400" s="3">
        <v>35</v>
      </c>
      <c r="V6400" s="3" t="s">
        <v>16698</v>
      </c>
      <c r="W6400" s="45" t="str">
        <f>HYPERLINK("http://ictvonline.org/taxonomy/p/taxonomy-history?taxnode_id=201907848","ICTVonline=201907848")</f>
        <v>ICTVonline=201907848</v>
      </c>
      <c r="X6400" s="1" t="s">
        <v>16699</v>
      </c>
      <c r="Y6400" s="1" t="s">
        <v>16700</v>
      </c>
      <c r="AA6400" s="1">
        <v>201900000</v>
      </c>
      <c r="AB6400" s="1">
        <v>35</v>
      </c>
    </row>
    <row r="6401" spans="1:28" x14ac:dyDescent="0.2">
      <c r="A6401" s="1">
        <v>16488</v>
      </c>
      <c r="L6401" s="1" t="s">
        <v>2076</v>
      </c>
      <c r="N6401" s="1" t="s">
        <v>2219</v>
      </c>
      <c r="P6401" s="1" t="s">
        <v>2077</v>
      </c>
      <c r="Q6401" s="3">
        <v>1</v>
      </c>
      <c r="R6401" s="23" t="s">
        <v>6854</v>
      </c>
      <c r="S6401" s="23" t="s">
        <v>6847</v>
      </c>
      <c r="W6401" s="45" t="str">
        <f>HYPERLINK("http://ictvonline.org/taxonomy/p/taxonomy-history?taxnode_id=201903159","ICTVonline=201903159")</f>
        <v>ICTVonline=201903159</v>
      </c>
      <c r="Y6401" s="1" t="s">
        <v>16701</v>
      </c>
      <c r="AA6401" s="1">
        <v>201900000</v>
      </c>
      <c r="AB6401" s="1">
        <v>35</v>
      </c>
    </row>
    <row r="6402" spans="1:28" x14ac:dyDescent="0.2">
      <c r="A6402" s="1">
        <v>16490</v>
      </c>
      <c r="L6402" s="1" t="s">
        <v>2076</v>
      </c>
      <c r="N6402" s="1" t="s">
        <v>2219</v>
      </c>
      <c r="P6402" s="1" t="s">
        <v>2220</v>
      </c>
      <c r="Q6402" s="3">
        <v>0</v>
      </c>
      <c r="R6402" s="23" t="s">
        <v>6854</v>
      </c>
      <c r="S6402" s="23" t="s">
        <v>6847</v>
      </c>
      <c r="W6402" s="45" t="str">
        <f>HYPERLINK("http://ictvonline.org/taxonomy/p/taxonomy-history?taxnode_id=201903160","ICTVonline=201903160")</f>
        <v>ICTVonline=201903160</v>
      </c>
      <c r="Y6402" s="1" t="s">
        <v>16702</v>
      </c>
      <c r="AA6402" s="1">
        <v>201900000</v>
      </c>
      <c r="AB6402" s="1">
        <v>35</v>
      </c>
    </row>
    <row r="6403" spans="1:28" x14ac:dyDescent="0.2">
      <c r="A6403" s="1">
        <v>16492</v>
      </c>
      <c r="L6403" s="1" t="s">
        <v>2076</v>
      </c>
      <c r="N6403" s="1" t="s">
        <v>2219</v>
      </c>
      <c r="P6403" s="1" t="s">
        <v>2221</v>
      </c>
      <c r="Q6403" s="3">
        <v>0</v>
      </c>
      <c r="R6403" s="23" t="s">
        <v>6854</v>
      </c>
      <c r="S6403" s="23" t="s">
        <v>6847</v>
      </c>
      <c r="W6403" s="45" t="str">
        <f>HYPERLINK("http://ictvonline.org/taxonomy/p/taxonomy-history?taxnode_id=201903161","ICTVonline=201903161")</f>
        <v>ICTVonline=201903161</v>
      </c>
      <c r="Y6403" s="1" t="s">
        <v>16703</v>
      </c>
      <c r="AA6403" s="1">
        <v>201900000</v>
      </c>
      <c r="AB6403" s="1">
        <v>35</v>
      </c>
    </row>
    <row r="6404" spans="1:28" x14ac:dyDescent="0.2">
      <c r="A6404" s="1">
        <v>16494</v>
      </c>
      <c r="L6404" s="1" t="s">
        <v>2076</v>
      </c>
      <c r="N6404" s="1" t="s">
        <v>2219</v>
      </c>
      <c r="P6404" s="1" t="s">
        <v>2222</v>
      </c>
      <c r="Q6404" s="3">
        <v>0</v>
      </c>
      <c r="R6404" s="23" t="s">
        <v>6854</v>
      </c>
      <c r="S6404" s="23" t="s">
        <v>6847</v>
      </c>
      <c r="W6404" s="45" t="str">
        <f>HYPERLINK("http://ictvonline.org/taxonomy/p/taxonomy-history?taxnode_id=201903162","ICTVonline=201903162")</f>
        <v>ICTVonline=201903162</v>
      </c>
      <c r="Y6404" s="1" t="s">
        <v>16704</v>
      </c>
      <c r="AA6404" s="1">
        <v>201900000</v>
      </c>
      <c r="AB6404" s="1">
        <v>35</v>
      </c>
    </row>
    <row r="6405" spans="1:28" x14ac:dyDescent="0.2">
      <c r="A6405" s="1">
        <v>16496</v>
      </c>
      <c r="L6405" s="1" t="s">
        <v>2076</v>
      </c>
      <c r="N6405" s="1" t="s">
        <v>2219</v>
      </c>
      <c r="P6405" s="1" t="s">
        <v>2223</v>
      </c>
      <c r="Q6405" s="3">
        <v>0</v>
      </c>
      <c r="R6405" s="23" t="s">
        <v>6854</v>
      </c>
      <c r="S6405" s="23" t="s">
        <v>6847</v>
      </c>
      <c r="W6405" s="45" t="str">
        <f>HYPERLINK("http://ictvonline.org/taxonomy/p/taxonomy-history?taxnode_id=201903163","ICTVonline=201903163")</f>
        <v>ICTVonline=201903163</v>
      </c>
      <c r="Y6405" s="1" t="s">
        <v>16705</v>
      </c>
      <c r="AA6405" s="1">
        <v>201900000</v>
      </c>
      <c r="AB6405" s="1">
        <v>35</v>
      </c>
    </row>
    <row r="6406" spans="1:28" x14ac:dyDescent="0.2">
      <c r="A6406" s="1">
        <v>16498</v>
      </c>
      <c r="L6406" s="1" t="s">
        <v>2076</v>
      </c>
      <c r="N6406" s="1" t="s">
        <v>2219</v>
      </c>
      <c r="P6406" s="1" t="s">
        <v>2224</v>
      </c>
      <c r="Q6406" s="3">
        <v>0</v>
      </c>
      <c r="R6406" s="23" t="s">
        <v>6854</v>
      </c>
      <c r="S6406" s="23" t="s">
        <v>6847</v>
      </c>
      <c r="W6406" s="45" t="str">
        <f>HYPERLINK("http://ictvonline.org/taxonomy/p/taxonomy-history?taxnode_id=201903164","ICTVonline=201903164")</f>
        <v>ICTVonline=201903164</v>
      </c>
      <c r="Y6406" s="1" t="s">
        <v>16706</v>
      </c>
      <c r="AA6406" s="1">
        <v>201900000</v>
      </c>
      <c r="AB6406" s="1">
        <v>35</v>
      </c>
    </row>
    <row r="6407" spans="1:28" x14ac:dyDescent="0.2">
      <c r="A6407" s="1">
        <v>16500</v>
      </c>
      <c r="L6407" s="1" t="s">
        <v>2076</v>
      </c>
      <c r="N6407" s="1" t="s">
        <v>2219</v>
      </c>
      <c r="P6407" s="1" t="s">
        <v>2225</v>
      </c>
      <c r="Q6407" s="3">
        <v>0</v>
      </c>
      <c r="R6407" s="23" t="s">
        <v>6854</v>
      </c>
      <c r="S6407" s="23" t="s">
        <v>6847</v>
      </c>
      <c r="W6407" s="45" t="str">
        <f>HYPERLINK("http://ictvonline.org/taxonomy/p/taxonomy-history?taxnode_id=201903165","ICTVonline=201903165")</f>
        <v>ICTVonline=201903165</v>
      </c>
      <c r="Y6407" s="1" t="s">
        <v>16707</v>
      </c>
      <c r="AA6407" s="1">
        <v>201900000</v>
      </c>
      <c r="AB6407" s="1">
        <v>35</v>
      </c>
    </row>
    <row r="6408" spans="1:28" x14ac:dyDescent="0.2">
      <c r="A6408" s="1">
        <v>16504</v>
      </c>
      <c r="L6408" s="1" t="s">
        <v>2076</v>
      </c>
      <c r="N6408" s="1" t="s">
        <v>2226</v>
      </c>
      <c r="P6408" s="1" t="s">
        <v>2227</v>
      </c>
      <c r="Q6408" s="3">
        <v>0</v>
      </c>
      <c r="R6408" s="23" t="s">
        <v>6854</v>
      </c>
      <c r="S6408" s="23" t="s">
        <v>6847</v>
      </c>
      <c r="W6408" s="45" t="str">
        <f>HYPERLINK("http://ictvonline.org/taxonomy/p/taxonomy-history?taxnode_id=201903167","ICTVonline=201903167")</f>
        <v>ICTVonline=201903167</v>
      </c>
      <c r="Y6408" s="1" t="s">
        <v>16708</v>
      </c>
      <c r="AA6408" s="1">
        <v>201900000</v>
      </c>
      <c r="AB6408" s="1">
        <v>35</v>
      </c>
    </row>
    <row r="6409" spans="1:28" x14ac:dyDescent="0.2">
      <c r="A6409" s="1">
        <v>16506</v>
      </c>
      <c r="L6409" s="1" t="s">
        <v>2076</v>
      </c>
      <c r="N6409" s="1" t="s">
        <v>2226</v>
      </c>
      <c r="P6409" s="1" t="s">
        <v>2228</v>
      </c>
      <c r="Q6409" s="3">
        <v>1</v>
      </c>
      <c r="R6409" s="23" t="s">
        <v>6854</v>
      </c>
      <c r="S6409" s="23" t="s">
        <v>6847</v>
      </c>
      <c r="W6409" s="45" t="str">
        <f>HYPERLINK("http://ictvonline.org/taxonomy/p/taxonomy-history?taxnode_id=201903168","ICTVonline=201903168")</f>
        <v>ICTVonline=201903168</v>
      </c>
      <c r="Y6409" s="1" t="s">
        <v>16709</v>
      </c>
      <c r="AA6409" s="1">
        <v>201900000</v>
      </c>
      <c r="AB6409" s="1">
        <v>35</v>
      </c>
    </row>
    <row r="6410" spans="1:28" x14ac:dyDescent="0.2">
      <c r="A6410" s="1">
        <v>16512</v>
      </c>
      <c r="L6410" s="1" t="s">
        <v>378</v>
      </c>
      <c r="N6410" s="1" t="s">
        <v>379</v>
      </c>
      <c r="P6410" s="1" t="s">
        <v>380</v>
      </c>
      <c r="Q6410" s="3">
        <v>1</v>
      </c>
      <c r="R6410" s="23" t="s">
        <v>6854</v>
      </c>
      <c r="S6410" s="23" t="s">
        <v>6847</v>
      </c>
      <c r="W6410" s="45" t="str">
        <f>HYPERLINK("http://ictvonline.org/taxonomy/p/taxonomy-history?taxnode_id=201903637","ICTVonline=201903637")</f>
        <v>ICTVonline=201903637</v>
      </c>
      <c r="Y6410" s="1" t="s">
        <v>16710</v>
      </c>
      <c r="AA6410" s="1">
        <v>201900000</v>
      </c>
      <c r="AB6410" s="1">
        <v>35</v>
      </c>
    </row>
    <row r="6411" spans="1:28" x14ac:dyDescent="0.2">
      <c r="A6411" s="1">
        <v>16514</v>
      </c>
      <c r="L6411" s="1" t="s">
        <v>378</v>
      </c>
      <c r="N6411" s="1" t="s">
        <v>379</v>
      </c>
      <c r="P6411" s="1" t="s">
        <v>671</v>
      </c>
      <c r="Q6411" s="3">
        <v>0</v>
      </c>
      <c r="R6411" s="23" t="s">
        <v>6854</v>
      </c>
      <c r="S6411" s="23" t="s">
        <v>6847</v>
      </c>
      <c r="W6411" s="45" t="str">
        <f>HYPERLINK("http://ictvonline.org/taxonomy/p/taxonomy-history?taxnode_id=201903638","ICTVonline=201903638")</f>
        <v>ICTVonline=201903638</v>
      </c>
      <c r="Y6411" s="1" t="s">
        <v>16711</v>
      </c>
      <c r="AA6411" s="1">
        <v>201900000</v>
      </c>
      <c r="AB6411" s="1">
        <v>35</v>
      </c>
    </row>
    <row r="6412" spans="1:28" x14ac:dyDescent="0.2">
      <c r="A6412" s="1">
        <v>16520</v>
      </c>
      <c r="L6412" s="1" t="s">
        <v>1450</v>
      </c>
      <c r="N6412" s="1" t="s">
        <v>2251</v>
      </c>
      <c r="P6412" s="1" t="s">
        <v>244</v>
      </c>
      <c r="Q6412" s="3">
        <v>1</v>
      </c>
      <c r="R6412" s="23" t="s">
        <v>6854</v>
      </c>
      <c r="S6412" s="23" t="s">
        <v>6847</v>
      </c>
      <c r="W6412" s="45" t="str">
        <f>HYPERLINK("http://ictvonline.org/taxonomy/p/taxonomy-history?taxnode_id=201903642","ICTVonline=201903642")</f>
        <v>ICTVonline=201903642</v>
      </c>
      <c r="AA6412" s="1">
        <v>201900000</v>
      </c>
      <c r="AB6412" s="1">
        <v>35</v>
      </c>
    </row>
    <row r="6413" spans="1:28" x14ac:dyDescent="0.2">
      <c r="A6413" s="1">
        <v>16524</v>
      </c>
      <c r="L6413" s="1" t="s">
        <v>1450</v>
      </c>
      <c r="N6413" s="1" t="s">
        <v>2252</v>
      </c>
      <c r="P6413" s="1" t="s">
        <v>2253</v>
      </c>
      <c r="Q6413" s="3">
        <v>1</v>
      </c>
      <c r="R6413" s="23" t="s">
        <v>6854</v>
      </c>
      <c r="S6413" s="23" t="s">
        <v>6847</v>
      </c>
      <c r="W6413" s="45" t="str">
        <f>HYPERLINK("http://ictvonline.org/taxonomy/p/taxonomy-history?taxnode_id=201903644","ICTVonline=201903644")</f>
        <v>ICTVonline=201903644</v>
      </c>
      <c r="Y6413" s="1" t="s">
        <v>16712</v>
      </c>
      <c r="AA6413" s="1">
        <v>201900000</v>
      </c>
      <c r="AB6413" s="1">
        <v>35</v>
      </c>
    </row>
    <row r="6414" spans="1:28" x14ac:dyDescent="0.2">
      <c r="A6414" s="1">
        <v>16530</v>
      </c>
      <c r="L6414" s="1" t="s">
        <v>16713</v>
      </c>
      <c r="N6414" s="1" t="s">
        <v>1001</v>
      </c>
      <c r="P6414" s="1" t="s">
        <v>16714</v>
      </c>
      <c r="Q6414" s="3">
        <v>1</v>
      </c>
      <c r="R6414" s="23" t="s">
        <v>6854</v>
      </c>
      <c r="S6414" s="23" t="s">
        <v>6849</v>
      </c>
      <c r="T6414" s="23" t="s">
        <v>4865</v>
      </c>
      <c r="U6414" s="3">
        <v>35</v>
      </c>
      <c r="V6414" s="3" t="s">
        <v>16715</v>
      </c>
      <c r="W6414" s="45" t="str">
        <f>HYPERLINK("http://ictvonline.org/taxonomy/p/taxonomy-history?taxnode_id=201905366","ICTVonline=201905366")</f>
        <v>ICTVonline=201905366</v>
      </c>
      <c r="Y6414" s="1" t="s">
        <v>16716</v>
      </c>
      <c r="Z6414" s="1" t="s">
        <v>16717</v>
      </c>
      <c r="AA6414" s="1">
        <v>201900000</v>
      </c>
      <c r="AB6414" s="1">
        <v>35</v>
      </c>
    </row>
    <row r="6415" spans="1:28" x14ac:dyDescent="0.2">
      <c r="A6415" s="1">
        <v>16536</v>
      </c>
      <c r="L6415" s="1" t="s">
        <v>96</v>
      </c>
      <c r="N6415" s="1" t="s">
        <v>97</v>
      </c>
      <c r="P6415" s="1" t="s">
        <v>16718</v>
      </c>
      <c r="Q6415" s="3">
        <v>1</v>
      </c>
      <c r="R6415" s="23" t="s">
        <v>6854</v>
      </c>
      <c r="S6415" s="23" t="s">
        <v>6849</v>
      </c>
      <c r="T6415" s="23" t="s">
        <v>6318</v>
      </c>
      <c r="U6415" s="3">
        <v>35</v>
      </c>
      <c r="V6415" s="3" t="s">
        <v>16719</v>
      </c>
      <c r="W6415" s="45" t="str">
        <f>HYPERLINK("http://ictvonline.org/taxonomy/p/taxonomy-history?taxnode_id=201903681","ICTVonline=201903681")</f>
        <v>ICTVonline=201903681</v>
      </c>
      <c r="X6415" s="1" t="s">
        <v>16720</v>
      </c>
      <c r="Y6415" s="1" t="s">
        <v>16721</v>
      </c>
      <c r="AA6415" s="1">
        <v>201900000</v>
      </c>
      <c r="AB6415" s="1">
        <v>35</v>
      </c>
    </row>
    <row r="6416" spans="1:28" x14ac:dyDescent="0.2">
      <c r="A6416" s="1">
        <v>16540</v>
      </c>
      <c r="L6416" s="1" t="s">
        <v>96</v>
      </c>
      <c r="N6416" s="1" t="s">
        <v>98</v>
      </c>
      <c r="P6416" s="1" t="s">
        <v>16722</v>
      </c>
      <c r="Q6416" s="3">
        <v>1</v>
      </c>
      <c r="R6416" s="23" t="s">
        <v>6854</v>
      </c>
      <c r="S6416" s="23" t="s">
        <v>6849</v>
      </c>
      <c r="T6416" s="23" t="s">
        <v>6318</v>
      </c>
      <c r="U6416" s="3">
        <v>35</v>
      </c>
      <c r="V6416" s="3" t="s">
        <v>16719</v>
      </c>
      <c r="W6416" s="45" t="str">
        <f>HYPERLINK("http://ictvonline.org/taxonomy/p/taxonomy-history?taxnode_id=201903683","ICTVonline=201903683")</f>
        <v>ICTVonline=201903683</v>
      </c>
      <c r="X6416" s="1" t="s">
        <v>16723</v>
      </c>
      <c r="Y6416" s="1" t="s">
        <v>16724</v>
      </c>
      <c r="AA6416" s="1">
        <v>201900000</v>
      </c>
      <c r="AB6416" s="1">
        <v>35</v>
      </c>
    </row>
    <row r="6417" spans="1:28" x14ac:dyDescent="0.2">
      <c r="A6417" s="1">
        <v>16546</v>
      </c>
      <c r="L6417" s="1" t="s">
        <v>1085</v>
      </c>
      <c r="N6417" s="1" t="s">
        <v>1086</v>
      </c>
      <c r="P6417" s="1" t="s">
        <v>1087</v>
      </c>
      <c r="Q6417" s="3">
        <v>1</v>
      </c>
      <c r="R6417" s="23" t="s">
        <v>6854</v>
      </c>
      <c r="S6417" s="23" t="s">
        <v>6847</v>
      </c>
      <c r="W6417" s="45" t="str">
        <f>HYPERLINK("http://ictvonline.org/taxonomy/p/taxonomy-history?taxnode_id=201903922","ICTVonline=201903922")</f>
        <v>ICTVonline=201903922</v>
      </c>
      <c r="AA6417" s="1">
        <v>201900000</v>
      </c>
      <c r="AB6417" s="1">
        <v>35</v>
      </c>
    </row>
    <row r="6418" spans="1:28" x14ac:dyDescent="0.2">
      <c r="A6418" s="1">
        <v>16552</v>
      </c>
      <c r="L6418" s="1" t="s">
        <v>2464</v>
      </c>
      <c r="N6418" s="1" t="s">
        <v>2465</v>
      </c>
      <c r="P6418" s="1" t="s">
        <v>2466</v>
      </c>
      <c r="Q6418" s="3">
        <v>0</v>
      </c>
      <c r="R6418" s="23" t="s">
        <v>6854</v>
      </c>
      <c r="S6418" s="23" t="s">
        <v>6847</v>
      </c>
      <c r="W6418" s="45" t="str">
        <f>HYPERLINK("http://ictvonline.org/taxonomy/p/taxonomy-history?taxnode_id=201903939","ICTVonline=201903939")</f>
        <v>ICTVonline=201903939</v>
      </c>
      <c r="AA6418" s="1">
        <v>201900000</v>
      </c>
      <c r="AB6418" s="1">
        <v>35</v>
      </c>
    </row>
    <row r="6419" spans="1:28" x14ac:dyDescent="0.2">
      <c r="A6419" s="1">
        <v>16554</v>
      </c>
      <c r="L6419" s="1" t="s">
        <v>2464</v>
      </c>
      <c r="N6419" s="1" t="s">
        <v>2465</v>
      </c>
      <c r="P6419" s="1" t="s">
        <v>2467</v>
      </c>
      <c r="Q6419" s="3">
        <v>1</v>
      </c>
      <c r="R6419" s="23" t="s">
        <v>6854</v>
      </c>
      <c r="S6419" s="23" t="s">
        <v>6847</v>
      </c>
      <c r="W6419" s="45" t="str">
        <f>HYPERLINK("http://ictvonline.org/taxonomy/p/taxonomy-history?taxnode_id=201903940","ICTVonline=201903940")</f>
        <v>ICTVonline=201903940</v>
      </c>
      <c r="AA6419" s="1">
        <v>201900000</v>
      </c>
      <c r="AB6419" s="1">
        <v>35</v>
      </c>
    </row>
    <row r="6420" spans="1:28" x14ac:dyDescent="0.2">
      <c r="A6420" s="1">
        <v>16558</v>
      </c>
      <c r="L6420" s="1" t="s">
        <v>2464</v>
      </c>
      <c r="N6420" s="1" t="s">
        <v>2468</v>
      </c>
      <c r="P6420" s="1" t="s">
        <v>2469</v>
      </c>
      <c r="Q6420" s="3">
        <v>1</v>
      </c>
      <c r="R6420" s="23" t="s">
        <v>6854</v>
      </c>
      <c r="S6420" s="23" t="s">
        <v>6847</v>
      </c>
      <c r="W6420" s="45" t="str">
        <f>HYPERLINK("http://ictvonline.org/taxonomy/p/taxonomy-history?taxnode_id=201903942","ICTVonline=201903942")</f>
        <v>ICTVonline=201903942</v>
      </c>
      <c r="AA6420" s="1">
        <v>201900000</v>
      </c>
      <c r="AB6420" s="1">
        <v>35</v>
      </c>
    </row>
    <row r="6421" spans="1:28" x14ac:dyDescent="0.2">
      <c r="A6421" s="1">
        <v>16564</v>
      </c>
      <c r="L6421" s="1" t="s">
        <v>6806</v>
      </c>
      <c r="N6421" s="1" t="s">
        <v>6807</v>
      </c>
      <c r="P6421" s="1" t="s">
        <v>6808</v>
      </c>
      <c r="Q6421" s="3">
        <v>1</v>
      </c>
      <c r="R6421" s="23" t="s">
        <v>6854</v>
      </c>
      <c r="S6421" s="23" t="s">
        <v>6847</v>
      </c>
      <c r="W6421" s="45" t="str">
        <f>HYPERLINK("http://ictvonline.org/taxonomy/p/taxonomy-history?taxnode_id=201906901","ICTVonline=201906901")</f>
        <v>ICTVonline=201906901</v>
      </c>
      <c r="X6421" s="1" t="s">
        <v>16725</v>
      </c>
      <c r="Y6421" s="1" t="s">
        <v>16726</v>
      </c>
      <c r="Z6421" s="1" t="s">
        <v>16727</v>
      </c>
      <c r="AA6421" s="1">
        <v>201900000</v>
      </c>
      <c r="AB6421" s="1">
        <v>35</v>
      </c>
    </row>
    <row r="6422" spans="1:28" x14ac:dyDescent="0.2">
      <c r="A6422" s="1">
        <v>16570</v>
      </c>
      <c r="L6422" s="1" t="s">
        <v>942</v>
      </c>
      <c r="N6422" s="1" t="s">
        <v>943</v>
      </c>
      <c r="P6422" s="1" t="s">
        <v>3858</v>
      </c>
      <c r="Q6422" s="3">
        <v>1</v>
      </c>
      <c r="R6422" s="23" t="s">
        <v>6854</v>
      </c>
      <c r="S6422" s="23" t="s">
        <v>6847</v>
      </c>
      <c r="W6422" s="45" t="str">
        <f>HYPERLINK("http://ictvonline.org/taxonomy/p/taxonomy-history?taxnode_id=201904339","ICTVonline=201904339")</f>
        <v>ICTVonline=201904339</v>
      </c>
      <c r="AA6422" s="1">
        <v>201900000</v>
      </c>
      <c r="AB6422" s="1">
        <v>35</v>
      </c>
    </row>
    <row r="6423" spans="1:28" x14ac:dyDescent="0.2">
      <c r="A6423" s="1">
        <v>16576</v>
      </c>
      <c r="L6423" s="1" t="s">
        <v>944</v>
      </c>
      <c r="N6423" s="1" t="s">
        <v>609</v>
      </c>
      <c r="P6423" s="1" t="s">
        <v>945</v>
      </c>
      <c r="Q6423" s="3">
        <v>0</v>
      </c>
      <c r="R6423" s="23" t="s">
        <v>6854</v>
      </c>
      <c r="S6423" s="23" t="s">
        <v>6847</v>
      </c>
      <c r="W6423" s="45" t="str">
        <f>HYPERLINK("http://ictvonline.org/taxonomy/p/taxonomy-history?taxnode_id=201904355","ICTVonline=201904355")</f>
        <v>ICTVonline=201904355</v>
      </c>
      <c r="AA6423" s="1">
        <v>201900000</v>
      </c>
      <c r="AB6423" s="1">
        <v>35</v>
      </c>
    </row>
    <row r="6424" spans="1:28" x14ac:dyDescent="0.2">
      <c r="A6424" s="1">
        <v>16578</v>
      </c>
      <c r="L6424" s="1" t="s">
        <v>944</v>
      </c>
      <c r="N6424" s="1" t="s">
        <v>609</v>
      </c>
      <c r="P6424" s="1" t="s">
        <v>602</v>
      </c>
      <c r="Q6424" s="3">
        <v>0</v>
      </c>
      <c r="R6424" s="23" t="s">
        <v>6854</v>
      </c>
      <c r="S6424" s="23" t="s">
        <v>6847</v>
      </c>
      <c r="W6424" s="45" t="str">
        <f>HYPERLINK("http://ictvonline.org/taxonomy/p/taxonomy-history?taxnode_id=201904356","ICTVonline=201904356")</f>
        <v>ICTVonline=201904356</v>
      </c>
      <c r="AA6424" s="1">
        <v>201900000</v>
      </c>
      <c r="AB6424" s="1">
        <v>35</v>
      </c>
    </row>
    <row r="6425" spans="1:28" x14ac:dyDescent="0.2">
      <c r="A6425" s="1">
        <v>16580</v>
      </c>
      <c r="L6425" s="1" t="s">
        <v>944</v>
      </c>
      <c r="N6425" s="1" t="s">
        <v>609</v>
      </c>
      <c r="P6425" s="1" t="s">
        <v>603</v>
      </c>
      <c r="Q6425" s="3">
        <v>0</v>
      </c>
      <c r="R6425" s="23" t="s">
        <v>6854</v>
      </c>
      <c r="S6425" s="23" t="s">
        <v>6847</v>
      </c>
      <c r="W6425" s="45" t="str">
        <f>HYPERLINK("http://ictvonline.org/taxonomy/p/taxonomy-history?taxnode_id=201904357","ICTVonline=201904357")</f>
        <v>ICTVonline=201904357</v>
      </c>
      <c r="AA6425" s="1">
        <v>201900000</v>
      </c>
      <c r="AB6425" s="1">
        <v>35</v>
      </c>
    </row>
    <row r="6426" spans="1:28" x14ac:dyDescent="0.2">
      <c r="A6426" s="1">
        <v>16582</v>
      </c>
      <c r="L6426" s="1" t="s">
        <v>944</v>
      </c>
      <c r="N6426" s="1" t="s">
        <v>609</v>
      </c>
      <c r="P6426" s="1" t="s">
        <v>604</v>
      </c>
      <c r="Q6426" s="3">
        <v>0</v>
      </c>
      <c r="R6426" s="23" t="s">
        <v>6854</v>
      </c>
      <c r="S6426" s="23" t="s">
        <v>6847</v>
      </c>
      <c r="W6426" s="45" t="str">
        <f>HYPERLINK("http://ictvonline.org/taxonomy/p/taxonomy-history?taxnode_id=201904358","ICTVonline=201904358")</f>
        <v>ICTVonline=201904358</v>
      </c>
      <c r="AA6426" s="1">
        <v>201900000</v>
      </c>
      <c r="AB6426" s="1">
        <v>35</v>
      </c>
    </row>
    <row r="6427" spans="1:28" x14ac:dyDescent="0.2">
      <c r="A6427" s="1">
        <v>16584</v>
      </c>
      <c r="L6427" s="1" t="s">
        <v>944</v>
      </c>
      <c r="N6427" s="1" t="s">
        <v>609</v>
      </c>
      <c r="P6427" s="1" t="s">
        <v>605</v>
      </c>
      <c r="Q6427" s="3">
        <v>0</v>
      </c>
      <c r="R6427" s="23" t="s">
        <v>6854</v>
      </c>
      <c r="S6427" s="23" t="s">
        <v>6847</v>
      </c>
      <c r="W6427" s="45" t="str">
        <f>HYPERLINK("http://ictvonline.org/taxonomy/p/taxonomy-history?taxnode_id=201904359","ICTVonline=201904359")</f>
        <v>ICTVonline=201904359</v>
      </c>
      <c r="AA6427" s="1">
        <v>201900000</v>
      </c>
      <c r="AB6427" s="1">
        <v>35</v>
      </c>
    </row>
    <row r="6428" spans="1:28" x14ac:dyDescent="0.2">
      <c r="A6428" s="1">
        <v>16586</v>
      </c>
      <c r="L6428" s="1" t="s">
        <v>944</v>
      </c>
      <c r="N6428" s="1" t="s">
        <v>609</v>
      </c>
      <c r="P6428" s="1" t="s">
        <v>938</v>
      </c>
      <c r="Q6428" s="3">
        <v>0</v>
      </c>
      <c r="R6428" s="23" t="s">
        <v>6854</v>
      </c>
      <c r="S6428" s="23" t="s">
        <v>6847</v>
      </c>
      <c r="W6428" s="45" t="str">
        <f>HYPERLINK("http://ictvonline.org/taxonomy/p/taxonomy-history?taxnode_id=201904360","ICTVonline=201904360")</f>
        <v>ICTVonline=201904360</v>
      </c>
      <c r="AA6428" s="1">
        <v>201900000</v>
      </c>
      <c r="AB6428" s="1">
        <v>35</v>
      </c>
    </row>
    <row r="6429" spans="1:28" x14ac:dyDescent="0.2">
      <c r="A6429" s="1">
        <v>16588</v>
      </c>
      <c r="L6429" s="1" t="s">
        <v>944</v>
      </c>
      <c r="N6429" s="1" t="s">
        <v>609</v>
      </c>
      <c r="P6429" s="1" t="s">
        <v>939</v>
      </c>
      <c r="Q6429" s="3">
        <v>0</v>
      </c>
      <c r="R6429" s="23" t="s">
        <v>6854</v>
      </c>
      <c r="S6429" s="23" t="s">
        <v>6847</v>
      </c>
      <c r="W6429" s="45" t="str">
        <f>HYPERLINK("http://ictvonline.org/taxonomy/p/taxonomy-history?taxnode_id=201904361","ICTVonline=201904361")</f>
        <v>ICTVonline=201904361</v>
      </c>
      <c r="AA6429" s="1">
        <v>201900000</v>
      </c>
      <c r="AB6429" s="1">
        <v>35</v>
      </c>
    </row>
    <row r="6430" spans="1:28" x14ac:dyDescent="0.2">
      <c r="A6430" s="1">
        <v>16590</v>
      </c>
      <c r="L6430" s="1" t="s">
        <v>944</v>
      </c>
      <c r="N6430" s="1" t="s">
        <v>609</v>
      </c>
      <c r="P6430" s="1" t="s">
        <v>940</v>
      </c>
      <c r="Q6430" s="3">
        <v>0</v>
      </c>
      <c r="R6430" s="23" t="s">
        <v>6854</v>
      </c>
      <c r="S6430" s="23" t="s">
        <v>6847</v>
      </c>
      <c r="W6430" s="45" t="str">
        <f>HYPERLINK("http://ictvonline.org/taxonomy/p/taxonomy-history?taxnode_id=201904362","ICTVonline=201904362")</f>
        <v>ICTVonline=201904362</v>
      </c>
      <c r="AA6430" s="1">
        <v>201900000</v>
      </c>
      <c r="AB6430" s="1">
        <v>35</v>
      </c>
    </row>
    <row r="6431" spans="1:28" x14ac:dyDescent="0.2">
      <c r="A6431" s="1">
        <v>16592</v>
      </c>
      <c r="L6431" s="1" t="s">
        <v>944</v>
      </c>
      <c r="N6431" s="1" t="s">
        <v>609</v>
      </c>
      <c r="P6431" s="1" t="s">
        <v>941</v>
      </c>
      <c r="Q6431" s="3">
        <v>0</v>
      </c>
      <c r="R6431" s="23" t="s">
        <v>6854</v>
      </c>
      <c r="S6431" s="23" t="s">
        <v>6847</v>
      </c>
      <c r="W6431" s="45" t="str">
        <f>HYPERLINK("http://ictvonline.org/taxonomy/p/taxonomy-history?taxnode_id=201904363","ICTVonline=201904363")</f>
        <v>ICTVonline=201904363</v>
      </c>
      <c r="AA6431" s="1">
        <v>201900000</v>
      </c>
      <c r="AB6431" s="1">
        <v>35</v>
      </c>
    </row>
    <row r="6432" spans="1:28" x14ac:dyDescent="0.2">
      <c r="A6432" s="1">
        <v>16594</v>
      </c>
      <c r="L6432" s="1" t="s">
        <v>944</v>
      </c>
      <c r="N6432" s="1" t="s">
        <v>609</v>
      </c>
      <c r="P6432" s="1" t="s">
        <v>5439</v>
      </c>
      <c r="Q6432" s="3">
        <v>0</v>
      </c>
      <c r="R6432" s="23" t="s">
        <v>6854</v>
      </c>
      <c r="S6432" s="23" t="s">
        <v>6847</v>
      </c>
      <c r="W6432" s="45" t="str">
        <f>HYPERLINK("http://ictvonline.org/taxonomy/p/taxonomy-history?taxnode_id=201904364","ICTVonline=201904364")</f>
        <v>ICTVonline=201904364</v>
      </c>
      <c r="AA6432" s="1">
        <v>201900000</v>
      </c>
      <c r="AB6432" s="1">
        <v>35</v>
      </c>
    </row>
    <row r="6433" spans="1:28" x14ac:dyDescent="0.2">
      <c r="A6433" s="1">
        <v>16596</v>
      </c>
      <c r="L6433" s="1" t="s">
        <v>944</v>
      </c>
      <c r="N6433" s="1" t="s">
        <v>609</v>
      </c>
      <c r="P6433" s="1" t="s">
        <v>1735</v>
      </c>
      <c r="Q6433" s="3">
        <v>0</v>
      </c>
      <c r="R6433" s="23" t="s">
        <v>6854</v>
      </c>
      <c r="S6433" s="23" t="s">
        <v>6847</v>
      </c>
      <c r="W6433" s="45" t="str">
        <f>HYPERLINK("http://ictvonline.org/taxonomy/p/taxonomy-history?taxnode_id=201904365","ICTVonline=201904365")</f>
        <v>ICTVonline=201904365</v>
      </c>
      <c r="AA6433" s="1">
        <v>201900000</v>
      </c>
      <c r="AB6433" s="1">
        <v>35</v>
      </c>
    </row>
    <row r="6434" spans="1:28" x14ac:dyDescent="0.2">
      <c r="A6434" s="1">
        <v>16598</v>
      </c>
      <c r="L6434" s="1" t="s">
        <v>944</v>
      </c>
      <c r="N6434" s="1" t="s">
        <v>609</v>
      </c>
      <c r="P6434" s="1" t="s">
        <v>610</v>
      </c>
      <c r="Q6434" s="3">
        <v>0</v>
      </c>
      <c r="R6434" s="23" t="s">
        <v>6854</v>
      </c>
      <c r="S6434" s="23" t="s">
        <v>6847</v>
      </c>
      <c r="W6434" s="45" t="str">
        <f>HYPERLINK("http://ictvonline.org/taxonomy/p/taxonomy-history?taxnode_id=201904366","ICTVonline=201904366")</f>
        <v>ICTVonline=201904366</v>
      </c>
      <c r="AA6434" s="1">
        <v>201900000</v>
      </c>
      <c r="AB6434" s="1">
        <v>35</v>
      </c>
    </row>
    <row r="6435" spans="1:28" x14ac:dyDescent="0.2">
      <c r="A6435" s="1">
        <v>16600</v>
      </c>
      <c r="L6435" s="1" t="s">
        <v>944</v>
      </c>
      <c r="N6435" s="1" t="s">
        <v>609</v>
      </c>
      <c r="P6435" s="1" t="s">
        <v>611</v>
      </c>
      <c r="Q6435" s="3">
        <v>0</v>
      </c>
      <c r="R6435" s="23" t="s">
        <v>6854</v>
      </c>
      <c r="S6435" s="23" t="s">
        <v>6847</v>
      </c>
      <c r="W6435" s="45" t="str">
        <f>HYPERLINK("http://ictvonline.org/taxonomy/p/taxonomy-history?taxnode_id=201904367","ICTVonline=201904367")</f>
        <v>ICTVonline=201904367</v>
      </c>
      <c r="AA6435" s="1">
        <v>201900000</v>
      </c>
      <c r="AB6435" s="1">
        <v>35</v>
      </c>
    </row>
    <row r="6436" spans="1:28" x14ac:dyDescent="0.2">
      <c r="A6436" s="1">
        <v>16602</v>
      </c>
      <c r="L6436" s="1" t="s">
        <v>944</v>
      </c>
      <c r="N6436" s="1" t="s">
        <v>609</v>
      </c>
      <c r="P6436" s="1" t="s">
        <v>1731</v>
      </c>
      <c r="Q6436" s="3">
        <v>0</v>
      </c>
      <c r="R6436" s="23" t="s">
        <v>6854</v>
      </c>
      <c r="S6436" s="23" t="s">
        <v>6847</v>
      </c>
      <c r="W6436" s="45" t="str">
        <f>HYPERLINK("http://ictvonline.org/taxonomy/p/taxonomy-history?taxnode_id=201904368","ICTVonline=201904368")</f>
        <v>ICTVonline=201904368</v>
      </c>
      <c r="AA6436" s="1">
        <v>201900000</v>
      </c>
      <c r="AB6436" s="1">
        <v>35</v>
      </c>
    </row>
    <row r="6437" spans="1:28" x14ac:dyDescent="0.2">
      <c r="A6437" s="1">
        <v>16604</v>
      </c>
      <c r="L6437" s="1" t="s">
        <v>944</v>
      </c>
      <c r="N6437" s="1" t="s">
        <v>609</v>
      </c>
      <c r="P6437" s="1" t="s">
        <v>1732</v>
      </c>
      <c r="Q6437" s="3">
        <v>0</v>
      </c>
      <c r="R6437" s="23" t="s">
        <v>6854</v>
      </c>
      <c r="S6437" s="23" t="s">
        <v>6847</v>
      </c>
      <c r="W6437" s="45" t="str">
        <f>HYPERLINK("http://ictvonline.org/taxonomy/p/taxonomy-history?taxnode_id=201904369","ICTVonline=201904369")</f>
        <v>ICTVonline=201904369</v>
      </c>
      <c r="AA6437" s="1">
        <v>201900000</v>
      </c>
      <c r="AB6437" s="1">
        <v>35</v>
      </c>
    </row>
    <row r="6438" spans="1:28" x14ac:dyDescent="0.2">
      <c r="A6438" s="1">
        <v>16606</v>
      </c>
      <c r="L6438" s="1" t="s">
        <v>944</v>
      </c>
      <c r="N6438" s="1" t="s">
        <v>609</v>
      </c>
      <c r="P6438" s="1" t="s">
        <v>1733</v>
      </c>
      <c r="Q6438" s="3">
        <v>0</v>
      </c>
      <c r="R6438" s="23" t="s">
        <v>6854</v>
      </c>
      <c r="S6438" s="23" t="s">
        <v>6847</v>
      </c>
      <c r="W6438" s="45" t="str">
        <f>HYPERLINK("http://ictvonline.org/taxonomy/p/taxonomy-history?taxnode_id=201904370","ICTVonline=201904370")</f>
        <v>ICTVonline=201904370</v>
      </c>
      <c r="AA6438" s="1">
        <v>201900000</v>
      </c>
      <c r="AB6438" s="1">
        <v>35</v>
      </c>
    </row>
    <row r="6439" spans="1:28" x14ac:dyDescent="0.2">
      <c r="A6439" s="1">
        <v>16608</v>
      </c>
      <c r="L6439" s="1" t="s">
        <v>944</v>
      </c>
      <c r="N6439" s="1" t="s">
        <v>609</v>
      </c>
      <c r="P6439" s="1" t="s">
        <v>606</v>
      </c>
      <c r="Q6439" s="3">
        <v>0</v>
      </c>
      <c r="R6439" s="23" t="s">
        <v>6854</v>
      </c>
      <c r="S6439" s="23" t="s">
        <v>6847</v>
      </c>
      <c r="W6439" s="45" t="str">
        <f>HYPERLINK("http://ictvonline.org/taxonomy/p/taxonomy-history?taxnode_id=201904371","ICTVonline=201904371")</f>
        <v>ICTVonline=201904371</v>
      </c>
      <c r="AA6439" s="1">
        <v>201900000</v>
      </c>
      <c r="AB6439" s="1">
        <v>35</v>
      </c>
    </row>
    <row r="6440" spans="1:28" x14ac:dyDescent="0.2">
      <c r="A6440" s="1">
        <v>16610</v>
      </c>
      <c r="L6440" s="1" t="s">
        <v>944</v>
      </c>
      <c r="N6440" s="1" t="s">
        <v>609</v>
      </c>
      <c r="P6440" s="1" t="s">
        <v>607</v>
      </c>
      <c r="Q6440" s="3">
        <v>1</v>
      </c>
      <c r="R6440" s="23" t="s">
        <v>6854</v>
      </c>
      <c r="S6440" s="23" t="s">
        <v>6847</v>
      </c>
      <c r="W6440" s="45" t="str">
        <f>HYPERLINK("http://ictvonline.org/taxonomy/p/taxonomy-history?taxnode_id=201904372","ICTVonline=201904372")</f>
        <v>ICTVonline=201904372</v>
      </c>
      <c r="AA6440" s="1">
        <v>201900000</v>
      </c>
      <c r="AB6440" s="1">
        <v>35</v>
      </c>
    </row>
    <row r="6441" spans="1:28" x14ac:dyDescent="0.2">
      <c r="A6441" s="1">
        <v>16612</v>
      </c>
      <c r="L6441" s="1" t="s">
        <v>944</v>
      </c>
      <c r="N6441" s="1" t="s">
        <v>609</v>
      </c>
      <c r="P6441" s="1" t="s">
        <v>608</v>
      </c>
      <c r="Q6441" s="3">
        <v>0</v>
      </c>
      <c r="R6441" s="23" t="s">
        <v>6854</v>
      </c>
      <c r="S6441" s="23" t="s">
        <v>6847</v>
      </c>
      <c r="W6441" s="45" t="str">
        <f>HYPERLINK("http://ictvonline.org/taxonomy/p/taxonomy-history?taxnode_id=201904373","ICTVonline=201904373")</f>
        <v>ICTVonline=201904373</v>
      </c>
      <c r="AA6441" s="1">
        <v>201900000</v>
      </c>
      <c r="AB6441" s="1">
        <v>35</v>
      </c>
    </row>
    <row r="6442" spans="1:28" x14ac:dyDescent="0.2">
      <c r="A6442" s="1">
        <v>16614</v>
      </c>
      <c r="L6442" s="1" t="s">
        <v>944</v>
      </c>
      <c r="N6442" s="1" t="s">
        <v>609</v>
      </c>
      <c r="P6442" s="1" t="s">
        <v>618</v>
      </c>
      <c r="Q6442" s="3">
        <v>0</v>
      </c>
      <c r="R6442" s="23" t="s">
        <v>6854</v>
      </c>
      <c r="S6442" s="23" t="s">
        <v>6847</v>
      </c>
      <c r="W6442" s="45" t="str">
        <f>HYPERLINK("http://ictvonline.org/taxonomy/p/taxonomy-history?taxnode_id=201904374","ICTVonline=201904374")</f>
        <v>ICTVonline=201904374</v>
      </c>
      <c r="AA6442" s="1">
        <v>201900000</v>
      </c>
      <c r="AB6442" s="1">
        <v>35</v>
      </c>
    </row>
    <row r="6443" spans="1:28" x14ac:dyDescent="0.2">
      <c r="A6443" s="1">
        <v>16616</v>
      </c>
      <c r="L6443" s="1" t="s">
        <v>944</v>
      </c>
      <c r="N6443" s="1" t="s">
        <v>609</v>
      </c>
      <c r="P6443" s="1" t="s">
        <v>619</v>
      </c>
      <c r="Q6443" s="3">
        <v>0</v>
      </c>
      <c r="R6443" s="23" t="s">
        <v>6854</v>
      </c>
      <c r="S6443" s="23" t="s">
        <v>6847</v>
      </c>
      <c r="W6443" s="45" t="str">
        <f>HYPERLINK("http://ictvonline.org/taxonomy/p/taxonomy-history?taxnode_id=201904375","ICTVonline=201904375")</f>
        <v>ICTVonline=201904375</v>
      </c>
      <c r="AA6443" s="1">
        <v>201900000</v>
      </c>
      <c r="AB6443" s="1">
        <v>35</v>
      </c>
    </row>
    <row r="6444" spans="1:28" x14ac:dyDescent="0.2">
      <c r="A6444" s="1">
        <v>16618</v>
      </c>
      <c r="L6444" s="1" t="s">
        <v>944</v>
      </c>
      <c r="N6444" s="1" t="s">
        <v>609</v>
      </c>
      <c r="P6444" s="1" t="s">
        <v>880</v>
      </c>
      <c r="Q6444" s="3">
        <v>0</v>
      </c>
      <c r="R6444" s="23" t="s">
        <v>6854</v>
      </c>
      <c r="S6444" s="23" t="s">
        <v>6847</v>
      </c>
      <c r="W6444" s="45" t="str">
        <f>HYPERLINK("http://ictvonline.org/taxonomy/p/taxonomy-history?taxnode_id=201904376","ICTVonline=201904376")</f>
        <v>ICTVonline=201904376</v>
      </c>
      <c r="AA6444" s="1">
        <v>201900000</v>
      </c>
      <c r="AB6444" s="1">
        <v>35</v>
      </c>
    </row>
    <row r="6445" spans="1:28" x14ac:dyDescent="0.2">
      <c r="A6445" s="1">
        <v>16620</v>
      </c>
      <c r="L6445" s="1" t="s">
        <v>944</v>
      </c>
      <c r="N6445" s="1" t="s">
        <v>609</v>
      </c>
      <c r="P6445" s="1" t="s">
        <v>956</v>
      </c>
      <c r="Q6445" s="3">
        <v>0</v>
      </c>
      <c r="R6445" s="23" t="s">
        <v>6854</v>
      </c>
      <c r="S6445" s="23" t="s">
        <v>6847</v>
      </c>
      <c r="W6445" s="45" t="str">
        <f>HYPERLINK("http://ictvonline.org/taxonomy/p/taxonomy-history?taxnode_id=201904377","ICTVonline=201904377")</f>
        <v>ICTVonline=201904377</v>
      </c>
      <c r="AA6445" s="1">
        <v>201900000</v>
      </c>
      <c r="AB6445" s="1">
        <v>35</v>
      </c>
    </row>
    <row r="6446" spans="1:28" x14ac:dyDescent="0.2">
      <c r="A6446" s="1">
        <v>16622</v>
      </c>
      <c r="L6446" s="1" t="s">
        <v>944</v>
      </c>
      <c r="N6446" s="1" t="s">
        <v>609</v>
      </c>
      <c r="P6446" s="1" t="s">
        <v>957</v>
      </c>
      <c r="Q6446" s="3">
        <v>0</v>
      </c>
      <c r="R6446" s="23" t="s">
        <v>6854</v>
      </c>
      <c r="S6446" s="23" t="s">
        <v>6847</v>
      </c>
      <c r="W6446" s="45" t="str">
        <f>HYPERLINK("http://ictvonline.org/taxonomy/p/taxonomy-history?taxnode_id=201904378","ICTVonline=201904378")</f>
        <v>ICTVonline=201904378</v>
      </c>
      <c r="AA6446" s="1">
        <v>201900000</v>
      </c>
      <c r="AB6446" s="1">
        <v>35</v>
      </c>
    </row>
    <row r="6447" spans="1:28" x14ac:dyDescent="0.2">
      <c r="A6447" s="1">
        <v>16624</v>
      </c>
      <c r="L6447" s="1" t="s">
        <v>944</v>
      </c>
      <c r="N6447" s="1" t="s">
        <v>609</v>
      </c>
      <c r="P6447" s="1" t="s">
        <v>1900</v>
      </c>
      <c r="Q6447" s="3">
        <v>0</v>
      </c>
      <c r="R6447" s="23" t="s">
        <v>6854</v>
      </c>
      <c r="S6447" s="23" t="s">
        <v>6847</v>
      </c>
      <c r="W6447" s="45" t="str">
        <f>HYPERLINK("http://ictvonline.org/taxonomy/p/taxonomy-history?taxnode_id=201904379","ICTVonline=201904379")</f>
        <v>ICTVonline=201904379</v>
      </c>
      <c r="AA6447" s="1">
        <v>201900000</v>
      </c>
      <c r="AB6447" s="1">
        <v>35</v>
      </c>
    </row>
    <row r="6448" spans="1:28" x14ac:dyDescent="0.2">
      <c r="A6448" s="1">
        <v>16626</v>
      </c>
      <c r="L6448" s="1" t="s">
        <v>944</v>
      </c>
      <c r="N6448" s="1" t="s">
        <v>609</v>
      </c>
      <c r="P6448" s="1" t="s">
        <v>1901</v>
      </c>
      <c r="Q6448" s="3">
        <v>0</v>
      </c>
      <c r="R6448" s="23" t="s">
        <v>6854</v>
      </c>
      <c r="S6448" s="23" t="s">
        <v>6847</v>
      </c>
      <c r="W6448" s="45" t="str">
        <f>HYPERLINK("http://ictvonline.org/taxonomy/p/taxonomy-history?taxnode_id=201904380","ICTVonline=201904380")</f>
        <v>ICTVonline=201904380</v>
      </c>
      <c r="AA6448" s="1">
        <v>201900000</v>
      </c>
      <c r="AB6448" s="1">
        <v>35</v>
      </c>
    </row>
    <row r="6449" spans="1:28" x14ac:dyDescent="0.2">
      <c r="A6449" s="1">
        <v>16628</v>
      </c>
      <c r="L6449" s="1" t="s">
        <v>944</v>
      </c>
      <c r="N6449" s="1" t="s">
        <v>609</v>
      </c>
      <c r="P6449" s="1" t="s">
        <v>1902</v>
      </c>
      <c r="Q6449" s="3">
        <v>0</v>
      </c>
      <c r="R6449" s="23" t="s">
        <v>6854</v>
      </c>
      <c r="S6449" s="23" t="s">
        <v>6847</v>
      </c>
      <c r="W6449" s="45" t="str">
        <f>HYPERLINK("http://ictvonline.org/taxonomy/p/taxonomy-history?taxnode_id=201904381","ICTVonline=201904381")</f>
        <v>ICTVonline=201904381</v>
      </c>
      <c r="AA6449" s="1">
        <v>201900000</v>
      </c>
      <c r="AB6449" s="1">
        <v>35</v>
      </c>
    </row>
    <row r="6450" spans="1:28" x14ac:dyDescent="0.2">
      <c r="A6450" s="1">
        <v>16630</v>
      </c>
      <c r="L6450" s="1" t="s">
        <v>944</v>
      </c>
      <c r="N6450" s="1" t="s">
        <v>609</v>
      </c>
      <c r="P6450" s="1" t="s">
        <v>884</v>
      </c>
      <c r="Q6450" s="3">
        <v>0</v>
      </c>
      <c r="R6450" s="23" t="s">
        <v>6854</v>
      </c>
      <c r="S6450" s="23" t="s">
        <v>6847</v>
      </c>
      <c r="W6450" s="45" t="str">
        <f>HYPERLINK("http://ictvonline.org/taxonomy/p/taxonomy-history?taxnode_id=201904382","ICTVonline=201904382")</f>
        <v>ICTVonline=201904382</v>
      </c>
      <c r="AA6450" s="1">
        <v>201900000</v>
      </c>
      <c r="AB6450" s="1">
        <v>35</v>
      </c>
    </row>
    <row r="6451" spans="1:28" x14ac:dyDescent="0.2">
      <c r="A6451" s="1">
        <v>16632</v>
      </c>
      <c r="L6451" s="1" t="s">
        <v>944</v>
      </c>
      <c r="N6451" s="1" t="s">
        <v>609</v>
      </c>
      <c r="P6451" s="1" t="s">
        <v>954</v>
      </c>
      <c r="Q6451" s="3">
        <v>0</v>
      </c>
      <c r="R6451" s="23" t="s">
        <v>6854</v>
      </c>
      <c r="S6451" s="23" t="s">
        <v>6847</v>
      </c>
      <c r="W6451" s="45" t="str">
        <f>HYPERLINK("http://ictvonline.org/taxonomy/p/taxonomy-history?taxnode_id=201904383","ICTVonline=201904383")</f>
        <v>ICTVonline=201904383</v>
      </c>
      <c r="AA6451" s="1">
        <v>201900000</v>
      </c>
      <c r="AB6451" s="1">
        <v>35</v>
      </c>
    </row>
    <row r="6452" spans="1:28" x14ac:dyDescent="0.2">
      <c r="A6452" s="1">
        <v>16634</v>
      </c>
      <c r="L6452" s="1" t="s">
        <v>944</v>
      </c>
      <c r="N6452" s="1" t="s">
        <v>609</v>
      </c>
      <c r="P6452" s="1" t="s">
        <v>955</v>
      </c>
      <c r="Q6452" s="3">
        <v>0</v>
      </c>
      <c r="R6452" s="23" t="s">
        <v>6854</v>
      </c>
      <c r="S6452" s="23" t="s">
        <v>6847</v>
      </c>
      <c r="W6452" s="45" t="str">
        <f>HYPERLINK("http://ictvonline.org/taxonomy/p/taxonomy-history?taxnode_id=201904384","ICTVonline=201904384")</f>
        <v>ICTVonline=201904384</v>
      </c>
      <c r="AA6452" s="1">
        <v>201900000</v>
      </c>
      <c r="AB6452" s="1">
        <v>35</v>
      </c>
    </row>
    <row r="6453" spans="1:28" x14ac:dyDescent="0.2">
      <c r="A6453" s="1">
        <v>16636</v>
      </c>
      <c r="L6453" s="1" t="s">
        <v>944</v>
      </c>
      <c r="N6453" s="1" t="s">
        <v>609</v>
      </c>
      <c r="P6453" s="1" t="s">
        <v>1743</v>
      </c>
      <c r="Q6453" s="3">
        <v>0</v>
      </c>
      <c r="R6453" s="23" t="s">
        <v>6854</v>
      </c>
      <c r="S6453" s="23" t="s">
        <v>6847</v>
      </c>
      <c r="W6453" s="45" t="str">
        <f>HYPERLINK("http://ictvonline.org/taxonomy/p/taxonomy-history?taxnode_id=201904385","ICTVonline=201904385")</f>
        <v>ICTVonline=201904385</v>
      </c>
      <c r="AA6453" s="1">
        <v>201900000</v>
      </c>
      <c r="AB6453" s="1">
        <v>35</v>
      </c>
    </row>
    <row r="6454" spans="1:28" x14ac:dyDescent="0.2">
      <c r="A6454" s="1">
        <v>16638</v>
      </c>
      <c r="L6454" s="1" t="s">
        <v>944</v>
      </c>
      <c r="N6454" s="1" t="s">
        <v>609</v>
      </c>
      <c r="P6454" s="1" t="s">
        <v>620</v>
      </c>
      <c r="Q6454" s="3">
        <v>0</v>
      </c>
      <c r="R6454" s="23" t="s">
        <v>6854</v>
      </c>
      <c r="S6454" s="23" t="s">
        <v>6847</v>
      </c>
      <c r="W6454" s="45" t="str">
        <f>HYPERLINK("http://ictvonline.org/taxonomy/p/taxonomy-history?taxnode_id=201904386","ICTVonline=201904386")</f>
        <v>ICTVonline=201904386</v>
      </c>
      <c r="AA6454" s="1">
        <v>201900000</v>
      </c>
      <c r="AB6454" s="1">
        <v>35</v>
      </c>
    </row>
    <row r="6455" spans="1:28" x14ac:dyDescent="0.2">
      <c r="A6455" s="1">
        <v>16642</v>
      </c>
      <c r="L6455" s="1" t="s">
        <v>944</v>
      </c>
      <c r="N6455" s="1" t="s">
        <v>621</v>
      </c>
      <c r="P6455" s="1" t="s">
        <v>958</v>
      </c>
      <c r="Q6455" s="3">
        <v>0</v>
      </c>
      <c r="R6455" s="23" t="s">
        <v>6854</v>
      </c>
      <c r="S6455" s="23" t="s">
        <v>6847</v>
      </c>
      <c r="W6455" s="45" t="str">
        <f>HYPERLINK("http://ictvonline.org/taxonomy/p/taxonomy-history?taxnode_id=201904388","ICTVonline=201904388")</f>
        <v>ICTVonline=201904388</v>
      </c>
      <c r="AA6455" s="1">
        <v>201900000</v>
      </c>
      <c r="AB6455" s="1">
        <v>35</v>
      </c>
    </row>
    <row r="6456" spans="1:28" x14ac:dyDescent="0.2">
      <c r="A6456" s="1">
        <v>16644</v>
      </c>
      <c r="L6456" s="1" t="s">
        <v>944</v>
      </c>
      <c r="N6456" s="1" t="s">
        <v>621</v>
      </c>
      <c r="P6456" s="1" t="s">
        <v>890</v>
      </c>
      <c r="Q6456" s="3">
        <v>0</v>
      </c>
      <c r="R6456" s="23" t="s">
        <v>6854</v>
      </c>
      <c r="S6456" s="23" t="s">
        <v>6847</v>
      </c>
      <c r="W6456" s="45" t="str">
        <f>HYPERLINK("http://ictvonline.org/taxonomy/p/taxonomy-history?taxnode_id=201904389","ICTVonline=201904389")</f>
        <v>ICTVonline=201904389</v>
      </c>
      <c r="AA6456" s="1">
        <v>201900000</v>
      </c>
      <c r="AB6456" s="1">
        <v>35</v>
      </c>
    </row>
    <row r="6457" spans="1:28" x14ac:dyDescent="0.2">
      <c r="A6457" s="1">
        <v>16646</v>
      </c>
      <c r="L6457" s="1" t="s">
        <v>944</v>
      </c>
      <c r="N6457" s="1" t="s">
        <v>621</v>
      </c>
      <c r="P6457" s="1" t="s">
        <v>891</v>
      </c>
      <c r="Q6457" s="3">
        <v>1</v>
      </c>
      <c r="R6457" s="23" t="s">
        <v>6854</v>
      </c>
      <c r="S6457" s="23" t="s">
        <v>6847</v>
      </c>
      <c r="W6457" s="45" t="str">
        <f>HYPERLINK("http://ictvonline.org/taxonomy/p/taxonomy-history?taxnode_id=201904390","ICTVonline=201904390")</f>
        <v>ICTVonline=201904390</v>
      </c>
      <c r="AA6457" s="1">
        <v>201900000</v>
      </c>
      <c r="AB6457" s="1">
        <v>35</v>
      </c>
    </row>
    <row r="6458" spans="1:28" x14ac:dyDescent="0.2">
      <c r="A6458" s="1">
        <v>16648</v>
      </c>
      <c r="L6458" s="1" t="s">
        <v>944</v>
      </c>
      <c r="N6458" s="1" t="s">
        <v>621</v>
      </c>
      <c r="P6458" s="1" t="s">
        <v>892</v>
      </c>
      <c r="Q6458" s="3">
        <v>0</v>
      </c>
      <c r="R6458" s="23" t="s">
        <v>6854</v>
      </c>
      <c r="S6458" s="23" t="s">
        <v>6847</v>
      </c>
      <c r="W6458" s="45" t="str">
        <f>HYPERLINK("http://ictvonline.org/taxonomy/p/taxonomy-history?taxnode_id=201904391","ICTVonline=201904391")</f>
        <v>ICTVonline=201904391</v>
      </c>
      <c r="AA6458" s="1">
        <v>201900000</v>
      </c>
      <c r="AB6458" s="1">
        <v>35</v>
      </c>
    </row>
    <row r="6459" spans="1:28" x14ac:dyDescent="0.2">
      <c r="A6459" s="1">
        <v>16650</v>
      </c>
      <c r="L6459" s="1" t="s">
        <v>944</v>
      </c>
      <c r="N6459" s="1" t="s">
        <v>621</v>
      </c>
      <c r="P6459" s="1" t="s">
        <v>974</v>
      </c>
      <c r="Q6459" s="3">
        <v>0</v>
      </c>
      <c r="R6459" s="23" t="s">
        <v>6854</v>
      </c>
      <c r="S6459" s="23" t="s">
        <v>6847</v>
      </c>
      <c r="W6459" s="45" t="str">
        <f>HYPERLINK("http://ictvonline.org/taxonomy/p/taxonomy-history?taxnode_id=201904392","ICTVonline=201904392")</f>
        <v>ICTVonline=201904392</v>
      </c>
      <c r="AA6459" s="1">
        <v>201900000</v>
      </c>
      <c r="AB6459" s="1">
        <v>35</v>
      </c>
    </row>
    <row r="6460" spans="1:28" x14ac:dyDescent="0.2">
      <c r="A6460" s="1">
        <v>16652</v>
      </c>
      <c r="L6460" s="1" t="s">
        <v>944</v>
      </c>
      <c r="N6460" s="1" t="s">
        <v>621</v>
      </c>
      <c r="P6460" s="1" t="s">
        <v>975</v>
      </c>
      <c r="Q6460" s="3">
        <v>0</v>
      </c>
      <c r="R6460" s="23" t="s">
        <v>6854</v>
      </c>
      <c r="S6460" s="23" t="s">
        <v>6847</v>
      </c>
      <c r="W6460" s="45" t="str">
        <f>HYPERLINK("http://ictvonline.org/taxonomy/p/taxonomy-history?taxnode_id=201904393","ICTVonline=201904393")</f>
        <v>ICTVonline=201904393</v>
      </c>
      <c r="AA6460" s="1">
        <v>201900000</v>
      </c>
      <c r="AB6460" s="1">
        <v>35</v>
      </c>
    </row>
    <row r="6461" spans="1:28" x14ac:dyDescent="0.2">
      <c r="A6461" s="1">
        <v>16654</v>
      </c>
      <c r="L6461" s="1" t="s">
        <v>944</v>
      </c>
      <c r="N6461" s="1" t="s">
        <v>621</v>
      </c>
      <c r="P6461" s="1" t="s">
        <v>976</v>
      </c>
      <c r="Q6461" s="3">
        <v>0</v>
      </c>
      <c r="R6461" s="23" t="s">
        <v>6854</v>
      </c>
      <c r="S6461" s="23" t="s">
        <v>6847</v>
      </c>
      <c r="W6461" s="45" t="str">
        <f>HYPERLINK("http://ictvonline.org/taxonomy/p/taxonomy-history?taxnode_id=201904394","ICTVonline=201904394")</f>
        <v>ICTVonline=201904394</v>
      </c>
      <c r="AA6461" s="1">
        <v>201900000</v>
      </c>
      <c r="AB6461" s="1">
        <v>35</v>
      </c>
    </row>
    <row r="6462" spans="1:28" x14ac:dyDescent="0.2">
      <c r="A6462" s="1">
        <v>16656</v>
      </c>
      <c r="L6462" s="1" t="s">
        <v>944</v>
      </c>
      <c r="N6462" s="1" t="s">
        <v>621</v>
      </c>
      <c r="P6462" s="1" t="s">
        <v>977</v>
      </c>
      <c r="Q6462" s="3">
        <v>0</v>
      </c>
      <c r="R6462" s="23" t="s">
        <v>6854</v>
      </c>
      <c r="S6462" s="23" t="s">
        <v>6847</v>
      </c>
      <c r="W6462" s="45" t="str">
        <f>HYPERLINK("http://ictvonline.org/taxonomy/p/taxonomy-history?taxnode_id=201904395","ICTVonline=201904395")</f>
        <v>ICTVonline=201904395</v>
      </c>
      <c r="AA6462" s="1">
        <v>201900000</v>
      </c>
      <c r="AB6462" s="1">
        <v>35</v>
      </c>
    </row>
    <row r="6463" spans="1:28" x14ac:dyDescent="0.2">
      <c r="A6463" s="1">
        <v>16658</v>
      </c>
      <c r="L6463" s="1" t="s">
        <v>944</v>
      </c>
      <c r="N6463" s="1" t="s">
        <v>621</v>
      </c>
      <c r="P6463" s="1" t="s">
        <v>978</v>
      </c>
      <c r="Q6463" s="3">
        <v>0</v>
      </c>
      <c r="R6463" s="23" t="s">
        <v>6854</v>
      </c>
      <c r="S6463" s="23" t="s">
        <v>6847</v>
      </c>
      <c r="W6463" s="45" t="str">
        <f>HYPERLINK("http://ictvonline.org/taxonomy/p/taxonomy-history?taxnode_id=201904396","ICTVonline=201904396")</f>
        <v>ICTVonline=201904396</v>
      </c>
      <c r="AA6463" s="1">
        <v>201900000</v>
      </c>
      <c r="AB6463" s="1">
        <v>35</v>
      </c>
    </row>
    <row r="6464" spans="1:28" x14ac:dyDescent="0.2">
      <c r="A6464" s="1">
        <v>16660</v>
      </c>
      <c r="L6464" s="1" t="s">
        <v>944</v>
      </c>
      <c r="N6464" s="1" t="s">
        <v>621</v>
      </c>
      <c r="P6464" s="1" t="s">
        <v>979</v>
      </c>
      <c r="Q6464" s="3">
        <v>0</v>
      </c>
      <c r="R6464" s="23" t="s">
        <v>6854</v>
      </c>
      <c r="S6464" s="23" t="s">
        <v>6847</v>
      </c>
      <c r="W6464" s="45" t="str">
        <f>HYPERLINK("http://ictvonline.org/taxonomy/p/taxonomy-history?taxnode_id=201904397","ICTVonline=201904397")</f>
        <v>ICTVonline=201904397</v>
      </c>
      <c r="AA6464" s="1">
        <v>201900000</v>
      </c>
      <c r="AB6464" s="1">
        <v>35</v>
      </c>
    </row>
    <row r="6465" spans="1:28" x14ac:dyDescent="0.2">
      <c r="A6465" s="1">
        <v>16662</v>
      </c>
      <c r="L6465" s="1" t="s">
        <v>944</v>
      </c>
      <c r="N6465" s="1" t="s">
        <v>621</v>
      </c>
      <c r="P6465" s="1" t="s">
        <v>980</v>
      </c>
      <c r="Q6465" s="3">
        <v>0</v>
      </c>
      <c r="R6465" s="23" t="s">
        <v>6854</v>
      </c>
      <c r="S6465" s="23" t="s">
        <v>6847</v>
      </c>
      <c r="W6465" s="45" t="str">
        <f>HYPERLINK("http://ictvonline.org/taxonomy/p/taxonomy-history?taxnode_id=201904398","ICTVonline=201904398")</f>
        <v>ICTVonline=201904398</v>
      </c>
      <c r="AA6465" s="1">
        <v>201900000</v>
      </c>
      <c r="AB6465" s="1">
        <v>35</v>
      </c>
    </row>
    <row r="6466" spans="1:28" x14ac:dyDescent="0.2">
      <c r="A6466" s="1">
        <v>16664</v>
      </c>
      <c r="L6466" s="1" t="s">
        <v>944</v>
      </c>
      <c r="N6466" s="1" t="s">
        <v>621</v>
      </c>
      <c r="P6466" s="1" t="s">
        <v>981</v>
      </c>
      <c r="Q6466" s="3">
        <v>0</v>
      </c>
      <c r="R6466" s="23" t="s">
        <v>6854</v>
      </c>
      <c r="S6466" s="23" t="s">
        <v>6847</v>
      </c>
      <c r="W6466" s="45" t="str">
        <f>HYPERLINK("http://ictvonline.org/taxonomy/p/taxonomy-history?taxnode_id=201904399","ICTVonline=201904399")</f>
        <v>ICTVonline=201904399</v>
      </c>
      <c r="AA6466" s="1">
        <v>201900000</v>
      </c>
      <c r="AB6466" s="1">
        <v>35</v>
      </c>
    </row>
    <row r="6467" spans="1:28" x14ac:dyDescent="0.2">
      <c r="A6467" s="1">
        <v>16666</v>
      </c>
      <c r="L6467" s="1" t="s">
        <v>944</v>
      </c>
      <c r="N6467" s="1" t="s">
        <v>621</v>
      </c>
      <c r="P6467" s="1" t="s">
        <v>982</v>
      </c>
      <c r="Q6467" s="3">
        <v>0</v>
      </c>
      <c r="R6467" s="23" t="s">
        <v>6854</v>
      </c>
      <c r="S6467" s="23" t="s">
        <v>6847</v>
      </c>
      <c r="W6467" s="45" t="str">
        <f>HYPERLINK("http://ictvonline.org/taxonomy/p/taxonomy-history?taxnode_id=201904400","ICTVonline=201904400")</f>
        <v>ICTVonline=201904400</v>
      </c>
      <c r="AA6467" s="1">
        <v>201900000</v>
      </c>
      <c r="AB6467" s="1">
        <v>35</v>
      </c>
    </row>
    <row r="6468" spans="1:28" x14ac:dyDescent="0.2">
      <c r="A6468" s="1">
        <v>16668</v>
      </c>
      <c r="L6468" s="1" t="s">
        <v>944</v>
      </c>
      <c r="N6468" s="1" t="s">
        <v>621</v>
      </c>
      <c r="P6468" s="1" t="s">
        <v>983</v>
      </c>
      <c r="Q6468" s="3">
        <v>0</v>
      </c>
      <c r="R6468" s="23" t="s">
        <v>6854</v>
      </c>
      <c r="S6468" s="23" t="s">
        <v>6847</v>
      </c>
      <c r="W6468" s="45" t="str">
        <f>HYPERLINK("http://ictvonline.org/taxonomy/p/taxonomy-history?taxnode_id=201904401","ICTVonline=201904401")</f>
        <v>ICTVonline=201904401</v>
      </c>
      <c r="AA6468" s="1">
        <v>201900000</v>
      </c>
      <c r="AB6468" s="1">
        <v>35</v>
      </c>
    </row>
    <row r="6469" spans="1:28" x14ac:dyDescent="0.2">
      <c r="A6469" s="1">
        <v>16670</v>
      </c>
      <c r="L6469" s="1" t="s">
        <v>944</v>
      </c>
      <c r="N6469" s="1" t="s">
        <v>621</v>
      </c>
      <c r="P6469" s="1" t="s">
        <v>984</v>
      </c>
      <c r="Q6469" s="3">
        <v>0</v>
      </c>
      <c r="R6469" s="23" t="s">
        <v>6854</v>
      </c>
      <c r="S6469" s="23" t="s">
        <v>6847</v>
      </c>
      <c r="W6469" s="45" t="str">
        <f>HYPERLINK("http://ictvonline.org/taxonomy/p/taxonomy-history?taxnode_id=201904402","ICTVonline=201904402")</f>
        <v>ICTVonline=201904402</v>
      </c>
      <c r="AA6469" s="1">
        <v>201900000</v>
      </c>
      <c r="AB6469" s="1">
        <v>35</v>
      </c>
    </row>
    <row r="6470" spans="1:28" x14ac:dyDescent="0.2">
      <c r="A6470" s="1">
        <v>16672</v>
      </c>
      <c r="L6470" s="1" t="s">
        <v>944</v>
      </c>
      <c r="N6470" s="1" t="s">
        <v>621</v>
      </c>
      <c r="P6470" s="1" t="s">
        <v>985</v>
      </c>
      <c r="Q6470" s="3">
        <v>0</v>
      </c>
      <c r="R6470" s="23" t="s">
        <v>6854</v>
      </c>
      <c r="S6470" s="23" t="s">
        <v>6847</v>
      </c>
      <c r="W6470" s="45" t="str">
        <f>HYPERLINK("http://ictvonline.org/taxonomy/p/taxonomy-history?taxnode_id=201904403","ICTVonline=201904403")</f>
        <v>ICTVonline=201904403</v>
      </c>
      <c r="AA6470" s="1">
        <v>201900000</v>
      </c>
      <c r="AB6470" s="1">
        <v>35</v>
      </c>
    </row>
    <row r="6471" spans="1:28" x14ac:dyDescent="0.2">
      <c r="A6471" s="1">
        <v>16674</v>
      </c>
      <c r="L6471" s="1" t="s">
        <v>944</v>
      </c>
      <c r="N6471" s="1" t="s">
        <v>621</v>
      </c>
      <c r="P6471" s="1" t="s">
        <v>986</v>
      </c>
      <c r="Q6471" s="3">
        <v>0</v>
      </c>
      <c r="R6471" s="23" t="s">
        <v>6854</v>
      </c>
      <c r="S6471" s="23" t="s">
        <v>6847</v>
      </c>
      <c r="W6471" s="45" t="str">
        <f>HYPERLINK("http://ictvonline.org/taxonomy/p/taxonomy-history?taxnode_id=201904404","ICTVonline=201904404")</f>
        <v>ICTVonline=201904404</v>
      </c>
      <c r="AA6471" s="1">
        <v>201900000</v>
      </c>
      <c r="AB6471" s="1">
        <v>35</v>
      </c>
    </row>
    <row r="6472" spans="1:28" x14ac:dyDescent="0.2">
      <c r="A6472" s="1">
        <v>16676</v>
      </c>
      <c r="L6472" s="1" t="s">
        <v>944</v>
      </c>
      <c r="N6472" s="1" t="s">
        <v>621</v>
      </c>
      <c r="P6472" s="1" t="s">
        <v>987</v>
      </c>
      <c r="Q6472" s="3">
        <v>0</v>
      </c>
      <c r="R6472" s="23" t="s">
        <v>6854</v>
      </c>
      <c r="S6472" s="23" t="s">
        <v>6847</v>
      </c>
      <c r="W6472" s="45" t="str">
        <f>HYPERLINK("http://ictvonline.org/taxonomy/p/taxonomy-history?taxnode_id=201904405","ICTVonline=201904405")</f>
        <v>ICTVonline=201904405</v>
      </c>
      <c r="AA6472" s="1">
        <v>201900000</v>
      </c>
      <c r="AB6472" s="1">
        <v>35</v>
      </c>
    </row>
    <row r="6473" spans="1:28" x14ac:dyDescent="0.2">
      <c r="A6473" s="1">
        <v>16678</v>
      </c>
      <c r="L6473" s="1" t="s">
        <v>944</v>
      </c>
      <c r="N6473" s="1" t="s">
        <v>621</v>
      </c>
      <c r="P6473" s="1" t="s">
        <v>988</v>
      </c>
      <c r="Q6473" s="3">
        <v>0</v>
      </c>
      <c r="R6473" s="23" t="s">
        <v>6854</v>
      </c>
      <c r="S6473" s="23" t="s">
        <v>6847</v>
      </c>
      <c r="W6473" s="45" t="str">
        <f>HYPERLINK("http://ictvonline.org/taxonomy/p/taxonomy-history?taxnode_id=201904406","ICTVonline=201904406")</f>
        <v>ICTVonline=201904406</v>
      </c>
      <c r="AA6473" s="1">
        <v>201900000</v>
      </c>
      <c r="AB6473" s="1">
        <v>35</v>
      </c>
    </row>
    <row r="6474" spans="1:28" x14ac:dyDescent="0.2">
      <c r="A6474" s="1">
        <v>16680</v>
      </c>
      <c r="L6474" s="1" t="s">
        <v>944</v>
      </c>
      <c r="N6474" s="1" t="s">
        <v>621</v>
      </c>
      <c r="P6474" s="1" t="s">
        <v>989</v>
      </c>
      <c r="Q6474" s="3">
        <v>0</v>
      </c>
      <c r="R6474" s="23" t="s">
        <v>6854</v>
      </c>
      <c r="S6474" s="23" t="s">
        <v>6847</v>
      </c>
      <c r="W6474" s="45" t="str">
        <f>HYPERLINK("http://ictvonline.org/taxonomy/p/taxonomy-history?taxnode_id=201904407","ICTVonline=201904407")</f>
        <v>ICTVonline=201904407</v>
      </c>
      <c r="AA6474" s="1">
        <v>201900000</v>
      </c>
      <c r="AB6474" s="1">
        <v>35</v>
      </c>
    </row>
    <row r="6475" spans="1:28" x14ac:dyDescent="0.2">
      <c r="A6475" s="1">
        <v>16682</v>
      </c>
      <c r="L6475" s="1" t="s">
        <v>944</v>
      </c>
      <c r="N6475" s="1" t="s">
        <v>621</v>
      </c>
      <c r="P6475" s="1" t="s">
        <v>990</v>
      </c>
      <c r="Q6475" s="3">
        <v>0</v>
      </c>
      <c r="R6475" s="23" t="s">
        <v>6854</v>
      </c>
      <c r="S6475" s="23" t="s">
        <v>6847</v>
      </c>
      <c r="W6475" s="45" t="str">
        <f>HYPERLINK("http://ictvonline.org/taxonomy/p/taxonomy-history?taxnode_id=201904408","ICTVonline=201904408")</f>
        <v>ICTVonline=201904408</v>
      </c>
      <c r="AA6475" s="1">
        <v>201900000</v>
      </c>
      <c r="AB6475" s="1">
        <v>35</v>
      </c>
    </row>
    <row r="6476" spans="1:28" x14ac:dyDescent="0.2">
      <c r="A6476" s="1">
        <v>16688</v>
      </c>
      <c r="L6476" s="1" t="s">
        <v>5448</v>
      </c>
      <c r="N6476" s="1" t="s">
        <v>5449</v>
      </c>
      <c r="P6476" s="1" t="s">
        <v>16728</v>
      </c>
      <c r="Q6476" s="3">
        <v>0</v>
      </c>
      <c r="R6476" s="23" t="s">
        <v>6854</v>
      </c>
      <c r="S6476" s="23" t="s">
        <v>6849</v>
      </c>
      <c r="T6476" s="23" t="s">
        <v>4864</v>
      </c>
      <c r="U6476" s="3">
        <v>35</v>
      </c>
      <c r="V6476" s="3" t="s">
        <v>16729</v>
      </c>
      <c r="W6476" s="45" t="str">
        <f>HYPERLINK("http://ictvonline.org/taxonomy/p/taxonomy-history?taxnode_id=201908646","ICTVonline=201908646")</f>
        <v>ICTVonline=201908646</v>
      </c>
      <c r="X6476" s="1" t="s">
        <v>16730</v>
      </c>
      <c r="Y6476" s="1" t="s">
        <v>16731</v>
      </c>
      <c r="Z6476" s="1" t="s">
        <v>16732</v>
      </c>
      <c r="AA6476" s="1">
        <v>201900000</v>
      </c>
      <c r="AB6476" s="1">
        <v>35</v>
      </c>
    </row>
    <row r="6477" spans="1:28" x14ac:dyDescent="0.2">
      <c r="A6477" s="1">
        <v>16690</v>
      </c>
      <c r="L6477" s="1" t="s">
        <v>5448</v>
      </c>
      <c r="N6477" s="1" t="s">
        <v>5449</v>
      </c>
      <c r="P6477" s="1" t="s">
        <v>5450</v>
      </c>
      <c r="Q6477" s="3">
        <v>1</v>
      </c>
      <c r="R6477" s="23" t="s">
        <v>6854</v>
      </c>
      <c r="S6477" s="23" t="s">
        <v>6847</v>
      </c>
      <c r="W6477" s="45" t="str">
        <f>HYPERLINK("http://ictvonline.org/taxonomy/p/taxonomy-history?taxnode_id=201905912","ICTVonline=201905912")</f>
        <v>ICTVonline=201905912</v>
      </c>
      <c r="AA6477" s="1">
        <v>201900000</v>
      </c>
      <c r="AB6477" s="1">
        <v>35</v>
      </c>
    </row>
    <row r="6478" spans="1:28" x14ac:dyDescent="0.2">
      <c r="A6478" s="1">
        <v>16696</v>
      </c>
      <c r="L6478" s="1" t="s">
        <v>2028</v>
      </c>
      <c r="N6478" s="1" t="s">
        <v>2029</v>
      </c>
      <c r="P6478" s="1" t="s">
        <v>2030</v>
      </c>
      <c r="Q6478" s="3">
        <v>0</v>
      </c>
      <c r="R6478" s="23" t="s">
        <v>12770</v>
      </c>
      <c r="S6478" s="23" t="s">
        <v>6847</v>
      </c>
      <c r="T6478" s="23" t="s">
        <v>4866</v>
      </c>
      <c r="U6478" s="3">
        <v>35</v>
      </c>
      <c r="W6478" s="45" t="str">
        <f>HYPERLINK("http://ictvonline.org/taxonomy/p/taxonomy-history?taxnode_id=201904499","ICTVonline=201904499")</f>
        <v>ICTVonline=201904499</v>
      </c>
      <c r="Y6478" s="1" t="s">
        <v>16733</v>
      </c>
      <c r="Z6478" s="1" t="s">
        <v>16734</v>
      </c>
      <c r="AA6478" s="1">
        <v>201900000</v>
      </c>
      <c r="AB6478" s="1">
        <v>35</v>
      </c>
    </row>
    <row r="6479" spans="1:28" x14ac:dyDescent="0.2">
      <c r="A6479" s="1">
        <v>16698</v>
      </c>
      <c r="L6479" s="1" t="s">
        <v>2028</v>
      </c>
      <c r="N6479" s="1" t="s">
        <v>2029</v>
      </c>
      <c r="P6479" s="1" t="s">
        <v>2031</v>
      </c>
      <c r="Q6479" s="3">
        <v>1</v>
      </c>
      <c r="R6479" s="23" t="s">
        <v>12770</v>
      </c>
      <c r="S6479" s="23" t="s">
        <v>6847</v>
      </c>
      <c r="T6479" s="23" t="s">
        <v>4866</v>
      </c>
      <c r="U6479" s="3">
        <v>35</v>
      </c>
      <c r="W6479" s="45" t="str">
        <f>HYPERLINK("http://ictvonline.org/taxonomy/p/taxonomy-history?taxnode_id=201904500","ICTVonline=201904500")</f>
        <v>ICTVonline=201904500</v>
      </c>
      <c r="Y6479" s="1" t="s">
        <v>16735</v>
      </c>
      <c r="Z6479" s="1" t="s">
        <v>11859</v>
      </c>
      <c r="AA6479" s="1">
        <v>201900000</v>
      </c>
      <c r="AB6479" s="1">
        <v>35</v>
      </c>
    </row>
    <row r="6480" spans="1:28" x14ac:dyDescent="0.2">
      <c r="A6480" s="1">
        <v>16700</v>
      </c>
      <c r="L6480" s="1" t="s">
        <v>2028</v>
      </c>
      <c r="N6480" s="1" t="s">
        <v>2029</v>
      </c>
      <c r="P6480" s="1" t="s">
        <v>2032</v>
      </c>
      <c r="Q6480" s="3">
        <v>0</v>
      </c>
      <c r="R6480" s="23" t="s">
        <v>12770</v>
      </c>
      <c r="S6480" s="23" t="s">
        <v>6847</v>
      </c>
      <c r="T6480" s="23" t="s">
        <v>4866</v>
      </c>
      <c r="U6480" s="3">
        <v>35</v>
      </c>
      <c r="W6480" s="45" t="str">
        <f>HYPERLINK("http://ictvonline.org/taxonomy/p/taxonomy-history?taxnode_id=201904501","ICTVonline=201904501")</f>
        <v>ICTVonline=201904501</v>
      </c>
      <c r="Y6480" s="1" t="s">
        <v>16736</v>
      </c>
      <c r="Z6480" s="1" t="s">
        <v>16737</v>
      </c>
      <c r="AA6480" s="1">
        <v>201900000</v>
      </c>
      <c r="AB6480" s="1">
        <v>35</v>
      </c>
    </row>
    <row r="6481" spans="1:28" x14ac:dyDescent="0.2">
      <c r="A6481" s="1">
        <v>16702</v>
      </c>
      <c r="L6481" s="1" t="s">
        <v>2028</v>
      </c>
      <c r="N6481" s="1" t="s">
        <v>2029</v>
      </c>
      <c r="P6481" s="1" t="s">
        <v>2033</v>
      </c>
      <c r="Q6481" s="3">
        <v>0</v>
      </c>
      <c r="R6481" s="23" t="s">
        <v>12770</v>
      </c>
      <c r="S6481" s="23" t="s">
        <v>6847</v>
      </c>
      <c r="T6481" s="23" t="s">
        <v>4866</v>
      </c>
      <c r="U6481" s="3">
        <v>35</v>
      </c>
      <c r="W6481" s="45" t="str">
        <f>HYPERLINK("http://ictvonline.org/taxonomy/p/taxonomy-history?taxnode_id=201904502","ICTVonline=201904502")</f>
        <v>ICTVonline=201904502</v>
      </c>
      <c r="Y6481" s="1" t="s">
        <v>16738</v>
      </c>
      <c r="Z6481" s="1">
        <v>225</v>
      </c>
      <c r="AA6481" s="1">
        <v>201900000</v>
      </c>
      <c r="AB6481" s="1">
        <v>35</v>
      </c>
    </row>
    <row r="6482" spans="1:28" x14ac:dyDescent="0.2">
      <c r="A6482" s="1">
        <v>16704</v>
      </c>
      <c r="L6482" s="1" t="s">
        <v>2028</v>
      </c>
      <c r="N6482" s="1" t="s">
        <v>2029</v>
      </c>
      <c r="P6482" s="1" t="s">
        <v>2034</v>
      </c>
      <c r="Q6482" s="3">
        <v>0</v>
      </c>
      <c r="R6482" s="23" t="s">
        <v>12770</v>
      </c>
      <c r="S6482" s="23" t="s">
        <v>6847</v>
      </c>
      <c r="T6482" s="23" t="s">
        <v>4866</v>
      </c>
      <c r="U6482" s="3">
        <v>35</v>
      </c>
      <c r="W6482" s="45" t="str">
        <f>HYPERLINK("http://ictvonline.org/taxonomy/p/taxonomy-history?taxnode_id=201904503","ICTVonline=201904503")</f>
        <v>ICTVonline=201904503</v>
      </c>
      <c r="Y6482" s="1" t="s">
        <v>16739</v>
      </c>
      <c r="Z6482" s="1" t="s">
        <v>16740</v>
      </c>
      <c r="AA6482" s="1">
        <v>201900000</v>
      </c>
      <c r="AB6482" s="1">
        <v>35</v>
      </c>
    </row>
    <row r="6483" spans="1:28" x14ac:dyDescent="0.2">
      <c r="A6483" s="1">
        <v>16706</v>
      </c>
      <c r="L6483" s="1" t="s">
        <v>2028</v>
      </c>
      <c r="N6483" s="1" t="s">
        <v>2029</v>
      </c>
      <c r="P6483" s="1" t="s">
        <v>2133</v>
      </c>
      <c r="Q6483" s="3">
        <v>0</v>
      </c>
      <c r="R6483" s="23" t="s">
        <v>12770</v>
      </c>
      <c r="S6483" s="23" t="s">
        <v>6847</v>
      </c>
      <c r="T6483" s="23" t="s">
        <v>4866</v>
      </c>
      <c r="U6483" s="3">
        <v>35</v>
      </c>
      <c r="W6483" s="45" t="str">
        <f>HYPERLINK("http://ictvonline.org/taxonomy/p/taxonomy-history?taxnode_id=201904504","ICTVonline=201904504")</f>
        <v>ICTVonline=201904504</v>
      </c>
      <c r="Y6483" s="1" t="s">
        <v>16741</v>
      </c>
      <c r="Z6483" s="1" t="s">
        <v>16742</v>
      </c>
      <c r="AA6483" s="1">
        <v>201900000</v>
      </c>
      <c r="AB6483" s="1">
        <v>35</v>
      </c>
    </row>
    <row r="6484" spans="1:28" x14ac:dyDescent="0.2">
      <c r="A6484" s="1">
        <v>16708</v>
      </c>
      <c r="L6484" s="1" t="s">
        <v>2028</v>
      </c>
      <c r="N6484" s="1" t="s">
        <v>2029</v>
      </c>
      <c r="P6484" s="1" t="s">
        <v>2134</v>
      </c>
      <c r="Q6484" s="3">
        <v>0</v>
      </c>
      <c r="R6484" s="23" t="s">
        <v>12770</v>
      </c>
      <c r="S6484" s="23" t="s">
        <v>6847</v>
      </c>
      <c r="T6484" s="23" t="s">
        <v>4866</v>
      </c>
      <c r="U6484" s="3">
        <v>35</v>
      </c>
      <c r="W6484" s="45" t="str">
        <f>HYPERLINK("http://ictvonline.org/taxonomy/p/taxonomy-history?taxnode_id=201904505","ICTVonline=201904505")</f>
        <v>ICTVonline=201904505</v>
      </c>
      <c r="Y6484" s="1" t="s">
        <v>16743</v>
      </c>
      <c r="Z6484" s="1" t="s">
        <v>16744</v>
      </c>
      <c r="AA6484" s="1">
        <v>201900000</v>
      </c>
      <c r="AB6484" s="1">
        <v>35</v>
      </c>
    </row>
    <row r="6485" spans="1:28" x14ac:dyDescent="0.2">
      <c r="A6485" s="1">
        <v>16710</v>
      </c>
      <c r="L6485" s="1" t="s">
        <v>2028</v>
      </c>
      <c r="N6485" s="1" t="s">
        <v>2029</v>
      </c>
      <c r="P6485" s="1" t="s">
        <v>2035</v>
      </c>
      <c r="Q6485" s="3">
        <v>0</v>
      </c>
      <c r="R6485" s="23" t="s">
        <v>12770</v>
      </c>
      <c r="S6485" s="23" t="s">
        <v>6847</v>
      </c>
      <c r="T6485" s="23" t="s">
        <v>4866</v>
      </c>
      <c r="U6485" s="3">
        <v>35</v>
      </c>
      <c r="W6485" s="45" t="str">
        <f>HYPERLINK("http://ictvonline.org/taxonomy/p/taxonomy-history?taxnode_id=201904506","ICTVonline=201904506")</f>
        <v>ICTVonline=201904506</v>
      </c>
      <c r="Y6485" s="1" t="s">
        <v>16745</v>
      </c>
      <c r="Z6485" s="1" t="s">
        <v>16746</v>
      </c>
      <c r="AA6485" s="1">
        <v>201900000</v>
      </c>
      <c r="AB6485" s="1">
        <v>35</v>
      </c>
    </row>
    <row r="6486" spans="1:28" x14ac:dyDescent="0.2">
      <c r="A6486" s="1">
        <v>16712</v>
      </c>
      <c r="L6486" s="1" t="s">
        <v>2028</v>
      </c>
      <c r="N6486" s="1" t="s">
        <v>2029</v>
      </c>
      <c r="P6486" s="1" t="s">
        <v>2036</v>
      </c>
      <c r="Q6486" s="3">
        <v>0</v>
      </c>
      <c r="R6486" s="23" t="s">
        <v>12770</v>
      </c>
      <c r="S6486" s="23" t="s">
        <v>6847</v>
      </c>
      <c r="T6486" s="23" t="s">
        <v>4866</v>
      </c>
      <c r="U6486" s="3">
        <v>35</v>
      </c>
      <c r="W6486" s="45" t="str">
        <f>HYPERLINK("http://ictvonline.org/taxonomy/p/taxonomy-history?taxnode_id=201904507","ICTVonline=201904507")</f>
        <v>ICTVonline=201904507</v>
      </c>
      <c r="Y6486" s="1" t="s">
        <v>16747</v>
      </c>
      <c r="Z6486" s="1" t="s">
        <v>16748</v>
      </c>
      <c r="AA6486" s="1">
        <v>201900000</v>
      </c>
      <c r="AB6486" s="1">
        <v>35</v>
      </c>
    </row>
    <row r="6487" spans="1:28" x14ac:dyDescent="0.2">
      <c r="A6487" s="1">
        <v>16714</v>
      </c>
      <c r="L6487" s="1" t="s">
        <v>2028</v>
      </c>
      <c r="N6487" s="1" t="s">
        <v>2029</v>
      </c>
      <c r="P6487" s="1" t="s">
        <v>2037</v>
      </c>
      <c r="Q6487" s="3">
        <v>0</v>
      </c>
      <c r="R6487" s="23" t="s">
        <v>12770</v>
      </c>
      <c r="S6487" s="23" t="s">
        <v>6847</v>
      </c>
      <c r="T6487" s="23" t="s">
        <v>4866</v>
      </c>
      <c r="U6487" s="3">
        <v>35</v>
      </c>
      <c r="W6487" s="45" t="str">
        <f>HYPERLINK("http://ictvonline.org/taxonomy/p/taxonomy-history?taxnode_id=201904508","ICTVonline=201904508")</f>
        <v>ICTVonline=201904508</v>
      </c>
      <c r="Y6487" s="1" t="s">
        <v>16749</v>
      </c>
      <c r="Z6487" s="1" t="s">
        <v>16599</v>
      </c>
      <c r="AA6487" s="1">
        <v>201900000</v>
      </c>
      <c r="AB6487" s="1">
        <v>35</v>
      </c>
    </row>
    <row r="6488" spans="1:28" x14ac:dyDescent="0.2">
      <c r="A6488" s="1">
        <v>16718</v>
      </c>
      <c r="L6488" s="1" t="s">
        <v>2028</v>
      </c>
      <c r="N6488" s="1" t="s">
        <v>2038</v>
      </c>
      <c r="P6488" s="1" t="s">
        <v>2039</v>
      </c>
      <c r="Q6488" s="3">
        <v>0</v>
      </c>
      <c r="R6488" s="23" t="s">
        <v>12770</v>
      </c>
      <c r="S6488" s="23" t="s">
        <v>6847</v>
      </c>
      <c r="T6488" s="23" t="s">
        <v>4866</v>
      </c>
      <c r="U6488" s="3">
        <v>35</v>
      </c>
      <c r="W6488" s="45" t="str">
        <f>HYPERLINK("http://ictvonline.org/taxonomy/p/taxonomy-history?taxnode_id=201904510","ICTVonline=201904510")</f>
        <v>ICTVonline=201904510</v>
      </c>
      <c r="Y6488" s="1" t="s">
        <v>16750</v>
      </c>
      <c r="Z6488" s="1" t="s">
        <v>16751</v>
      </c>
      <c r="AA6488" s="1">
        <v>201900000</v>
      </c>
      <c r="AB6488" s="1">
        <v>35</v>
      </c>
    </row>
    <row r="6489" spans="1:28" x14ac:dyDescent="0.2">
      <c r="A6489" s="1">
        <v>16720</v>
      </c>
      <c r="L6489" s="1" t="s">
        <v>2028</v>
      </c>
      <c r="N6489" s="1" t="s">
        <v>2038</v>
      </c>
      <c r="P6489" s="1" t="s">
        <v>2040</v>
      </c>
      <c r="Q6489" s="3">
        <v>1</v>
      </c>
      <c r="R6489" s="23" t="s">
        <v>12770</v>
      </c>
      <c r="S6489" s="23" t="s">
        <v>6847</v>
      </c>
      <c r="T6489" s="23" t="s">
        <v>4866</v>
      </c>
      <c r="U6489" s="3">
        <v>35</v>
      </c>
      <c r="W6489" s="45" t="str">
        <f>HYPERLINK("http://ictvonline.org/taxonomy/p/taxonomy-history?taxnode_id=201904511","ICTVonline=201904511")</f>
        <v>ICTVonline=201904511</v>
      </c>
      <c r="Y6489" s="1" t="s">
        <v>16752</v>
      </c>
      <c r="Z6489" s="1" t="s">
        <v>16753</v>
      </c>
      <c r="AA6489" s="1">
        <v>201900000</v>
      </c>
      <c r="AB6489" s="1">
        <v>35</v>
      </c>
    </row>
    <row r="6490" spans="1:28" x14ac:dyDescent="0.2">
      <c r="A6490" s="1">
        <v>16722</v>
      </c>
      <c r="L6490" s="1" t="s">
        <v>2028</v>
      </c>
      <c r="N6490" s="1" t="s">
        <v>2038</v>
      </c>
      <c r="P6490" s="1" t="s">
        <v>2041</v>
      </c>
      <c r="Q6490" s="3">
        <v>0</v>
      </c>
      <c r="R6490" s="23" t="s">
        <v>12770</v>
      </c>
      <c r="S6490" s="23" t="s">
        <v>6847</v>
      </c>
      <c r="T6490" s="23" t="s">
        <v>4866</v>
      </c>
      <c r="U6490" s="3">
        <v>35</v>
      </c>
      <c r="W6490" s="45" t="str">
        <f>HYPERLINK("http://ictvonline.org/taxonomy/p/taxonomy-history?taxnode_id=201904512","ICTVonline=201904512")</f>
        <v>ICTVonline=201904512</v>
      </c>
      <c r="Y6490" s="1" t="s">
        <v>16754</v>
      </c>
      <c r="Z6490" s="1" t="s">
        <v>16755</v>
      </c>
      <c r="AA6490" s="1">
        <v>201900000</v>
      </c>
      <c r="AB6490" s="1">
        <v>35</v>
      </c>
    </row>
    <row r="6491" spans="1:28" x14ac:dyDescent="0.2">
      <c r="A6491" s="1">
        <v>16724</v>
      </c>
      <c r="L6491" s="1" t="s">
        <v>2028</v>
      </c>
      <c r="N6491" s="1" t="s">
        <v>2038</v>
      </c>
      <c r="P6491" s="1" t="s">
        <v>2042</v>
      </c>
      <c r="Q6491" s="3">
        <v>0</v>
      </c>
      <c r="R6491" s="23" t="s">
        <v>12770</v>
      </c>
      <c r="S6491" s="23" t="s">
        <v>6847</v>
      </c>
      <c r="T6491" s="23" t="s">
        <v>4866</v>
      </c>
      <c r="U6491" s="3">
        <v>35</v>
      </c>
      <c r="W6491" s="45" t="str">
        <f>HYPERLINK("http://ictvonline.org/taxonomy/p/taxonomy-history?taxnode_id=201904513","ICTVonline=201904513")</f>
        <v>ICTVonline=201904513</v>
      </c>
      <c r="Y6491" s="1" t="s">
        <v>16756</v>
      </c>
      <c r="Z6491" s="1" t="s">
        <v>16751</v>
      </c>
      <c r="AA6491" s="1">
        <v>201900000</v>
      </c>
      <c r="AB6491" s="1">
        <v>35</v>
      </c>
    </row>
    <row r="6492" spans="1:28" x14ac:dyDescent="0.2">
      <c r="A6492" s="1">
        <v>16728</v>
      </c>
      <c r="L6492" s="1" t="s">
        <v>2028</v>
      </c>
      <c r="N6492" s="1" t="s">
        <v>464</v>
      </c>
      <c r="P6492" s="1" t="s">
        <v>465</v>
      </c>
      <c r="Q6492" s="3">
        <v>1</v>
      </c>
      <c r="R6492" s="23" t="s">
        <v>12770</v>
      </c>
      <c r="S6492" s="23" t="s">
        <v>6847</v>
      </c>
      <c r="T6492" s="23" t="s">
        <v>4866</v>
      </c>
      <c r="U6492" s="3">
        <v>35</v>
      </c>
      <c r="W6492" s="45" t="str">
        <f>HYPERLINK("http://ictvonline.org/taxonomy/p/taxonomy-history?taxnode_id=201904515","ICTVonline=201904515")</f>
        <v>ICTVonline=201904515</v>
      </c>
      <c r="Y6492" s="1" t="s">
        <v>16757</v>
      </c>
      <c r="Z6492" s="1" t="s">
        <v>16758</v>
      </c>
      <c r="AA6492" s="1">
        <v>201900000</v>
      </c>
      <c r="AB6492" s="1">
        <v>35</v>
      </c>
    </row>
    <row r="6493" spans="1:28" x14ac:dyDescent="0.2">
      <c r="A6493" s="1">
        <v>16730</v>
      </c>
      <c r="L6493" s="1" t="s">
        <v>2028</v>
      </c>
      <c r="N6493" s="1" t="s">
        <v>464</v>
      </c>
      <c r="P6493" s="1" t="s">
        <v>466</v>
      </c>
      <c r="Q6493" s="3">
        <v>0</v>
      </c>
      <c r="R6493" s="23" t="s">
        <v>12770</v>
      </c>
      <c r="S6493" s="23" t="s">
        <v>6847</v>
      </c>
      <c r="T6493" s="23" t="s">
        <v>4866</v>
      </c>
      <c r="U6493" s="3">
        <v>35</v>
      </c>
      <c r="W6493" s="45" t="str">
        <f>HYPERLINK("http://ictvonline.org/taxonomy/p/taxonomy-history?taxnode_id=201904516","ICTVonline=201904516")</f>
        <v>ICTVonline=201904516</v>
      </c>
      <c r="Y6493" s="1" t="s">
        <v>16759</v>
      </c>
      <c r="Z6493" s="1" t="s">
        <v>16760</v>
      </c>
      <c r="AA6493" s="1">
        <v>201900000</v>
      </c>
      <c r="AB6493" s="1">
        <v>35</v>
      </c>
    </row>
    <row r="6494" spans="1:28" x14ac:dyDescent="0.2">
      <c r="A6494" s="1">
        <v>16732</v>
      </c>
      <c r="L6494" s="1" t="s">
        <v>2028</v>
      </c>
      <c r="N6494" s="1" t="s">
        <v>464</v>
      </c>
      <c r="P6494" s="1" t="s">
        <v>467</v>
      </c>
      <c r="Q6494" s="3">
        <v>0</v>
      </c>
      <c r="R6494" s="23" t="s">
        <v>12770</v>
      </c>
      <c r="S6494" s="23" t="s">
        <v>6847</v>
      </c>
      <c r="T6494" s="23" t="s">
        <v>4866</v>
      </c>
      <c r="U6494" s="3">
        <v>35</v>
      </c>
      <c r="W6494" s="45" t="str">
        <f>HYPERLINK("http://ictvonline.org/taxonomy/p/taxonomy-history?taxnode_id=201904517","ICTVonline=201904517")</f>
        <v>ICTVonline=201904517</v>
      </c>
      <c r="Y6494" s="1" t="s">
        <v>16761</v>
      </c>
      <c r="Z6494" s="1" t="s">
        <v>16762</v>
      </c>
      <c r="AA6494" s="1">
        <v>201900000</v>
      </c>
      <c r="AB6494" s="1">
        <v>35</v>
      </c>
    </row>
    <row r="6495" spans="1:28" x14ac:dyDescent="0.2">
      <c r="A6495" s="1">
        <v>16736</v>
      </c>
      <c r="L6495" s="1" t="s">
        <v>2028</v>
      </c>
      <c r="N6495" s="1" t="s">
        <v>468</v>
      </c>
      <c r="P6495" s="1" t="s">
        <v>2669</v>
      </c>
      <c r="Q6495" s="3">
        <v>0</v>
      </c>
      <c r="R6495" s="23" t="s">
        <v>12770</v>
      </c>
      <c r="S6495" s="23" t="s">
        <v>6847</v>
      </c>
      <c r="T6495" s="23" t="s">
        <v>4866</v>
      </c>
      <c r="U6495" s="3">
        <v>35</v>
      </c>
      <c r="W6495" s="45" t="str">
        <f>HYPERLINK("http://ictvonline.org/taxonomy/p/taxonomy-history?taxnode_id=201904519","ICTVonline=201904519")</f>
        <v>ICTVonline=201904519</v>
      </c>
      <c r="X6495" s="1" t="s">
        <v>16763</v>
      </c>
      <c r="Y6495" s="1" t="s">
        <v>16764</v>
      </c>
      <c r="Z6495" s="1">
        <v>4706174</v>
      </c>
      <c r="AA6495" s="1">
        <v>201900000</v>
      </c>
      <c r="AB6495" s="1">
        <v>35</v>
      </c>
    </row>
    <row r="6496" spans="1:28" x14ac:dyDescent="0.2">
      <c r="A6496" s="1">
        <v>16738</v>
      </c>
      <c r="L6496" s="1" t="s">
        <v>2028</v>
      </c>
      <c r="N6496" s="1" t="s">
        <v>468</v>
      </c>
      <c r="P6496" s="1" t="s">
        <v>469</v>
      </c>
      <c r="Q6496" s="3">
        <v>1</v>
      </c>
      <c r="R6496" s="23" t="s">
        <v>12770</v>
      </c>
      <c r="S6496" s="23" t="s">
        <v>6847</v>
      </c>
      <c r="T6496" s="23" t="s">
        <v>4866</v>
      </c>
      <c r="U6496" s="3">
        <v>35</v>
      </c>
      <c r="W6496" s="45" t="str">
        <f>HYPERLINK("http://ictvonline.org/taxonomy/p/taxonomy-history?taxnode_id=201904520","ICTVonline=201904520")</f>
        <v>ICTVonline=201904520</v>
      </c>
      <c r="Y6496" s="1" t="s">
        <v>16765</v>
      </c>
      <c r="Z6496" s="1" t="s">
        <v>16766</v>
      </c>
      <c r="AA6496" s="1">
        <v>201900000</v>
      </c>
      <c r="AB6496" s="1">
        <v>35</v>
      </c>
    </row>
    <row r="6497" spans="1:28" x14ac:dyDescent="0.2">
      <c r="A6497" s="1">
        <v>16742</v>
      </c>
      <c r="L6497" s="1" t="s">
        <v>2028</v>
      </c>
      <c r="N6497" s="1" t="s">
        <v>470</v>
      </c>
      <c r="P6497" s="1" t="s">
        <v>471</v>
      </c>
      <c r="Q6497" s="3">
        <v>0</v>
      </c>
      <c r="R6497" s="23" t="s">
        <v>12770</v>
      </c>
      <c r="S6497" s="23" t="s">
        <v>6847</v>
      </c>
      <c r="T6497" s="23" t="s">
        <v>4866</v>
      </c>
      <c r="U6497" s="3">
        <v>35</v>
      </c>
      <c r="W6497" s="45" t="str">
        <f>HYPERLINK("http://ictvonline.org/taxonomy/p/taxonomy-history?taxnode_id=201904522","ICTVonline=201904522")</f>
        <v>ICTVonline=201904522</v>
      </c>
      <c r="Y6497" s="1" t="s">
        <v>16767</v>
      </c>
      <c r="Z6497" s="1" t="s">
        <v>16768</v>
      </c>
      <c r="AA6497" s="1">
        <v>201900000</v>
      </c>
      <c r="AB6497" s="1">
        <v>35</v>
      </c>
    </row>
    <row r="6498" spans="1:28" x14ac:dyDescent="0.2">
      <c r="A6498" s="1">
        <v>16744</v>
      </c>
      <c r="L6498" s="1" t="s">
        <v>2028</v>
      </c>
      <c r="N6498" s="1" t="s">
        <v>470</v>
      </c>
      <c r="P6498" s="1" t="s">
        <v>472</v>
      </c>
      <c r="Q6498" s="3">
        <v>0</v>
      </c>
      <c r="R6498" s="23" t="s">
        <v>12770</v>
      </c>
      <c r="S6498" s="23" t="s">
        <v>6847</v>
      </c>
      <c r="T6498" s="23" t="s">
        <v>4866</v>
      </c>
      <c r="U6498" s="3">
        <v>35</v>
      </c>
      <c r="W6498" s="45" t="str">
        <f>HYPERLINK("http://ictvonline.org/taxonomy/p/taxonomy-history?taxnode_id=201904523","ICTVonline=201904523")</f>
        <v>ICTVonline=201904523</v>
      </c>
      <c r="Y6498" s="1" t="s">
        <v>16769</v>
      </c>
      <c r="Z6498" s="1" t="s">
        <v>16770</v>
      </c>
      <c r="AA6498" s="1">
        <v>201900000</v>
      </c>
      <c r="AB6498" s="1">
        <v>35</v>
      </c>
    </row>
    <row r="6499" spans="1:28" x14ac:dyDescent="0.2">
      <c r="A6499" s="1">
        <v>16746</v>
      </c>
      <c r="L6499" s="1" t="s">
        <v>2028</v>
      </c>
      <c r="N6499" s="1" t="s">
        <v>470</v>
      </c>
      <c r="P6499" s="1" t="s">
        <v>473</v>
      </c>
      <c r="Q6499" s="3">
        <v>0</v>
      </c>
      <c r="R6499" s="23" t="s">
        <v>12770</v>
      </c>
      <c r="S6499" s="23" t="s">
        <v>6847</v>
      </c>
      <c r="T6499" s="23" t="s">
        <v>4866</v>
      </c>
      <c r="U6499" s="3">
        <v>35</v>
      </c>
      <c r="W6499" s="45" t="str">
        <f>HYPERLINK("http://ictvonline.org/taxonomy/p/taxonomy-history?taxnode_id=201904524","ICTVonline=201904524")</f>
        <v>ICTVonline=201904524</v>
      </c>
      <c r="Y6499" s="1" t="s">
        <v>16771</v>
      </c>
      <c r="Z6499" s="1" t="s">
        <v>16772</v>
      </c>
      <c r="AA6499" s="1">
        <v>201900000</v>
      </c>
      <c r="AB6499" s="1">
        <v>35</v>
      </c>
    </row>
    <row r="6500" spans="1:28" x14ac:dyDescent="0.2">
      <c r="A6500" s="1">
        <v>16748</v>
      </c>
      <c r="L6500" s="1" t="s">
        <v>2028</v>
      </c>
      <c r="N6500" s="1" t="s">
        <v>470</v>
      </c>
      <c r="P6500" s="1" t="s">
        <v>474</v>
      </c>
      <c r="Q6500" s="3">
        <v>0</v>
      </c>
      <c r="R6500" s="23" t="s">
        <v>12770</v>
      </c>
      <c r="S6500" s="23" t="s">
        <v>6847</v>
      </c>
      <c r="T6500" s="23" t="s">
        <v>4866</v>
      </c>
      <c r="U6500" s="3">
        <v>35</v>
      </c>
      <c r="W6500" s="45" t="str">
        <f>HYPERLINK("http://ictvonline.org/taxonomy/p/taxonomy-history?taxnode_id=201904525","ICTVonline=201904525")</f>
        <v>ICTVonline=201904525</v>
      </c>
      <c r="Y6500" s="1" t="s">
        <v>16773</v>
      </c>
      <c r="Z6500" s="1" t="s">
        <v>16758</v>
      </c>
      <c r="AA6500" s="1">
        <v>201900000</v>
      </c>
      <c r="AB6500" s="1">
        <v>35</v>
      </c>
    </row>
    <row r="6501" spans="1:28" x14ac:dyDescent="0.2">
      <c r="A6501" s="1">
        <v>16750</v>
      </c>
      <c r="L6501" s="1" t="s">
        <v>2028</v>
      </c>
      <c r="N6501" s="1" t="s">
        <v>470</v>
      </c>
      <c r="P6501" s="1" t="s">
        <v>191</v>
      </c>
      <c r="Q6501" s="3">
        <v>0</v>
      </c>
      <c r="R6501" s="23" t="s">
        <v>12770</v>
      </c>
      <c r="S6501" s="23" t="s">
        <v>6847</v>
      </c>
      <c r="T6501" s="23" t="s">
        <v>4866</v>
      </c>
      <c r="U6501" s="3">
        <v>35</v>
      </c>
      <c r="W6501" s="45" t="str">
        <f>HYPERLINK("http://ictvonline.org/taxonomy/p/taxonomy-history?taxnode_id=201904526","ICTVonline=201904526")</f>
        <v>ICTVonline=201904526</v>
      </c>
      <c r="Y6501" s="1" t="s">
        <v>16774</v>
      </c>
      <c r="Z6501" s="1" t="s">
        <v>16775</v>
      </c>
      <c r="AA6501" s="1">
        <v>201900000</v>
      </c>
      <c r="AB6501" s="1">
        <v>35</v>
      </c>
    </row>
    <row r="6502" spans="1:28" x14ac:dyDescent="0.2">
      <c r="A6502" s="1">
        <v>16752</v>
      </c>
      <c r="L6502" s="1" t="s">
        <v>2028</v>
      </c>
      <c r="N6502" s="1" t="s">
        <v>470</v>
      </c>
      <c r="P6502" s="1" t="s">
        <v>475</v>
      </c>
      <c r="Q6502" s="3">
        <v>1</v>
      </c>
      <c r="R6502" s="23" t="s">
        <v>12770</v>
      </c>
      <c r="S6502" s="23" t="s">
        <v>6847</v>
      </c>
      <c r="T6502" s="23" t="s">
        <v>4866</v>
      </c>
      <c r="U6502" s="3">
        <v>35</v>
      </c>
      <c r="W6502" s="45" t="str">
        <f>HYPERLINK("http://ictvonline.org/taxonomy/p/taxonomy-history?taxnode_id=201904527","ICTVonline=201904527")</f>
        <v>ICTVonline=201904527</v>
      </c>
      <c r="Y6502" s="1" t="s">
        <v>16776</v>
      </c>
      <c r="Z6502" s="1" t="s">
        <v>16770</v>
      </c>
      <c r="AA6502" s="1">
        <v>201900000</v>
      </c>
      <c r="AB6502" s="1">
        <v>35</v>
      </c>
    </row>
    <row r="6503" spans="1:28" x14ac:dyDescent="0.2">
      <c r="A6503" s="1">
        <v>16754</v>
      </c>
      <c r="L6503" s="1" t="s">
        <v>2028</v>
      </c>
      <c r="N6503" s="1" t="s">
        <v>470</v>
      </c>
      <c r="P6503" s="1" t="s">
        <v>476</v>
      </c>
      <c r="Q6503" s="3">
        <v>0</v>
      </c>
      <c r="R6503" s="23" t="s">
        <v>12770</v>
      </c>
      <c r="S6503" s="23" t="s">
        <v>6847</v>
      </c>
      <c r="T6503" s="23" t="s">
        <v>4866</v>
      </c>
      <c r="U6503" s="3">
        <v>35</v>
      </c>
      <c r="W6503" s="45" t="str">
        <f>HYPERLINK("http://ictvonline.org/taxonomy/p/taxonomy-history?taxnode_id=201904528","ICTVonline=201904528")</f>
        <v>ICTVonline=201904528</v>
      </c>
      <c r="Y6503" s="1" t="s">
        <v>16777</v>
      </c>
      <c r="Z6503" s="1" t="s">
        <v>16778</v>
      </c>
      <c r="AA6503" s="1">
        <v>201900000</v>
      </c>
      <c r="AB6503" s="1">
        <v>35</v>
      </c>
    </row>
    <row r="6504" spans="1:28" x14ac:dyDescent="0.2">
      <c r="A6504" s="1">
        <v>16756</v>
      </c>
      <c r="L6504" s="1" t="s">
        <v>2028</v>
      </c>
      <c r="N6504" s="1" t="s">
        <v>470</v>
      </c>
      <c r="P6504" s="1" t="s">
        <v>477</v>
      </c>
      <c r="Q6504" s="3">
        <v>0</v>
      </c>
      <c r="R6504" s="23" t="s">
        <v>12770</v>
      </c>
      <c r="S6504" s="23" t="s">
        <v>6847</v>
      </c>
      <c r="T6504" s="23" t="s">
        <v>4866</v>
      </c>
      <c r="U6504" s="3">
        <v>35</v>
      </c>
      <c r="W6504" s="45" t="str">
        <f>HYPERLINK("http://ictvonline.org/taxonomy/p/taxonomy-history?taxnode_id=201904529","ICTVonline=201904529")</f>
        <v>ICTVonline=201904529</v>
      </c>
      <c r="Y6504" s="1" t="s">
        <v>16779</v>
      </c>
      <c r="Z6504" s="1" t="s">
        <v>16780</v>
      </c>
      <c r="AA6504" s="1">
        <v>201900000</v>
      </c>
      <c r="AB6504" s="1">
        <v>35</v>
      </c>
    </row>
    <row r="6505" spans="1:28" x14ac:dyDescent="0.2">
      <c r="A6505" s="1">
        <v>16758</v>
      </c>
      <c r="L6505" s="1" t="s">
        <v>2028</v>
      </c>
      <c r="N6505" s="1" t="s">
        <v>470</v>
      </c>
      <c r="P6505" s="1" t="s">
        <v>478</v>
      </c>
      <c r="Q6505" s="3">
        <v>0</v>
      </c>
      <c r="R6505" s="23" t="s">
        <v>12770</v>
      </c>
      <c r="S6505" s="23" t="s">
        <v>6847</v>
      </c>
      <c r="T6505" s="23" t="s">
        <v>4866</v>
      </c>
      <c r="U6505" s="3">
        <v>35</v>
      </c>
      <c r="W6505" s="45" t="str">
        <f>HYPERLINK("http://ictvonline.org/taxonomy/p/taxonomy-history?taxnode_id=201904530","ICTVonline=201904530")</f>
        <v>ICTVonline=201904530</v>
      </c>
      <c r="X6505" s="1" t="s">
        <v>16781</v>
      </c>
      <c r="Y6505" s="1" t="s">
        <v>16782</v>
      </c>
      <c r="Z6505" s="1" t="s">
        <v>16778</v>
      </c>
      <c r="AA6505" s="1">
        <v>201900000</v>
      </c>
      <c r="AB6505" s="1">
        <v>35</v>
      </c>
    </row>
    <row r="6506" spans="1:28" x14ac:dyDescent="0.2">
      <c r="A6506" s="1">
        <v>16764</v>
      </c>
      <c r="L6506" s="1" t="s">
        <v>2577</v>
      </c>
      <c r="N6506" s="1" t="s">
        <v>2578</v>
      </c>
      <c r="P6506" s="1" t="s">
        <v>2579</v>
      </c>
      <c r="Q6506" s="3">
        <v>1</v>
      </c>
      <c r="R6506" s="23" t="s">
        <v>10596</v>
      </c>
      <c r="S6506" s="23" t="s">
        <v>6847</v>
      </c>
      <c r="W6506" s="45" t="str">
        <f>HYPERLINK("http://ictvonline.org/taxonomy/p/taxonomy-history?taxnode_id=201905069","ICTVonline=201905069")</f>
        <v>ICTVonline=201905069</v>
      </c>
      <c r="Y6506" s="1" t="s">
        <v>16783</v>
      </c>
      <c r="AA6506" s="1">
        <v>201900000</v>
      </c>
      <c r="AB6506" s="1">
        <v>35</v>
      </c>
    </row>
    <row r="6507" spans="1:28" x14ac:dyDescent="0.2">
      <c r="A6507" s="1">
        <v>16770</v>
      </c>
      <c r="L6507" s="1" t="s">
        <v>16784</v>
      </c>
      <c r="N6507" s="1" t="s">
        <v>16785</v>
      </c>
      <c r="P6507" s="1" t="s">
        <v>16786</v>
      </c>
      <c r="Q6507" s="3">
        <v>1</v>
      </c>
      <c r="R6507" s="23" t="s">
        <v>6854</v>
      </c>
      <c r="S6507" s="23" t="s">
        <v>6849</v>
      </c>
      <c r="T6507" s="23" t="s">
        <v>4864</v>
      </c>
      <c r="U6507" s="3">
        <v>35</v>
      </c>
      <c r="V6507" s="3" t="s">
        <v>16787</v>
      </c>
      <c r="W6507" s="45" t="str">
        <f>HYPERLINK("http://ictvonline.org/taxonomy/p/taxonomy-history?taxnode_id=201908059","ICTVonline=201908059")</f>
        <v>ICTVonline=201908059</v>
      </c>
      <c r="X6507" s="1" t="s">
        <v>16788</v>
      </c>
      <c r="Y6507" s="1" t="s">
        <v>16789</v>
      </c>
      <c r="Z6507" s="1" t="s">
        <v>16788</v>
      </c>
      <c r="AA6507" s="1">
        <v>201900000</v>
      </c>
      <c r="AB6507" s="1">
        <v>35</v>
      </c>
    </row>
    <row r="6508" spans="1:28" x14ac:dyDescent="0.2">
      <c r="A6508" s="1">
        <v>16776</v>
      </c>
      <c r="L6508" s="1" t="s">
        <v>4778</v>
      </c>
      <c r="N6508" s="1" t="s">
        <v>4779</v>
      </c>
      <c r="P6508" s="1" t="s">
        <v>4780</v>
      </c>
      <c r="Q6508" s="3">
        <v>0</v>
      </c>
      <c r="R6508" s="23" t="s">
        <v>10605</v>
      </c>
      <c r="S6508" s="23" t="s">
        <v>6847</v>
      </c>
      <c r="W6508" s="45" t="str">
        <f>HYPERLINK("http://ictvonline.org/taxonomy/p/taxonomy-history?taxnode_id=201905119","ICTVonline=201905119")</f>
        <v>ICTVonline=201905119</v>
      </c>
      <c r="Y6508" s="1" t="s">
        <v>16790</v>
      </c>
      <c r="Z6508" s="1" t="s">
        <v>16791</v>
      </c>
      <c r="AA6508" s="1">
        <v>201900000</v>
      </c>
      <c r="AB6508" s="1">
        <v>35</v>
      </c>
    </row>
    <row r="6509" spans="1:28" x14ac:dyDescent="0.2">
      <c r="A6509" s="1">
        <v>16778</v>
      </c>
      <c r="L6509" s="1" t="s">
        <v>4778</v>
      </c>
      <c r="N6509" s="1" t="s">
        <v>4779</v>
      </c>
      <c r="P6509" s="1" t="s">
        <v>4781</v>
      </c>
      <c r="Q6509" s="3">
        <v>0</v>
      </c>
      <c r="R6509" s="23" t="s">
        <v>10605</v>
      </c>
      <c r="S6509" s="23" t="s">
        <v>6847</v>
      </c>
      <c r="W6509" s="45" t="str">
        <f>HYPERLINK("http://ictvonline.org/taxonomy/p/taxonomy-history?taxnode_id=201905120","ICTVonline=201905120")</f>
        <v>ICTVonline=201905120</v>
      </c>
      <c r="Y6509" s="1" t="s">
        <v>16792</v>
      </c>
      <c r="Z6509" s="1" t="s">
        <v>16793</v>
      </c>
      <c r="AA6509" s="1">
        <v>201900000</v>
      </c>
      <c r="AB6509" s="1">
        <v>35</v>
      </c>
    </row>
    <row r="6510" spans="1:28" x14ac:dyDescent="0.2">
      <c r="A6510" s="1">
        <v>16780</v>
      </c>
      <c r="L6510" s="1" t="s">
        <v>4778</v>
      </c>
      <c r="N6510" s="1" t="s">
        <v>4779</v>
      </c>
      <c r="P6510" s="1" t="s">
        <v>4782</v>
      </c>
      <c r="Q6510" s="3">
        <v>0</v>
      </c>
      <c r="R6510" s="23" t="s">
        <v>10605</v>
      </c>
      <c r="S6510" s="23" t="s">
        <v>6847</v>
      </c>
      <c r="W6510" s="45" t="str">
        <f>HYPERLINK("http://ictvonline.org/taxonomy/p/taxonomy-history?taxnode_id=201905121","ICTVonline=201905121")</f>
        <v>ICTVonline=201905121</v>
      </c>
      <c r="Y6510" s="1" t="s">
        <v>16794</v>
      </c>
      <c r="Z6510" s="1" t="s">
        <v>16795</v>
      </c>
      <c r="AA6510" s="1">
        <v>201900000</v>
      </c>
      <c r="AB6510" s="1">
        <v>35</v>
      </c>
    </row>
    <row r="6511" spans="1:28" x14ac:dyDescent="0.2">
      <c r="A6511" s="1">
        <v>16782</v>
      </c>
      <c r="L6511" s="1" t="s">
        <v>4778</v>
      </c>
      <c r="N6511" s="1" t="s">
        <v>4779</v>
      </c>
      <c r="P6511" s="1" t="s">
        <v>4783</v>
      </c>
      <c r="Q6511" s="3">
        <v>1</v>
      </c>
      <c r="R6511" s="23" t="s">
        <v>10605</v>
      </c>
      <c r="S6511" s="23" t="s">
        <v>6847</v>
      </c>
      <c r="W6511" s="45" t="str">
        <f>HYPERLINK("http://ictvonline.org/taxonomy/p/taxonomy-history?taxnode_id=201905122","ICTVonline=201905122")</f>
        <v>ICTVonline=201905122</v>
      </c>
      <c r="Y6511" s="1" t="s">
        <v>16796</v>
      </c>
      <c r="Z6511" s="1" t="s">
        <v>16797</v>
      </c>
      <c r="AA6511" s="1">
        <v>201900000</v>
      </c>
      <c r="AB6511" s="1">
        <v>35</v>
      </c>
    </row>
    <row r="6512" spans="1:28" x14ac:dyDescent="0.2">
      <c r="A6512" s="1">
        <v>16784</v>
      </c>
      <c r="L6512" s="1" t="s">
        <v>4778</v>
      </c>
      <c r="N6512" s="1" t="s">
        <v>4779</v>
      </c>
      <c r="P6512" s="1" t="s">
        <v>4784</v>
      </c>
      <c r="Q6512" s="3">
        <v>0</v>
      </c>
      <c r="R6512" s="23" t="s">
        <v>10605</v>
      </c>
      <c r="S6512" s="23" t="s">
        <v>6847</v>
      </c>
      <c r="W6512" s="45" t="str">
        <f>HYPERLINK("http://ictvonline.org/taxonomy/p/taxonomy-history?taxnode_id=201905123","ICTVonline=201905123")</f>
        <v>ICTVonline=201905123</v>
      </c>
      <c r="Y6512" s="1" t="s">
        <v>16798</v>
      </c>
      <c r="Z6512" s="1" t="s">
        <v>16799</v>
      </c>
      <c r="AA6512" s="1">
        <v>201900000</v>
      </c>
      <c r="AB6512" s="1">
        <v>35</v>
      </c>
    </row>
    <row r="6513" spans="1:28" x14ac:dyDescent="0.2">
      <c r="A6513" s="1">
        <v>16786</v>
      </c>
      <c r="L6513" s="1" t="s">
        <v>4778</v>
      </c>
      <c r="N6513" s="1" t="s">
        <v>4779</v>
      </c>
      <c r="P6513" s="1" t="s">
        <v>4785</v>
      </c>
      <c r="Q6513" s="3">
        <v>0</v>
      </c>
      <c r="R6513" s="23" t="s">
        <v>10605</v>
      </c>
      <c r="S6513" s="23" t="s">
        <v>6847</v>
      </c>
      <c r="W6513" s="45" t="str">
        <f>HYPERLINK("http://ictvonline.org/taxonomy/p/taxonomy-history?taxnode_id=201905124","ICTVonline=201905124")</f>
        <v>ICTVonline=201905124</v>
      </c>
      <c r="Y6513" s="1" t="s">
        <v>16800</v>
      </c>
      <c r="Z6513" s="1" t="s">
        <v>16801</v>
      </c>
      <c r="AA6513" s="1">
        <v>201900000</v>
      </c>
      <c r="AB6513" s="1">
        <v>35</v>
      </c>
    </row>
    <row r="6514" spans="1:28" x14ac:dyDescent="0.2">
      <c r="A6514" s="1">
        <v>16788</v>
      </c>
      <c r="L6514" s="1" t="s">
        <v>4778</v>
      </c>
      <c r="N6514" s="1" t="s">
        <v>4779</v>
      </c>
      <c r="P6514" s="1" t="s">
        <v>4786</v>
      </c>
      <c r="Q6514" s="3">
        <v>0</v>
      </c>
      <c r="R6514" s="23" t="s">
        <v>10605</v>
      </c>
      <c r="S6514" s="23" t="s">
        <v>6847</v>
      </c>
      <c r="W6514" s="45" t="str">
        <f>HYPERLINK("http://ictvonline.org/taxonomy/p/taxonomy-history?taxnode_id=201905125","ICTVonline=201905125")</f>
        <v>ICTVonline=201905125</v>
      </c>
      <c r="Y6514" s="1" t="s">
        <v>16802</v>
      </c>
      <c r="Z6514" s="1" t="s">
        <v>16803</v>
      </c>
      <c r="AA6514" s="1">
        <v>201900000</v>
      </c>
      <c r="AB6514" s="1">
        <v>35</v>
      </c>
    </row>
    <row r="6515" spans="1:28" x14ac:dyDescent="0.2">
      <c r="A6515" s="1">
        <v>16790</v>
      </c>
      <c r="L6515" s="1" t="s">
        <v>4778</v>
      </c>
      <c r="N6515" s="1" t="s">
        <v>4779</v>
      </c>
      <c r="P6515" s="1" t="s">
        <v>4787</v>
      </c>
      <c r="Q6515" s="3">
        <v>0</v>
      </c>
      <c r="R6515" s="23" t="s">
        <v>10605</v>
      </c>
      <c r="S6515" s="23" t="s">
        <v>6847</v>
      </c>
      <c r="W6515" s="45" t="str">
        <f>HYPERLINK("http://ictvonline.org/taxonomy/p/taxonomy-history?taxnode_id=201905126","ICTVonline=201905126")</f>
        <v>ICTVonline=201905126</v>
      </c>
      <c r="Y6515" s="1" t="s">
        <v>16804</v>
      </c>
      <c r="Z6515" s="1" t="s">
        <v>16805</v>
      </c>
      <c r="AA6515" s="1">
        <v>201900000</v>
      </c>
      <c r="AB6515" s="1">
        <v>35</v>
      </c>
    </row>
    <row r="6516" spans="1:28" x14ac:dyDescent="0.2">
      <c r="A6516" s="1">
        <v>16792</v>
      </c>
      <c r="L6516" s="1" t="s">
        <v>4778</v>
      </c>
      <c r="N6516" s="1" t="s">
        <v>4779</v>
      </c>
      <c r="P6516" s="1" t="s">
        <v>4788</v>
      </c>
      <c r="Q6516" s="3">
        <v>0</v>
      </c>
      <c r="R6516" s="23" t="s">
        <v>10605</v>
      </c>
      <c r="S6516" s="23" t="s">
        <v>6847</v>
      </c>
      <c r="W6516" s="45" t="str">
        <f>HYPERLINK("http://ictvonline.org/taxonomy/p/taxonomy-history?taxnode_id=201905127","ICTVonline=201905127")</f>
        <v>ICTVonline=201905127</v>
      </c>
      <c r="Y6516" s="1" t="s">
        <v>16806</v>
      </c>
      <c r="Z6516" s="1" t="s">
        <v>16807</v>
      </c>
      <c r="AA6516" s="1">
        <v>201900000</v>
      </c>
      <c r="AB6516" s="1">
        <v>35</v>
      </c>
    </row>
    <row r="6517" spans="1:28" x14ac:dyDescent="0.2">
      <c r="A6517" s="1">
        <v>16794</v>
      </c>
      <c r="L6517" s="1" t="s">
        <v>4778</v>
      </c>
      <c r="N6517" s="1" t="s">
        <v>4779</v>
      </c>
      <c r="P6517" s="1" t="s">
        <v>4789</v>
      </c>
      <c r="Q6517" s="3">
        <v>0</v>
      </c>
      <c r="R6517" s="23" t="s">
        <v>10605</v>
      </c>
      <c r="S6517" s="23" t="s">
        <v>6847</v>
      </c>
      <c r="W6517" s="45" t="str">
        <f>HYPERLINK("http://ictvonline.org/taxonomy/p/taxonomy-history?taxnode_id=201905128","ICTVonline=201905128")</f>
        <v>ICTVonline=201905128</v>
      </c>
      <c r="Y6517" s="1" t="s">
        <v>16808</v>
      </c>
      <c r="Z6517" s="1" t="s">
        <v>16809</v>
      </c>
      <c r="AA6517" s="1">
        <v>201900000</v>
      </c>
      <c r="AB6517" s="1">
        <v>35</v>
      </c>
    </row>
    <row r="6518" spans="1:28" x14ac:dyDescent="0.2">
      <c r="A6518" s="1">
        <v>16796</v>
      </c>
      <c r="L6518" s="1" t="s">
        <v>4778</v>
      </c>
      <c r="N6518" s="1" t="s">
        <v>4779</v>
      </c>
      <c r="P6518" s="1" t="s">
        <v>4790</v>
      </c>
      <c r="Q6518" s="3">
        <v>0</v>
      </c>
      <c r="R6518" s="23" t="s">
        <v>10605</v>
      </c>
      <c r="S6518" s="23" t="s">
        <v>6847</v>
      </c>
      <c r="W6518" s="45" t="str">
        <f>HYPERLINK("http://ictvonline.org/taxonomy/p/taxonomy-history?taxnode_id=201905129","ICTVonline=201905129")</f>
        <v>ICTVonline=201905129</v>
      </c>
      <c r="Y6518" s="1" t="s">
        <v>16810</v>
      </c>
      <c r="Z6518" s="1" t="s">
        <v>16811</v>
      </c>
      <c r="AA6518" s="1">
        <v>201900000</v>
      </c>
      <c r="AB6518" s="1">
        <v>35</v>
      </c>
    </row>
    <row r="6519" spans="1:28" x14ac:dyDescent="0.2">
      <c r="A6519" s="1">
        <v>16798</v>
      </c>
      <c r="L6519" s="1" t="s">
        <v>4778</v>
      </c>
      <c r="N6519" s="1" t="s">
        <v>4779</v>
      </c>
      <c r="P6519" s="1" t="s">
        <v>4791</v>
      </c>
      <c r="Q6519" s="3">
        <v>0</v>
      </c>
      <c r="R6519" s="23" t="s">
        <v>10605</v>
      </c>
      <c r="S6519" s="23" t="s">
        <v>6847</v>
      </c>
      <c r="W6519" s="45" t="str">
        <f>HYPERLINK("http://ictvonline.org/taxonomy/p/taxonomy-history?taxnode_id=201905130","ICTVonline=201905130")</f>
        <v>ICTVonline=201905130</v>
      </c>
      <c r="Y6519" s="1" t="s">
        <v>16812</v>
      </c>
      <c r="Z6519" s="1" t="s">
        <v>16813</v>
      </c>
      <c r="AA6519" s="1">
        <v>201900000</v>
      </c>
      <c r="AB6519" s="1">
        <v>35</v>
      </c>
    </row>
    <row r="6520" spans="1:28" x14ac:dyDescent="0.2">
      <c r="A6520" s="1">
        <v>16800</v>
      </c>
      <c r="L6520" s="1" t="s">
        <v>4778</v>
      </c>
      <c r="N6520" s="1" t="s">
        <v>4779</v>
      </c>
      <c r="P6520" s="1" t="s">
        <v>4792</v>
      </c>
      <c r="Q6520" s="3">
        <v>0</v>
      </c>
      <c r="R6520" s="23" t="s">
        <v>10605</v>
      </c>
      <c r="S6520" s="23" t="s">
        <v>6847</v>
      </c>
      <c r="W6520" s="45" t="str">
        <f>HYPERLINK("http://ictvonline.org/taxonomy/p/taxonomy-history?taxnode_id=201905131","ICTVonline=201905131")</f>
        <v>ICTVonline=201905131</v>
      </c>
      <c r="Y6520" s="1" t="s">
        <v>16814</v>
      </c>
      <c r="Z6520" s="1" t="s">
        <v>16815</v>
      </c>
      <c r="AA6520" s="1">
        <v>201900000</v>
      </c>
      <c r="AB6520" s="1">
        <v>35</v>
      </c>
    </row>
    <row r="6521" spans="1:28" x14ac:dyDescent="0.2">
      <c r="A6521" s="1">
        <v>16802</v>
      </c>
      <c r="L6521" s="1" t="s">
        <v>4778</v>
      </c>
      <c r="N6521" s="1" t="s">
        <v>4779</v>
      </c>
      <c r="P6521" s="1" t="s">
        <v>4793</v>
      </c>
      <c r="Q6521" s="3">
        <v>0</v>
      </c>
      <c r="R6521" s="23" t="s">
        <v>10605</v>
      </c>
      <c r="S6521" s="23" t="s">
        <v>6847</v>
      </c>
      <c r="W6521" s="45" t="str">
        <f>HYPERLINK("http://ictvonline.org/taxonomy/p/taxonomy-history?taxnode_id=201905132","ICTVonline=201905132")</f>
        <v>ICTVonline=201905132</v>
      </c>
      <c r="Y6521" s="1" t="s">
        <v>16816</v>
      </c>
      <c r="Z6521" s="1" t="s">
        <v>16817</v>
      </c>
      <c r="AA6521" s="1">
        <v>201900000</v>
      </c>
      <c r="AB6521" s="1">
        <v>35</v>
      </c>
    </row>
    <row r="6522" spans="1:28" x14ac:dyDescent="0.2">
      <c r="A6522" s="1">
        <v>16804</v>
      </c>
      <c r="L6522" s="1" t="s">
        <v>4778</v>
      </c>
      <c r="N6522" s="1" t="s">
        <v>4779</v>
      </c>
      <c r="P6522" s="1" t="s">
        <v>4794</v>
      </c>
      <c r="Q6522" s="3">
        <v>0</v>
      </c>
      <c r="R6522" s="23" t="s">
        <v>10605</v>
      </c>
      <c r="S6522" s="23" t="s">
        <v>6847</v>
      </c>
      <c r="W6522" s="45" t="str">
        <f>HYPERLINK("http://ictvonline.org/taxonomy/p/taxonomy-history?taxnode_id=201905133","ICTVonline=201905133")</f>
        <v>ICTVonline=201905133</v>
      </c>
      <c r="Y6522" s="1" t="s">
        <v>16818</v>
      </c>
      <c r="Z6522" s="1" t="s">
        <v>16819</v>
      </c>
      <c r="AA6522" s="1">
        <v>201900000</v>
      </c>
      <c r="AB6522" s="1">
        <v>35</v>
      </c>
    </row>
    <row r="6523" spans="1:28" x14ac:dyDescent="0.2">
      <c r="A6523" s="1">
        <v>16806</v>
      </c>
      <c r="L6523" s="1" t="s">
        <v>4778</v>
      </c>
      <c r="N6523" s="1" t="s">
        <v>4779</v>
      </c>
      <c r="P6523" s="1" t="s">
        <v>4795</v>
      </c>
      <c r="Q6523" s="3">
        <v>0</v>
      </c>
      <c r="R6523" s="23" t="s">
        <v>10605</v>
      </c>
      <c r="S6523" s="23" t="s">
        <v>6847</v>
      </c>
      <c r="W6523" s="45" t="str">
        <f>HYPERLINK("http://ictvonline.org/taxonomy/p/taxonomy-history?taxnode_id=201905134","ICTVonline=201905134")</f>
        <v>ICTVonline=201905134</v>
      </c>
      <c r="Y6523" s="1" t="s">
        <v>16820</v>
      </c>
      <c r="Z6523" s="1" t="s">
        <v>16821</v>
      </c>
      <c r="AA6523" s="1">
        <v>201900000</v>
      </c>
      <c r="AB6523" s="1">
        <v>35</v>
      </c>
    </row>
    <row r="6524" spans="1:28" x14ac:dyDescent="0.2">
      <c r="A6524" s="1">
        <v>16808</v>
      </c>
      <c r="L6524" s="1" t="s">
        <v>4778</v>
      </c>
      <c r="N6524" s="1" t="s">
        <v>4779</v>
      </c>
      <c r="P6524" s="1" t="s">
        <v>4796</v>
      </c>
      <c r="Q6524" s="3">
        <v>0</v>
      </c>
      <c r="R6524" s="23" t="s">
        <v>10605</v>
      </c>
      <c r="S6524" s="23" t="s">
        <v>6847</v>
      </c>
      <c r="W6524" s="45" t="str">
        <f>HYPERLINK("http://ictvonline.org/taxonomy/p/taxonomy-history?taxnode_id=201905135","ICTVonline=201905135")</f>
        <v>ICTVonline=201905135</v>
      </c>
      <c r="Y6524" s="1" t="s">
        <v>16822</v>
      </c>
      <c r="Z6524" s="1" t="s">
        <v>16823</v>
      </c>
      <c r="AA6524" s="1">
        <v>201900000</v>
      </c>
      <c r="AB6524" s="1">
        <v>35</v>
      </c>
    </row>
    <row r="6525" spans="1:28" x14ac:dyDescent="0.2">
      <c r="A6525" s="1">
        <v>16810</v>
      </c>
      <c r="L6525" s="1" t="s">
        <v>4778</v>
      </c>
      <c r="N6525" s="1" t="s">
        <v>4779</v>
      </c>
      <c r="P6525" s="1" t="s">
        <v>4797</v>
      </c>
      <c r="Q6525" s="3">
        <v>0</v>
      </c>
      <c r="R6525" s="23" t="s">
        <v>10605</v>
      </c>
      <c r="S6525" s="23" t="s">
        <v>6847</v>
      </c>
      <c r="W6525" s="45" t="str">
        <f>HYPERLINK("http://ictvonline.org/taxonomy/p/taxonomy-history?taxnode_id=201905136","ICTVonline=201905136")</f>
        <v>ICTVonline=201905136</v>
      </c>
      <c r="Y6525" s="1" t="s">
        <v>16824</v>
      </c>
      <c r="Z6525" s="1" t="s">
        <v>16825</v>
      </c>
      <c r="AA6525" s="1">
        <v>201900000</v>
      </c>
      <c r="AB6525" s="1">
        <v>35</v>
      </c>
    </row>
    <row r="6526" spans="1:28" x14ac:dyDescent="0.2">
      <c r="A6526" s="1">
        <v>16812</v>
      </c>
      <c r="L6526" s="1" t="s">
        <v>4778</v>
      </c>
      <c r="N6526" s="1" t="s">
        <v>4779</v>
      </c>
      <c r="P6526" s="1" t="s">
        <v>4798</v>
      </c>
      <c r="Q6526" s="3">
        <v>0</v>
      </c>
      <c r="R6526" s="23" t="s">
        <v>10605</v>
      </c>
      <c r="S6526" s="23" t="s">
        <v>6847</v>
      </c>
      <c r="W6526" s="45" t="str">
        <f>HYPERLINK("http://ictvonline.org/taxonomy/p/taxonomy-history?taxnode_id=201905137","ICTVonline=201905137")</f>
        <v>ICTVonline=201905137</v>
      </c>
      <c r="Y6526" s="1" t="s">
        <v>16826</v>
      </c>
      <c r="Z6526" s="1" t="s">
        <v>16827</v>
      </c>
      <c r="AA6526" s="1">
        <v>201900000</v>
      </c>
      <c r="AB6526" s="1">
        <v>35</v>
      </c>
    </row>
    <row r="6527" spans="1:28" x14ac:dyDescent="0.2">
      <c r="A6527" s="1">
        <v>16814</v>
      </c>
      <c r="L6527" s="1" t="s">
        <v>4778</v>
      </c>
      <c r="N6527" s="1" t="s">
        <v>4779</v>
      </c>
      <c r="P6527" s="1" t="s">
        <v>4799</v>
      </c>
      <c r="Q6527" s="3">
        <v>0</v>
      </c>
      <c r="R6527" s="23" t="s">
        <v>10605</v>
      </c>
      <c r="S6527" s="23" t="s">
        <v>6847</v>
      </c>
      <c r="W6527" s="45" t="str">
        <f>HYPERLINK("http://ictvonline.org/taxonomy/p/taxonomy-history?taxnode_id=201905138","ICTVonline=201905138")</f>
        <v>ICTVonline=201905138</v>
      </c>
      <c r="Y6527" s="1" t="s">
        <v>16828</v>
      </c>
      <c r="Z6527" s="1" t="s">
        <v>16829</v>
      </c>
      <c r="AA6527" s="1">
        <v>201900000</v>
      </c>
      <c r="AB6527" s="1">
        <v>35</v>
      </c>
    </row>
    <row r="6528" spans="1:28" x14ac:dyDescent="0.2">
      <c r="A6528" s="1">
        <v>16816</v>
      </c>
      <c r="L6528" s="1" t="s">
        <v>4778</v>
      </c>
      <c r="N6528" s="1" t="s">
        <v>4779</v>
      </c>
      <c r="P6528" s="1" t="s">
        <v>4800</v>
      </c>
      <c r="Q6528" s="3">
        <v>0</v>
      </c>
      <c r="R6528" s="23" t="s">
        <v>10605</v>
      </c>
      <c r="S6528" s="23" t="s">
        <v>6847</v>
      </c>
      <c r="W6528" s="45" t="str">
        <f>HYPERLINK("http://ictvonline.org/taxonomy/p/taxonomy-history?taxnode_id=201905139","ICTVonline=201905139")</f>
        <v>ICTVonline=201905139</v>
      </c>
      <c r="Y6528" s="1" t="s">
        <v>16830</v>
      </c>
      <c r="Z6528" s="1" t="s">
        <v>16831</v>
      </c>
      <c r="AA6528" s="1">
        <v>201900000</v>
      </c>
      <c r="AB6528" s="1">
        <v>35</v>
      </c>
    </row>
    <row r="6529" spans="1:28" x14ac:dyDescent="0.2">
      <c r="A6529" s="1">
        <v>16818</v>
      </c>
      <c r="L6529" s="1" t="s">
        <v>4778</v>
      </c>
      <c r="N6529" s="1" t="s">
        <v>4779</v>
      </c>
      <c r="P6529" s="1" t="s">
        <v>4801</v>
      </c>
      <c r="Q6529" s="3">
        <v>0</v>
      </c>
      <c r="R6529" s="23" t="s">
        <v>10605</v>
      </c>
      <c r="S6529" s="23" t="s">
        <v>6847</v>
      </c>
      <c r="W6529" s="45" t="str">
        <f>HYPERLINK("http://ictvonline.org/taxonomy/p/taxonomy-history?taxnode_id=201905140","ICTVonline=201905140")</f>
        <v>ICTVonline=201905140</v>
      </c>
      <c r="Y6529" s="1" t="s">
        <v>16832</v>
      </c>
      <c r="Z6529" s="1" t="s">
        <v>16833</v>
      </c>
      <c r="AA6529" s="1">
        <v>201900000</v>
      </c>
      <c r="AB6529" s="1">
        <v>35</v>
      </c>
    </row>
    <row r="6530" spans="1:28" x14ac:dyDescent="0.2">
      <c r="A6530" s="1">
        <v>16820</v>
      </c>
      <c r="L6530" s="1" t="s">
        <v>4778</v>
      </c>
      <c r="N6530" s="1" t="s">
        <v>4779</v>
      </c>
      <c r="P6530" s="1" t="s">
        <v>4802</v>
      </c>
      <c r="Q6530" s="3">
        <v>0</v>
      </c>
      <c r="R6530" s="23" t="s">
        <v>10605</v>
      </c>
      <c r="S6530" s="23" t="s">
        <v>6847</v>
      </c>
      <c r="W6530" s="45" t="str">
        <f>HYPERLINK("http://ictvonline.org/taxonomy/p/taxonomy-history?taxnode_id=201905141","ICTVonline=201905141")</f>
        <v>ICTVonline=201905141</v>
      </c>
      <c r="Y6530" s="1" t="s">
        <v>16834</v>
      </c>
      <c r="Z6530" s="1" t="s">
        <v>16835</v>
      </c>
      <c r="AA6530" s="1">
        <v>201900000</v>
      </c>
      <c r="AB6530" s="1">
        <v>35</v>
      </c>
    </row>
    <row r="6531" spans="1:28" x14ac:dyDescent="0.2">
      <c r="A6531" s="1">
        <v>16822</v>
      </c>
      <c r="L6531" s="1" t="s">
        <v>4778</v>
      </c>
      <c r="N6531" s="1" t="s">
        <v>4779</v>
      </c>
      <c r="P6531" s="1" t="s">
        <v>4803</v>
      </c>
      <c r="Q6531" s="3">
        <v>0</v>
      </c>
      <c r="R6531" s="23" t="s">
        <v>10605</v>
      </c>
      <c r="S6531" s="23" t="s">
        <v>6847</v>
      </c>
      <c r="W6531" s="45" t="str">
        <f>HYPERLINK("http://ictvonline.org/taxonomy/p/taxonomy-history?taxnode_id=201905142","ICTVonline=201905142")</f>
        <v>ICTVonline=201905142</v>
      </c>
      <c r="Y6531" s="1" t="s">
        <v>16836</v>
      </c>
      <c r="Z6531" s="1" t="s">
        <v>16837</v>
      </c>
      <c r="AA6531" s="1">
        <v>201900000</v>
      </c>
      <c r="AB6531" s="1">
        <v>35</v>
      </c>
    </row>
    <row r="6532" spans="1:28" x14ac:dyDescent="0.2">
      <c r="A6532" s="1">
        <v>16824</v>
      </c>
      <c r="L6532" s="1" t="s">
        <v>4778</v>
      </c>
      <c r="N6532" s="1" t="s">
        <v>4779</v>
      </c>
      <c r="P6532" s="1" t="s">
        <v>4804</v>
      </c>
      <c r="Q6532" s="3">
        <v>0</v>
      </c>
      <c r="R6532" s="23" t="s">
        <v>10605</v>
      </c>
      <c r="S6532" s="23" t="s">
        <v>6847</v>
      </c>
      <c r="W6532" s="45" t="str">
        <f>HYPERLINK("http://ictvonline.org/taxonomy/p/taxonomy-history?taxnode_id=201905143","ICTVonline=201905143")</f>
        <v>ICTVonline=201905143</v>
      </c>
      <c r="Y6532" s="1" t="s">
        <v>16838</v>
      </c>
      <c r="Z6532" s="1" t="s">
        <v>16839</v>
      </c>
      <c r="AA6532" s="1">
        <v>201900000</v>
      </c>
      <c r="AB6532" s="1">
        <v>35</v>
      </c>
    </row>
    <row r="6533" spans="1:28" x14ac:dyDescent="0.2">
      <c r="A6533" s="1">
        <v>16826</v>
      </c>
      <c r="L6533" s="1" t="s">
        <v>4778</v>
      </c>
      <c r="N6533" s="1" t="s">
        <v>4779</v>
      </c>
      <c r="P6533" s="1" t="s">
        <v>4805</v>
      </c>
      <c r="Q6533" s="3">
        <v>0</v>
      </c>
      <c r="R6533" s="23" t="s">
        <v>10605</v>
      </c>
      <c r="S6533" s="23" t="s">
        <v>6847</v>
      </c>
      <c r="W6533" s="45" t="str">
        <f>HYPERLINK("http://ictvonline.org/taxonomy/p/taxonomy-history?taxnode_id=201905144","ICTVonline=201905144")</f>
        <v>ICTVonline=201905144</v>
      </c>
      <c r="Y6533" s="1" t="s">
        <v>16840</v>
      </c>
      <c r="Z6533" s="1" t="s">
        <v>16841</v>
      </c>
      <c r="AA6533" s="1">
        <v>201900000</v>
      </c>
      <c r="AB6533" s="1">
        <v>35</v>
      </c>
    </row>
    <row r="6534" spans="1:28" x14ac:dyDescent="0.2">
      <c r="A6534" s="1">
        <v>16828</v>
      </c>
      <c r="L6534" s="1" t="s">
        <v>4778</v>
      </c>
      <c r="N6534" s="1" t="s">
        <v>4779</v>
      </c>
      <c r="P6534" s="1" t="s">
        <v>4806</v>
      </c>
      <c r="Q6534" s="3">
        <v>0</v>
      </c>
      <c r="R6534" s="23" t="s">
        <v>10605</v>
      </c>
      <c r="S6534" s="23" t="s">
        <v>6847</v>
      </c>
      <c r="W6534" s="45" t="str">
        <f>HYPERLINK("http://ictvonline.org/taxonomy/p/taxonomy-history?taxnode_id=201905145","ICTVonline=201905145")</f>
        <v>ICTVonline=201905145</v>
      </c>
      <c r="Y6534" s="1" t="s">
        <v>16842</v>
      </c>
      <c r="Z6534" s="1" t="s">
        <v>16843</v>
      </c>
      <c r="AA6534" s="1">
        <v>201900000</v>
      </c>
      <c r="AB6534" s="1">
        <v>35</v>
      </c>
    </row>
    <row r="6535" spans="1:28" x14ac:dyDescent="0.2">
      <c r="A6535" s="1">
        <v>16830</v>
      </c>
      <c r="L6535" s="1" t="s">
        <v>4778</v>
      </c>
      <c r="N6535" s="1" t="s">
        <v>4779</v>
      </c>
      <c r="P6535" s="1" t="s">
        <v>4807</v>
      </c>
      <c r="Q6535" s="3">
        <v>0</v>
      </c>
      <c r="R6535" s="23" t="s">
        <v>10605</v>
      </c>
      <c r="S6535" s="23" t="s">
        <v>6847</v>
      </c>
      <c r="W6535" s="45" t="str">
        <f>HYPERLINK("http://ictvonline.org/taxonomy/p/taxonomy-history?taxnode_id=201905146","ICTVonline=201905146")</f>
        <v>ICTVonline=201905146</v>
      </c>
      <c r="Y6535" s="1" t="s">
        <v>16844</v>
      </c>
      <c r="Z6535" s="1" t="s">
        <v>16845</v>
      </c>
      <c r="AA6535" s="1">
        <v>201900000</v>
      </c>
      <c r="AB6535" s="1">
        <v>35</v>
      </c>
    </row>
    <row r="6536" spans="1:28" x14ac:dyDescent="0.2">
      <c r="A6536" s="1">
        <v>16832</v>
      </c>
      <c r="L6536" s="1" t="s">
        <v>4778</v>
      </c>
      <c r="N6536" s="1" t="s">
        <v>4779</v>
      </c>
      <c r="P6536" s="1" t="s">
        <v>4808</v>
      </c>
      <c r="Q6536" s="3">
        <v>0</v>
      </c>
      <c r="R6536" s="23" t="s">
        <v>10605</v>
      </c>
      <c r="S6536" s="23" t="s">
        <v>6847</v>
      </c>
      <c r="W6536" s="45" t="str">
        <f>HYPERLINK("http://ictvonline.org/taxonomy/p/taxonomy-history?taxnode_id=201905147","ICTVonline=201905147")</f>
        <v>ICTVonline=201905147</v>
      </c>
      <c r="Y6536" s="1" t="s">
        <v>16846</v>
      </c>
      <c r="Z6536" s="1" t="s">
        <v>16847</v>
      </c>
      <c r="AA6536" s="1">
        <v>201900000</v>
      </c>
      <c r="AB6536" s="1">
        <v>35</v>
      </c>
    </row>
    <row r="6537" spans="1:28" x14ac:dyDescent="0.2">
      <c r="A6537" s="1">
        <v>16834</v>
      </c>
      <c r="L6537" s="1" t="s">
        <v>4778</v>
      </c>
      <c r="N6537" s="1" t="s">
        <v>4779</v>
      </c>
      <c r="P6537" s="1" t="s">
        <v>4809</v>
      </c>
      <c r="Q6537" s="3">
        <v>0</v>
      </c>
      <c r="R6537" s="23" t="s">
        <v>10605</v>
      </c>
      <c r="S6537" s="23" t="s">
        <v>6847</v>
      </c>
      <c r="W6537" s="45" t="str">
        <f>HYPERLINK("http://ictvonline.org/taxonomy/p/taxonomy-history?taxnode_id=201905148","ICTVonline=201905148")</f>
        <v>ICTVonline=201905148</v>
      </c>
      <c r="Y6537" s="1" t="s">
        <v>16848</v>
      </c>
      <c r="Z6537" s="1" t="s">
        <v>16849</v>
      </c>
      <c r="AA6537" s="1">
        <v>201900000</v>
      </c>
      <c r="AB6537" s="1">
        <v>35</v>
      </c>
    </row>
    <row r="6538" spans="1:28" x14ac:dyDescent="0.2">
      <c r="A6538" s="1">
        <v>16836</v>
      </c>
      <c r="L6538" s="1" t="s">
        <v>4778</v>
      </c>
      <c r="N6538" s="1" t="s">
        <v>4779</v>
      </c>
      <c r="P6538" s="1" t="s">
        <v>4810</v>
      </c>
      <c r="Q6538" s="3">
        <v>0</v>
      </c>
      <c r="R6538" s="23" t="s">
        <v>10605</v>
      </c>
      <c r="S6538" s="23" t="s">
        <v>6847</v>
      </c>
      <c r="W6538" s="45" t="str">
        <f>HYPERLINK("http://ictvonline.org/taxonomy/p/taxonomy-history?taxnode_id=201905149","ICTVonline=201905149")</f>
        <v>ICTVonline=201905149</v>
      </c>
      <c r="Y6538" s="1" t="s">
        <v>16850</v>
      </c>
      <c r="Z6538" s="1" t="s">
        <v>16851</v>
      </c>
      <c r="AA6538" s="1">
        <v>201900000</v>
      </c>
      <c r="AB6538" s="1">
        <v>35</v>
      </c>
    </row>
    <row r="6539" spans="1:28" x14ac:dyDescent="0.2">
      <c r="A6539" s="1">
        <v>16838</v>
      </c>
      <c r="L6539" s="1" t="s">
        <v>4778</v>
      </c>
      <c r="N6539" s="1" t="s">
        <v>4779</v>
      </c>
      <c r="P6539" s="1" t="s">
        <v>4811</v>
      </c>
      <c r="Q6539" s="3">
        <v>0</v>
      </c>
      <c r="R6539" s="23" t="s">
        <v>10605</v>
      </c>
      <c r="S6539" s="23" t="s">
        <v>6847</v>
      </c>
      <c r="W6539" s="45" t="str">
        <f>HYPERLINK("http://ictvonline.org/taxonomy/p/taxonomy-history?taxnode_id=201905150","ICTVonline=201905150")</f>
        <v>ICTVonline=201905150</v>
      </c>
      <c r="Y6539" s="1" t="s">
        <v>16852</v>
      </c>
      <c r="Z6539" s="1" t="s">
        <v>16853</v>
      </c>
      <c r="AA6539" s="1">
        <v>201900000</v>
      </c>
      <c r="AB6539" s="1">
        <v>35</v>
      </c>
    </row>
    <row r="6540" spans="1:28" x14ac:dyDescent="0.2">
      <c r="A6540" s="1">
        <v>16840</v>
      </c>
      <c r="L6540" s="1" t="s">
        <v>4778</v>
      </c>
      <c r="N6540" s="1" t="s">
        <v>4779</v>
      </c>
      <c r="P6540" s="1" t="s">
        <v>4812</v>
      </c>
      <c r="Q6540" s="3">
        <v>0</v>
      </c>
      <c r="R6540" s="23" t="s">
        <v>10605</v>
      </c>
      <c r="S6540" s="23" t="s">
        <v>6847</v>
      </c>
      <c r="W6540" s="45" t="str">
        <f>HYPERLINK("http://ictvonline.org/taxonomy/p/taxonomy-history?taxnode_id=201905151","ICTVonline=201905151")</f>
        <v>ICTVonline=201905151</v>
      </c>
      <c r="Y6540" s="1" t="s">
        <v>16854</v>
      </c>
      <c r="Z6540" s="1" t="s">
        <v>16855</v>
      </c>
      <c r="AA6540" s="1">
        <v>201900000</v>
      </c>
      <c r="AB6540" s="1">
        <v>35</v>
      </c>
    </row>
    <row r="6541" spans="1:28" x14ac:dyDescent="0.2">
      <c r="A6541" s="1">
        <v>16842</v>
      </c>
      <c r="L6541" s="1" t="s">
        <v>4778</v>
      </c>
      <c r="N6541" s="1" t="s">
        <v>4779</v>
      </c>
      <c r="P6541" s="1" t="s">
        <v>4813</v>
      </c>
      <c r="Q6541" s="3">
        <v>0</v>
      </c>
      <c r="R6541" s="23" t="s">
        <v>10605</v>
      </c>
      <c r="S6541" s="23" t="s">
        <v>6847</v>
      </c>
      <c r="W6541" s="45" t="str">
        <f>HYPERLINK("http://ictvonline.org/taxonomy/p/taxonomy-history?taxnode_id=201905152","ICTVonline=201905152")</f>
        <v>ICTVonline=201905152</v>
      </c>
      <c r="Y6541" s="1" t="s">
        <v>16856</v>
      </c>
      <c r="Z6541" s="1" t="s">
        <v>16857</v>
      </c>
      <c r="AA6541" s="1">
        <v>201900000</v>
      </c>
      <c r="AB6541" s="1">
        <v>35</v>
      </c>
    </row>
    <row r="6542" spans="1:28" x14ac:dyDescent="0.2">
      <c r="A6542" s="1">
        <v>16844</v>
      </c>
      <c r="L6542" s="1" t="s">
        <v>4778</v>
      </c>
      <c r="N6542" s="1" t="s">
        <v>4779</v>
      </c>
      <c r="P6542" s="1" t="s">
        <v>4814</v>
      </c>
      <c r="Q6542" s="3">
        <v>0</v>
      </c>
      <c r="R6542" s="23" t="s">
        <v>10605</v>
      </c>
      <c r="S6542" s="23" t="s">
        <v>6847</v>
      </c>
      <c r="W6542" s="45" t="str">
        <f>HYPERLINK("http://ictvonline.org/taxonomy/p/taxonomy-history?taxnode_id=201905153","ICTVonline=201905153")</f>
        <v>ICTVonline=201905153</v>
      </c>
      <c r="Y6542" s="1" t="s">
        <v>16858</v>
      </c>
      <c r="Z6542" s="1" t="s">
        <v>16859</v>
      </c>
      <c r="AA6542" s="1">
        <v>201900000</v>
      </c>
      <c r="AB6542" s="1">
        <v>35</v>
      </c>
    </row>
    <row r="6543" spans="1:28" x14ac:dyDescent="0.2">
      <c r="A6543" s="1">
        <v>16846</v>
      </c>
      <c r="L6543" s="1" t="s">
        <v>4778</v>
      </c>
      <c r="N6543" s="1" t="s">
        <v>4779</v>
      </c>
      <c r="P6543" s="1" t="s">
        <v>4815</v>
      </c>
      <c r="Q6543" s="3">
        <v>0</v>
      </c>
      <c r="R6543" s="23" t="s">
        <v>10605</v>
      </c>
      <c r="S6543" s="23" t="s">
        <v>6847</v>
      </c>
      <c r="W6543" s="45" t="str">
        <f>HYPERLINK("http://ictvonline.org/taxonomy/p/taxonomy-history?taxnode_id=201905154","ICTVonline=201905154")</f>
        <v>ICTVonline=201905154</v>
      </c>
      <c r="Y6543" s="1" t="s">
        <v>16860</v>
      </c>
      <c r="Z6543" s="1" t="s">
        <v>16861</v>
      </c>
      <c r="AA6543" s="1">
        <v>201900000</v>
      </c>
      <c r="AB6543" s="1">
        <v>35</v>
      </c>
    </row>
    <row r="6544" spans="1:28" x14ac:dyDescent="0.2">
      <c r="A6544" s="1">
        <v>16848</v>
      </c>
      <c r="L6544" s="1" t="s">
        <v>4778</v>
      </c>
      <c r="N6544" s="1" t="s">
        <v>4779</v>
      </c>
      <c r="P6544" s="1" t="s">
        <v>4816</v>
      </c>
      <c r="Q6544" s="3">
        <v>0</v>
      </c>
      <c r="R6544" s="23" t="s">
        <v>10605</v>
      </c>
      <c r="S6544" s="23" t="s">
        <v>6847</v>
      </c>
      <c r="W6544" s="45" t="str">
        <f>HYPERLINK("http://ictvonline.org/taxonomy/p/taxonomy-history?taxnode_id=201905155","ICTVonline=201905155")</f>
        <v>ICTVonline=201905155</v>
      </c>
      <c r="Y6544" s="1" t="s">
        <v>16862</v>
      </c>
      <c r="Z6544" s="1" t="s">
        <v>16863</v>
      </c>
      <c r="AA6544" s="1">
        <v>201900000</v>
      </c>
      <c r="AB6544" s="1">
        <v>35</v>
      </c>
    </row>
    <row r="6545" spans="1:28" x14ac:dyDescent="0.2">
      <c r="A6545" s="1">
        <v>16850</v>
      </c>
      <c r="L6545" s="1" t="s">
        <v>4778</v>
      </c>
      <c r="N6545" s="1" t="s">
        <v>4779</v>
      </c>
      <c r="P6545" s="1" t="s">
        <v>4817</v>
      </c>
      <c r="Q6545" s="3">
        <v>0</v>
      </c>
      <c r="R6545" s="23" t="s">
        <v>10605</v>
      </c>
      <c r="S6545" s="23" t="s">
        <v>6847</v>
      </c>
      <c r="W6545" s="45" t="str">
        <f>HYPERLINK("http://ictvonline.org/taxonomy/p/taxonomy-history?taxnode_id=201905156","ICTVonline=201905156")</f>
        <v>ICTVonline=201905156</v>
      </c>
      <c r="Y6545" s="1" t="s">
        <v>16864</v>
      </c>
      <c r="Z6545" s="1" t="s">
        <v>16865</v>
      </c>
      <c r="AA6545" s="1">
        <v>201900000</v>
      </c>
      <c r="AB6545" s="1">
        <v>35</v>
      </c>
    </row>
    <row r="6546" spans="1:28" x14ac:dyDescent="0.2">
      <c r="A6546" s="1">
        <v>16852</v>
      </c>
      <c r="L6546" s="1" t="s">
        <v>4778</v>
      </c>
      <c r="N6546" s="1" t="s">
        <v>4779</v>
      </c>
      <c r="P6546" s="1" t="s">
        <v>4818</v>
      </c>
      <c r="Q6546" s="3">
        <v>0</v>
      </c>
      <c r="R6546" s="23" t="s">
        <v>10605</v>
      </c>
      <c r="S6546" s="23" t="s">
        <v>6847</v>
      </c>
      <c r="W6546" s="45" t="str">
        <f>HYPERLINK("http://ictvonline.org/taxonomy/p/taxonomy-history?taxnode_id=201905157","ICTVonline=201905157")</f>
        <v>ICTVonline=201905157</v>
      </c>
      <c r="Y6546" s="1" t="s">
        <v>16866</v>
      </c>
      <c r="Z6546" s="1" t="s">
        <v>16867</v>
      </c>
      <c r="AA6546" s="1">
        <v>201900000</v>
      </c>
      <c r="AB6546" s="1">
        <v>35</v>
      </c>
    </row>
    <row r="6547" spans="1:28" x14ac:dyDescent="0.2">
      <c r="A6547" s="1">
        <v>16854</v>
      </c>
      <c r="L6547" s="1" t="s">
        <v>4778</v>
      </c>
      <c r="N6547" s="1" t="s">
        <v>4779</v>
      </c>
      <c r="P6547" s="1" t="s">
        <v>4819</v>
      </c>
      <c r="Q6547" s="3">
        <v>0</v>
      </c>
      <c r="R6547" s="23" t="s">
        <v>10605</v>
      </c>
      <c r="S6547" s="23" t="s">
        <v>6847</v>
      </c>
      <c r="W6547" s="45" t="str">
        <f>HYPERLINK("http://ictvonline.org/taxonomy/p/taxonomy-history?taxnode_id=201905158","ICTVonline=201905158")</f>
        <v>ICTVonline=201905158</v>
      </c>
      <c r="Y6547" s="1" t="s">
        <v>16868</v>
      </c>
      <c r="Z6547" s="1" t="s">
        <v>16869</v>
      </c>
      <c r="AA6547" s="1">
        <v>201900000</v>
      </c>
      <c r="AB6547" s="1">
        <v>35</v>
      </c>
    </row>
    <row r="6548" spans="1:28" x14ac:dyDescent="0.2">
      <c r="A6548" s="1">
        <v>16856</v>
      </c>
      <c r="L6548" s="1" t="s">
        <v>4778</v>
      </c>
      <c r="N6548" s="1" t="s">
        <v>4779</v>
      </c>
      <c r="P6548" s="1" t="s">
        <v>4820</v>
      </c>
      <c r="Q6548" s="3">
        <v>0</v>
      </c>
      <c r="R6548" s="23" t="s">
        <v>10605</v>
      </c>
      <c r="S6548" s="23" t="s">
        <v>6847</v>
      </c>
      <c r="W6548" s="45" t="str">
        <f>HYPERLINK("http://ictvonline.org/taxonomy/p/taxonomy-history?taxnode_id=201905159","ICTVonline=201905159")</f>
        <v>ICTVonline=201905159</v>
      </c>
      <c r="Y6548" s="1" t="s">
        <v>16870</v>
      </c>
      <c r="Z6548" s="1" t="s">
        <v>16871</v>
      </c>
      <c r="AA6548" s="1">
        <v>201900000</v>
      </c>
      <c r="AB6548" s="1">
        <v>35</v>
      </c>
    </row>
    <row r="6549" spans="1:28" x14ac:dyDescent="0.2">
      <c r="A6549" s="1">
        <v>16858</v>
      </c>
      <c r="L6549" s="1" t="s">
        <v>4778</v>
      </c>
      <c r="N6549" s="1" t="s">
        <v>4779</v>
      </c>
      <c r="P6549" s="1" t="s">
        <v>4821</v>
      </c>
      <c r="Q6549" s="3">
        <v>0</v>
      </c>
      <c r="R6549" s="23" t="s">
        <v>10605</v>
      </c>
      <c r="S6549" s="23" t="s">
        <v>6847</v>
      </c>
      <c r="W6549" s="45" t="str">
        <f>HYPERLINK("http://ictvonline.org/taxonomy/p/taxonomy-history?taxnode_id=201905160","ICTVonline=201905160")</f>
        <v>ICTVonline=201905160</v>
      </c>
      <c r="Y6549" s="1" t="s">
        <v>16872</v>
      </c>
      <c r="Z6549" s="1" t="s">
        <v>16873</v>
      </c>
      <c r="AA6549" s="1">
        <v>201900000</v>
      </c>
      <c r="AB6549" s="1">
        <v>35</v>
      </c>
    </row>
    <row r="6550" spans="1:28" x14ac:dyDescent="0.2">
      <c r="A6550" s="1">
        <v>16860</v>
      </c>
      <c r="L6550" s="1" t="s">
        <v>4778</v>
      </c>
      <c r="N6550" s="1" t="s">
        <v>4779</v>
      </c>
      <c r="P6550" s="1" t="s">
        <v>4822</v>
      </c>
      <c r="Q6550" s="3">
        <v>0</v>
      </c>
      <c r="R6550" s="23" t="s">
        <v>10605</v>
      </c>
      <c r="S6550" s="23" t="s">
        <v>6847</v>
      </c>
      <c r="W6550" s="45" t="str">
        <f>HYPERLINK("http://ictvonline.org/taxonomy/p/taxonomy-history?taxnode_id=201905161","ICTVonline=201905161")</f>
        <v>ICTVonline=201905161</v>
      </c>
      <c r="Y6550" s="1" t="s">
        <v>16874</v>
      </c>
      <c r="Z6550" s="1" t="s">
        <v>16875</v>
      </c>
      <c r="AA6550" s="1">
        <v>201900000</v>
      </c>
      <c r="AB6550" s="1">
        <v>35</v>
      </c>
    </row>
    <row r="6551" spans="1:28" x14ac:dyDescent="0.2">
      <c r="A6551" s="1">
        <v>16862</v>
      </c>
      <c r="L6551" s="1" t="s">
        <v>4778</v>
      </c>
      <c r="N6551" s="1" t="s">
        <v>4779</v>
      </c>
      <c r="P6551" s="1" t="s">
        <v>5524</v>
      </c>
      <c r="Q6551" s="3">
        <v>0</v>
      </c>
      <c r="R6551" s="23" t="s">
        <v>10605</v>
      </c>
      <c r="S6551" s="23" t="s">
        <v>6847</v>
      </c>
      <c r="W6551" s="45" t="str">
        <f>HYPERLINK("http://ictvonline.org/taxonomy/p/taxonomy-history?taxnode_id=201905162","ICTVonline=201905162")</f>
        <v>ICTVonline=201905162</v>
      </c>
      <c r="Y6551" s="1" t="s">
        <v>16876</v>
      </c>
      <c r="Z6551" s="1" t="s">
        <v>16877</v>
      </c>
      <c r="AA6551" s="1">
        <v>201900000</v>
      </c>
      <c r="AB6551" s="1">
        <v>35</v>
      </c>
    </row>
    <row r="6552" spans="1:28" x14ac:dyDescent="0.2">
      <c r="A6552" s="1">
        <v>16864</v>
      </c>
      <c r="L6552" s="1" t="s">
        <v>4778</v>
      </c>
      <c r="N6552" s="1" t="s">
        <v>4779</v>
      </c>
      <c r="P6552" s="1" t="s">
        <v>4823</v>
      </c>
      <c r="Q6552" s="3">
        <v>0</v>
      </c>
      <c r="R6552" s="23" t="s">
        <v>10605</v>
      </c>
      <c r="S6552" s="23" t="s">
        <v>6847</v>
      </c>
      <c r="W6552" s="45" t="str">
        <f>HYPERLINK("http://ictvonline.org/taxonomy/p/taxonomy-history?taxnode_id=201905163","ICTVonline=201905163")</f>
        <v>ICTVonline=201905163</v>
      </c>
      <c r="Y6552" s="1" t="s">
        <v>16878</v>
      </c>
      <c r="Z6552" s="1" t="s">
        <v>16879</v>
      </c>
      <c r="AA6552" s="1">
        <v>201900000</v>
      </c>
      <c r="AB6552" s="1">
        <v>35</v>
      </c>
    </row>
    <row r="6553" spans="1:28" x14ac:dyDescent="0.2">
      <c r="A6553" s="1">
        <v>16866</v>
      </c>
      <c r="L6553" s="1" t="s">
        <v>4778</v>
      </c>
      <c r="N6553" s="1" t="s">
        <v>4779</v>
      </c>
      <c r="P6553" s="1" t="s">
        <v>4824</v>
      </c>
      <c r="Q6553" s="3">
        <v>0</v>
      </c>
      <c r="R6553" s="23" t="s">
        <v>10605</v>
      </c>
      <c r="S6553" s="23" t="s">
        <v>6847</v>
      </c>
      <c r="W6553" s="45" t="str">
        <f>HYPERLINK("http://ictvonline.org/taxonomy/p/taxonomy-history?taxnode_id=201905164","ICTVonline=201905164")</f>
        <v>ICTVonline=201905164</v>
      </c>
      <c r="Y6553" s="1" t="s">
        <v>16880</v>
      </c>
      <c r="Z6553" s="1" t="s">
        <v>16881</v>
      </c>
      <c r="AA6553" s="1">
        <v>201900000</v>
      </c>
      <c r="AB6553" s="1">
        <v>35</v>
      </c>
    </row>
    <row r="6554" spans="1:28" x14ac:dyDescent="0.2">
      <c r="A6554" s="1">
        <v>16868</v>
      </c>
      <c r="L6554" s="1" t="s">
        <v>4778</v>
      </c>
      <c r="N6554" s="1" t="s">
        <v>4779</v>
      </c>
      <c r="P6554" s="1" t="s">
        <v>4825</v>
      </c>
      <c r="Q6554" s="3">
        <v>0</v>
      </c>
      <c r="R6554" s="23" t="s">
        <v>10605</v>
      </c>
      <c r="S6554" s="23" t="s">
        <v>6847</v>
      </c>
      <c r="W6554" s="45" t="str">
        <f>HYPERLINK("http://ictvonline.org/taxonomy/p/taxonomy-history?taxnode_id=201905165","ICTVonline=201905165")</f>
        <v>ICTVonline=201905165</v>
      </c>
      <c r="Y6554" s="1" t="s">
        <v>16882</v>
      </c>
      <c r="Z6554" s="1" t="s">
        <v>16883</v>
      </c>
      <c r="AA6554" s="1">
        <v>201900000</v>
      </c>
      <c r="AB6554" s="1">
        <v>35</v>
      </c>
    </row>
    <row r="6555" spans="1:28" x14ac:dyDescent="0.2">
      <c r="A6555" s="1">
        <v>16870</v>
      </c>
      <c r="L6555" s="1" t="s">
        <v>4778</v>
      </c>
      <c r="N6555" s="1" t="s">
        <v>4779</v>
      </c>
      <c r="P6555" s="1" t="s">
        <v>4826</v>
      </c>
      <c r="Q6555" s="3">
        <v>0</v>
      </c>
      <c r="R6555" s="23" t="s">
        <v>10605</v>
      </c>
      <c r="S6555" s="23" t="s">
        <v>6847</v>
      </c>
      <c r="W6555" s="45" t="str">
        <f>HYPERLINK("http://ictvonline.org/taxonomy/p/taxonomy-history?taxnode_id=201905166","ICTVonline=201905166")</f>
        <v>ICTVonline=201905166</v>
      </c>
      <c r="Y6555" s="1" t="s">
        <v>16884</v>
      </c>
      <c r="Z6555" s="1" t="s">
        <v>16885</v>
      </c>
      <c r="AA6555" s="1">
        <v>201900000</v>
      </c>
      <c r="AB6555" s="1">
        <v>35</v>
      </c>
    </row>
    <row r="6556" spans="1:28" x14ac:dyDescent="0.2">
      <c r="A6556" s="1">
        <v>16872</v>
      </c>
      <c r="L6556" s="1" t="s">
        <v>4778</v>
      </c>
      <c r="N6556" s="1" t="s">
        <v>4779</v>
      </c>
      <c r="P6556" s="1" t="s">
        <v>4827</v>
      </c>
      <c r="Q6556" s="3">
        <v>0</v>
      </c>
      <c r="R6556" s="23" t="s">
        <v>10605</v>
      </c>
      <c r="S6556" s="23" t="s">
        <v>6847</v>
      </c>
      <c r="W6556" s="45" t="str">
        <f>HYPERLINK("http://ictvonline.org/taxonomy/p/taxonomy-history?taxnode_id=201905167","ICTVonline=201905167")</f>
        <v>ICTVonline=201905167</v>
      </c>
      <c r="Y6556" s="1" t="s">
        <v>16886</v>
      </c>
      <c r="Z6556" s="1" t="s">
        <v>16887</v>
      </c>
      <c r="AA6556" s="1">
        <v>201900000</v>
      </c>
      <c r="AB6556" s="1">
        <v>35</v>
      </c>
    </row>
    <row r="6557" spans="1:28" x14ac:dyDescent="0.2">
      <c r="A6557" s="1">
        <v>16874</v>
      </c>
      <c r="L6557" s="1" t="s">
        <v>4778</v>
      </c>
      <c r="N6557" s="1" t="s">
        <v>4779</v>
      </c>
      <c r="P6557" s="1" t="s">
        <v>4828</v>
      </c>
      <c r="Q6557" s="3">
        <v>0</v>
      </c>
      <c r="R6557" s="23" t="s">
        <v>10605</v>
      </c>
      <c r="S6557" s="23" t="s">
        <v>6847</v>
      </c>
      <c r="W6557" s="45" t="str">
        <f>HYPERLINK("http://ictvonline.org/taxonomy/p/taxonomy-history?taxnode_id=201905168","ICTVonline=201905168")</f>
        <v>ICTVonline=201905168</v>
      </c>
      <c r="Y6557" s="1" t="s">
        <v>16888</v>
      </c>
      <c r="Z6557" s="1" t="s">
        <v>16889</v>
      </c>
      <c r="AA6557" s="1">
        <v>201900000</v>
      </c>
      <c r="AB6557" s="1">
        <v>35</v>
      </c>
    </row>
    <row r="6558" spans="1:28" x14ac:dyDescent="0.2">
      <c r="A6558" s="1">
        <v>16876</v>
      </c>
      <c r="L6558" s="1" t="s">
        <v>4778</v>
      </c>
      <c r="N6558" s="1" t="s">
        <v>4779</v>
      </c>
      <c r="P6558" s="1" t="s">
        <v>4829</v>
      </c>
      <c r="Q6558" s="3">
        <v>0</v>
      </c>
      <c r="R6558" s="23" t="s">
        <v>10605</v>
      </c>
      <c r="S6558" s="23" t="s">
        <v>6847</v>
      </c>
      <c r="W6558" s="45" t="str">
        <f>HYPERLINK("http://ictvonline.org/taxonomy/p/taxonomy-history?taxnode_id=201905169","ICTVonline=201905169")</f>
        <v>ICTVonline=201905169</v>
      </c>
      <c r="Y6558" s="1" t="s">
        <v>16890</v>
      </c>
      <c r="Z6558" s="1" t="s">
        <v>16891</v>
      </c>
      <c r="AA6558" s="1">
        <v>201900000</v>
      </c>
      <c r="AB6558" s="1">
        <v>35</v>
      </c>
    </row>
    <row r="6559" spans="1:28" x14ac:dyDescent="0.2">
      <c r="A6559" s="1">
        <v>16878</v>
      </c>
      <c r="L6559" s="1" t="s">
        <v>4778</v>
      </c>
      <c r="N6559" s="1" t="s">
        <v>4779</v>
      </c>
      <c r="P6559" s="1" t="s">
        <v>4830</v>
      </c>
      <c r="Q6559" s="3">
        <v>0</v>
      </c>
      <c r="R6559" s="23" t="s">
        <v>10605</v>
      </c>
      <c r="S6559" s="23" t="s">
        <v>6847</v>
      </c>
      <c r="W6559" s="45" t="str">
        <f>HYPERLINK("http://ictvonline.org/taxonomy/p/taxonomy-history?taxnode_id=201905170","ICTVonline=201905170")</f>
        <v>ICTVonline=201905170</v>
      </c>
      <c r="Y6559" s="1" t="s">
        <v>16892</v>
      </c>
      <c r="Z6559" s="1" t="s">
        <v>16893</v>
      </c>
      <c r="AA6559" s="1">
        <v>201900000</v>
      </c>
      <c r="AB6559" s="1">
        <v>35</v>
      </c>
    </row>
    <row r="6560" spans="1:28" x14ac:dyDescent="0.2">
      <c r="A6560" s="1">
        <v>16880</v>
      </c>
      <c r="L6560" s="1" t="s">
        <v>4778</v>
      </c>
      <c r="N6560" s="1" t="s">
        <v>4779</v>
      </c>
      <c r="P6560" s="1" t="s">
        <v>4831</v>
      </c>
      <c r="Q6560" s="3">
        <v>0</v>
      </c>
      <c r="R6560" s="23" t="s">
        <v>10605</v>
      </c>
      <c r="S6560" s="23" t="s">
        <v>6847</v>
      </c>
      <c r="W6560" s="45" t="str">
        <f>HYPERLINK("http://ictvonline.org/taxonomy/p/taxonomy-history?taxnode_id=201905171","ICTVonline=201905171")</f>
        <v>ICTVonline=201905171</v>
      </c>
      <c r="Y6560" s="1" t="s">
        <v>16894</v>
      </c>
      <c r="Z6560" s="1" t="s">
        <v>16895</v>
      </c>
      <c r="AA6560" s="1">
        <v>201900000</v>
      </c>
      <c r="AB6560" s="1">
        <v>35</v>
      </c>
    </row>
    <row r="6561" spans="1:28" x14ac:dyDescent="0.2">
      <c r="A6561" s="1">
        <v>16882</v>
      </c>
      <c r="L6561" s="1" t="s">
        <v>4778</v>
      </c>
      <c r="N6561" s="1" t="s">
        <v>4779</v>
      </c>
      <c r="P6561" s="1" t="s">
        <v>4832</v>
      </c>
      <c r="Q6561" s="3">
        <v>0</v>
      </c>
      <c r="R6561" s="23" t="s">
        <v>10605</v>
      </c>
      <c r="S6561" s="23" t="s">
        <v>6847</v>
      </c>
      <c r="W6561" s="45" t="str">
        <f>HYPERLINK("http://ictvonline.org/taxonomy/p/taxonomy-history?taxnode_id=201905172","ICTVonline=201905172")</f>
        <v>ICTVonline=201905172</v>
      </c>
      <c r="Y6561" s="1" t="s">
        <v>16896</v>
      </c>
      <c r="Z6561" s="1" t="s">
        <v>16897</v>
      </c>
      <c r="AA6561" s="1">
        <v>201900000</v>
      </c>
      <c r="AB6561" s="1">
        <v>35</v>
      </c>
    </row>
    <row r="6562" spans="1:28" x14ac:dyDescent="0.2">
      <c r="A6562" s="1">
        <v>16884</v>
      </c>
      <c r="L6562" s="1" t="s">
        <v>4778</v>
      </c>
      <c r="N6562" s="1" t="s">
        <v>4779</v>
      </c>
      <c r="P6562" s="1" t="s">
        <v>4833</v>
      </c>
      <c r="Q6562" s="3">
        <v>0</v>
      </c>
      <c r="R6562" s="23" t="s">
        <v>10605</v>
      </c>
      <c r="S6562" s="23" t="s">
        <v>6847</v>
      </c>
      <c r="W6562" s="45" t="str">
        <f>HYPERLINK("http://ictvonline.org/taxonomy/p/taxonomy-history?taxnode_id=201905173","ICTVonline=201905173")</f>
        <v>ICTVonline=201905173</v>
      </c>
      <c r="Y6562" s="1" t="s">
        <v>16898</v>
      </c>
      <c r="Z6562" s="1" t="s">
        <v>16899</v>
      </c>
      <c r="AA6562" s="1">
        <v>201900000</v>
      </c>
      <c r="AB6562" s="1">
        <v>35</v>
      </c>
    </row>
    <row r="6563" spans="1:28" x14ac:dyDescent="0.2">
      <c r="A6563" s="1">
        <v>16886</v>
      </c>
      <c r="L6563" s="1" t="s">
        <v>4778</v>
      </c>
      <c r="N6563" s="1" t="s">
        <v>4779</v>
      </c>
      <c r="P6563" s="1" t="s">
        <v>4834</v>
      </c>
      <c r="Q6563" s="3">
        <v>0</v>
      </c>
      <c r="R6563" s="23" t="s">
        <v>10605</v>
      </c>
      <c r="S6563" s="23" t="s">
        <v>6847</v>
      </c>
      <c r="W6563" s="45" t="str">
        <f>HYPERLINK("http://ictvonline.org/taxonomy/p/taxonomy-history?taxnode_id=201905174","ICTVonline=201905174")</f>
        <v>ICTVonline=201905174</v>
      </c>
      <c r="Y6563" s="1" t="s">
        <v>16900</v>
      </c>
      <c r="Z6563" s="1" t="s">
        <v>16901</v>
      </c>
      <c r="AA6563" s="1">
        <v>201900000</v>
      </c>
      <c r="AB6563" s="1">
        <v>35</v>
      </c>
    </row>
    <row r="6564" spans="1:28" x14ac:dyDescent="0.2">
      <c r="A6564" s="1">
        <v>16888</v>
      </c>
      <c r="L6564" s="1" t="s">
        <v>4778</v>
      </c>
      <c r="N6564" s="1" t="s">
        <v>4779</v>
      </c>
      <c r="P6564" s="1" t="s">
        <v>4835</v>
      </c>
      <c r="Q6564" s="3">
        <v>0</v>
      </c>
      <c r="R6564" s="23" t="s">
        <v>10605</v>
      </c>
      <c r="S6564" s="23" t="s">
        <v>6847</v>
      </c>
      <c r="W6564" s="45" t="str">
        <f>HYPERLINK("http://ictvonline.org/taxonomy/p/taxonomy-history?taxnode_id=201905175","ICTVonline=201905175")</f>
        <v>ICTVonline=201905175</v>
      </c>
      <c r="Y6564" s="1" t="s">
        <v>16902</v>
      </c>
      <c r="Z6564" s="1" t="s">
        <v>16903</v>
      </c>
      <c r="AA6564" s="1">
        <v>201900000</v>
      </c>
      <c r="AB6564" s="1">
        <v>35</v>
      </c>
    </row>
    <row r="6565" spans="1:28" x14ac:dyDescent="0.2">
      <c r="A6565" s="1">
        <v>16890</v>
      </c>
      <c r="L6565" s="1" t="s">
        <v>4778</v>
      </c>
      <c r="N6565" s="1" t="s">
        <v>4779</v>
      </c>
      <c r="P6565" s="1" t="s">
        <v>4836</v>
      </c>
      <c r="Q6565" s="3">
        <v>0</v>
      </c>
      <c r="R6565" s="23" t="s">
        <v>10605</v>
      </c>
      <c r="S6565" s="23" t="s">
        <v>6847</v>
      </c>
      <c r="W6565" s="45" t="str">
        <f>HYPERLINK("http://ictvonline.org/taxonomy/p/taxonomy-history?taxnode_id=201905176","ICTVonline=201905176")</f>
        <v>ICTVonline=201905176</v>
      </c>
      <c r="Y6565" s="1" t="s">
        <v>16904</v>
      </c>
      <c r="Z6565" s="1" t="s">
        <v>16905</v>
      </c>
      <c r="AA6565" s="1">
        <v>201900000</v>
      </c>
      <c r="AB6565" s="1">
        <v>35</v>
      </c>
    </row>
    <row r="6566" spans="1:28" x14ac:dyDescent="0.2">
      <c r="A6566" s="1">
        <v>16892</v>
      </c>
      <c r="L6566" s="1" t="s">
        <v>4778</v>
      </c>
      <c r="N6566" s="1" t="s">
        <v>4779</v>
      </c>
      <c r="P6566" s="1" t="s">
        <v>4837</v>
      </c>
      <c r="Q6566" s="3">
        <v>0</v>
      </c>
      <c r="R6566" s="23" t="s">
        <v>10605</v>
      </c>
      <c r="S6566" s="23" t="s">
        <v>6847</v>
      </c>
      <c r="W6566" s="45" t="str">
        <f>HYPERLINK("http://ictvonline.org/taxonomy/p/taxonomy-history?taxnode_id=201905177","ICTVonline=201905177")</f>
        <v>ICTVonline=201905177</v>
      </c>
      <c r="Y6566" s="1" t="s">
        <v>16906</v>
      </c>
      <c r="Z6566" s="1" t="s">
        <v>16907</v>
      </c>
      <c r="AA6566" s="1">
        <v>201900000</v>
      </c>
      <c r="AB6566" s="1">
        <v>35</v>
      </c>
    </row>
    <row r="6567" spans="1:28" x14ac:dyDescent="0.2">
      <c r="A6567" s="1">
        <v>16894</v>
      </c>
      <c r="L6567" s="1" t="s">
        <v>4778</v>
      </c>
      <c r="N6567" s="1" t="s">
        <v>4779</v>
      </c>
      <c r="P6567" s="1" t="s">
        <v>4838</v>
      </c>
      <c r="Q6567" s="3">
        <v>0</v>
      </c>
      <c r="R6567" s="23" t="s">
        <v>10605</v>
      </c>
      <c r="S6567" s="23" t="s">
        <v>6847</v>
      </c>
      <c r="W6567" s="45" t="str">
        <f>HYPERLINK("http://ictvonline.org/taxonomy/p/taxonomy-history?taxnode_id=201905178","ICTVonline=201905178")</f>
        <v>ICTVonline=201905178</v>
      </c>
      <c r="Y6567" s="1" t="s">
        <v>16908</v>
      </c>
      <c r="Z6567" s="1" t="s">
        <v>16909</v>
      </c>
      <c r="AA6567" s="1">
        <v>201900000</v>
      </c>
      <c r="AB6567" s="1">
        <v>35</v>
      </c>
    </row>
    <row r="6568" spans="1:28" x14ac:dyDescent="0.2">
      <c r="A6568" s="1">
        <v>16896</v>
      </c>
      <c r="L6568" s="1" t="s">
        <v>4778</v>
      </c>
      <c r="N6568" s="1" t="s">
        <v>4779</v>
      </c>
      <c r="P6568" s="1" t="s">
        <v>4839</v>
      </c>
      <c r="Q6568" s="3">
        <v>0</v>
      </c>
      <c r="R6568" s="23" t="s">
        <v>10605</v>
      </c>
      <c r="S6568" s="23" t="s">
        <v>6847</v>
      </c>
      <c r="W6568" s="45" t="str">
        <f>HYPERLINK("http://ictvonline.org/taxonomy/p/taxonomy-history?taxnode_id=201905179","ICTVonline=201905179")</f>
        <v>ICTVonline=201905179</v>
      </c>
      <c r="Y6568" s="1" t="s">
        <v>16910</v>
      </c>
      <c r="Z6568" s="1" t="s">
        <v>16911</v>
      </c>
      <c r="AA6568" s="1">
        <v>201900000</v>
      </c>
      <c r="AB6568" s="1">
        <v>35</v>
      </c>
    </row>
    <row r="6569" spans="1:28" x14ac:dyDescent="0.2">
      <c r="A6569" s="1">
        <v>16900</v>
      </c>
      <c r="L6569" s="1" t="s">
        <v>4778</v>
      </c>
      <c r="N6569" s="1" t="s">
        <v>4840</v>
      </c>
      <c r="P6569" s="1" t="s">
        <v>4841</v>
      </c>
      <c r="Q6569" s="3">
        <v>0</v>
      </c>
      <c r="R6569" s="23" t="s">
        <v>10605</v>
      </c>
      <c r="S6569" s="23" t="s">
        <v>6847</v>
      </c>
      <c r="W6569" s="45" t="str">
        <f>HYPERLINK("http://ictvonline.org/taxonomy/p/taxonomy-history?taxnode_id=201905181","ICTVonline=201905181")</f>
        <v>ICTVonline=201905181</v>
      </c>
      <c r="Y6569" s="1" t="s">
        <v>16912</v>
      </c>
      <c r="Z6569" s="1" t="s">
        <v>16913</v>
      </c>
      <c r="AA6569" s="1">
        <v>201900000</v>
      </c>
      <c r="AB6569" s="1">
        <v>35</v>
      </c>
    </row>
    <row r="6570" spans="1:28" x14ac:dyDescent="0.2">
      <c r="A6570" s="1">
        <v>16902</v>
      </c>
      <c r="L6570" s="1" t="s">
        <v>4778</v>
      </c>
      <c r="N6570" s="1" t="s">
        <v>4840</v>
      </c>
      <c r="P6570" s="1" t="s">
        <v>4842</v>
      </c>
      <c r="Q6570" s="3">
        <v>0</v>
      </c>
      <c r="R6570" s="23" t="s">
        <v>10605</v>
      </c>
      <c r="S6570" s="23" t="s">
        <v>6847</v>
      </c>
      <c r="W6570" s="45" t="str">
        <f>HYPERLINK("http://ictvonline.org/taxonomy/p/taxonomy-history?taxnode_id=201905182","ICTVonline=201905182")</f>
        <v>ICTVonline=201905182</v>
      </c>
      <c r="Y6570" s="1" t="s">
        <v>16914</v>
      </c>
      <c r="Z6570" s="1" t="s">
        <v>16915</v>
      </c>
      <c r="AA6570" s="1">
        <v>201900000</v>
      </c>
      <c r="AB6570" s="1">
        <v>35</v>
      </c>
    </row>
    <row r="6571" spans="1:28" x14ac:dyDescent="0.2">
      <c r="A6571" s="1">
        <v>16904</v>
      </c>
      <c r="L6571" s="1" t="s">
        <v>4778</v>
      </c>
      <c r="N6571" s="1" t="s">
        <v>4840</v>
      </c>
      <c r="P6571" s="1" t="s">
        <v>4843</v>
      </c>
      <c r="Q6571" s="3">
        <v>0</v>
      </c>
      <c r="R6571" s="23" t="s">
        <v>10605</v>
      </c>
      <c r="S6571" s="23" t="s">
        <v>6847</v>
      </c>
      <c r="W6571" s="45" t="str">
        <f>HYPERLINK("http://ictvonline.org/taxonomy/p/taxonomy-history?taxnode_id=201905183","ICTVonline=201905183")</f>
        <v>ICTVonline=201905183</v>
      </c>
      <c r="Y6571" s="1" t="s">
        <v>16916</v>
      </c>
      <c r="Z6571" s="1" t="s">
        <v>16917</v>
      </c>
      <c r="AA6571" s="1">
        <v>201900000</v>
      </c>
      <c r="AB6571" s="1">
        <v>35</v>
      </c>
    </row>
    <row r="6572" spans="1:28" x14ac:dyDescent="0.2">
      <c r="A6572" s="1">
        <v>16906</v>
      </c>
      <c r="L6572" s="1" t="s">
        <v>4778</v>
      </c>
      <c r="N6572" s="1" t="s">
        <v>4840</v>
      </c>
      <c r="P6572" s="1" t="s">
        <v>4844</v>
      </c>
      <c r="Q6572" s="3">
        <v>0</v>
      </c>
      <c r="R6572" s="23" t="s">
        <v>10605</v>
      </c>
      <c r="S6572" s="23" t="s">
        <v>6847</v>
      </c>
      <c r="W6572" s="45" t="str">
        <f>HYPERLINK("http://ictvonline.org/taxonomy/p/taxonomy-history?taxnode_id=201905184","ICTVonline=201905184")</f>
        <v>ICTVonline=201905184</v>
      </c>
      <c r="Y6572" s="1" t="s">
        <v>16918</v>
      </c>
      <c r="Z6572" s="1" t="s">
        <v>16919</v>
      </c>
      <c r="AA6572" s="1">
        <v>201900000</v>
      </c>
      <c r="AB6572" s="1">
        <v>35</v>
      </c>
    </row>
    <row r="6573" spans="1:28" x14ac:dyDescent="0.2">
      <c r="A6573" s="1">
        <v>16908</v>
      </c>
      <c r="L6573" s="1" t="s">
        <v>4778</v>
      </c>
      <c r="N6573" s="1" t="s">
        <v>4840</v>
      </c>
      <c r="P6573" s="1" t="s">
        <v>4845</v>
      </c>
      <c r="Q6573" s="3">
        <v>0</v>
      </c>
      <c r="R6573" s="23" t="s">
        <v>10605</v>
      </c>
      <c r="S6573" s="23" t="s">
        <v>6847</v>
      </c>
      <c r="W6573" s="45" t="str">
        <f>HYPERLINK("http://ictvonline.org/taxonomy/p/taxonomy-history?taxnode_id=201905185","ICTVonline=201905185")</f>
        <v>ICTVonline=201905185</v>
      </c>
      <c r="Y6573" s="1" t="s">
        <v>16920</v>
      </c>
      <c r="Z6573" s="1" t="s">
        <v>16921</v>
      </c>
      <c r="AA6573" s="1">
        <v>201900000</v>
      </c>
      <c r="AB6573" s="1">
        <v>35</v>
      </c>
    </row>
    <row r="6574" spans="1:28" x14ac:dyDescent="0.2">
      <c r="A6574" s="1">
        <v>16910</v>
      </c>
      <c r="L6574" s="1" t="s">
        <v>4778</v>
      </c>
      <c r="N6574" s="1" t="s">
        <v>4840</v>
      </c>
      <c r="P6574" s="1" t="s">
        <v>4846</v>
      </c>
      <c r="Q6574" s="3">
        <v>0</v>
      </c>
      <c r="R6574" s="23" t="s">
        <v>10605</v>
      </c>
      <c r="S6574" s="23" t="s">
        <v>6847</v>
      </c>
      <c r="W6574" s="45" t="str">
        <f>HYPERLINK("http://ictvonline.org/taxonomy/p/taxonomy-history?taxnode_id=201905186","ICTVonline=201905186")</f>
        <v>ICTVonline=201905186</v>
      </c>
      <c r="Y6574" s="1" t="s">
        <v>16922</v>
      </c>
      <c r="Z6574" s="1" t="s">
        <v>16923</v>
      </c>
      <c r="AA6574" s="1">
        <v>201900000</v>
      </c>
      <c r="AB6574" s="1">
        <v>35</v>
      </c>
    </row>
    <row r="6575" spans="1:28" x14ac:dyDescent="0.2">
      <c r="A6575" s="1">
        <v>16912</v>
      </c>
      <c r="L6575" s="1" t="s">
        <v>4778</v>
      </c>
      <c r="N6575" s="1" t="s">
        <v>4840</v>
      </c>
      <c r="P6575" s="1" t="s">
        <v>4847</v>
      </c>
      <c r="Q6575" s="3">
        <v>0</v>
      </c>
      <c r="R6575" s="23" t="s">
        <v>10605</v>
      </c>
      <c r="S6575" s="23" t="s">
        <v>6847</v>
      </c>
      <c r="W6575" s="45" t="str">
        <f>HYPERLINK("http://ictvonline.org/taxonomy/p/taxonomy-history?taxnode_id=201905187","ICTVonline=201905187")</f>
        <v>ICTVonline=201905187</v>
      </c>
      <c r="Y6575" s="1" t="s">
        <v>16924</v>
      </c>
      <c r="Z6575" s="1" t="s">
        <v>16925</v>
      </c>
      <c r="AA6575" s="1">
        <v>201900000</v>
      </c>
      <c r="AB6575" s="1">
        <v>35</v>
      </c>
    </row>
    <row r="6576" spans="1:28" x14ac:dyDescent="0.2">
      <c r="A6576" s="1">
        <v>16914</v>
      </c>
      <c r="L6576" s="1" t="s">
        <v>4778</v>
      </c>
      <c r="N6576" s="1" t="s">
        <v>4840</v>
      </c>
      <c r="P6576" s="1" t="s">
        <v>4848</v>
      </c>
      <c r="Q6576" s="3">
        <v>0</v>
      </c>
      <c r="R6576" s="23" t="s">
        <v>10605</v>
      </c>
      <c r="S6576" s="23" t="s">
        <v>6847</v>
      </c>
      <c r="W6576" s="45" t="str">
        <f>HYPERLINK("http://ictvonline.org/taxonomy/p/taxonomy-history?taxnode_id=201905188","ICTVonline=201905188")</f>
        <v>ICTVonline=201905188</v>
      </c>
      <c r="Y6576" s="1" t="s">
        <v>16926</v>
      </c>
      <c r="Z6576" s="1" t="s">
        <v>16927</v>
      </c>
      <c r="AA6576" s="1">
        <v>201900000</v>
      </c>
      <c r="AB6576" s="1">
        <v>35</v>
      </c>
    </row>
    <row r="6577" spans="1:28" x14ac:dyDescent="0.2">
      <c r="A6577" s="1">
        <v>16916</v>
      </c>
      <c r="L6577" s="1" t="s">
        <v>4778</v>
      </c>
      <c r="N6577" s="1" t="s">
        <v>4840</v>
      </c>
      <c r="P6577" s="1" t="s">
        <v>4849</v>
      </c>
      <c r="Q6577" s="3">
        <v>1</v>
      </c>
      <c r="R6577" s="23" t="s">
        <v>10605</v>
      </c>
      <c r="S6577" s="23" t="s">
        <v>6847</v>
      </c>
      <c r="W6577" s="45" t="str">
        <f>HYPERLINK("http://ictvonline.org/taxonomy/p/taxonomy-history?taxnode_id=201905189","ICTVonline=201905189")</f>
        <v>ICTVonline=201905189</v>
      </c>
      <c r="Y6577" s="1" t="s">
        <v>16928</v>
      </c>
      <c r="Z6577" s="1" t="s">
        <v>16929</v>
      </c>
      <c r="AA6577" s="1">
        <v>201900000</v>
      </c>
      <c r="AB6577" s="1">
        <v>35</v>
      </c>
    </row>
    <row r="6578" spans="1:28" x14ac:dyDescent="0.2">
      <c r="A6578" s="1">
        <v>16918</v>
      </c>
      <c r="L6578" s="1" t="s">
        <v>4778</v>
      </c>
      <c r="N6578" s="1" t="s">
        <v>4840</v>
      </c>
      <c r="P6578" s="1" t="s">
        <v>4850</v>
      </c>
      <c r="Q6578" s="3">
        <v>0</v>
      </c>
      <c r="R6578" s="23" t="s">
        <v>10605</v>
      </c>
      <c r="S6578" s="23" t="s">
        <v>6847</v>
      </c>
      <c r="W6578" s="45" t="str">
        <f>HYPERLINK("http://ictvonline.org/taxonomy/p/taxonomy-history?taxnode_id=201905190","ICTVonline=201905190")</f>
        <v>ICTVonline=201905190</v>
      </c>
      <c r="Y6578" s="1" t="s">
        <v>16930</v>
      </c>
      <c r="Z6578" s="1" t="s">
        <v>16931</v>
      </c>
      <c r="AA6578" s="1">
        <v>201900000</v>
      </c>
      <c r="AB6578" s="1">
        <v>35</v>
      </c>
    </row>
    <row r="6579" spans="1:28" x14ac:dyDescent="0.2">
      <c r="A6579" s="1">
        <v>16920</v>
      </c>
      <c r="L6579" s="1" t="s">
        <v>4778</v>
      </c>
      <c r="N6579" s="1" t="s">
        <v>4840</v>
      </c>
      <c r="P6579" s="1" t="s">
        <v>4851</v>
      </c>
      <c r="Q6579" s="3">
        <v>0</v>
      </c>
      <c r="R6579" s="23" t="s">
        <v>10605</v>
      </c>
      <c r="S6579" s="23" t="s">
        <v>6847</v>
      </c>
      <c r="W6579" s="45" t="str">
        <f>HYPERLINK("http://ictvonline.org/taxonomy/p/taxonomy-history?taxnode_id=201905191","ICTVonline=201905191")</f>
        <v>ICTVonline=201905191</v>
      </c>
      <c r="Y6579" s="1" t="s">
        <v>16932</v>
      </c>
      <c r="Z6579" s="1" t="s">
        <v>16933</v>
      </c>
      <c r="AA6579" s="1">
        <v>201900000</v>
      </c>
      <c r="AB6579" s="1">
        <v>35</v>
      </c>
    </row>
    <row r="6580" spans="1:28" x14ac:dyDescent="0.2">
      <c r="A6580" s="1">
        <v>16926</v>
      </c>
      <c r="L6580" s="1" t="s">
        <v>4083</v>
      </c>
      <c r="N6580" s="1" t="s">
        <v>4084</v>
      </c>
      <c r="P6580" s="1" t="s">
        <v>4854</v>
      </c>
      <c r="Q6580" s="3">
        <v>1</v>
      </c>
      <c r="R6580" s="23" t="s">
        <v>6854</v>
      </c>
      <c r="S6580" s="23" t="s">
        <v>6847</v>
      </c>
      <c r="W6580" s="45" t="str">
        <f>HYPERLINK("http://ictvonline.org/taxonomy/p/taxonomy-history?taxnode_id=201905323","ICTVonline=201905323")</f>
        <v>ICTVonline=201905323</v>
      </c>
      <c r="Y6580" s="1" t="s">
        <v>16934</v>
      </c>
      <c r="Z6580" s="1" t="s">
        <v>4854</v>
      </c>
      <c r="AA6580" s="1">
        <v>201900000</v>
      </c>
      <c r="AB6580" s="1">
        <v>35</v>
      </c>
    </row>
    <row r="6581" spans="1:28" x14ac:dyDescent="0.2">
      <c r="A6581" s="1">
        <v>16928</v>
      </c>
      <c r="L6581" s="1" t="s">
        <v>4083</v>
      </c>
      <c r="N6581" s="1" t="s">
        <v>4084</v>
      </c>
      <c r="P6581" s="1" t="s">
        <v>1615</v>
      </c>
      <c r="Q6581" s="3">
        <v>0</v>
      </c>
      <c r="R6581" s="23" t="s">
        <v>6854</v>
      </c>
      <c r="S6581" s="23" t="s">
        <v>6847</v>
      </c>
      <c r="W6581" s="45" t="str">
        <f>HYPERLINK("http://ictvonline.org/taxonomy/p/taxonomy-history?taxnode_id=201905324","ICTVonline=201905324")</f>
        <v>ICTVonline=201905324</v>
      </c>
      <c r="Y6581" s="1" t="s">
        <v>16935</v>
      </c>
      <c r="Z6581" s="1" t="s">
        <v>1615</v>
      </c>
      <c r="AA6581" s="1">
        <v>201900000</v>
      </c>
      <c r="AB6581" s="1">
        <v>35</v>
      </c>
    </row>
    <row r="6582" spans="1:28" x14ac:dyDescent="0.2">
      <c r="A6582" s="1">
        <v>16933</v>
      </c>
      <c r="N6582" s="1" t="s">
        <v>16936</v>
      </c>
      <c r="P6582" s="1" t="s">
        <v>16937</v>
      </c>
      <c r="Q6582" s="3">
        <v>1</v>
      </c>
      <c r="S6582" s="23" t="s">
        <v>5849</v>
      </c>
      <c r="T6582" s="23" t="s">
        <v>4864</v>
      </c>
      <c r="U6582" s="3">
        <v>35</v>
      </c>
      <c r="V6582" s="3" t="s">
        <v>13599</v>
      </c>
      <c r="W6582" s="45" t="str">
        <f>HYPERLINK("http://ictvonline.org/taxonomy/p/taxonomy-history?taxnode_id=201907393","ICTVonline=201907393")</f>
        <v>ICTVonline=201907393</v>
      </c>
      <c r="X6582" s="1" t="s">
        <v>16938</v>
      </c>
      <c r="Y6582" s="1" t="s">
        <v>16939</v>
      </c>
      <c r="Z6582" s="1" t="s">
        <v>16940</v>
      </c>
      <c r="AA6582" s="1">
        <v>201900000</v>
      </c>
      <c r="AB6582" s="1">
        <v>35</v>
      </c>
    </row>
    <row r="6583" spans="1:28" x14ac:dyDescent="0.2">
      <c r="A6583" s="1">
        <v>16935</v>
      </c>
      <c r="N6583" s="1" t="s">
        <v>16936</v>
      </c>
      <c r="P6583" s="1" t="s">
        <v>16941</v>
      </c>
      <c r="Q6583" s="3">
        <v>0</v>
      </c>
      <c r="S6583" s="23" t="s">
        <v>5849</v>
      </c>
      <c r="T6583" s="23" t="s">
        <v>4864</v>
      </c>
      <c r="U6583" s="3">
        <v>35</v>
      </c>
      <c r="V6583" s="3" t="s">
        <v>13599</v>
      </c>
      <c r="W6583" s="45" t="str">
        <f>HYPERLINK("http://ictvonline.org/taxonomy/p/taxonomy-history?taxnode_id=201907394","ICTVonline=201907394")</f>
        <v>ICTVonline=201907394</v>
      </c>
      <c r="X6583" s="1" t="s">
        <v>16942</v>
      </c>
      <c r="Y6583" s="1" t="s">
        <v>16943</v>
      </c>
      <c r="Z6583" s="1" t="s">
        <v>16944</v>
      </c>
      <c r="AA6583" s="1">
        <v>201900000</v>
      </c>
      <c r="AB6583" s="1">
        <v>35</v>
      </c>
    </row>
    <row r="6584" spans="1:28" x14ac:dyDescent="0.2">
      <c r="A6584" s="1">
        <v>16939</v>
      </c>
      <c r="N6584" s="1" t="s">
        <v>1250</v>
      </c>
      <c r="P6584" s="1" t="s">
        <v>1251</v>
      </c>
      <c r="Q6584" s="3">
        <v>1</v>
      </c>
      <c r="R6584" s="23" t="s">
        <v>12893</v>
      </c>
      <c r="S6584" s="23" t="s">
        <v>5849</v>
      </c>
      <c r="T6584" s="23" t="s">
        <v>4866</v>
      </c>
      <c r="U6584" s="3">
        <v>35</v>
      </c>
      <c r="W6584" s="45" t="str">
        <f>HYPERLINK("http://ictvonline.org/taxonomy/p/taxonomy-history?taxnode_id=201905348","ICTVonline=201905348")</f>
        <v>ICTVonline=201905348</v>
      </c>
      <c r="AA6584" s="1">
        <v>201900000</v>
      </c>
      <c r="AB6584" s="1">
        <v>35</v>
      </c>
    </row>
    <row r="6585" spans="1:28" x14ac:dyDescent="0.2">
      <c r="A6585" s="1">
        <v>16943</v>
      </c>
      <c r="N6585" s="1" t="s">
        <v>211</v>
      </c>
      <c r="P6585" s="1" t="s">
        <v>212</v>
      </c>
      <c r="Q6585" s="3">
        <v>1</v>
      </c>
      <c r="R6585" s="23" t="s">
        <v>6854</v>
      </c>
      <c r="S6585" s="23" t="s">
        <v>6848</v>
      </c>
      <c r="W6585" s="45" t="str">
        <f>HYPERLINK("http://ictvonline.org/taxonomy/p/taxonomy-history?taxnode_id=201905350","ICTVonline=201905350")</f>
        <v>ICTVonline=201905350</v>
      </c>
      <c r="AA6585" s="1">
        <v>201900000</v>
      </c>
      <c r="AB6585" s="1">
        <v>35</v>
      </c>
    </row>
    <row r="6586" spans="1:28" x14ac:dyDescent="0.2">
      <c r="A6586" s="1">
        <v>16947</v>
      </c>
      <c r="N6586" s="1" t="s">
        <v>16945</v>
      </c>
      <c r="P6586" s="1" t="s">
        <v>16946</v>
      </c>
      <c r="Q6586" s="3">
        <v>1</v>
      </c>
      <c r="S6586" s="23" t="s">
        <v>5849</v>
      </c>
      <c r="T6586" s="23" t="s">
        <v>4864</v>
      </c>
      <c r="U6586" s="3">
        <v>35</v>
      </c>
      <c r="V6586" s="3" t="s">
        <v>13599</v>
      </c>
      <c r="W6586" s="45" t="str">
        <f>HYPERLINK("http://ictvonline.org/taxonomy/p/taxonomy-history?taxnode_id=201907391","ICTVonline=201907391")</f>
        <v>ICTVonline=201907391</v>
      </c>
      <c r="X6586" s="1" t="s">
        <v>16947</v>
      </c>
      <c r="Y6586" s="1" t="s">
        <v>16948</v>
      </c>
      <c r="Z6586" s="1" t="s">
        <v>16949</v>
      </c>
      <c r="AA6586" s="1">
        <v>201900000</v>
      </c>
      <c r="AB6586" s="1">
        <v>35</v>
      </c>
    </row>
    <row r="6587" spans="1:28" x14ac:dyDescent="0.2">
      <c r="A6587" s="1">
        <v>16951</v>
      </c>
      <c r="N6587" s="1" t="s">
        <v>402</v>
      </c>
      <c r="P6587" s="1" t="s">
        <v>403</v>
      </c>
      <c r="Q6587" s="3">
        <v>1</v>
      </c>
      <c r="R6587" s="23" t="s">
        <v>6854</v>
      </c>
      <c r="S6587" s="23" t="s">
        <v>6848</v>
      </c>
      <c r="W6587" s="45" t="str">
        <f>HYPERLINK("http://ictvonline.org/taxonomy/p/taxonomy-history?taxnode_id=201905364","ICTVonline=201905364")</f>
        <v>ICTVonline=201905364</v>
      </c>
      <c r="AA6587" s="1">
        <v>201900000</v>
      </c>
      <c r="AB6587" s="1">
        <v>35</v>
      </c>
    </row>
    <row r="6588" spans="1:28" x14ac:dyDescent="0.2">
      <c r="A6588" s="1">
        <v>16955</v>
      </c>
      <c r="N6588" s="1" t="s">
        <v>16950</v>
      </c>
      <c r="P6588" s="1" t="s">
        <v>16951</v>
      </c>
      <c r="Q6588" s="3">
        <v>0</v>
      </c>
      <c r="S6588" s="23" t="s">
        <v>5849</v>
      </c>
      <c r="T6588" s="23" t="s">
        <v>4864</v>
      </c>
      <c r="U6588" s="3">
        <v>35</v>
      </c>
      <c r="V6588" s="3" t="s">
        <v>13599</v>
      </c>
      <c r="W6588" s="45" t="str">
        <f>HYPERLINK("http://ictvonline.org/taxonomy/p/taxonomy-history?taxnode_id=201907386","ICTVonline=201907386")</f>
        <v>ICTVonline=201907386</v>
      </c>
      <c r="X6588" s="1" t="s">
        <v>16952</v>
      </c>
      <c r="Y6588" s="1" t="s">
        <v>16953</v>
      </c>
      <c r="Z6588" s="1" t="s">
        <v>16954</v>
      </c>
      <c r="AA6588" s="1">
        <v>201900000</v>
      </c>
      <c r="AB6588" s="1">
        <v>35</v>
      </c>
    </row>
    <row r="6589" spans="1:28" x14ac:dyDescent="0.2">
      <c r="A6589" s="1">
        <v>16957</v>
      </c>
      <c r="N6589" s="1" t="s">
        <v>16950</v>
      </c>
      <c r="P6589" s="1" t="s">
        <v>16955</v>
      </c>
      <c r="Q6589" s="3">
        <v>0</v>
      </c>
      <c r="S6589" s="23" t="s">
        <v>5849</v>
      </c>
      <c r="T6589" s="23" t="s">
        <v>4864</v>
      </c>
      <c r="U6589" s="3">
        <v>35</v>
      </c>
      <c r="V6589" s="3" t="s">
        <v>13599</v>
      </c>
      <c r="W6589" s="45" t="str">
        <f>HYPERLINK("http://ictvonline.org/taxonomy/p/taxonomy-history?taxnode_id=201907387","ICTVonline=201907387")</f>
        <v>ICTVonline=201907387</v>
      </c>
      <c r="X6589" s="1" t="s">
        <v>16956</v>
      </c>
      <c r="Y6589" s="1" t="s">
        <v>16957</v>
      </c>
      <c r="Z6589" s="1" t="s">
        <v>16958</v>
      </c>
      <c r="AA6589" s="1">
        <v>201900000</v>
      </c>
      <c r="AB6589" s="1">
        <v>35</v>
      </c>
    </row>
    <row r="6590" spans="1:28" x14ac:dyDescent="0.2">
      <c r="A6590" s="1">
        <v>16959</v>
      </c>
      <c r="N6590" s="1" t="s">
        <v>16950</v>
      </c>
      <c r="P6590" s="1" t="s">
        <v>16959</v>
      </c>
      <c r="Q6590" s="3">
        <v>0</v>
      </c>
      <c r="S6590" s="23" t="s">
        <v>5849</v>
      </c>
      <c r="T6590" s="23" t="s">
        <v>4864</v>
      </c>
      <c r="U6590" s="3">
        <v>35</v>
      </c>
      <c r="V6590" s="3" t="s">
        <v>13599</v>
      </c>
      <c r="W6590" s="45" t="str">
        <f>HYPERLINK("http://ictvonline.org/taxonomy/p/taxonomy-history?taxnode_id=201907385","ICTVonline=201907385")</f>
        <v>ICTVonline=201907385</v>
      </c>
      <c r="X6590" s="1" t="s">
        <v>16960</v>
      </c>
      <c r="Y6590" s="1" t="s">
        <v>16961</v>
      </c>
      <c r="Z6590" s="1">
        <v>579</v>
      </c>
      <c r="AA6590" s="1">
        <v>201900000</v>
      </c>
      <c r="AB6590" s="1">
        <v>35</v>
      </c>
    </row>
    <row r="6591" spans="1:28" x14ac:dyDescent="0.2">
      <c r="A6591" s="1">
        <v>16961</v>
      </c>
      <c r="N6591" s="1" t="s">
        <v>16950</v>
      </c>
      <c r="P6591" s="1" t="s">
        <v>16962</v>
      </c>
      <c r="Q6591" s="3">
        <v>1</v>
      </c>
      <c r="S6591" s="23" t="s">
        <v>5849</v>
      </c>
      <c r="T6591" s="23" t="s">
        <v>4864</v>
      </c>
      <c r="U6591" s="3">
        <v>35</v>
      </c>
      <c r="V6591" s="3" t="s">
        <v>13599</v>
      </c>
      <c r="W6591" s="45" t="str">
        <f>HYPERLINK("http://ictvonline.org/taxonomy/p/taxonomy-history?taxnode_id=201907384","ICTVonline=201907384")</f>
        <v>ICTVonline=201907384</v>
      </c>
      <c r="X6591" s="1" t="s">
        <v>16963</v>
      </c>
      <c r="Y6591" s="1" t="s">
        <v>16964</v>
      </c>
      <c r="Z6591" s="1" t="s">
        <v>16965</v>
      </c>
      <c r="AA6591" s="1">
        <v>201900000</v>
      </c>
      <c r="AB6591" s="1">
        <v>35</v>
      </c>
    </row>
    <row r="6592" spans="1:28" x14ac:dyDescent="0.2">
      <c r="A6592" s="1">
        <v>16965</v>
      </c>
      <c r="N6592" s="1" t="s">
        <v>16966</v>
      </c>
      <c r="P6592" s="1" t="s">
        <v>16967</v>
      </c>
      <c r="Q6592" s="3">
        <v>1</v>
      </c>
      <c r="S6592" s="23" t="s">
        <v>5849</v>
      </c>
      <c r="T6592" s="23" t="s">
        <v>4864</v>
      </c>
      <c r="U6592" s="3">
        <v>35</v>
      </c>
      <c r="V6592" s="3" t="s">
        <v>13599</v>
      </c>
      <c r="W6592" s="45" t="str">
        <f>HYPERLINK("http://ictvonline.org/taxonomy/p/taxonomy-history?taxnode_id=201907389","ICTVonline=201907389")</f>
        <v>ICTVonline=201907389</v>
      </c>
      <c r="X6592" s="1" t="s">
        <v>16968</v>
      </c>
      <c r="Y6592" s="1" t="s">
        <v>16969</v>
      </c>
      <c r="Z6592" s="1" t="s">
        <v>16970</v>
      </c>
      <c r="AA6592" s="1">
        <v>201900000</v>
      </c>
      <c r="AB6592" s="1">
        <v>35</v>
      </c>
    </row>
  </sheetData>
  <sortState ref="J1:Q2474">
    <sortCondition ref="J2:J2474"/>
    <sortCondition ref="L2:L2474"/>
    <sortCondition ref="M2:M2474"/>
    <sortCondition ref="N2:N2474"/>
    <sortCondition ref="P2:P2474"/>
  </sortState>
  <phoneticPr fontId="1" type="noConversion"/>
  <conditionalFormatting sqref="Q1:R1048576">
    <cfRule type="cellIs" dxfId="3" priority="15" stopIfTrue="1" operator="equal">
      <formula>1</formula>
    </cfRule>
  </conditionalFormatting>
  <conditionalFormatting sqref="B1:K1 J1:R1048576">
    <cfRule type="expression" dxfId="2" priority="11" stopIfTrue="1">
      <formula>B1="Unassigned"</formula>
    </cfRule>
  </conditionalFormatting>
  <conditionalFormatting sqref="A1:XFD1048576">
    <cfRule type="cellIs" dxfId="1" priority="10" stopIfTrue="1" operator="equal">
      <formula>"NULL"</formula>
    </cfRule>
  </conditionalFormatting>
  <conditionalFormatting sqref="U1 V1719:V65532 V2:V1717">
    <cfRule type="cellIs" dxfId="0" priority="9" stopIfTrue="1" operator="equal">
      <formula>29</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 Master Species List 35</vt:lpstr>
      <vt:lpstr>'ICTV Master Species List 35'!Print_Titles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Hendrickson, Curtis (Campus)</cp:lastModifiedBy>
  <cp:lastPrinted>2009-10-04T23:39:18Z</cp:lastPrinted>
  <dcterms:created xsi:type="dcterms:W3CDTF">2009-08-13T19:43:48Z</dcterms:created>
  <dcterms:modified xsi:type="dcterms:W3CDTF">2020-04-16T22:38:58Z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